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ink/ink1.xml" ContentType="application/inkml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comments2.xml" ContentType="application/vnd.openxmlformats-officedocument.spreadsheetml.comments+xml"/>
  <Override PartName="/xl/ink/ink2.xml" ContentType="application/inkml+xml"/>
  <Override PartName="/xl/drawings/drawing5.xml" ContentType="application/vnd.openxmlformats-officedocument.drawing+xml"/>
  <Override PartName="/xl/tables/table7.xml" ContentType="application/vnd.openxmlformats-officedocument.spreadsheetml.table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tables/table8.xml" ContentType="application/vnd.openxmlformats-officedocument.spreadsheetml.table+xml"/>
  <Override PartName="/xl/drawings/drawing7.xml" ContentType="application/vnd.openxmlformats-officedocument.drawing+xml"/>
  <Override PartName="/xl/tables/table9.xml" ContentType="application/vnd.openxmlformats-officedocument.spreadsheetml.table+xml"/>
  <Override PartName="/xl/drawings/drawing8.xml" ContentType="application/vnd.openxmlformats-officedocument.drawing+xml"/>
  <Override PartName="/xl/tables/table10.xml" ContentType="application/vnd.openxmlformats-officedocument.spreadsheetml.table+xml"/>
  <Override PartName="/xl/comments4.xml" ContentType="application/vnd.openxmlformats-officedocument.spreadsheetml.comments+xml"/>
  <Override PartName="/xl/drawings/drawing9.xml" ContentType="application/vnd.openxmlformats-officedocument.drawing+xml"/>
  <Override PartName="/xl/tables/table11.xml" ContentType="application/vnd.openxmlformats-officedocument.spreadsheetml.table+xml"/>
  <Override PartName="/xl/comments5.xml" ContentType="application/vnd.openxmlformats-officedocument.spreadsheetml.comments+xml"/>
  <Override PartName="/xl/drawings/drawing10.xml" ContentType="application/vnd.openxmlformats-officedocument.drawing+xml"/>
  <Override PartName="/xl/tables/table12.xml" ContentType="application/vnd.openxmlformats-officedocument.spreadsheetml.table+xml"/>
  <Override PartName="/xl/drawings/drawing11.xml" ContentType="application/vnd.openxmlformats-officedocument.drawing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ormleysengineering.sharepoint.com/3184Stock/Shared Documents/Files to Bartek/"/>
    </mc:Choice>
  </mc:AlternateContent>
  <xr:revisionPtr revIDLastSave="0" documentId="8_{91FEFB99-3083-4C88-93A3-0CC469459140}" xr6:coauthVersionLast="47" xr6:coauthVersionMax="47" xr10:uidLastSave="{00000000-0000-0000-0000-000000000000}"/>
  <bookViews>
    <workbookView xWindow="-98" yWindow="-98" windowWidth="20715" windowHeight="13276" tabRatio="922" firstSheet="8" activeTab="11" xr2:uid="{D127CA65-AD03-48FE-B52D-CA6C645AA9D3}"/>
  </bookViews>
  <sheets>
    <sheet name="Summary" sheetId="17" r:id="rId1"/>
    <sheet name="Category Setup" sheetId="1" r:id="rId2"/>
    <sheet name="FinishProds" sheetId="15" r:id="rId3"/>
    <sheet name="PLT &amp; SHEET" sheetId="16" r:id="rId4"/>
    <sheet name="Alum" sheetId="4" r:id="rId5"/>
    <sheet name="Msh &amp; Exp.Metal" sheetId="5" r:id="rId6"/>
    <sheet name="Chan &amp; Bms" sheetId="6" r:id="rId7"/>
    <sheet name="Tube_CHS" sheetId="10" r:id="rId8"/>
    <sheet name="FLTS" sheetId="8" r:id="rId9"/>
    <sheet name="Angles+T" sheetId="7" r:id="rId10"/>
    <sheet name="Rnds_Sqrs_HolBar" sheetId="11" r:id="rId11"/>
    <sheet name="RHS" sheetId="9" r:id="rId12"/>
    <sheet name="Area List" sheetId="14" r:id="rId13"/>
    <sheet name="Density" sheetId="12" r:id="rId14"/>
  </sheets>
  <externalReferences>
    <externalReference r:id="rId15"/>
  </externalReferences>
  <definedNames>
    <definedName name="_xlnm._FilterDatabase" localSheetId="4" hidden="1">Alum!$A$1:$W$21</definedName>
    <definedName name="_xlnm._FilterDatabase" localSheetId="9" hidden="1">'Angles+T'!$B$1:$AB$51</definedName>
    <definedName name="_xlnm._FilterDatabase" localSheetId="6" hidden="1">'Chan &amp; Bms'!$D$1:$S$44</definedName>
    <definedName name="_xlnm._FilterDatabase" localSheetId="2" hidden="1">FinishProds!$A$1:$K$164</definedName>
    <definedName name="_xlnm._FilterDatabase" localSheetId="8" hidden="1">FLTS!$A$2:$WVV$88</definedName>
    <definedName name="_xlnm._FilterDatabase" localSheetId="3" hidden="1">'PLT &amp; SHEET'!$A$1:$AJ$331</definedName>
    <definedName name="_xlnm._FilterDatabase" localSheetId="11" hidden="1">RHS!$D$2:$T$64</definedName>
    <definedName name="_xlnm._FilterDatabase" localSheetId="10" hidden="1">Rnds_Sqrs_HolBar!$D$1:$AD$88</definedName>
    <definedName name="_xlnm._FilterDatabase" localSheetId="7" hidden="1">Tube_CHS!$D$2:$AA$66</definedName>
    <definedName name="AreaList2">AreaList[Area Shortcode]</definedName>
    <definedName name="arealist3">AreaList[Area Shortcode]</definedName>
    <definedName name="_xlnm.Print_Area" localSheetId="4">Alum!$B$1:$R$19</definedName>
    <definedName name="_xlnm.Print_Area" localSheetId="9">Table8[[#All],[GEng
CAT]:[Area3]]</definedName>
    <definedName name="_xlnm.Print_Area" localSheetId="12">'Area List'!$A$1:$U$30</definedName>
    <definedName name="_xlnm.Print_Area" localSheetId="6">Table9[#All]</definedName>
    <definedName name="_xlnm.Print_Area" localSheetId="2">Table113[#All]</definedName>
    <definedName name="_xlnm.Print_Area" localSheetId="8">FLTS!$A$1:$O$87</definedName>
    <definedName name="_xlnm.Print_Area" localSheetId="5">#REF!</definedName>
    <definedName name="_xlnm.Print_Area" localSheetId="3">'PLT &amp; SHEET'!$A$1:$U$328</definedName>
    <definedName name="_xlnm.Print_Area" localSheetId="11">Table7[[#All],[GEng
CAT]:[Area3]]</definedName>
    <definedName name="_xlnm.Print_Area" localSheetId="10">Table6[#All]</definedName>
    <definedName name="_xlnm.Print_Area" localSheetId="7">Tube_CHS!$A$1:$AA$65</definedName>
    <definedName name="_xlnm.Print_Titles" localSheetId="4">Alum!$1:$2</definedName>
    <definedName name="_xlnm.Print_Titles" localSheetId="9">'Angles+T'!$1:$2</definedName>
    <definedName name="_xlnm.Print_Titles" localSheetId="6">'Chan &amp; Bms'!$1:$2</definedName>
    <definedName name="_xlnm.Print_Titles" localSheetId="2">FinishProds!$1:$2</definedName>
    <definedName name="_xlnm.Print_Titles" localSheetId="8">FLTS!$1:$2</definedName>
    <definedName name="_xlnm.Print_Titles" localSheetId="5">'Msh &amp; Exp.Metal'!$1:$2</definedName>
    <definedName name="_xlnm.Print_Titles" localSheetId="3">'PLT &amp; SHEET'!$1:$2</definedName>
    <definedName name="_xlnm.Print_Titles" localSheetId="11">RHS!$1:$2</definedName>
    <definedName name="_xlnm.Print_Titles" localSheetId="10">Rnds_Sqrs_HolBar!$1:$2</definedName>
    <definedName name="_xlnm.Print_Titles" localSheetId="7">Tube_CHS!$1:$2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4" l="1"/>
  <c r="C320" i="16"/>
  <c r="C327" i="16"/>
  <c r="P5" i="12"/>
  <c r="AK4" i="16"/>
  <c r="AK5" i="16"/>
  <c r="AK6" i="16"/>
  <c r="AK7" i="16"/>
  <c r="AK8" i="16"/>
  <c r="AK9" i="16"/>
  <c r="AK10" i="16"/>
  <c r="AD11" i="16"/>
  <c r="AE11" i="16"/>
  <c r="AK11" i="16"/>
  <c r="AK12" i="16"/>
  <c r="AK13" i="16"/>
  <c r="AK14" i="16"/>
  <c r="AK15" i="16"/>
  <c r="AK16" i="16"/>
  <c r="AK17" i="16"/>
  <c r="AK18" i="16"/>
  <c r="AK19" i="16"/>
  <c r="AK20" i="16"/>
  <c r="AK21" i="16"/>
  <c r="AK22" i="16"/>
  <c r="AK23" i="16"/>
  <c r="AK24" i="16"/>
  <c r="AK25" i="16"/>
  <c r="AK26" i="16"/>
  <c r="AK27" i="16"/>
  <c r="AD28" i="16"/>
  <c r="AE28" i="16"/>
  <c r="AK28" i="16"/>
  <c r="AK29" i="16"/>
  <c r="AK30" i="16"/>
  <c r="AK31" i="16"/>
  <c r="AK32" i="16"/>
  <c r="AD33" i="16"/>
  <c r="AE33" i="16"/>
  <c r="AK33" i="16"/>
  <c r="AK34" i="16"/>
  <c r="AK35" i="16"/>
  <c r="AK36" i="16"/>
  <c r="AK37" i="16"/>
  <c r="AK38" i="16"/>
  <c r="AK39" i="16"/>
  <c r="AK40" i="16"/>
  <c r="AK41" i="16"/>
  <c r="AK42" i="16"/>
  <c r="AK43" i="16"/>
  <c r="AK44" i="16"/>
  <c r="AK45" i="16"/>
  <c r="AK46" i="16"/>
  <c r="AK47" i="16"/>
  <c r="AK48" i="16"/>
  <c r="AK49" i="16"/>
  <c r="AK50" i="16"/>
  <c r="AK51" i="16"/>
  <c r="AD52" i="16"/>
  <c r="AE52" i="16"/>
  <c r="AK52" i="16"/>
  <c r="AK53" i="16"/>
  <c r="AK54" i="16"/>
  <c r="AK55" i="16"/>
  <c r="AK56" i="16"/>
  <c r="AK57" i="16"/>
  <c r="AK58" i="16"/>
  <c r="AK59" i="16"/>
  <c r="AK60" i="16"/>
  <c r="AK61" i="16"/>
  <c r="AK62" i="16"/>
  <c r="AK63" i="16"/>
  <c r="AK64" i="16"/>
  <c r="AK65" i="16"/>
  <c r="AK66" i="16"/>
  <c r="AK67" i="16"/>
  <c r="AK68" i="16"/>
  <c r="AK69" i="16"/>
  <c r="AK70" i="16"/>
  <c r="AK71" i="16"/>
  <c r="AK72" i="16"/>
  <c r="AK73" i="16"/>
  <c r="AK74" i="16"/>
  <c r="AK75" i="16"/>
  <c r="AK76" i="16"/>
  <c r="AK77" i="16"/>
  <c r="AD78" i="16"/>
  <c r="AE78" i="16"/>
  <c r="AK78" i="16"/>
  <c r="AD79" i="16"/>
  <c r="AE79" i="16"/>
  <c r="AK79" i="16"/>
  <c r="AK80" i="16"/>
  <c r="AK81" i="16"/>
  <c r="AK82" i="16"/>
  <c r="AK83" i="16"/>
  <c r="AK84" i="16"/>
  <c r="AK85" i="16"/>
  <c r="AK86" i="16"/>
  <c r="AK87" i="16"/>
  <c r="AK88" i="16"/>
  <c r="AK89" i="16"/>
  <c r="AK90" i="16"/>
  <c r="AK91" i="16"/>
  <c r="AK92" i="16"/>
  <c r="AK93" i="16"/>
  <c r="AK94" i="16"/>
  <c r="AK95" i="16"/>
  <c r="AK96" i="16"/>
  <c r="AK97" i="16"/>
  <c r="AK98" i="16"/>
  <c r="AK99" i="16"/>
  <c r="AK100" i="16"/>
  <c r="AK101" i="16"/>
  <c r="AK102" i="16"/>
  <c r="AK103" i="16"/>
  <c r="AK104" i="16"/>
  <c r="AK105" i="16"/>
  <c r="AK106" i="16"/>
  <c r="AK107" i="16"/>
  <c r="AD108" i="16"/>
  <c r="AE108" i="16"/>
  <c r="AK108" i="16"/>
  <c r="AD109" i="16"/>
  <c r="AE109" i="16"/>
  <c r="AK109" i="16"/>
  <c r="AK110" i="16"/>
  <c r="AK111" i="16"/>
  <c r="AK112" i="16"/>
  <c r="AK113" i="16"/>
  <c r="AK114" i="16"/>
  <c r="AK115" i="16"/>
  <c r="AK116" i="16"/>
  <c r="AK117" i="16"/>
  <c r="AK118" i="16"/>
  <c r="AK119" i="16"/>
  <c r="AK120" i="16"/>
  <c r="AK121" i="16"/>
  <c r="AK122" i="16"/>
  <c r="AK123" i="16"/>
  <c r="AK124" i="16"/>
  <c r="AK125" i="16"/>
  <c r="AK126" i="16"/>
  <c r="AK127" i="16"/>
  <c r="AK128" i="16"/>
  <c r="AK129" i="16"/>
  <c r="AK130" i="16"/>
  <c r="AK131" i="16"/>
  <c r="AK132" i="16"/>
  <c r="AK133" i="16"/>
  <c r="AK134" i="16"/>
  <c r="AK135" i="16"/>
  <c r="AK136" i="16"/>
  <c r="AK137" i="16"/>
  <c r="AK138" i="16"/>
  <c r="AK139" i="16"/>
  <c r="AK140" i="16"/>
  <c r="AK141" i="16"/>
  <c r="AK142" i="16"/>
  <c r="AK143" i="16"/>
  <c r="AK144" i="16"/>
  <c r="AK145" i="16"/>
  <c r="AK146" i="16"/>
  <c r="AK147" i="16"/>
  <c r="AK148" i="16"/>
  <c r="AK149" i="16"/>
  <c r="AK150" i="16"/>
  <c r="AK151" i="16"/>
  <c r="AK152" i="16"/>
  <c r="AK153" i="16"/>
  <c r="AK154" i="16"/>
  <c r="AK155" i="16"/>
  <c r="AK156" i="16"/>
  <c r="AK157" i="16"/>
  <c r="AD158" i="16"/>
  <c r="AE158" i="16"/>
  <c r="AK158" i="16"/>
  <c r="AD159" i="16"/>
  <c r="AE159" i="16"/>
  <c r="AK159" i="16"/>
  <c r="AD160" i="16"/>
  <c r="AE160" i="16"/>
  <c r="AK160" i="16"/>
  <c r="AD161" i="16"/>
  <c r="AE161" i="16"/>
  <c r="AK161" i="16"/>
  <c r="AD162" i="16"/>
  <c r="AE162" i="16"/>
  <c r="AH162" i="16" s="1"/>
  <c r="AK162" i="16"/>
  <c r="AK163" i="16"/>
  <c r="AK164" i="16"/>
  <c r="AK165" i="16"/>
  <c r="AK166" i="16"/>
  <c r="AK167" i="16"/>
  <c r="AK168" i="16"/>
  <c r="AK169" i="16"/>
  <c r="AK170" i="16"/>
  <c r="AK171" i="16"/>
  <c r="AK172" i="16"/>
  <c r="AK173" i="16"/>
  <c r="AK174" i="16"/>
  <c r="AK175" i="16"/>
  <c r="AK176" i="16"/>
  <c r="AK177" i="16"/>
  <c r="AK178" i="16"/>
  <c r="AK179" i="16"/>
  <c r="AK180" i="16"/>
  <c r="AK181" i="16"/>
  <c r="AK182" i="16"/>
  <c r="AK183" i="16"/>
  <c r="AK184" i="16"/>
  <c r="AK185" i="16"/>
  <c r="AK186" i="16"/>
  <c r="AK187" i="16"/>
  <c r="AK188" i="16"/>
  <c r="AD189" i="16"/>
  <c r="AE189" i="16"/>
  <c r="AK189" i="16"/>
  <c r="AD190" i="16"/>
  <c r="AE190" i="16"/>
  <c r="AH190" i="16" s="1"/>
  <c r="AK190" i="16"/>
  <c r="AK191" i="16"/>
  <c r="AK192" i="16"/>
  <c r="AK193" i="16"/>
  <c r="AK194" i="16"/>
  <c r="AK195" i="16"/>
  <c r="AK196" i="16"/>
  <c r="AK197" i="16"/>
  <c r="AK198" i="16"/>
  <c r="AK199" i="16"/>
  <c r="AK200" i="16"/>
  <c r="AK201" i="16"/>
  <c r="AK202" i="16"/>
  <c r="AD203" i="16"/>
  <c r="AE203" i="16"/>
  <c r="AK203" i="16"/>
  <c r="AK204" i="16"/>
  <c r="AK205" i="16"/>
  <c r="AD206" i="16"/>
  <c r="AE206" i="16"/>
  <c r="AK206" i="16"/>
  <c r="AK207" i="16"/>
  <c r="AK208" i="16"/>
  <c r="AD209" i="16"/>
  <c r="AE209" i="16"/>
  <c r="AG209" i="16" s="1"/>
  <c r="AK209" i="16"/>
  <c r="AD210" i="16"/>
  <c r="AE210" i="16"/>
  <c r="AK210" i="16"/>
  <c r="AK211" i="16"/>
  <c r="AK212" i="16"/>
  <c r="AK213" i="16"/>
  <c r="AK214" i="16"/>
  <c r="AK215" i="16"/>
  <c r="AK216" i="16"/>
  <c r="AK217" i="16"/>
  <c r="AK218" i="16"/>
  <c r="AK219" i="16"/>
  <c r="AK220" i="16"/>
  <c r="AK221" i="16"/>
  <c r="AK222" i="16"/>
  <c r="AK223" i="16"/>
  <c r="AK224" i="16"/>
  <c r="AK225" i="16"/>
  <c r="AK226" i="16"/>
  <c r="AK227" i="16"/>
  <c r="AK228" i="16"/>
  <c r="AK229" i="16"/>
  <c r="AK230" i="16"/>
  <c r="AK231" i="16"/>
  <c r="AK232" i="16"/>
  <c r="AK233" i="16"/>
  <c r="AK234" i="16"/>
  <c r="AK235" i="16"/>
  <c r="AK236" i="16"/>
  <c r="AK237" i="16"/>
  <c r="AK238" i="16"/>
  <c r="AK239" i="16"/>
  <c r="AK240" i="16"/>
  <c r="AK241" i="16"/>
  <c r="AK242" i="16"/>
  <c r="AK243" i="16"/>
  <c r="AK244" i="16"/>
  <c r="AK245" i="16"/>
  <c r="AD246" i="16"/>
  <c r="AE246" i="16"/>
  <c r="AK246" i="16"/>
  <c r="AD247" i="16"/>
  <c r="AE247" i="16"/>
  <c r="AG247" i="16" s="1"/>
  <c r="AK247" i="16"/>
  <c r="AD248" i="16"/>
  <c r="AE248" i="16"/>
  <c r="AK248" i="16"/>
  <c r="AK249" i="16"/>
  <c r="AK250" i="16"/>
  <c r="AK251" i="16"/>
  <c r="AD252" i="16"/>
  <c r="AK252" i="16"/>
  <c r="AD253" i="16"/>
  <c r="AK253" i="16"/>
  <c r="AD254" i="16"/>
  <c r="AK254" i="16"/>
  <c r="AK255" i="16"/>
  <c r="AD256" i="16"/>
  <c r="AK256" i="16"/>
  <c r="AD257" i="16"/>
  <c r="AE257" i="16"/>
  <c r="AG257" i="16" s="1"/>
  <c r="AK257" i="16"/>
  <c r="AD258" i="16"/>
  <c r="AE258" i="16"/>
  <c r="AK258" i="16"/>
  <c r="AD259" i="16"/>
  <c r="AE259" i="16"/>
  <c r="AK259" i="16"/>
  <c r="AD260" i="16"/>
  <c r="AE260" i="16"/>
  <c r="AK260" i="16"/>
  <c r="AD261" i="16"/>
  <c r="AE261" i="16"/>
  <c r="AG261" i="16" s="1"/>
  <c r="AK261" i="16"/>
  <c r="AK262" i="16"/>
  <c r="AK263" i="16"/>
  <c r="AK264" i="16"/>
  <c r="AK265" i="16"/>
  <c r="AK266" i="16"/>
  <c r="AD267" i="16"/>
  <c r="AE267" i="16"/>
  <c r="AK267" i="16"/>
  <c r="AD268" i="16"/>
  <c r="AE268" i="16"/>
  <c r="AK268" i="16"/>
  <c r="AD269" i="16"/>
  <c r="AE269" i="16"/>
  <c r="AG269" i="16" s="1"/>
  <c r="AK269" i="16"/>
  <c r="AK270" i="16"/>
  <c r="AD271" i="16"/>
  <c r="AE271" i="16"/>
  <c r="AG271" i="16" s="1"/>
  <c r="AK271" i="16"/>
  <c r="AK272" i="16"/>
  <c r="AK273" i="16"/>
  <c r="AK274" i="16"/>
  <c r="AK275" i="16"/>
  <c r="AD276" i="16"/>
  <c r="AE276" i="16"/>
  <c r="AI276" i="16" s="1"/>
  <c r="AK276" i="16"/>
  <c r="AK277" i="16"/>
  <c r="AK278" i="16"/>
  <c r="AK279" i="16"/>
  <c r="AK280" i="16"/>
  <c r="AK281" i="16"/>
  <c r="AK282" i="16"/>
  <c r="AD283" i="16"/>
  <c r="AE283" i="16"/>
  <c r="AH283" i="16" s="1"/>
  <c r="AK283" i="16"/>
  <c r="AK284" i="16"/>
  <c r="AK285" i="16"/>
  <c r="AK286" i="16"/>
  <c r="AK287" i="16"/>
  <c r="AK288" i="16"/>
  <c r="AK289" i="16"/>
  <c r="AK290" i="16"/>
  <c r="AK291" i="16"/>
  <c r="AK292" i="16"/>
  <c r="AK293" i="16"/>
  <c r="AK294" i="16"/>
  <c r="AK295" i="16"/>
  <c r="AK296" i="16"/>
  <c r="AK297" i="16"/>
  <c r="AK298" i="16"/>
  <c r="AK299" i="16"/>
  <c r="AK300" i="16"/>
  <c r="AK301" i="16"/>
  <c r="AK302" i="16"/>
  <c r="AK303" i="16"/>
  <c r="AK304" i="16"/>
  <c r="AK305" i="16"/>
  <c r="AK306" i="16"/>
  <c r="AK307" i="16"/>
  <c r="AK308" i="16"/>
  <c r="AK309" i="16"/>
  <c r="AK310" i="16"/>
  <c r="AK311" i="16"/>
  <c r="AK312" i="16"/>
  <c r="AK313" i="16"/>
  <c r="AK314" i="16"/>
  <c r="AK315" i="16"/>
  <c r="AK316" i="16"/>
  <c r="AK317" i="16"/>
  <c r="AK318" i="16"/>
  <c r="AK319" i="16"/>
  <c r="AK320" i="16"/>
  <c r="AK321" i="16"/>
  <c r="AK322" i="16"/>
  <c r="AK323" i="16"/>
  <c r="AK324" i="16"/>
  <c r="AK325" i="16"/>
  <c r="AK326" i="16"/>
  <c r="AK327" i="16"/>
  <c r="AD328" i="16"/>
  <c r="AE328" i="16"/>
  <c r="AG328" i="16" s="1"/>
  <c r="AK328" i="16"/>
  <c r="D2" i="17"/>
  <c r="D9" i="17"/>
  <c r="Q88" i="8"/>
  <c r="D11" i="17"/>
  <c r="D10" i="17"/>
  <c r="D8" i="17"/>
  <c r="D7" i="17"/>
  <c r="D6" i="17"/>
  <c r="D5" i="17"/>
  <c r="R17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3" i="5"/>
  <c r="V4" i="5"/>
  <c r="X4" i="5"/>
  <c r="Y4" i="5"/>
  <c r="Z4" i="5"/>
  <c r="AA4" i="5"/>
  <c r="V5" i="5"/>
  <c r="X5" i="5"/>
  <c r="Y5" i="5"/>
  <c r="Z5" i="5"/>
  <c r="AA5" i="5"/>
  <c r="V6" i="5"/>
  <c r="X6" i="5"/>
  <c r="Y6" i="5"/>
  <c r="Z6" i="5"/>
  <c r="AA6" i="5"/>
  <c r="V7" i="5"/>
  <c r="X7" i="5"/>
  <c r="Y7" i="5"/>
  <c r="Z7" i="5"/>
  <c r="AA7" i="5"/>
  <c r="V8" i="5"/>
  <c r="X8" i="5"/>
  <c r="Y8" i="5"/>
  <c r="Z8" i="5"/>
  <c r="AA8" i="5"/>
  <c r="V9" i="5"/>
  <c r="X9" i="5"/>
  <c r="Y9" i="5"/>
  <c r="Z9" i="5"/>
  <c r="AA9" i="5"/>
  <c r="V10" i="5"/>
  <c r="X10" i="5"/>
  <c r="Y10" i="5"/>
  <c r="Z10" i="5"/>
  <c r="AA10" i="5"/>
  <c r="V11" i="5"/>
  <c r="X11" i="5"/>
  <c r="Y11" i="5"/>
  <c r="Z11" i="5"/>
  <c r="AA11" i="5"/>
  <c r="V12" i="5"/>
  <c r="X12" i="5"/>
  <c r="Y12" i="5"/>
  <c r="Z12" i="5"/>
  <c r="AA12" i="5"/>
  <c r="V13" i="5"/>
  <c r="X13" i="5"/>
  <c r="Y13" i="5"/>
  <c r="Z13" i="5"/>
  <c r="AA13" i="5"/>
  <c r="V14" i="5"/>
  <c r="X14" i="5"/>
  <c r="Y14" i="5"/>
  <c r="Z14" i="5"/>
  <c r="AA14" i="5"/>
  <c r="V15" i="5"/>
  <c r="X15" i="5"/>
  <c r="Y15" i="5"/>
  <c r="Z15" i="5"/>
  <c r="AA15" i="5"/>
  <c r="V16" i="5"/>
  <c r="X16" i="5"/>
  <c r="Y16" i="5"/>
  <c r="Z16" i="5"/>
  <c r="AA16" i="5"/>
  <c r="AA3" i="5"/>
  <c r="Z3" i="5"/>
  <c r="Y3" i="5"/>
  <c r="X3" i="5"/>
  <c r="V3" i="5"/>
  <c r="Q14" i="5"/>
  <c r="Q15" i="5"/>
  <c r="Q16" i="5"/>
  <c r="Q4" i="5"/>
  <c r="Q5" i="5"/>
  <c r="Q6" i="5"/>
  <c r="Q7" i="5"/>
  <c r="Q8" i="5"/>
  <c r="Q9" i="5"/>
  <c r="Q10" i="5"/>
  <c r="Q11" i="5"/>
  <c r="Q12" i="5"/>
  <c r="Q13" i="5"/>
  <c r="Q3" i="5"/>
  <c r="Q45" i="6"/>
  <c r="P4" i="6"/>
  <c r="P5" i="6"/>
  <c r="P6" i="6"/>
  <c r="P7" i="6"/>
  <c r="P8" i="6"/>
  <c r="P9" i="6"/>
  <c r="P10" i="6"/>
  <c r="P11" i="6"/>
  <c r="Q11" i="6" s="1"/>
  <c r="P12" i="6"/>
  <c r="P13" i="6"/>
  <c r="P14" i="6"/>
  <c r="P15" i="6"/>
  <c r="P16" i="6"/>
  <c r="P17" i="6"/>
  <c r="P18" i="6"/>
  <c r="P19" i="6"/>
  <c r="Q19" i="6" s="1"/>
  <c r="P20" i="6"/>
  <c r="P21" i="6"/>
  <c r="P22" i="6"/>
  <c r="P23" i="6"/>
  <c r="P24" i="6"/>
  <c r="P25" i="6"/>
  <c r="P26" i="6"/>
  <c r="P27" i="6"/>
  <c r="Q27" i="6" s="1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Q4" i="6"/>
  <c r="Q5" i="6"/>
  <c r="Q6" i="6"/>
  <c r="Q7" i="6"/>
  <c r="Q8" i="6"/>
  <c r="Q9" i="6"/>
  <c r="Q10" i="6"/>
  <c r="Q12" i="6"/>
  <c r="Q13" i="6"/>
  <c r="Q14" i="6"/>
  <c r="Q15" i="6"/>
  <c r="Q16" i="6"/>
  <c r="Q17" i="6"/>
  <c r="Q18" i="6"/>
  <c r="Q20" i="6"/>
  <c r="Q21" i="6"/>
  <c r="Q22" i="6"/>
  <c r="Q23" i="6"/>
  <c r="Q24" i="6"/>
  <c r="Q25" i="6"/>
  <c r="Q26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3" i="6"/>
  <c r="U14" i="6"/>
  <c r="W14" i="6" s="1"/>
  <c r="U23" i="6"/>
  <c r="W23" i="6" s="1"/>
  <c r="U32" i="6"/>
  <c r="W32" i="6" s="1"/>
  <c r="U40" i="6"/>
  <c r="W40" i="6" s="1"/>
  <c r="S4" i="6"/>
  <c r="U4" i="6" s="1"/>
  <c r="W4" i="6" s="1"/>
  <c r="S5" i="6"/>
  <c r="U5" i="6" s="1"/>
  <c r="S6" i="6"/>
  <c r="U6" i="6" s="1"/>
  <c r="S7" i="6"/>
  <c r="U7" i="6" s="1"/>
  <c r="W7" i="6" s="1"/>
  <c r="S8" i="6"/>
  <c r="U8" i="6" s="1"/>
  <c r="S9" i="6"/>
  <c r="U9" i="6" s="1"/>
  <c r="S10" i="6"/>
  <c r="U10" i="6" s="1"/>
  <c r="S12" i="6"/>
  <c r="U12" i="6" s="1"/>
  <c r="S13" i="6"/>
  <c r="U13" i="6" s="1"/>
  <c r="S14" i="6"/>
  <c r="S15" i="6"/>
  <c r="U15" i="6" s="1"/>
  <c r="W15" i="6" s="1"/>
  <c r="S16" i="6"/>
  <c r="U16" i="6" s="1"/>
  <c r="S17" i="6"/>
  <c r="U17" i="6" s="1"/>
  <c r="S18" i="6"/>
  <c r="U18" i="6" s="1"/>
  <c r="S19" i="6"/>
  <c r="U19" i="6" s="1"/>
  <c r="S20" i="6"/>
  <c r="U20" i="6" s="1"/>
  <c r="S21" i="6"/>
  <c r="U21" i="6" s="1"/>
  <c r="S23" i="6"/>
  <c r="S24" i="6"/>
  <c r="U24" i="6" s="1"/>
  <c r="S25" i="6"/>
  <c r="U25" i="6" s="1"/>
  <c r="S27" i="6"/>
  <c r="U27" i="6" s="1"/>
  <c r="S28" i="6"/>
  <c r="U28" i="6" s="1"/>
  <c r="S30" i="6"/>
  <c r="U30" i="6" s="1"/>
  <c r="W30" i="6" s="1"/>
  <c r="S31" i="6"/>
  <c r="U31" i="6" s="1"/>
  <c r="W31" i="6" s="1"/>
  <c r="S32" i="6"/>
  <c r="S33" i="6"/>
  <c r="U33" i="6" s="1"/>
  <c r="S34" i="6"/>
  <c r="U34" i="6" s="1"/>
  <c r="S35" i="6"/>
  <c r="U35" i="6" s="1"/>
  <c r="S36" i="6"/>
  <c r="U36" i="6" s="1"/>
  <c r="S37" i="6"/>
  <c r="U37" i="6" s="1"/>
  <c r="S38" i="6"/>
  <c r="U38" i="6" s="1"/>
  <c r="W38" i="6" s="1"/>
  <c r="S39" i="6"/>
  <c r="U39" i="6" s="1"/>
  <c r="W39" i="6" s="1"/>
  <c r="S40" i="6"/>
  <c r="S41" i="6"/>
  <c r="U41" i="6" s="1"/>
  <c r="S42" i="6"/>
  <c r="U42" i="6" s="1"/>
  <c r="S43" i="6"/>
  <c r="U43" i="6" s="1"/>
  <c r="S3" i="6"/>
  <c r="U3" i="6" s="1"/>
  <c r="Q43" i="7"/>
  <c r="R43" i="7" s="1"/>
  <c r="X52" i="10"/>
  <c r="Y52" i="10"/>
  <c r="Z52" i="10"/>
  <c r="AA52" i="10"/>
  <c r="X53" i="10"/>
  <c r="Y53" i="10"/>
  <c r="Z53" i="10"/>
  <c r="AA53" i="10"/>
  <c r="X54" i="10"/>
  <c r="Y54" i="10"/>
  <c r="Z54" i="10"/>
  <c r="AA54" i="10"/>
  <c r="X55" i="10"/>
  <c r="Y55" i="10"/>
  <c r="Z55" i="10"/>
  <c r="AA55" i="10"/>
  <c r="X56" i="10"/>
  <c r="Y56" i="10"/>
  <c r="Z56" i="10"/>
  <c r="AA56" i="10"/>
  <c r="X57" i="10"/>
  <c r="Y57" i="10"/>
  <c r="Z57" i="10"/>
  <c r="AA57" i="10"/>
  <c r="X58" i="10"/>
  <c r="Y58" i="10"/>
  <c r="Z58" i="10"/>
  <c r="AA58" i="10"/>
  <c r="X59" i="10"/>
  <c r="Y59" i="10"/>
  <c r="Z59" i="10"/>
  <c r="AA59" i="10"/>
  <c r="X60" i="10"/>
  <c r="Y60" i="10"/>
  <c r="Z60" i="10"/>
  <c r="AA60" i="10"/>
  <c r="X61" i="10"/>
  <c r="Y61" i="10"/>
  <c r="Z61" i="10"/>
  <c r="AA61" i="10"/>
  <c r="X62" i="10"/>
  <c r="Y62" i="10"/>
  <c r="Z62" i="10"/>
  <c r="AA62" i="10"/>
  <c r="X63" i="10"/>
  <c r="Y63" i="10"/>
  <c r="Z63" i="10"/>
  <c r="AA63" i="10"/>
  <c r="X64" i="10"/>
  <c r="Y64" i="10"/>
  <c r="Z64" i="10"/>
  <c r="AA64" i="10"/>
  <c r="X65" i="10"/>
  <c r="Y65" i="10"/>
  <c r="Z65" i="10"/>
  <c r="AA65" i="10"/>
  <c r="X51" i="10"/>
  <c r="Y51" i="10"/>
  <c r="Z51" i="10"/>
  <c r="AA51" i="10"/>
  <c r="X4" i="10"/>
  <c r="Y4" i="10"/>
  <c r="Z4" i="10"/>
  <c r="AA4" i="10"/>
  <c r="X5" i="10"/>
  <c r="Y5" i="10"/>
  <c r="Z5" i="10"/>
  <c r="AA5" i="10"/>
  <c r="X6" i="10"/>
  <c r="Y6" i="10"/>
  <c r="Z6" i="10"/>
  <c r="AA6" i="10"/>
  <c r="X7" i="10"/>
  <c r="Y7" i="10"/>
  <c r="Z7" i="10"/>
  <c r="AA7" i="10"/>
  <c r="X8" i="10"/>
  <c r="Y8" i="10"/>
  <c r="Z8" i="10"/>
  <c r="AA8" i="10"/>
  <c r="X9" i="10"/>
  <c r="Y9" i="10"/>
  <c r="Z9" i="10"/>
  <c r="AA9" i="10"/>
  <c r="X10" i="10"/>
  <c r="Y10" i="10"/>
  <c r="Z10" i="10"/>
  <c r="AA10" i="10"/>
  <c r="X11" i="10"/>
  <c r="Y11" i="10"/>
  <c r="Z11" i="10"/>
  <c r="AA11" i="10"/>
  <c r="X12" i="10"/>
  <c r="Y12" i="10"/>
  <c r="Z12" i="10"/>
  <c r="AA12" i="10"/>
  <c r="X13" i="10"/>
  <c r="Y13" i="10"/>
  <c r="Z13" i="10"/>
  <c r="AA13" i="10"/>
  <c r="X14" i="10"/>
  <c r="Y14" i="10"/>
  <c r="Z14" i="10"/>
  <c r="AA14" i="10"/>
  <c r="X15" i="10"/>
  <c r="Y15" i="10"/>
  <c r="Z15" i="10"/>
  <c r="AA15" i="10"/>
  <c r="X16" i="10"/>
  <c r="Y16" i="10"/>
  <c r="Z16" i="10"/>
  <c r="AA16" i="10"/>
  <c r="X17" i="10"/>
  <c r="Y17" i="10"/>
  <c r="Z17" i="10"/>
  <c r="AA17" i="10"/>
  <c r="X18" i="10"/>
  <c r="Y18" i="10"/>
  <c r="Z18" i="10"/>
  <c r="AA18" i="10"/>
  <c r="X19" i="10"/>
  <c r="Y19" i="10"/>
  <c r="Z19" i="10"/>
  <c r="AA19" i="10"/>
  <c r="X20" i="10"/>
  <c r="Y20" i="10"/>
  <c r="Z20" i="10"/>
  <c r="AA20" i="10"/>
  <c r="X21" i="10"/>
  <c r="Y21" i="10"/>
  <c r="Z21" i="10"/>
  <c r="AA21" i="10"/>
  <c r="X22" i="10"/>
  <c r="Y22" i="10"/>
  <c r="Z22" i="10"/>
  <c r="AA22" i="10"/>
  <c r="X23" i="10"/>
  <c r="Y23" i="10"/>
  <c r="Z23" i="10"/>
  <c r="AA23" i="10"/>
  <c r="X24" i="10"/>
  <c r="Y24" i="10"/>
  <c r="Z24" i="10"/>
  <c r="AA24" i="10"/>
  <c r="X25" i="10"/>
  <c r="Y25" i="10"/>
  <c r="Z25" i="10"/>
  <c r="AA25" i="10"/>
  <c r="X26" i="10"/>
  <c r="Y26" i="10"/>
  <c r="Z26" i="10"/>
  <c r="AA26" i="10"/>
  <c r="X27" i="10"/>
  <c r="Y27" i="10"/>
  <c r="Z27" i="10"/>
  <c r="AA27" i="10"/>
  <c r="X28" i="10"/>
  <c r="Y28" i="10"/>
  <c r="Z28" i="10"/>
  <c r="AA28" i="10"/>
  <c r="X29" i="10"/>
  <c r="Y29" i="10"/>
  <c r="Z29" i="10"/>
  <c r="AA29" i="10"/>
  <c r="X30" i="10"/>
  <c r="Y30" i="10"/>
  <c r="Z30" i="10"/>
  <c r="AA30" i="10"/>
  <c r="X31" i="10"/>
  <c r="Y31" i="10"/>
  <c r="Z31" i="10"/>
  <c r="AA31" i="10"/>
  <c r="X32" i="10"/>
  <c r="Y32" i="10"/>
  <c r="Z32" i="10"/>
  <c r="AA32" i="10"/>
  <c r="X33" i="10"/>
  <c r="Y33" i="10"/>
  <c r="Z33" i="10"/>
  <c r="AA33" i="10"/>
  <c r="X34" i="10"/>
  <c r="Y34" i="10"/>
  <c r="Z34" i="10"/>
  <c r="AA34" i="10"/>
  <c r="X35" i="10"/>
  <c r="Y35" i="10"/>
  <c r="Z35" i="10"/>
  <c r="AA35" i="10"/>
  <c r="X36" i="10"/>
  <c r="Y36" i="10"/>
  <c r="Z36" i="10"/>
  <c r="AA36" i="10"/>
  <c r="X37" i="10"/>
  <c r="Y37" i="10"/>
  <c r="Z37" i="10"/>
  <c r="AA37" i="10"/>
  <c r="X38" i="10"/>
  <c r="Y38" i="10"/>
  <c r="Z38" i="10"/>
  <c r="AA38" i="10"/>
  <c r="X39" i="10"/>
  <c r="Y39" i="10"/>
  <c r="Z39" i="10"/>
  <c r="AA39" i="10"/>
  <c r="X40" i="10"/>
  <c r="Y40" i="10"/>
  <c r="Z40" i="10"/>
  <c r="AA40" i="10"/>
  <c r="X41" i="10"/>
  <c r="Y41" i="10"/>
  <c r="Z41" i="10"/>
  <c r="AA41" i="10"/>
  <c r="X42" i="10"/>
  <c r="Y42" i="10"/>
  <c r="Z42" i="10"/>
  <c r="AA42" i="10"/>
  <c r="X43" i="10"/>
  <c r="Y43" i="10"/>
  <c r="Z43" i="10"/>
  <c r="AA43" i="10"/>
  <c r="X44" i="10"/>
  <c r="Y44" i="10"/>
  <c r="Z44" i="10"/>
  <c r="AA44" i="10"/>
  <c r="X45" i="10"/>
  <c r="Y45" i="10"/>
  <c r="Z45" i="10"/>
  <c r="AA45" i="10"/>
  <c r="X46" i="10"/>
  <c r="Y46" i="10"/>
  <c r="Z46" i="10"/>
  <c r="AA46" i="10"/>
  <c r="X47" i="10"/>
  <c r="Y47" i="10"/>
  <c r="Z47" i="10"/>
  <c r="AA47" i="10"/>
  <c r="X48" i="10"/>
  <c r="Y48" i="10"/>
  <c r="Z48" i="10"/>
  <c r="AA48" i="10"/>
  <c r="X49" i="10"/>
  <c r="Y49" i="10"/>
  <c r="Z49" i="10"/>
  <c r="AA49" i="10"/>
  <c r="X50" i="10"/>
  <c r="Y50" i="10"/>
  <c r="Z50" i="10"/>
  <c r="AA50" i="10"/>
  <c r="AA3" i="10"/>
  <c r="Z3" i="10"/>
  <c r="Y3" i="10"/>
  <c r="X3" i="10"/>
  <c r="Z4" i="7"/>
  <c r="Z6" i="7"/>
  <c r="Z8" i="7"/>
  <c r="Z10" i="7"/>
  <c r="Z12" i="7"/>
  <c r="Z16" i="7"/>
  <c r="Z18" i="7"/>
  <c r="Z20" i="7"/>
  <c r="Z24" i="7"/>
  <c r="Z26" i="7"/>
  <c r="Z28" i="7"/>
  <c r="Z32" i="7"/>
  <c r="Z34" i="7"/>
  <c r="Z36" i="7"/>
  <c r="Z40" i="7"/>
  <c r="Z42" i="7"/>
  <c r="Z44" i="7"/>
  <c r="Z48" i="7"/>
  <c r="Z50" i="7"/>
  <c r="W4" i="7"/>
  <c r="Y4" i="7" s="1"/>
  <c r="W5" i="7"/>
  <c r="Y5" i="7" s="1"/>
  <c r="W6" i="7"/>
  <c r="Y6" i="7" s="1"/>
  <c r="W7" i="7"/>
  <c r="Y7" i="7" s="1"/>
  <c r="W8" i="7"/>
  <c r="Y8" i="7" s="1"/>
  <c r="W9" i="7"/>
  <c r="Y9" i="7" s="1"/>
  <c r="W10" i="7"/>
  <c r="Y10" i="7" s="1"/>
  <c r="W12" i="7"/>
  <c r="Y12" i="7" s="1"/>
  <c r="W13" i="7"/>
  <c r="Y13" i="7" s="1"/>
  <c r="W14" i="7"/>
  <c r="Y14" i="7" s="1"/>
  <c r="W15" i="7"/>
  <c r="Y15" i="7" s="1"/>
  <c r="W16" i="7"/>
  <c r="Y16" i="7" s="1"/>
  <c r="W17" i="7"/>
  <c r="Y17" i="7" s="1"/>
  <c r="W18" i="7"/>
  <c r="Y18" i="7" s="1"/>
  <c r="W19" i="7"/>
  <c r="Y19" i="7" s="1"/>
  <c r="W20" i="7"/>
  <c r="Y20" i="7" s="1"/>
  <c r="W21" i="7"/>
  <c r="Y21" i="7" s="1"/>
  <c r="W22" i="7"/>
  <c r="Z22" i="7" s="1"/>
  <c r="W23" i="7"/>
  <c r="Y23" i="7" s="1"/>
  <c r="W24" i="7"/>
  <c r="Y24" i="7" s="1"/>
  <c r="W25" i="7"/>
  <c r="Y25" i="7" s="1"/>
  <c r="W26" i="7"/>
  <c r="Y26" i="7" s="1"/>
  <c r="W27" i="7"/>
  <c r="Y27" i="7" s="1"/>
  <c r="W28" i="7"/>
  <c r="Y28" i="7" s="1"/>
  <c r="W29" i="7"/>
  <c r="Y29" i="7" s="1"/>
  <c r="W30" i="7"/>
  <c r="Y30" i="7" s="1"/>
  <c r="W31" i="7"/>
  <c r="Y31" i="7" s="1"/>
  <c r="W32" i="7"/>
  <c r="Y32" i="7" s="1"/>
  <c r="W33" i="7"/>
  <c r="Y33" i="7" s="1"/>
  <c r="W34" i="7"/>
  <c r="Y34" i="7" s="1"/>
  <c r="W35" i="7"/>
  <c r="Y35" i="7" s="1"/>
  <c r="W36" i="7"/>
  <c r="Y36" i="7" s="1"/>
  <c r="W37" i="7"/>
  <c r="Y37" i="7" s="1"/>
  <c r="W38" i="7"/>
  <c r="Y38" i="7" s="1"/>
  <c r="W39" i="7"/>
  <c r="Y39" i="7" s="1"/>
  <c r="W40" i="7"/>
  <c r="Y40" i="7" s="1"/>
  <c r="W41" i="7"/>
  <c r="Y41" i="7" s="1"/>
  <c r="W42" i="7"/>
  <c r="Y42" i="7" s="1"/>
  <c r="W43" i="7"/>
  <c r="Y43" i="7" s="1"/>
  <c r="W44" i="7"/>
  <c r="Y44" i="7" s="1"/>
  <c r="W45" i="7"/>
  <c r="Y45" i="7" s="1"/>
  <c r="W46" i="7"/>
  <c r="Z46" i="7" s="1"/>
  <c r="W47" i="7"/>
  <c r="Y47" i="7" s="1"/>
  <c r="W48" i="7"/>
  <c r="Y48" i="7" s="1"/>
  <c r="W49" i="7"/>
  <c r="Y49" i="7" s="1"/>
  <c r="W50" i="7"/>
  <c r="Y50" i="7" s="1"/>
  <c r="W3" i="7"/>
  <c r="AB3" i="7" s="1"/>
  <c r="U4" i="7"/>
  <c r="U5" i="7"/>
  <c r="U6" i="7"/>
  <c r="U7" i="7"/>
  <c r="U8" i="7"/>
  <c r="U9" i="7"/>
  <c r="U10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3" i="7"/>
  <c r="V2" i="10"/>
  <c r="V3" i="10"/>
  <c r="V4" i="10"/>
  <c r="V5" i="10"/>
  <c r="V6" i="10"/>
  <c r="V7" i="10"/>
  <c r="V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V23" i="10"/>
  <c r="V24" i="10"/>
  <c r="V25" i="10"/>
  <c r="V26" i="10"/>
  <c r="V27" i="10"/>
  <c r="V28" i="10"/>
  <c r="V29" i="10"/>
  <c r="V30" i="10"/>
  <c r="V31" i="10"/>
  <c r="V32" i="10"/>
  <c r="V33" i="10"/>
  <c r="V34" i="10"/>
  <c r="V35" i="10"/>
  <c r="V36" i="10"/>
  <c r="V37" i="10"/>
  <c r="V38" i="10"/>
  <c r="V39" i="10"/>
  <c r="V40" i="10"/>
  <c r="V41" i="10"/>
  <c r="V42" i="10"/>
  <c r="V43" i="10"/>
  <c r="V44" i="10"/>
  <c r="V45" i="10"/>
  <c r="V46" i="10"/>
  <c r="V47" i="10"/>
  <c r="V48" i="10"/>
  <c r="V49" i="10"/>
  <c r="V50" i="10"/>
  <c r="V51" i="10"/>
  <c r="V52" i="10"/>
  <c r="V53" i="10"/>
  <c r="V54" i="10"/>
  <c r="V55" i="10"/>
  <c r="V56" i="10"/>
  <c r="V57" i="10"/>
  <c r="V58" i="10"/>
  <c r="V59" i="10"/>
  <c r="V60" i="10"/>
  <c r="V61" i="10"/>
  <c r="V62" i="10"/>
  <c r="V63" i="10"/>
  <c r="V64" i="10"/>
  <c r="V65" i="10"/>
  <c r="Q4" i="10"/>
  <c r="Q5" i="10"/>
  <c r="Q6" i="10"/>
  <c r="Q7" i="10"/>
  <c r="Q8" i="10"/>
  <c r="Q9" i="10"/>
  <c r="R9" i="10" s="1"/>
  <c r="Q10" i="10"/>
  <c r="Q11" i="10"/>
  <c r="Q12" i="10"/>
  <c r="Q13" i="10"/>
  <c r="Q14" i="10"/>
  <c r="Q15" i="10"/>
  <c r="Q16" i="10"/>
  <c r="Q17" i="10"/>
  <c r="R17" i="10" s="1"/>
  <c r="Q18" i="10"/>
  <c r="Q19" i="10"/>
  <c r="Q20" i="10"/>
  <c r="Q21" i="10"/>
  <c r="Q22" i="10"/>
  <c r="Q23" i="10"/>
  <c r="Q24" i="10"/>
  <c r="Q25" i="10"/>
  <c r="R25" i="10" s="1"/>
  <c r="Q26" i="10"/>
  <c r="Q27" i="10"/>
  <c r="Q28" i="10"/>
  <c r="Q29" i="10"/>
  <c r="Q30" i="10"/>
  <c r="Q31" i="10"/>
  <c r="Q32" i="10"/>
  <c r="Q33" i="10"/>
  <c r="R33" i="10" s="1"/>
  <c r="Q34" i="10"/>
  <c r="Q35" i="10"/>
  <c r="Q36" i="10"/>
  <c r="Q37" i="10"/>
  <c r="Q38" i="10"/>
  <c r="Q39" i="10"/>
  <c r="Q40" i="10"/>
  <c r="Q41" i="10"/>
  <c r="R41" i="10" s="1"/>
  <c r="Q42" i="10"/>
  <c r="Q43" i="10"/>
  <c r="Q44" i="10"/>
  <c r="Q45" i="10"/>
  <c r="Q46" i="10"/>
  <c r="Q47" i="10"/>
  <c r="Q48" i="10"/>
  <c r="Q49" i="10"/>
  <c r="R49" i="10" s="1"/>
  <c r="Q50" i="10"/>
  <c r="Q51" i="10"/>
  <c r="Q52" i="10"/>
  <c r="Q53" i="10"/>
  <c r="Q54" i="10"/>
  <c r="Q55" i="10"/>
  <c r="Q56" i="10"/>
  <c r="Q57" i="10"/>
  <c r="R57" i="10" s="1"/>
  <c r="Q58" i="10"/>
  <c r="Q59" i="10"/>
  <c r="Q60" i="10"/>
  <c r="Q61" i="10"/>
  <c r="Q62" i="10"/>
  <c r="Q63" i="10"/>
  <c r="Q64" i="10"/>
  <c r="Q65" i="10"/>
  <c r="R65" i="10" s="1"/>
  <c r="R4" i="10"/>
  <c r="R5" i="10"/>
  <c r="R6" i="10"/>
  <c r="R7" i="10"/>
  <c r="R8" i="10"/>
  <c r="R10" i="10"/>
  <c r="R11" i="10"/>
  <c r="R12" i="10"/>
  <c r="R13" i="10"/>
  <c r="R14" i="10"/>
  <c r="R15" i="10"/>
  <c r="R16" i="10"/>
  <c r="R18" i="10"/>
  <c r="R19" i="10"/>
  <c r="R20" i="10"/>
  <c r="R21" i="10"/>
  <c r="R22" i="10"/>
  <c r="R23" i="10"/>
  <c r="R24" i="10"/>
  <c r="R26" i="10"/>
  <c r="R27" i="10"/>
  <c r="R28" i="10"/>
  <c r="R29" i="10"/>
  <c r="R30" i="10"/>
  <c r="R31" i="10"/>
  <c r="R32" i="10"/>
  <c r="R34" i="10"/>
  <c r="R35" i="10"/>
  <c r="R36" i="10"/>
  <c r="R37" i="10"/>
  <c r="R38" i="10"/>
  <c r="R39" i="10"/>
  <c r="R40" i="10"/>
  <c r="R42" i="10"/>
  <c r="R43" i="10"/>
  <c r="R44" i="10"/>
  <c r="R45" i="10"/>
  <c r="R46" i="10"/>
  <c r="R47" i="10"/>
  <c r="R48" i="10"/>
  <c r="R50" i="10"/>
  <c r="R51" i="10"/>
  <c r="R52" i="10"/>
  <c r="R53" i="10"/>
  <c r="R54" i="10"/>
  <c r="R55" i="10"/>
  <c r="R56" i="10"/>
  <c r="R58" i="10"/>
  <c r="R59" i="10"/>
  <c r="R60" i="10"/>
  <c r="R61" i="10"/>
  <c r="R62" i="10"/>
  <c r="R63" i="10"/>
  <c r="R64" i="10"/>
  <c r="R3" i="10"/>
  <c r="T4" i="10"/>
  <c r="T5" i="10"/>
  <c r="T6" i="10"/>
  <c r="T7" i="10"/>
  <c r="T8" i="10"/>
  <c r="T9" i="10"/>
  <c r="T10" i="10"/>
  <c r="T11" i="10"/>
  <c r="T12" i="10"/>
  <c r="T13" i="10"/>
  <c r="T14" i="10"/>
  <c r="T15" i="10"/>
  <c r="T16" i="10"/>
  <c r="T17" i="10"/>
  <c r="T18" i="10"/>
  <c r="T19" i="10"/>
  <c r="T20" i="10"/>
  <c r="T21" i="10"/>
  <c r="T22" i="10"/>
  <c r="T23" i="10"/>
  <c r="T24" i="10"/>
  <c r="T25" i="10"/>
  <c r="T26" i="10"/>
  <c r="T27" i="10"/>
  <c r="T28" i="10"/>
  <c r="T29" i="10"/>
  <c r="T30" i="10"/>
  <c r="T31" i="10"/>
  <c r="T32" i="10"/>
  <c r="T33" i="10"/>
  <c r="T34" i="10"/>
  <c r="T35" i="10"/>
  <c r="T36" i="10"/>
  <c r="T37" i="10"/>
  <c r="T38" i="10"/>
  <c r="T39" i="10"/>
  <c r="T40" i="10"/>
  <c r="T41" i="10"/>
  <c r="T42" i="10"/>
  <c r="T43" i="10"/>
  <c r="T44" i="10"/>
  <c r="T45" i="10"/>
  <c r="T46" i="10"/>
  <c r="T47" i="10"/>
  <c r="T48" i="10"/>
  <c r="T49" i="10"/>
  <c r="T50" i="10"/>
  <c r="T3" i="10"/>
  <c r="T4" i="8"/>
  <c r="V4" i="8"/>
  <c r="X4" i="8" s="1"/>
  <c r="AA4" i="8"/>
  <c r="T5" i="8"/>
  <c r="V5" i="8"/>
  <c r="X5" i="8" s="1"/>
  <c r="AA5" i="8"/>
  <c r="AB5" i="8"/>
  <c r="T6" i="8"/>
  <c r="V6" i="8"/>
  <c r="Y6" i="8" s="1"/>
  <c r="AB6" i="8"/>
  <c r="T7" i="8"/>
  <c r="Q7" i="8" s="1"/>
  <c r="V7" i="8"/>
  <c r="Y7" i="8" s="1"/>
  <c r="T8" i="8"/>
  <c r="Q8" i="8" s="1"/>
  <c r="V8" i="8"/>
  <c r="Z8" i="8" s="1"/>
  <c r="T9" i="8"/>
  <c r="V9" i="8"/>
  <c r="AA9" i="8" s="1"/>
  <c r="T10" i="8"/>
  <c r="V10" i="8"/>
  <c r="AA10" i="8" s="1"/>
  <c r="X10" i="8"/>
  <c r="Y10" i="8"/>
  <c r="Z10" i="8"/>
  <c r="T11" i="8"/>
  <c r="V11" i="8"/>
  <c r="AB11" i="8" s="1"/>
  <c r="X11" i="8"/>
  <c r="Y11" i="8"/>
  <c r="Z11" i="8"/>
  <c r="AA11" i="8"/>
  <c r="T12" i="8"/>
  <c r="V12" i="8"/>
  <c r="X12" i="8"/>
  <c r="Y12" i="8"/>
  <c r="Z12" i="8"/>
  <c r="AA12" i="8"/>
  <c r="AB12" i="8"/>
  <c r="T13" i="8"/>
  <c r="V13" i="8"/>
  <c r="X13" i="8" s="1"/>
  <c r="T14" i="8"/>
  <c r="V14" i="8"/>
  <c r="Y14" i="8" s="1"/>
  <c r="X14" i="8"/>
  <c r="Z14" i="8"/>
  <c r="AA14" i="8"/>
  <c r="AB14" i="8"/>
  <c r="T15" i="8"/>
  <c r="Q15" i="8" s="1"/>
  <c r="V15" i="8"/>
  <c r="Z15" i="8" s="1"/>
  <c r="T16" i="8"/>
  <c r="Q16" i="8" s="1"/>
  <c r="V16" i="8"/>
  <c r="Z16" i="8" s="1"/>
  <c r="T17" i="8"/>
  <c r="V17" i="8"/>
  <c r="AA17" i="8" s="1"/>
  <c r="X17" i="8"/>
  <c r="T18" i="8"/>
  <c r="V18" i="8"/>
  <c r="Z18" i="8" s="1"/>
  <c r="AB18" i="8"/>
  <c r="T19" i="8"/>
  <c r="V19" i="8"/>
  <c r="X19" i="8" s="1"/>
  <c r="Y19" i="8"/>
  <c r="T20" i="8"/>
  <c r="V20" i="8"/>
  <c r="X20" i="8"/>
  <c r="Y20" i="8"/>
  <c r="Z20" i="8"/>
  <c r="AA20" i="8"/>
  <c r="AB20" i="8"/>
  <c r="T21" i="8"/>
  <c r="V21" i="8"/>
  <c r="X21" i="8" s="1"/>
  <c r="T22" i="8"/>
  <c r="V22" i="8"/>
  <c r="Y22" i="8" s="1"/>
  <c r="X22" i="8"/>
  <c r="Z22" i="8"/>
  <c r="T23" i="8"/>
  <c r="Q23" i="8" s="1"/>
  <c r="V23" i="8"/>
  <c r="Z23" i="8" s="1"/>
  <c r="AB23" i="8"/>
  <c r="T24" i="8"/>
  <c r="V24" i="8"/>
  <c r="Z24" i="8" s="1"/>
  <c r="T25" i="8"/>
  <c r="V25" i="8"/>
  <c r="AA25" i="8" s="1"/>
  <c r="T26" i="8"/>
  <c r="V26" i="8"/>
  <c r="Z26" i="8" s="1"/>
  <c r="X26" i="8"/>
  <c r="Y26" i="8"/>
  <c r="AB26" i="8"/>
  <c r="T27" i="8"/>
  <c r="V27" i="8"/>
  <c r="AA27" i="8" s="1"/>
  <c r="Z27" i="8"/>
  <c r="T28" i="8"/>
  <c r="V28" i="8"/>
  <c r="Y28" i="8" s="1"/>
  <c r="X28" i="8"/>
  <c r="T29" i="8"/>
  <c r="V29" i="8"/>
  <c r="X29" i="8" s="1"/>
  <c r="AA29" i="8"/>
  <c r="AB29" i="8"/>
  <c r="T30" i="8"/>
  <c r="V30" i="8"/>
  <c r="Y30" i="8" s="1"/>
  <c r="AB30" i="8"/>
  <c r="T31" i="8"/>
  <c r="Q31" i="8" s="1"/>
  <c r="V31" i="8"/>
  <c r="Z31" i="8" s="1"/>
  <c r="T32" i="8"/>
  <c r="V32" i="8"/>
  <c r="Z32" i="8" s="1"/>
  <c r="T33" i="8"/>
  <c r="V33" i="8"/>
  <c r="AA33" i="8" s="1"/>
  <c r="X33" i="8"/>
  <c r="T34" i="8"/>
  <c r="V34" i="8"/>
  <c r="Z34" i="8" s="1"/>
  <c r="T35" i="8"/>
  <c r="V35" i="8"/>
  <c r="AA35" i="8" s="1"/>
  <c r="X35" i="8"/>
  <c r="T36" i="8"/>
  <c r="V36" i="8"/>
  <c r="AB36" i="8" s="1"/>
  <c r="X36" i="8"/>
  <c r="Y36" i="8"/>
  <c r="Z36" i="8"/>
  <c r="AA36" i="8"/>
  <c r="T37" i="8"/>
  <c r="V37" i="8"/>
  <c r="X37" i="8" s="1"/>
  <c r="AA37" i="8"/>
  <c r="AB37" i="8"/>
  <c r="T38" i="8"/>
  <c r="V38" i="8"/>
  <c r="Y38" i="8" s="1"/>
  <c r="X38" i="8"/>
  <c r="T39" i="8"/>
  <c r="Q39" i="8" s="1"/>
  <c r="V39" i="8"/>
  <c r="Z39" i="8" s="1"/>
  <c r="Y39" i="8"/>
  <c r="AA39" i="8"/>
  <c r="AB39" i="8"/>
  <c r="T40" i="8"/>
  <c r="V40" i="8"/>
  <c r="Z40" i="8" s="1"/>
  <c r="T41" i="8"/>
  <c r="V41" i="8"/>
  <c r="AA41" i="8" s="1"/>
  <c r="X41" i="8"/>
  <c r="T42" i="8"/>
  <c r="V42" i="8"/>
  <c r="AB42" i="8" s="1"/>
  <c r="X42" i="8"/>
  <c r="T43" i="8"/>
  <c r="V43" i="8"/>
  <c r="X43" i="8" s="1"/>
  <c r="Y43" i="8"/>
  <c r="Z43" i="8"/>
  <c r="T44" i="8"/>
  <c r="V44" i="8"/>
  <c r="Y44" i="8" s="1"/>
  <c r="X44" i="8"/>
  <c r="T45" i="8"/>
  <c r="V45" i="8"/>
  <c r="X45" i="8" s="1"/>
  <c r="Y45" i="8"/>
  <c r="Z45" i="8"/>
  <c r="T46" i="8"/>
  <c r="V46" i="8"/>
  <c r="Y46" i="8" s="1"/>
  <c r="X46" i="8"/>
  <c r="Z46" i="8"/>
  <c r="AA46" i="8"/>
  <c r="AB46" i="8"/>
  <c r="T47" i="8"/>
  <c r="Q47" i="8" s="1"/>
  <c r="V47" i="8"/>
  <c r="Z47" i="8" s="1"/>
  <c r="AB47" i="8"/>
  <c r="T48" i="8"/>
  <c r="V48" i="8"/>
  <c r="Z48" i="8" s="1"/>
  <c r="T49" i="8"/>
  <c r="V49" i="8"/>
  <c r="AA49" i="8" s="1"/>
  <c r="X49" i="8"/>
  <c r="T50" i="8"/>
  <c r="V50" i="8"/>
  <c r="AB50" i="8" s="1"/>
  <c r="X50" i="8"/>
  <c r="Y50" i="8"/>
  <c r="T51" i="8"/>
  <c r="V51" i="8"/>
  <c r="X51" i="8" s="1"/>
  <c r="T52" i="8"/>
  <c r="V52" i="8"/>
  <c r="AB52" i="8" s="1"/>
  <c r="X52" i="8"/>
  <c r="Y52" i="8"/>
  <c r="Z52" i="8"/>
  <c r="AA52" i="8"/>
  <c r="T53" i="8"/>
  <c r="V53" i="8"/>
  <c r="X53" i="8" s="1"/>
  <c r="Y53" i="8"/>
  <c r="Z53" i="8"/>
  <c r="AA53" i="8"/>
  <c r="AB53" i="8"/>
  <c r="T54" i="8"/>
  <c r="V54" i="8"/>
  <c r="Y54" i="8" s="1"/>
  <c r="X54" i="8"/>
  <c r="Z54" i="8"/>
  <c r="AA54" i="8"/>
  <c r="AB54" i="8"/>
  <c r="T55" i="8"/>
  <c r="Q55" i="8" s="1"/>
  <c r="V55" i="8"/>
  <c r="Z55" i="8" s="1"/>
  <c r="Y55" i="8"/>
  <c r="T56" i="8"/>
  <c r="V56" i="8"/>
  <c r="Z56" i="8" s="1"/>
  <c r="T57" i="8"/>
  <c r="V57" i="8"/>
  <c r="AA57" i="8" s="1"/>
  <c r="X57" i="8"/>
  <c r="T58" i="8"/>
  <c r="V58" i="8"/>
  <c r="AB58" i="8" s="1"/>
  <c r="X58" i="8"/>
  <c r="Y58" i="8"/>
  <c r="T59" i="8"/>
  <c r="V59" i="8"/>
  <c r="AA59" i="8" s="1"/>
  <c r="X59" i="8"/>
  <c r="Y59" i="8"/>
  <c r="Z59" i="8"/>
  <c r="T60" i="8"/>
  <c r="V60" i="8"/>
  <c r="X60" i="8" s="1"/>
  <c r="Z60" i="8"/>
  <c r="AA60" i="8"/>
  <c r="AB60" i="8"/>
  <c r="T61" i="8"/>
  <c r="V61" i="8"/>
  <c r="X61" i="8" s="1"/>
  <c r="Y61" i="8"/>
  <c r="Z61" i="8"/>
  <c r="AA61" i="8"/>
  <c r="AB61" i="8"/>
  <c r="T62" i="8"/>
  <c r="V62" i="8"/>
  <c r="Y62" i="8" s="1"/>
  <c r="X62" i="8"/>
  <c r="T63" i="8"/>
  <c r="V63" i="8"/>
  <c r="Z63" i="8" s="1"/>
  <c r="Y63" i="8"/>
  <c r="AA63" i="8"/>
  <c r="AB63" i="8"/>
  <c r="T64" i="8"/>
  <c r="V64" i="8"/>
  <c r="Z64" i="8" s="1"/>
  <c r="T65" i="8"/>
  <c r="V65" i="8"/>
  <c r="AA65" i="8" s="1"/>
  <c r="X65" i="8"/>
  <c r="T66" i="8"/>
  <c r="V66" i="8"/>
  <c r="AB66" i="8" s="1"/>
  <c r="X66" i="8"/>
  <c r="T67" i="8"/>
  <c r="V67" i="8"/>
  <c r="AA67" i="8" s="1"/>
  <c r="X67" i="8"/>
  <c r="Y67" i="8"/>
  <c r="Z67" i="8"/>
  <c r="T68" i="8"/>
  <c r="V68" i="8"/>
  <c r="X68" i="8" s="1"/>
  <c r="T69" i="8"/>
  <c r="V69" i="8"/>
  <c r="X69" i="8" s="1"/>
  <c r="Y69" i="8"/>
  <c r="T70" i="8"/>
  <c r="V70" i="8"/>
  <c r="Y70" i="8" s="1"/>
  <c r="X70" i="8"/>
  <c r="Z70" i="8"/>
  <c r="AA70" i="8"/>
  <c r="T71" i="8"/>
  <c r="Q71" i="8" s="1"/>
  <c r="V71" i="8"/>
  <c r="Z71" i="8" s="1"/>
  <c r="Y71" i="8"/>
  <c r="AA71" i="8"/>
  <c r="AB71" i="8"/>
  <c r="T72" i="8"/>
  <c r="V72" i="8"/>
  <c r="Z72" i="8" s="1"/>
  <c r="T73" i="8"/>
  <c r="V73" i="8"/>
  <c r="AA73" i="8" s="1"/>
  <c r="T74" i="8"/>
  <c r="V74" i="8"/>
  <c r="Z74" i="8" s="1"/>
  <c r="X74" i="8"/>
  <c r="Y74" i="8"/>
  <c r="AB74" i="8"/>
  <c r="T75" i="8"/>
  <c r="V75" i="8"/>
  <c r="AA75" i="8" s="1"/>
  <c r="Z75" i="8"/>
  <c r="T76" i="8"/>
  <c r="V76" i="8"/>
  <c r="Y76" i="8" s="1"/>
  <c r="X76" i="8"/>
  <c r="T77" i="8"/>
  <c r="V77" i="8"/>
  <c r="X77" i="8" s="1"/>
  <c r="AA77" i="8"/>
  <c r="AB77" i="8"/>
  <c r="T78" i="8"/>
  <c r="V78" i="8"/>
  <c r="Y78" i="8" s="1"/>
  <c r="AB78" i="8"/>
  <c r="T79" i="8"/>
  <c r="Q79" i="8" s="1"/>
  <c r="V79" i="8"/>
  <c r="Z79" i="8" s="1"/>
  <c r="X79" i="8"/>
  <c r="T80" i="8"/>
  <c r="V80" i="8"/>
  <c r="Z80" i="8" s="1"/>
  <c r="T81" i="8"/>
  <c r="V81" i="8"/>
  <c r="AA81" i="8" s="1"/>
  <c r="X81" i="8"/>
  <c r="T82" i="8"/>
  <c r="V82" i="8"/>
  <c r="Z82" i="8" s="1"/>
  <c r="AB82" i="8"/>
  <c r="T83" i="8"/>
  <c r="V83" i="8"/>
  <c r="AA83" i="8" s="1"/>
  <c r="X83" i="8"/>
  <c r="T84" i="8"/>
  <c r="V84" i="8"/>
  <c r="AA84" i="8" s="1"/>
  <c r="X84" i="8"/>
  <c r="Y84" i="8"/>
  <c r="Z84" i="8"/>
  <c r="T85" i="8"/>
  <c r="V85" i="8"/>
  <c r="X85" i="8" s="1"/>
  <c r="AA85" i="8"/>
  <c r="AB85" i="8"/>
  <c r="T86" i="8"/>
  <c r="V86" i="8"/>
  <c r="Y86" i="8" s="1"/>
  <c r="T87" i="8"/>
  <c r="Q87" i="8" s="1"/>
  <c r="V87" i="8"/>
  <c r="Z87" i="8" s="1"/>
  <c r="X87" i="8"/>
  <c r="Y87" i="8"/>
  <c r="AA87" i="8"/>
  <c r="T3" i="8"/>
  <c r="V3" i="8"/>
  <c r="AB3" i="8" s="1"/>
  <c r="X3" i="8"/>
  <c r="P4" i="8"/>
  <c r="Q4" i="8" s="1"/>
  <c r="P5" i="8"/>
  <c r="Q5" i="8"/>
  <c r="P6" i="8"/>
  <c r="Q6" i="8" s="1"/>
  <c r="P7" i="8"/>
  <c r="P8" i="8"/>
  <c r="P9" i="8"/>
  <c r="Q9" i="8"/>
  <c r="P10" i="8"/>
  <c r="Q10" i="8"/>
  <c r="P11" i="8"/>
  <c r="Q11" i="8"/>
  <c r="P12" i="8"/>
  <c r="Q12" i="8"/>
  <c r="P13" i="8"/>
  <c r="Q13" i="8"/>
  <c r="P14" i="8"/>
  <c r="Q14" i="8"/>
  <c r="P15" i="8"/>
  <c r="P16" i="8"/>
  <c r="P17" i="8"/>
  <c r="Q17" i="8"/>
  <c r="P18" i="8"/>
  <c r="Q18" i="8"/>
  <c r="P19" i="8"/>
  <c r="Q19" i="8"/>
  <c r="P20" i="8"/>
  <c r="Q20" i="8"/>
  <c r="P21" i="8"/>
  <c r="Q21" i="8" s="1"/>
  <c r="P22" i="8"/>
  <c r="Q22" i="8"/>
  <c r="P23" i="8"/>
  <c r="P24" i="8"/>
  <c r="Q24" i="8"/>
  <c r="P25" i="8"/>
  <c r="Q25" i="8"/>
  <c r="P26" i="8"/>
  <c r="Q26" i="8"/>
  <c r="P27" i="8"/>
  <c r="Q27" i="8"/>
  <c r="P28" i="8"/>
  <c r="Q28" i="8"/>
  <c r="P29" i="8"/>
  <c r="Q29" i="8"/>
  <c r="P30" i="8"/>
  <c r="Q30" i="8"/>
  <c r="P31" i="8"/>
  <c r="P32" i="8"/>
  <c r="Q32" i="8"/>
  <c r="P33" i="8"/>
  <c r="Q33" i="8" s="1"/>
  <c r="P34" i="8"/>
  <c r="Q34" i="8" s="1"/>
  <c r="P35" i="8"/>
  <c r="Q35" i="8"/>
  <c r="P36" i="8"/>
  <c r="Q36" i="8"/>
  <c r="P37" i="8"/>
  <c r="Q37" i="8" s="1"/>
  <c r="P38" i="8"/>
  <c r="Q38" i="8" s="1"/>
  <c r="P39" i="8"/>
  <c r="P40" i="8"/>
  <c r="P41" i="8"/>
  <c r="Q41" i="8" s="1"/>
  <c r="P42" i="8"/>
  <c r="Q42" i="8" s="1"/>
  <c r="P43" i="8"/>
  <c r="Q43" i="8"/>
  <c r="P44" i="8"/>
  <c r="Q44" i="8" s="1"/>
  <c r="P45" i="8"/>
  <c r="Q45" i="8" s="1"/>
  <c r="P46" i="8"/>
  <c r="Q46" i="8" s="1"/>
  <c r="P47" i="8"/>
  <c r="P48" i="8"/>
  <c r="P49" i="8"/>
  <c r="Q49" i="8" s="1"/>
  <c r="P50" i="8"/>
  <c r="Q50" i="8" s="1"/>
  <c r="P51" i="8"/>
  <c r="Q51" i="8"/>
  <c r="P52" i="8"/>
  <c r="Q52" i="8" s="1"/>
  <c r="P53" i="8"/>
  <c r="Q53" i="8" s="1"/>
  <c r="P54" i="8"/>
  <c r="Q54" i="8" s="1"/>
  <c r="P55" i="8"/>
  <c r="P56" i="8"/>
  <c r="Q56" i="8" s="1"/>
  <c r="P57" i="8"/>
  <c r="Q57" i="8" s="1"/>
  <c r="P58" i="8"/>
  <c r="Q58" i="8" s="1"/>
  <c r="P59" i="8"/>
  <c r="Q59" i="8"/>
  <c r="P60" i="8"/>
  <c r="Q60" i="8" s="1"/>
  <c r="P61" i="8"/>
  <c r="Q61" i="8" s="1"/>
  <c r="P62" i="8"/>
  <c r="Q62" i="8" s="1"/>
  <c r="P63" i="8"/>
  <c r="Q63" i="8"/>
  <c r="P64" i="8"/>
  <c r="P65" i="8"/>
  <c r="Q65" i="8" s="1"/>
  <c r="P66" i="8"/>
  <c r="Q66" i="8" s="1"/>
  <c r="P67" i="8"/>
  <c r="Q67" i="8"/>
  <c r="P68" i="8"/>
  <c r="Q68" i="8" s="1"/>
  <c r="P69" i="8"/>
  <c r="Q69" i="8" s="1"/>
  <c r="P70" i="8"/>
  <c r="Q70" i="8" s="1"/>
  <c r="P71" i="8"/>
  <c r="P72" i="8"/>
  <c r="P73" i="8"/>
  <c r="Q73" i="8" s="1"/>
  <c r="P74" i="8"/>
  <c r="Q74" i="8" s="1"/>
  <c r="P75" i="8"/>
  <c r="Q75" i="8"/>
  <c r="P76" i="8"/>
  <c r="Q76" i="8" s="1"/>
  <c r="P77" i="8"/>
  <c r="Q77" i="8" s="1"/>
  <c r="P78" i="8"/>
  <c r="Q78" i="8" s="1"/>
  <c r="P79" i="8"/>
  <c r="P80" i="8"/>
  <c r="P81" i="8"/>
  <c r="Q81" i="8" s="1"/>
  <c r="P82" i="8"/>
  <c r="Q82" i="8" s="1"/>
  <c r="P83" i="8"/>
  <c r="Q83" i="8"/>
  <c r="P84" i="8"/>
  <c r="Q84" i="8" s="1"/>
  <c r="P85" i="8"/>
  <c r="Q85" i="8" s="1"/>
  <c r="P86" i="8"/>
  <c r="Q86" i="8" s="1"/>
  <c r="P87" i="8"/>
  <c r="T78" i="11"/>
  <c r="V78" i="11"/>
  <c r="T79" i="11"/>
  <c r="V79" i="11"/>
  <c r="AC79" i="11" s="1"/>
  <c r="T80" i="11"/>
  <c r="V80" i="11"/>
  <c r="AD80" i="11" s="1"/>
  <c r="T81" i="11"/>
  <c r="V81" i="11"/>
  <c r="AC81" i="11" s="1"/>
  <c r="T82" i="11"/>
  <c r="V82" i="11"/>
  <c r="AA82" i="11" s="1"/>
  <c r="T83" i="11"/>
  <c r="V83" i="11"/>
  <c r="Z83" i="11" s="1"/>
  <c r="T84" i="11"/>
  <c r="V84" i="11"/>
  <c r="Z84" i="11" s="1"/>
  <c r="T85" i="11"/>
  <c r="V85" i="11"/>
  <c r="Z85" i="11" s="1"/>
  <c r="T86" i="11"/>
  <c r="V86" i="11"/>
  <c r="Z86" i="11" s="1"/>
  <c r="T87" i="11"/>
  <c r="V87" i="11"/>
  <c r="AC87" i="11" s="1"/>
  <c r="T4" i="11"/>
  <c r="V4" i="11"/>
  <c r="T5" i="11"/>
  <c r="V5" i="11"/>
  <c r="AC5" i="11" s="1"/>
  <c r="T6" i="11"/>
  <c r="V6" i="11"/>
  <c r="Z6" i="11" s="1"/>
  <c r="T7" i="11"/>
  <c r="V7" i="11"/>
  <c r="T8" i="11"/>
  <c r="V8" i="11"/>
  <c r="T9" i="11"/>
  <c r="V9" i="11"/>
  <c r="X9" i="11" s="1"/>
  <c r="T10" i="11"/>
  <c r="V10" i="11"/>
  <c r="X10" i="11" s="1"/>
  <c r="X15" i="11" s="1"/>
  <c r="T11" i="11"/>
  <c r="V11" i="11"/>
  <c r="T12" i="11"/>
  <c r="V12" i="11"/>
  <c r="Z12" i="11" s="1"/>
  <c r="T13" i="11"/>
  <c r="V13" i="11"/>
  <c r="X13" i="11" s="1"/>
  <c r="T14" i="11"/>
  <c r="V14" i="11"/>
  <c r="T15" i="11"/>
  <c r="V15" i="11"/>
  <c r="T16" i="11"/>
  <c r="V16" i="11"/>
  <c r="X16" i="11" s="1"/>
  <c r="T17" i="11"/>
  <c r="V17" i="11"/>
  <c r="Z17" i="11" s="1"/>
  <c r="T18" i="11"/>
  <c r="V18" i="11"/>
  <c r="AA18" i="11" s="1"/>
  <c r="T19" i="11"/>
  <c r="V19" i="11"/>
  <c r="T20" i="11"/>
  <c r="V20" i="11"/>
  <c r="T21" i="11"/>
  <c r="V21" i="11"/>
  <c r="T22" i="11"/>
  <c r="V22" i="11"/>
  <c r="Z22" i="11" s="1"/>
  <c r="T23" i="11"/>
  <c r="V23" i="11"/>
  <c r="T24" i="11"/>
  <c r="V24" i="11"/>
  <c r="T25" i="11"/>
  <c r="V25" i="11"/>
  <c r="Z25" i="11" s="1"/>
  <c r="T26" i="11"/>
  <c r="V26" i="11"/>
  <c r="T27" i="11"/>
  <c r="V27" i="11"/>
  <c r="T28" i="11"/>
  <c r="V28" i="11"/>
  <c r="T29" i="11"/>
  <c r="V29" i="11"/>
  <c r="Z29" i="11" s="1"/>
  <c r="T30" i="11"/>
  <c r="V30" i="11"/>
  <c r="T31" i="11"/>
  <c r="V31" i="11"/>
  <c r="T32" i="11"/>
  <c r="V32" i="11"/>
  <c r="T33" i="11"/>
  <c r="V33" i="11"/>
  <c r="Z33" i="11" s="1"/>
  <c r="T34" i="11"/>
  <c r="V34" i="11"/>
  <c r="T35" i="11"/>
  <c r="V35" i="11"/>
  <c r="Z35" i="11" s="1"/>
  <c r="T36" i="11"/>
  <c r="V36" i="11"/>
  <c r="T37" i="11"/>
  <c r="V37" i="11"/>
  <c r="Z37" i="11" s="1"/>
  <c r="T38" i="11"/>
  <c r="V38" i="11"/>
  <c r="AD38" i="11" s="1"/>
  <c r="T39" i="11"/>
  <c r="V39" i="11"/>
  <c r="AD39" i="11" s="1"/>
  <c r="T40" i="11"/>
  <c r="V40" i="11"/>
  <c r="AC40" i="11" s="1"/>
  <c r="T41" i="11"/>
  <c r="V41" i="11"/>
  <c r="Z41" i="11" s="1"/>
  <c r="T42" i="11"/>
  <c r="V42" i="11"/>
  <c r="T43" i="11"/>
  <c r="V43" i="11"/>
  <c r="Z43" i="11" s="1"/>
  <c r="T44" i="11"/>
  <c r="V44" i="11"/>
  <c r="Z44" i="11" s="1"/>
  <c r="T45" i="11"/>
  <c r="V45" i="11"/>
  <c r="Z45" i="11" s="1"/>
  <c r="T46" i="11"/>
  <c r="V46" i="11"/>
  <c r="AA46" i="11" s="1"/>
  <c r="T47" i="11"/>
  <c r="V47" i="11"/>
  <c r="Z47" i="11" s="1"/>
  <c r="T48" i="11"/>
  <c r="V48" i="11"/>
  <c r="Z48" i="11" s="1"/>
  <c r="T49" i="11"/>
  <c r="V49" i="11"/>
  <c r="Z49" i="11" s="1"/>
  <c r="T50" i="11"/>
  <c r="V50" i="11"/>
  <c r="T51" i="11"/>
  <c r="V51" i="11"/>
  <c r="Z51" i="11" s="1"/>
  <c r="T52" i="11"/>
  <c r="V52" i="11"/>
  <c r="Z52" i="11" s="1"/>
  <c r="T53" i="11"/>
  <c r="V53" i="11"/>
  <c r="Z53" i="11" s="1"/>
  <c r="T54" i="11"/>
  <c r="V54" i="11"/>
  <c r="AA54" i="11" s="1"/>
  <c r="T55" i="11"/>
  <c r="V55" i="11"/>
  <c r="Z55" i="11" s="1"/>
  <c r="T56" i="11"/>
  <c r="V56" i="11"/>
  <c r="Z56" i="11" s="1"/>
  <c r="T57" i="11"/>
  <c r="V57" i="11"/>
  <c r="Z57" i="11" s="1"/>
  <c r="T58" i="11"/>
  <c r="V58" i="11"/>
  <c r="T59" i="11"/>
  <c r="V59" i="11"/>
  <c r="Z59" i="11" s="1"/>
  <c r="T60" i="11"/>
  <c r="V60" i="11"/>
  <c r="Z60" i="11" s="1"/>
  <c r="T61" i="11"/>
  <c r="V61" i="11"/>
  <c r="T62" i="11"/>
  <c r="V62" i="11"/>
  <c r="AA62" i="11" s="1"/>
  <c r="T63" i="11"/>
  <c r="V63" i="11"/>
  <c r="AA63" i="11" s="1"/>
  <c r="T64" i="11"/>
  <c r="V64" i="11"/>
  <c r="AA64" i="11" s="1"/>
  <c r="T65" i="11"/>
  <c r="V65" i="11"/>
  <c r="Z65" i="11" s="1"/>
  <c r="T66" i="11"/>
  <c r="V66" i="11"/>
  <c r="AA66" i="11" s="1"/>
  <c r="T67" i="11"/>
  <c r="V67" i="11"/>
  <c r="AA67" i="11" s="1"/>
  <c r="T68" i="11"/>
  <c r="V68" i="11"/>
  <c r="AA68" i="11" s="1"/>
  <c r="T69" i="11"/>
  <c r="V69" i="11"/>
  <c r="Z69" i="11" s="1"/>
  <c r="T70" i="11"/>
  <c r="V70" i="11"/>
  <c r="T71" i="11"/>
  <c r="V71" i="11"/>
  <c r="AA71" i="11" s="1"/>
  <c r="T72" i="11"/>
  <c r="V72" i="11"/>
  <c r="AA72" i="11" s="1"/>
  <c r="T73" i="11"/>
  <c r="V73" i="11"/>
  <c r="AA73" i="11" s="1"/>
  <c r="T74" i="11"/>
  <c r="V74" i="11"/>
  <c r="Z74" i="11" s="1"/>
  <c r="T75" i="11"/>
  <c r="V75" i="11"/>
  <c r="AA75" i="11" s="1"/>
  <c r="T76" i="11"/>
  <c r="V76" i="11"/>
  <c r="AA76" i="11" s="1"/>
  <c r="S61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Z79" i="11"/>
  <c r="AA80" i="11"/>
  <c r="AC80" i="11"/>
  <c r="Z82" i="11"/>
  <c r="AB82" i="11"/>
  <c r="AD82" i="11"/>
  <c r="AD84" i="11"/>
  <c r="AB85" i="11"/>
  <c r="AA86" i="11"/>
  <c r="AC86" i="11"/>
  <c r="Z87" i="11"/>
  <c r="AD78" i="11"/>
  <c r="AC78" i="11"/>
  <c r="AB78" i="11"/>
  <c r="AA78" i="11"/>
  <c r="Z78" i="11"/>
  <c r="AD40" i="11"/>
  <c r="AB40" i="11"/>
  <c r="Z40" i="11"/>
  <c r="AC39" i="11"/>
  <c r="AA39" i="11"/>
  <c r="AB38" i="11"/>
  <c r="X8" i="11"/>
  <c r="Y8" i="11"/>
  <c r="Z8" i="11"/>
  <c r="AA8" i="11"/>
  <c r="X11" i="11"/>
  <c r="Y11" i="11"/>
  <c r="Y16" i="11" s="1"/>
  <c r="Y21" i="11" s="1"/>
  <c r="Y26" i="11" s="1"/>
  <c r="Y31" i="11" s="1"/>
  <c r="Y36" i="11" s="1"/>
  <c r="Y41" i="11" s="1"/>
  <c r="Y46" i="11" s="1"/>
  <c r="Y51" i="11" s="1"/>
  <c r="Y56" i="11" s="1"/>
  <c r="Z11" i="11"/>
  <c r="AA11" i="11"/>
  <c r="AA12" i="11"/>
  <c r="AA13" i="11"/>
  <c r="Z15" i="11"/>
  <c r="AA15" i="11"/>
  <c r="Z16" i="11"/>
  <c r="AA16" i="11"/>
  <c r="Z19" i="11"/>
  <c r="AA19" i="11"/>
  <c r="Z20" i="11"/>
  <c r="AA20" i="11"/>
  <c r="Z23" i="11"/>
  <c r="AA23" i="11"/>
  <c r="Z24" i="11"/>
  <c r="AA24" i="11"/>
  <c r="Z27" i="11"/>
  <c r="AA27" i="11"/>
  <c r="Z28" i="11"/>
  <c r="AA28" i="11"/>
  <c r="Z30" i="11"/>
  <c r="Z31" i="11"/>
  <c r="AA31" i="11"/>
  <c r="Z32" i="11"/>
  <c r="AA32" i="11"/>
  <c r="AA35" i="11"/>
  <c r="Z36" i="11"/>
  <c r="AA36" i="11"/>
  <c r="AA37" i="11"/>
  <c r="AA43" i="11"/>
  <c r="AA44" i="11"/>
  <c r="AA45" i="11"/>
  <c r="AA47" i="11"/>
  <c r="AA48" i="11"/>
  <c r="AA51" i="11"/>
  <c r="AA52" i="11"/>
  <c r="AA55" i="11"/>
  <c r="AA56" i="11"/>
  <c r="AA59" i="11"/>
  <c r="AA60" i="11"/>
  <c r="Z63" i="11"/>
  <c r="Z64" i="11"/>
  <c r="Z67" i="11"/>
  <c r="Z68" i="11"/>
  <c r="Z71" i="11"/>
  <c r="Z72" i="11"/>
  <c r="Z75" i="11"/>
  <c r="Z76" i="11"/>
  <c r="AD3" i="11"/>
  <c r="AC3" i="11"/>
  <c r="AB3" i="11"/>
  <c r="AA3" i="11"/>
  <c r="Z3" i="11"/>
  <c r="AD4" i="11"/>
  <c r="AC4" i="11"/>
  <c r="AB4" i="11"/>
  <c r="AA4" i="11"/>
  <c r="Z4" i="11"/>
  <c r="AD5" i="11"/>
  <c r="AC6" i="11"/>
  <c r="AD7" i="11"/>
  <c r="AC7" i="11"/>
  <c r="AB7" i="11"/>
  <c r="AA7" i="11"/>
  <c r="Z7" i="11"/>
  <c r="Y7" i="11"/>
  <c r="Y12" i="11" s="1"/>
  <c r="X7" i="11"/>
  <c r="X12" i="11" s="1"/>
  <c r="T3" i="11"/>
  <c r="V3" i="11"/>
  <c r="Y4" i="9"/>
  <c r="Z4" i="9"/>
  <c r="AA4" i="9"/>
  <c r="AB4" i="9"/>
  <c r="Y5" i="9"/>
  <c r="Z5" i="9"/>
  <c r="AA5" i="9"/>
  <c r="AB5" i="9"/>
  <c r="Y6" i="9"/>
  <c r="Z6" i="9"/>
  <c r="AA6" i="9"/>
  <c r="AB6" i="9"/>
  <c r="Y7" i="9"/>
  <c r="Z7" i="9"/>
  <c r="AA7" i="9"/>
  <c r="AB7" i="9"/>
  <c r="Y8" i="9"/>
  <c r="Z8" i="9"/>
  <c r="AA8" i="9"/>
  <c r="AB8" i="9"/>
  <c r="Y9" i="9"/>
  <c r="Z9" i="9"/>
  <c r="AA9" i="9"/>
  <c r="AB9" i="9"/>
  <c r="Y10" i="9"/>
  <c r="Z10" i="9"/>
  <c r="AA10" i="9"/>
  <c r="AB10" i="9"/>
  <c r="Y11" i="9"/>
  <c r="Z11" i="9"/>
  <c r="AA11" i="9"/>
  <c r="AB11" i="9"/>
  <c r="Y12" i="9"/>
  <c r="Z12" i="9"/>
  <c r="AA12" i="9"/>
  <c r="AB12" i="9"/>
  <c r="Y13" i="9"/>
  <c r="Z13" i="9"/>
  <c r="AA13" i="9"/>
  <c r="AB13" i="9"/>
  <c r="Y14" i="9"/>
  <c r="Z14" i="9"/>
  <c r="AA14" i="9"/>
  <c r="AB14" i="9"/>
  <c r="Y15" i="9"/>
  <c r="Z15" i="9"/>
  <c r="AA15" i="9"/>
  <c r="AB15" i="9"/>
  <c r="Y16" i="9"/>
  <c r="Z16" i="9"/>
  <c r="AA16" i="9"/>
  <c r="AB16" i="9"/>
  <c r="Y17" i="9"/>
  <c r="Z17" i="9"/>
  <c r="AA17" i="9"/>
  <c r="AB17" i="9"/>
  <c r="Y18" i="9"/>
  <c r="Z18" i="9"/>
  <c r="AA18" i="9"/>
  <c r="AB18" i="9"/>
  <c r="Y19" i="9"/>
  <c r="Z19" i="9"/>
  <c r="AA19" i="9"/>
  <c r="AB19" i="9"/>
  <c r="Y20" i="9"/>
  <c r="Z20" i="9"/>
  <c r="AA20" i="9"/>
  <c r="AB20" i="9"/>
  <c r="Y21" i="9"/>
  <c r="Z21" i="9"/>
  <c r="AA21" i="9"/>
  <c r="AB21" i="9"/>
  <c r="Y22" i="9"/>
  <c r="Z22" i="9"/>
  <c r="AA22" i="9"/>
  <c r="AB22" i="9"/>
  <c r="Y23" i="9"/>
  <c r="Z23" i="9"/>
  <c r="AA23" i="9"/>
  <c r="AB23" i="9"/>
  <c r="Y24" i="9"/>
  <c r="Z24" i="9"/>
  <c r="AA24" i="9"/>
  <c r="AB24" i="9"/>
  <c r="Y25" i="9"/>
  <c r="Z25" i="9"/>
  <c r="AA25" i="9"/>
  <c r="AB25" i="9"/>
  <c r="Y26" i="9"/>
  <c r="Z26" i="9"/>
  <c r="AA26" i="9"/>
  <c r="AB26" i="9"/>
  <c r="Y27" i="9"/>
  <c r="Z27" i="9"/>
  <c r="AA27" i="9"/>
  <c r="AB27" i="9"/>
  <c r="Y28" i="9"/>
  <c r="Z28" i="9"/>
  <c r="AA28" i="9"/>
  <c r="AB28" i="9"/>
  <c r="Y29" i="9"/>
  <c r="Z29" i="9"/>
  <c r="AA29" i="9"/>
  <c r="AB29" i="9"/>
  <c r="Y30" i="9"/>
  <c r="Z30" i="9"/>
  <c r="AA30" i="9"/>
  <c r="AB30" i="9"/>
  <c r="Y31" i="9"/>
  <c r="Z31" i="9"/>
  <c r="AA31" i="9"/>
  <c r="AB31" i="9"/>
  <c r="Y32" i="9"/>
  <c r="Z32" i="9"/>
  <c r="AA32" i="9"/>
  <c r="AB32" i="9"/>
  <c r="Y33" i="9"/>
  <c r="Z33" i="9"/>
  <c r="AA33" i="9"/>
  <c r="AB33" i="9"/>
  <c r="Y34" i="9"/>
  <c r="Z34" i="9"/>
  <c r="AA34" i="9"/>
  <c r="AB34" i="9"/>
  <c r="Y35" i="9"/>
  <c r="Z35" i="9"/>
  <c r="AA35" i="9"/>
  <c r="AB35" i="9"/>
  <c r="Y36" i="9"/>
  <c r="Z36" i="9"/>
  <c r="AA36" i="9"/>
  <c r="AB36" i="9"/>
  <c r="Y37" i="9"/>
  <c r="Z37" i="9"/>
  <c r="AA37" i="9"/>
  <c r="AB37" i="9"/>
  <c r="Y38" i="9"/>
  <c r="Z38" i="9"/>
  <c r="AA38" i="9"/>
  <c r="AB38" i="9"/>
  <c r="Y39" i="9"/>
  <c r="Z39" i="9"/>
  <c r="AA39" i="9"/>
  <c r="AB39" i="9"/>
  <c r="Y40" i="9"/>
  <c r="Z40" i="9"/>
  <c r="AA40" i="9"/>
  <c r="AB40" i="9"/>
  <c r="Y41" i="9"/>
  <c r="Z41" i="9"/>
  <c r="AA41" i="9"/>
  <c r="AB41" i="9"/>
  <c r="Y42" i="9"/>
  <c r="Z42" i="9"/>
  <c r="AA42" i="9"/>
  <c r="AB42" i="9"/>
  <c r="Y43" i="9"/>
  <c r="Z43" i="9"/>
  <c r="AA43" i="9"/>
  <c r="AB43" i="9"/>
  <c r="Y44" i="9"/>
  <c r="Z44" i="9"/>
  <c r="AA44" i="9"/>
  <c r="AB44" i="9"/>
  <c r="Y45" i="9"/>
  <c r="Z45" i="9"/>
  <c r="AA45" i="9"/>
  <c r="AB45" i="9"/>
  <c r="Y46" i="9"/>
  <c r="Z46" i="9"/>
  <c r="AA46" i="9"/>
  <c r="AB46" i="9"/>
  <c r="Y47" i="9"/>
  <c r="Z47" i="9"/>
  <c r="AA47" i="9"/>
  <c r="AB47" i="9"/>
  <c r="Y48" i="9"/>
  <c r="Z48" i="9"/>
  <c r="AA48" i="9"/>
  <c r="AB48" i="9"/>
  <c r="Y49" i="9"/>
  <c r="Z49" i="9"/>
  <c r="AA49" i="9"/>
  <c r="AB49" i="9"/>
  <c r="Y50" i="9"/>
  <c r="Z50" i="9"/>
  <c r="AA50" i="9"/>
  <c r="AB50" i="9"/>
  <c r="Y51" i="9"/>
  <c r="Z51" i="9"/>
  <c r="AA51" i="9"/>
  <c r="AB51" i="9"/>
  <c r="Y52" i="9"/>
  <c r="Z52" i="9"/>
  <c r="AA52" i="9"/>
  <c r="AB52" i="9"/>
  <c r="Y53" i="9"/>
  <c r="Z53" i="9"/>
  <c r="AA53" i="9"/>
  <c r="AB53" i="9"/>
  <c r="Y54" i="9"/>
  <c r="Z54" i="9"/>
  <c r="AA54" i="9"/>
  <c r="AB54" i="9"/>
  <c r="Y55" i="9"/>
  <c r="Z55" i="9"/>
  <c r="AA55" i="9"/>
  <c r="AB55" i="9"/>
  <c r="Y56" i="9"/>
  <c r="Z56" i="9"/>
  <c r="AA56" i="9"/>
  <c r="AB56" i="9"/>
  <c r="Y57" i="9"/>
  <c r="Z57" i="9"/>
  <c r="AA57" i="9"/>
  <c r="AB57" i="9"/>
  <c r="Y58" i="9"/>
  <c r="Z58" i="9"/>
  <c r="AA58" i="9"/>
  <c r="AB58" i="9"/>
  <c r="Y59" i="9"/>
  <c r="Z59" i="9"/>
  <c r="AA59" i="9"/>
  <c r="AB59" i="9"/>
  <c r="Y60" i="9"/>
  <c r="Z60" i="9"/>
  <c r="AA60" i="9"/>
  <c r="AB60" i="9"/>
  <c r="Y61" i="9"/>
  <c r="Z61" i="9"/>
  <c r="AA61" i="9"/>
  <c r="AB61" i="9"/>
  <c r="Y62" i="9"/>
  <c r="Z62" i="9"/>
  <c r="AA62" i="9"/>
  <c r="AB62" i="9"/>
  <c r="Y63" i="9"/>
  <c r="Z63" i="9"/>
  <c r="AA63" i="9"/>
  <c r="AB63" i="9"/>
  <c r="Y64" i="9"/>
  <c r="Z64" i="9"/>
  <c r="AA64" i="9"/>
  <c r="AB64" i="9"/>
  <c r="U4" i="9"/>
  <c r="W4" i="9" s="1"/>
  <c r="U5" i="9"/>
  <c r="W5" i="9" s="1"/>
  <c r="U6" i="9"/>
  <c r="W6" i="9" s="1"/>
  <c r="U7" i="9"/>
  <c r="W7" i="9" s="1"/>
  <c r="U8" i="9"/>
  <c r="W8" i="9" s="1"/>
  <c r="U9" i="9"/>
  <c r="W9" i="9" s="1"/>
  <c r="U10" i="9"/>
  <c r="W10" i="9" s="1"/>
  <c r="U11" i="9"/>
  <c r="W11" i="9" s="1"/>
  <c r="U12" i="9"/>
  <c r="W12" i="9" s="1"/>
  <c r="U13" i="9"/>
  <c r="W13" i="9" s="1"/>
  <c r="U14" i="9"/>
  <c r="W14" i="9" s="1"/>
  <c r="U15" i="9"/>
  <c r="W15" i="9" s="1"/>
  <c r="U16" i="9"/>
  <c r="W16" i="9" s="1"/>
  <c r="U17" i="9"/>
  <c r="W17" i="9" s="1"/>
  <c r="U18" i="9"/>
  <c r="W18" i="9" s="1"/>
  <c r="U19" i="9"/>
  <c r="W19" i="9" s="1"/>
  <c r="U20" i="9"/>
  <c r="W20" i="9" s="1"/>
  <c r="U21" i="9"/>
  <c r="W21" i="9" s="1"/>
  <c r="U22" i="9"/>
  <c r="W22" i="9" s="1"/>
  <c r="U23" i="9"/>
  <c r="W23" i="9" s="1"/>
  <c r="U24" i="9"/>
  <c r="W24" i="9" s="1"/>
  <c r="U25" i="9"/>
  <c r="W25" i="9" s="1"/>
  <c r="U26" i="9"/>
  <c r="W26" i="9" s="1"/>
  <c r="U27" i="9"/>
  <c r="W27" i="9" s="1"/>
  <c r="U28" i="9"/>
  <c r="W28" i="9" s="1"/>
  <c r="U29" i="9"/>
  <c r="W29" i="9" s="1"/>
  <c r="U30" i="9"/>
  <c r="W30" i="9" s="1"/>
  <c r="U31" i="9"/>
  <c r="W31" i="9" s="1"/>
  <c r="U32" i="9"/>
  <c r="W32" i="9" s="1"/>
  <c r="U33" i="9"/>
  <c r="W33" i="9" s="1"/>
  <c r="U34" i="9"/>
  <c r="W34" i="9" s="1"/>
  <c r="U35" i="9"/>
  <c r="W35" i="9" s="1"/>
  <c r="U36" i="9"/>
  <c r="W36" i="9" s="1"/>
  <c r="U37" i="9"/>
  <c r="W37" i="9" s="1"/>
  <c r="U38" i="9"/>
  <c r="W38" i="9" s="1"/>
  <c r="U39" i="9"/>
  <c r="W39" i="9" s="1"/>
  <c r="U40" i="9"/>
  <c r="W40" i="9" s="1"/>
  <c r="U41" i="9"/>
  <c r="W41" i="9" s="1"/>
  <c r="U42" i="9"/>
  <c r="W42" i="9" s="1"/>
  <c r="U43" i="9"/>
  <c r="W43" i="9" s="1"/>
  <c r="U44" i="9"/>
  <c r="W44" i="9" s="1"/>
  <c r="U45" i="9"/>
  <c r="W45" i="9" s="1"/>
  <c r="U46" i="9"/>
  <c r="W46" i="9" s="1"/>
  <c r="U47" i="9"/>
  <c r="W47" i="9" s="1"/>
  <c r="U48" i="9"/>
  <c r="W48" i="9" s="1"/>
  <c r="U49" i="9"/>
  <c r="W49" i="9" s="1"/>
  <c r="U50" i="9"/>
  <c r="W50" i="9" s="1"/>
  <c r="U51" i="9"/>
  <c r="W51" i="9" s="1"/>
  <c r="U52" i="9"/>
  <c r="W52" i="9" s="1"/>
  <c r="U53" i="9"/>
  <c r="W53" i="9" s="1"/>
  <c r="U54" i="9"/>
  <c r="W54" i="9" s="1"/>
  <c r="U55" i="9"/>
  <c r="W55" i="9" s="1"/>
  <c r="U56" i="9"/>
  <c r="W56" i="9" s="1"/>
  <c r="U57" i="9"/>
  <c r="W57" i="9" s="1"/>
  <c r="U58" i="9"/>
  <c r="W58" i="9" s="1"/>
  <c r="U59" i="9"/>
  <c r="W59" i="9" s="1"/>
  <c r="U60" i="9"/>
  <c r="W60" i="9" s="1"/>
  <c r="U61" i="9"/>
  <c r="W61" i="9" s="1"/>
  <c r="U62" i="9"/>
  <c r="W62" i="9" s="1"/>
  <c r="U63" i="9"/>
  <c r="W63" i="9" s="1"/>
  <c r="U64" i="9"/>
  <c r="W64" i="9" s="1"/>
  <c r="W24" i="12"/>
  <c r="W23" i="12"/>
  <c r="W22" i="12"/>
  <c r="Y18" i="12"/>
  <c r="Y9" i="12"/>
  <c r="W14" i="12"/>
  <c r="W13" i="12"/>
  <c r="W6" i="12"/>
  <c r="W5" i="12"/>
  <c r="C38" i="12"/>
  <c r="E38" i="12"/>
  <c r="S38" i="12" s="1"/>
  <c r="AA38" i="12" s="1"/>
  <c r="F38" i="12"/>
  <c r="G38" i="12"/>
  <c r="D38" i="12"/>
  <c r="C37" i="12"/>
  <c r="D37" i="12"/>
  <c r="E37" i="12"/>
  <c r="F37" i="12"/>
  <c r="B37" i="12"/>
  <c r="C36" i="12"/>
  <c r="D36" i="12"/>
  <c r="E36" i="12"/>
  <c r="F36" i="12"/>
  <c r="B36" i="12"/>
  <c r="E24" i="12"/>
  <c r="F24" i="12"/>
  <c r="H24" i="12"/>
  <c r="P24" i="12" s="1"/>
  <c r="R24" i="12" s="1"/>
  <c r="A24" i="12"/>
  <c r="E23" i="12"/>
  <c r="F23" i="12"/>
  <c r="G23" i="12"/>
  <c r="A23" i="12"/>
  <c r="E22" i="12"/>
  <c r="F22" i="12"/>
  <c r="G22" i="12"/>
  <c r="H22" i="12"/>
  <c r="P22" i="12" s="1"/>
  <c r="R22" i="12" s="1"/>
  <c r="A22" i="12"/>
  <c r="AG268" i="16" l="1"/>
  <c r="AH268" i="16"/>
  <c r="AJ268" i="16"/>
  <c r="AI52" i="16"/>
  <c r="AJ52" i="16"/>
  <c r="AH52" i="16"/>
  <c r="AG52" i="16"/>
  <c r="AJ209" i="16"/>
  <c r="AH209" i="16"/>
  <c r="AG159" i="16"/>
  <c r="AH159" i="16"/>
  <c r="AI159" i="16"/>
  <c r="AJ159" i="16"/>
  <c r="AJ79" i="16"/>
  <c r="AG79" i="16"/>
  <c r="AI79" i="16"/>
  <c r="AH79" i="16"/>
  <c r="AG33" i="16"/>
  <c r="AH33" i="16"/>
  <c r="AJ33" i="16"/>
  <c r="AI33" i="16"/>
  <c r="AG11" i="16"/>
  <c r="AH11" i="16"/>
  <c r="AJ11" i="16"/>
  <c r="AI11" i="16"/>
  <c r="AI247" i="16"/>
  <c r="AG260" i="16"/>
  <c r="AH260" i="16"/>
  <c r="AI260" i="16"/>
  <c r="AJ260" i="16"/>
  <c r="AG248" i="16"/>
  <c r="AH248" i="16"/>
  <c r="AI248" i="16"/>
  <c r="AJ248" i="16"/>
  <c r="AI108" i="16"/>
  <c r="AJ108" i="16"/>
  <c r="AG108" i="16"/>
  <c r="AI269" i="16"/>
  <c r="AG258" i="16"/>
  <c r="AH258" i="16"/>
  <c r="AI258" i="16"/>
  <c r="AJ258" i="16"/>
  <c r="AJ267" i="16"/>
  <c r="AH267" i="16"/>
  <c r="AJ257" i="16"/>
  <c r="AH257" i="16"/>
  <c r="AJ203" i="16"/>
  <c r="AH203" i="16"/>
  <c r="AG161" i="16"/>
  <c r="AH161" i="16"/>
  <c r="AI161" i="16"/>
  <c r="AJ161" i="16"/>
  <c r="AJ283" i="16"/>
  <c r="AI261" i="16"/>
  <c r="AG246" i="16"/>
  <c r="AH246" i="16"/>
  <c r="AI246" i="16"/>
  <c r="AJ246" i="16"/>
  <c r="AJ190" i="16"/>
  <c r="AG190" i="16"/>
  <c r="AI190" i="16"/>
  <c r="AI158" i="16"/>
  <c r="AJ158" i="16"/>
  <c r="AG158" i="16"/>
  <c r="AH158" i="16"/>
  <c r="AJ78" i="16"/>
  <c r="AG78" i="16"/>
  <c r="AH78" i="16"/>
  <c r="AI78" i="16"/>
  <c r="AJ328" i="16"/>
  <c r="AI283" i="16"/>
  <c r="AI268" i="16"/>
  <c r="AI162" i="16"/>
  <c r="AJ162" i="16"/>
  <c r="AG162" i="16"/>
  <c r="AJ269" i="16"/>
  <c r="AH269" i="16"/>
  <c r="AJ259" i="16"/>
  <c r="AH259" i="16"/>
  <c r="AJ247" i="16"/>
  <c r="AH247" i="16"/>
  <c r="AI328" i="16"/>
  <c r="AG283" i="16"/>
  <c r="AI267" i="16"/>
  <c r="AI259" i="16"/>
  <c r="AI203" i="16"/>
  <c r="AI28" i="16"/>
  <c r="AJ28" i="16"/>
  <c r="AG28" i="16"/>
  <c r="AH28" i="16"/>
  <c r="AH328" i="16"/>
  <c r="AG267" i="16"/>
  <c r="AG259" i="16"/>
  <c r="AG203" i="16"/>
  <c r="AG276" i="16"/>
  <c r="AH276" i="16"/>
  <c r="AJ276" i="16"/>
  <c r="AG210" i="16"/>
  <c r="AH210" i="16"/>
  <c r="AI210" i="16"/>
  <c r="AJ210" i="16"/>
  <c r="AG206" i="16"/>
  <c r="AH206" i="16"/>
  <c r="AI206" i="16"/>
  <c r="AJ206" i="16"/>
  <c r="AI160" i="16"/>
  <c r="AJ160" i="16"/>
  <c r="AG160" i="16"/>
  <c r="AH160" i="16"/>
  <c r="AJ271" i="16"/>
  <c r="AH271" i="16"/>
  <c r="AJ261" i="16"/>
  <c r="AH261" i="16"/>
  <c r="AG189" i="16"/>
  <c r="AH189" i="16"/>
  <c r="AI189" i="16"/>
  <c r="AJ189" i="16"/>
  <c r="AG109" i="16"/>
  <c r="AH109" i="16"/>
  <c r="AI109" i="16"/>
  <c r="AJ109" i="16"/>
  <c r="AI271" i="16"/>
  <c r="AI257" i="16"/>
  <c r="AI209" i="16"/>
  <c r="AH108" i="16"/>
  <c r="S37" i="12"/>
  <c r="AA37" i="12" s="1"/>
  <c r="S36" i="12"/>
  <c r="AA36" i="12" s="1"/>
  <c r="Z16" i="6"/>
  <c r="X16" i="6"/>
  <c r="Y16" i="6"/>
  <c r="X34" i="6"/>
  <c r="Z34" i="6"/>
  <c r="Y34" i="6"/>
  <c r="W34" i="6"/>
  <c r="X33" i="6"/>
  <c r="W33" i="6"/>
  <c r="W21" i="6"/>
  <c r="X21" i="6"/>
  <c r="Y21" i="6"/>
  <c r="Z21" i="6"/>
  <c r="W13" i="6"/>
  <c r="X13" i="6"/>
  <c r="Y13" i="6"/>
  <c r="Z13" i="6"/>
  <c r="X25" i="6"/>
  <c r="W25" i="6"/>
  <c r="Z42" i="6"/>
  <c r="W42" i="6"/>
  <c r="X42" i="6"/>
  <c r="Y42" i="6"/>
  <c r="W6" i="6"/>
  <c r="Z6" i="6"/>
  <c r="Z20" i="6"/>
  <c r="Y20" i="6"/>
  <c r="W20" i="6"/>
  <c r="X20" i="6"/>
  <c r="Y12" i="6"/>
  <c r="X12" i="6"/>
  <c r="Z12" i="6"/>
  <c r="W12" i="6"/>
  <c r="X43" i="6"/>
  <c r="W43" i="6"/>
  <c r="Z43" i="6"/>
  <c r="W35" i="6"/>
  <c r="Z35" i="6"/>
  <c r="W5" i="6"/>
  <c r="X5" i="6"/>
  <c r="Y5" i="6"/>
  <c r="Z5" i="6"/>
  <c r="W19" i="6"/>
  <c r="Y19" i="6"/>
  <c r="Z19" i="6"/>
  <c r="X10" i="6"/>
  <c r="Z10" i="6"/>
  <c r="W10" i="6"/>
  <c r="Z24" i="6"/>
  <c r="X24" i="6"/>
  <c r="Y24" i="6"/>
  <c r="X41" i="6"/>
  <c r="W41" i="6"/>
  <c r="W37" i="6"/>
  <c r="X37" i="6"/>
  <c r="Y37" i="6"/>
  <c r="Z37" i="6"/>
  <c r="W28" i="6"/>
  <c r="X28" i="6"/>
  <c r="Y28" i="6"/>
  <c r="Z28" i="6"/>
  <c r="X18" i="6"/>
  <c r="Z18" i="6"/>
  <c r="W18" i="6"/>
  <c r="X9" i="6"/>
  <c r="W9" i="6"/>
  <c r="Z3" i="6"/>
  <c r="Y3" i="6"/>
  <c r="W3" i="6"/>
  <c r="X3" i="6"/>
  <c r="Z36" i="6"/>
  <c r="W36" i="6"/>
  <c r="X36" i="6"/>
  <c r="Y36" i="6"/>
  <c r="W27" i="6"/>
  <c r="Y27" i="6"/>
  <c r="Z27" i="6"/>
  <c r="X17" i="6"/>
  <c r="W17" i="6"/>
  <c r="Z8" i="6"/>
  <c r="X8" i="6"/>
  <c r="Y8" i="6"/>
  <c r="Z32" i="6"/>
  <c r="Z40" i="6"/>
  <c r="Y32" i="6"/>
  <c r="Y40" i="6"/>
  <c r="X32" i="6"/>
  <c r="Y43" i="6"/>
  <c r="X40" i="6"/>
  <c r="Z38" i="6"/>
  <c r="Y35" i="6"/>
  <c r="Z30" i="6"/>
  <c r="Z14" i="6"/>
  <c r="Z41" i="6"/>
  <c r="Y38" i="6"/>
  <c r="X35" i="6"/>
  <c r="Z33" i="6"/>
  <c r="Y30" i="6"/>
  <c r="X27" i="6"/>
  <c r="Z25" i="6"/>
  <c r="W24" i="6"/>
  <c r="X19" i="6"/>
  <c r="Z17" i="6"/>
  <c r="W16" i="6"/>
  <c r="Y14" i="6"/>
  <c r="Z9" i="6"/>
  <c r="W8" i="6"/>
  <c r="Y6" i="6"/>
  <c r="Y41" i="6"/>
  <c r="X38" i="6"/>
  <c r="Y33" i="6"/>
  <c r="X30" i="6"/>
  <c r="Y25" i="6"/>
  <c r="Y17" i="6"/>
  <c r="X14" i="6"/>
  <c r="Y9" i="6"/>
  <c r="X6" i="6"/>
  <c r="Z4" i="6"/>
  <c r="Z39" i="6"/>
  <c r="Z31" i="6"/>
  <c r="Z23" i="6"/>
  <c r="Z15" i="6"/>
  <c r="Z7" i="6"/>
  <c r="Y4" i="6"/>
  <c r="Y39" i="6"/>
  <c r="Y31" i="6"/>
  <c r="Y23" i="6"/>
  <c r="Y15" i="6"/>
  <c r="Y7" i="6"/>
  <c r="X4" i="6"/>
  <c r="X39" i="6"/>
  <c r="X31" i="6"/>
  <c r="X23" i="6"/>
  <c r="Y18" i="6"/>
  <c r="X15" i="6"/>
  <c r="Y10" i="6"/>
  <c r="X7" i="6"/>
  <c r="Z38" i="7"/>
  <c r="AB50" i="7"/>
  <c r="AB48" i="7"/>
  <c r="AB46" i="7"/>
  <c r="AB44" i="7"/>
  <c r="AB42" i="7"/>
  <c r="AB40" i="7"/>
  <c r="AB38" i="7"/>
  <c r="AB36" i="7"/>
  <c r="AB34" i="7"/>
  <c r="AB32" i="7"/>
  <c r="AB30" i="7"/>
  <c r="AB28" i="7"/>
  <c r="AB26" i="7"/>
  <c r="AB24" i="7"/>
  <c r="AB22" i="7"/>
  <c r="AB20" i="7"/>
  <c r="AB18" i="7"/>
  <c r="AB16" i="7"/>
  <c r="AB14" i="7"/>
  <c r="AB12" i="7"/>
  <c r="AB10" i="7"/>
  <c r="AB8" i="7"/>
  <c r="AB6" i="7"/>
  <c r="AB4" i="7"/>
  <c r="Z30" i="7"/>
  <c r="Z14" i="7"/>
  <c r="AA50" i="7"/>
  <c r="AA48" i="7"/>
  <c r="AA46" i="7"/>
  <c r="AA44" i="7"/>
  <c r="AA42" i="7"/>
  <c r="AA40" i="7"/>
  <c r="AA38" i="7"/>
  <c r="AA36" i="7"/>
  <c r="AA34" i="7"/>
  <c r="AA32" i="7"/>
  <c r="AA30" i="7"/>
  <c r="AA28" i="7"/>
  <c r="AA26" i="7"/>
  <c r="AA24" i="7"/>
  <c r="AA22" i="7"/>
  <c r="AA20" i="7"/>
  <c r="AA18" i="7"/>
  <c r="AA16" i="7"/>
  <c r="AA14" i="7"/>
  <c r="AA12" i="7"/>
  <c r="AA10" i="7"/>
  <c r="AA8" i="7"/>
  <c r="AA6" i="7"/>
  <c r="AA4" i="7"/>
  <c r="Y46" i="7"/>
  <c r="Y22" i="7"/>
  <c r="Y3" i="7"/>
  <c r="AB49" i="7"/>
  <c r="AB47" i="7"/>
  <c r="AB45" i="7"/>
  <c r="AB43" i="7"/>
  <c r="AB41" i="7"/>
  <c r="AB39" i="7"/>
  <c r="AB37" i="7"/>
  <c r="AB35" i="7"/>
  <c r="AB33" i="7"/>
  <c r="AB31" i="7"/>
  <c r="AB29" i="7"/>
  <c r="AB27" i="7"/>
  <c r="AB25" i="7"/>
  <c r="AB23" i="7"/>
  <c r="AB21" i="7"/>
  <c r="AB19" i="7"/>
  <c r="AB17" i="7"/>
  <c r="AB15" i="7"/>
  <c r="AB13" i="7"/>
  <c r="AB9" i="7"/>
  <c r="AB7" i="7"/>
  <c r="AB5" i="7"/>
  <c r="Z3" i="7"/>
  <c r="AA49" i="7"/>
  <c r="AA47" i="7"/>
  <c r="AA45" i="7"/>
  <c r="AA43" i="7"/>
  <c r="AA41" i="7"/>
  <c r="AA39" i="7"/>
  <c r="AA37" i="7"/>
  <c r="AA35" i="7"/>
  <c r="AA33" i="7"/>
  <c r="AA31" i="7"/>
  <c r="AA29" i="7"/>
  <c r="AA27" i="7"/>
  <c r="AA25" i="7"/>
  <c r="AA23" i="7"/>
  <c r="AA21" i="7"/>
  <c r="AA19" i="7"/>
  <c r="AA17" i="7"/>
  <c r="AA15" i="7"/>
  <c r="AA13" i="7"/>
  <c r="AA9" i="7"/>
  <c r="AA7" i="7"/>
  <c r="AA5" i="7"/>
  <c r="AA3" i="7"/>
  <c r="Z49" i="7"/>
  <c r="Z47" i="7"/>
  <c r="Z45" i="7"/>
  <c r="Z43" i="7"/>
  <c r="Z41" i="7"/>
  <c r="Z39" i="7"/>
  <c r="Z37" i="7"/>
  <c r="Z35" i="7"/>
  <c r="Z33" i="7"/>
  <c r="Z31" i="7"/>
  <c r="Z29" i="7"/>
  <c r="Z27" i="7"/>
  <c r="Z25" i="7"/>
  <c r="Z23" i="7"/>
  <c r="Z21" i="7"/>
  <c r="Z19" i="7"/>
  <c r="Z17" i="7"/>
  <c r="Z15" i="7"/>
  <c r="Z13" i="7"/>
  <c r="Z9" i="7"/>
  <c r="Z7" i="7"/>
  <c r="Z5" i="7"/>
  <c r="AB68" i="8"/>
  <c r="AB34" i="8"/>
  <c r="AA30" i="8"/>
  <c r="Y23" i="8"/>
  <c r="Y82" i="8"/>
  <c r="AA78" i="8"/>
  <c r="AB76" i="8"/>
  <c r="Y75" i="8"/>
  <c r="AA68" i="8"/>
  <c r="Y60" i="8"/>
  <c r="AA47" i="8"/>
  <c r="AB44" i="8"/>
  <c r="Y34" i="8"/>
  <c r="Z30" i="8"/>
  <c r="AB28" i="8"/>
  <c r="Y27" i="8"/>
  <c r="AB21" i="8"/>
  <c r="Y18" i="8"/>
  <c r="AB86" i="8"/>
  <c r="AB83" i="8"/>
  <c r="X82" i="8"/>
  <c r="AB79" i="8"/>
  <c r="X78" i="8"/>
  <c r="AA76" i="8"/>
  <c r="X75" i="8"/>
  <c r="X73" i="8"/>
  <c r="AB69" i="8"/>
  <c r="Z68" i="8"/>
  <c r="AB62" i="8"/>
  <c r="Y47" i="8"/>
  <c r="AA44" i="8"/>
  <c r="AB38" i="8"/>
  <c r="X34" i="8"/>
  <c r="AB31" i="8"/>
  <c r="X30" i="8"/>
  <c r="AA28" i="8"/>
  <c r="X27" i="8"/>
  <c r="X25" i="8"/>
  <c r="AA21" i="8"/>
  <c r="X18" i="8"/>
  <c r="Y15" i="8"/>
  <c r="X9" i="8"/>
  <c r="X6" i="8"/>
  <c r="Z4" i="8"/>
  <c r="AA86" i="8"/>
  <c r="AB84" i="8"/>
  <c r="Z83" i="8"/>
  <c r="AA79" i="8"/>
  <c r="Z76" i="8"/>
  <c r="AA69" i="8"/>
  <c r="Y68" i="8"/>
  <c r="AA62" i="8"/>
  <c r="AB55" i="8"/>
  <c r="Z51" i="8"/>
  <c r="AB45" i="8"/>
  <c r="Z44" i="8"/>
  <c r="AA38" i="8"/>
  <c r="Z35" i="8"/>
  <c r="AA31" i="8"/>
  <c r="Z28" i="8"/>
  <c r="AB22" i="8"/>
  <c r="AB13" i="8"/>
  <c r="AB87" i="8"/>
  <c r="X86" i="8"/>
  <c r="Y83" i="8"/>
  <c r="Y79" i="8"/>
  <c r="AB70" i="8"/>
  <c r="Z69" i="8"/>
  <c r="Y66" i="8"/>
  <c r="Z62" i="8"/>
  <c r="AA55" i="8"/>
  <c r="Y51" i="8"/>
  <c r="AA45" i="8"/>
  <c r="Y42" i="8"/>
  <c r="Z38" i="8"/>
  <c r="Y35" i="8"/>
  <c r="Y31" i="8"/>
  <c r="AA22" i="8"/>
  <c r="Z19" i="8"/>
  <c r="AA13" i="8"/>
  <c r="AB10" i="8"/>
  <c r="AA82" i="8"/>
  <c r="Z81" i="8"/>
  <c r="Y80" i="8"/>
  <c r="AB75" i="8"/>
  <c r="AA74" i="8"/>
  <c r="Z73" i="8"/>
  <c r="Y72" i="8"/>
  <c r="X71" i="8"/>
  <c r="AB67" i="8"/>
  <c r="AA66" i="8"/>
  <c r="Z65" i="8"/>
  <c r="Y64" i="8"/>
  <c r="X63" i="8"/>
  <c r="AB59" i="8"/>
  <c r="AA58" i="8"/>
  <c r="Z57" i="8"/>
  <c r="Y56" i="8"/>
  <c r="X55" i="8"/>
  <c r="AB51" i="8"/>
  <c r="AA50" i="8"/>
  <c r="Z49" i="8"/>
  <c r="Y48" i="8"/>
  <c r="X47" i="8"/>
  <c r="AB43" i="8"/>
  <c r="AA42" i="8"/>
  <c r="Z41" i="8"/>
  <c r="Y40" i="8"/>
  <c r="X39" i="8"/>
  <c r="AB35" i="8"/>
  <c r="AA34" i="8"/>
  <c r="Z33" i="8"/>
  <c r="Y32" i="8"/>
  <c r="X31" i="8"/>
  <c r="AB27" i="8"/>
  <c r="AA26" i="8"/>
  <c r="Z25" i="8"/>
  <c r="Y24" i="8"/>
  <c r="X23" i="8"/>
  <c r="AB19" i="8"/>
  <c r="AA18" i="8"/>
  <c r="Z17" i="8"/>
  <c r="Y16" i="8"/>
  <c r="X15" i="8"/>
  <c r="Z9" i="8"/>
  <c r="Y8" i="8"/>
  <c r="X7" i="8"/>
  <c r="Q64" i="8"/>
  <c r="Y81" i="8"/>
  <c r="X80" i="8"/>
  <c r="Y73" i="8"/>
  <c r="X72" i="8"/>
  <c r="Z66" i="8"/>
  <c r="Y65" i="8"/>
  <c r="X64" i="8"/>
  <c r="Z58" i="8"/>
  <c r="Y57" i="8"/>
  <c r="X56" i="8"/>
  <c r="AA51" i="8"/>
  <c r="Z50" i="8"/>
  <c r="Y49" i="8"/>
  <c r="X48" i="8"/>
  <c r="AA43" i="8"/>
  <c r="Z42" i="8"/>
  <c r="Y41" i="8"/>
  <c r="X40" i="8"/>
  <c r="Y33" i="8"/>
  <c r="X32" i="8"/>
  <c r="Y25" i="8"/>
  <c r="X24" i="8"/>
  <c r="AA19" i="8"/>
  <c r="Y17" i="8"/>
  <c r="X16" i="8"/>
  <c r="Y9" i="8"/>
  <c r="X8" i="8"/>
  <c r="AB4" i="8"/>
  <c r="Z85" i="8"/>
  <c r="Z77" i="8"/>
  <c r="Z37" i="8"/>
  <c r="Z29" i="8"/>
  <c r="Z21" i="8"/>
  <c r="AB15" i="8"/>
  <c r="Z13" i="8"/>
  <c r="AB7" i="8"/>
  <c r="AA6" i="8"/>
  <c r="Z5" i="8"/>
  <c r="Y4" i="8"/>
  <c r="Q80" i="8"/>
  <c r="Q48" i="8"/>
  <c r="Z86" i="8"/>
  <c r="Y85" i="8"/>
  <c r="AB80" i="8"/>
  <c r="Z78" i="8"/>
  <c r="Y77" i="8"/>
  <c r="AB72" i="8"/>
  <c r="AB64" i="8"/>
  <c r="AB56" i="8"/>
  <c r="AB48" i="8"/>
  <c r="AB40" i="8"/>
  <c r="Y37" i="8"/>
  <c r="AB32" i="8"/>
  <c r="Y29" i="8"/>
  <c r="AB24" i="8"/>
  <c r="AA23" i="8"/>
  <c r="Y21" i="8"/>
  <c r="AB16" i="8"/>
  <c r="AA15" i="8"/>
  <c r="Y13" i="8"/>
  <c r="AB8" i="8"/>
  <c r="AA7" i="8"/>
  <c r="Z6" i="8"/>
  <c r="Y5" i="8"/>
  <c r="AB81" i="8"/>
  <c r="AA80" i="8"/>
  <c r="AB73" i="8"/>
  <c r="AA72" i="8"/>
  <c r="AB65" i="8"/>
  <c r="AA64" i="8"/>
  <c r="AB57" i="8"/>
  <c r="AA56" i="8"/>
  <c r="AB49" i="8"/>
  <c r="AA48" i="8"/>
  <c r="AB41" i="8"/>
  <c r="AA40" i="8"/>
  <c r="AB33" i="8"/>
  <c r="AA32" i="8"/>
  <c r="AB25" i="8"/>
  <c r="AA24" i="8"/>
  <c r="AB17" i="8"/>
  <c r="AA16" i="8"/>
  <c r="AB9" i="8"/>
  <c r="AA8" i="8"/>
  <c r="Z7" i="8"/>
  <c r="Q72" i="8"/>
  <c r="Q40" i="8"/>
  <c r="Y3" i="8"/>
  <c r="Z3" i="8"/>
  <c r="AA3" i="8"/>
  <c r="AA85" i="11"/>
  <c r="AC82" i="11"/>
  <c r="AB80" i="11"/>
  <c r="AD86" i="11"/>
  <c r="AC84" i="11"/>
  <c r="Z80" i="11"/>
  <c r="AB84" i="11"/>
  <c r="AB86" i="11"/>
  <c r="AA84" i="11"/>
  <c r="AB81" i="11"/>
  <c r="AA81" i="11"/>
  <c r="AD83" i="11"/>
  <c r="X21" i="11"/>
  <c r="Z73" i="11"/>
  <c r="AA17" i="11"/>
  <c r="Z13" i="11"/>
  <c r="AA40" i="11"/>
  <c r="AA21" i="11"/>
  <c r="Y13" i="11"/>
  <c r="Y18" i="11" s="1"/>
  <c r="Y23" i="11" s="1"/>
  <c r="Y28" i="11" s="1"/>
  <c r="Y33" i="11" s="1"/>
  <c r="Y38" i="11" s="1"/>
  <c r="Y43" i="11" s="1"/>
  <c r="Y48" i="11" s="1"/>
  <c r="Y53" i="11" s="1"/>
  <c r="Y58" i="11" s="1"/>
  <c r="Y63" i="11" s="1"/>
  <c r="Y68" i="11" s="1"/>
  <c r="Y73" i="11" s="1"/>
  <c r="Y78" i="11" s="1"/>
  <c r="Y83" i="11" s="1"/>
  <c r="AA9" i="11"/>
  <c r="AA49" i="11"/>
  <c r="AA65" i="11"/>
  <c r="AA25" i="11"/>
  <c r="Z21" i="11"/>
  <c r="Z9" i="11"/>
  <c r="Z39" i="11"/>
  <c r="X17" i="11"/>
  <c r="X22" i="11" s="1"/>
  <c r="X27" i="11" s="1"/>
  <c r="X32" i="11" s="1"/>
  <c r="X37" i="11" s="1"/>
  <c r="X42" i="11" s="1"/>
  <c r="X47" i="11" s="1"/>
  <c r="X52" i="11" s="1"/>
  <c r="X57" i="11" s="1"/>
  <c r="X62" i="11" s="1"/>
  <c r="X67" i="11" s="1"/>
  <c r="X72" i="11" s="1"/>
  <c r="X82" i="11" s="1"/>
  <c r="X87" i="11" s="1"/>
  <c r="AA53" i="11"/>
  <c r="Y9" i="11"/>
  <c r="Y14" i="11" s="1"/>
  <c r="Y19" i="11" s="1"/>
  <c r="Y24" i="11" s="1"/>
  <c r="Y29" i="11" s="1"/>
  <c r="Y34" i="11" s="1"/>
  <c r="Y39" i="11" s="1"/>
  <c r="Y44" i="11" s="1"/>
  <c r="Y49" i="11" s="1"/>
  <c r="Y54" i="11" s="1"/>
  <c r="Y59" i="11" s="1"/>
  <c r="Y64" i="11" s="1"/>
  <c r="Y69" i="11" s="1"/>
  <c r="Y74" i="11" s="1"/>
  <c r="Z5" i="11"/>
  <c r="Y17" i="11"/>
  <c r="AA5" i="11"/>
  <c r="AA69" i="11"/>
  <c r="AA29" i="11"/>
  <c r="AB39" i="11"/>
  <c r="AB5" i="11"/>
  <c r="AA57" i="11"/>
  <c r="AA41" i="11"/>
  <c r="X26" i="11"/>
  <c r="X31" i="11" s="1"/>
  <c r="X36" i="11" s="1"/>
  <c r="X41" i="11" s="1"/>
  <c r="X14" i="11"/>
  <c r="X19" i="11" s="1"/>
  <c r="X24" i="11" s="1"/>
  <c r="X29" i="11" s="1"/>
  <c r="X34" i="11" s="1"/>
  <c r="X39" i="11" s="1"/>
  <c r="X44" i="11" s="1"/>
  <c r="X49" i="11" s="1"/>
  <c r="X54" i="11" s="1"/>
  <c r="X59" i="11" s="1"/>
  <c r="X64" i="11" s="1"/>
  <c r="X69" i="11" s="1"/>
  <c r="X74" i="11" s="1"/>
  <c r="X79" i="11" s="1"/>
  <c r="X84" i="11" s="1"/>
  <c r="X20" i="11"/>
  <c r="X25" i="11" s="1"/>
  <c r="X30" i="11" s="1"/>
  <c r="X35" i="11" s="1"/>
  <c r="X40" i="11" s="1"/>
  <c r="X45" i="11" s="1"/>
  <c r="X50" i="11" s="1"/>
  <c r="X55" i="11" s="1"/>
  <c r="X60" i="11" s="1"/>
  <c r="X65" i="11" s="1"/>
  <c r="X70" i="11" s="1"/>
  <c r="X75" i="11" s="1"/>
  <c r="X80" i="11" s="1"/>
  <c r="X85" i="11" s="1"/>
  <c r="AA33" i="11"/>
  <c r="Y79" i="11"/>
  <c r="Y84" i="11" s="1"/>
  <c r="AB87" i="11"/>
  <c r="AD85" i="11"/>
  <c r="Z81" i="11"/>
  <c r="AB79" i="11"/>
  <c r="AA87" i="11"/>
  <c r="AC85" i="11"/>
  <c r="AA79" i="11"/>
  <c r="AB83" i="11"/>
  <c r="AD81" i="11"/>
  <c r="AC83" i="11"/>
  <c r="AA83" i="11"/>
  <c r="AD87" i="11"/>
  <c r="AD79" i="11"/>
  <c r="AA6" i="11"/>
  <c r="AA74" i="11"/>
  <c r="Z66" i="11"/>
  <c r="Z54" i="11"/>
  <c r="Z46" i="11"/>
  <c r="Z18" i="11"/>
  <c r="Z38" i="11"/>
  <c r="AB6" i="11"/>
  <c r="X46" i="11"/>
  <c r="X51" i="11" s="1"/>
  <c r="X56" i="11" s="1"/>
  <c r="AA30" i="11"/>
  <c r="AA22" i="11"/>
  <c r="X18" i="11"/>
  <c r="X23" i="11" s="1"/>
  <c r="X28" i="11" s="1"/>
  <c r="X33" i="11" s="1"/>
  <c r="X38" i="11" s="1"/>
  <c r="X43" i="11" s="1"/>
  <c r="X48" i="11" s="1"/>
  <c r="X53" i="11" s="1"/>
  <c r="X58" i="11" s="1"/>
  <c r="X63" i="11" s="1"/>
  <c r="X68" i="11" s="1"/>
  <c r="X73" i="11" s="1"/>
  <c r="X78" i="11" s="1"/>
  <c r="X83" i="11" s="1"/>
  <c r="AA38" i="11"/>
  <c r="AD6" i="11"/>
  <c r="AA70" i="11"/>
  <c r="Z62" i="11"/>
  <c r="AA58" i="11"/>
  <c r="AA50" i="11"/>
  <c r="AA42" i="11"/>
  <c r="Y22" i="11"/>
  <c r="Y27" i="11" s="1"/>
  <c r="Y32" i="11" s="1"/>
  <c r="Y37" i="11" s="1"/>
  <c r="Y42" i="11" s="1"/>
  <c r="Y47" i="11" s="1"/>
  <c r="Y52" i="11" s="1"/>
  <c r="Y57" i="11" s="1"/>
  <c r="Y62" i="11" s="1"/>
  <c r="Y67" i="11" s="1"/>
  <c r="Y72" i="11" s="1"/>
  <c r="Y82" i="11" s="1"/>
  <c r="Y87" i="11" s="1"/>
  <c r="AC38" i="11"/>
  <c r="Z70" i="11"/>
  <c r="Z58" i="11"/>
  <c r="Z50" i="11"/>
  <c r="Z42" i="11"/>
  <c r="AA10" i="11"/>
  <c r="AA34" i="11"/>
  <c r="AA26" i="11"/>
  <c r="AA14" i="11"/>
  <c r="Z10" i="11"/>
  <c r="Z34" i="11"/>
  <c r="Z26" i="11"/>
  <c r="Z14" i="11"/>
  <c r="Y10" i="11"/>
  <c r="Y15" i="11" s="1"/>
  <c r="Y20" i="11" s="1"/>
  <c r="Y25" i="11" s="1"/>
  <c r="Y30" i="11" s="1"/>
  <c r="Y35" i="11" s="1"/>
  <c r="Y40" i="11" s="1"/>
  <c r="Y45" i="11" s="1"/>
  <c r="Y50" i="11" s="1"/>
  <c r="Y55" i="11" s="1"/>
  <c r="Y60" i="11" s="1"/>
  <c r="Y65" i="11" s="1"/>
  <c r="Y70" i="11" s="1"/>
  <c r="Y75" i="11" s="1"/>
  <c r="Y80" i="11" s="1"/>
  <c r="Y85" i="11" s="1"/>
  <c r="V24" i="12"/>
  <c r="V22" i="12"/>
  <c r="E29" i="12"/>
  <c r="F29" i="12"/>
  <c r="G29" i="12"/>
  <c r="I29" i="12" s="1"/>
  <c r="S29" i="12" s="1"/>
  <c r="A29" i="12"/>
  <c r="E18" i="12"/>
  <c r="F18" i="12"/>
  <c r="A18" i="12"/>
  <c r="H9" i="12"/>
  <c r="H6" i="12"/>
  <c r="P6" i="12" s="1"/>
  <c r="R6" i="12" s="1"/>
  <c r="H5" i="12"/>
  <c r="R5" i="12" s="1"/>
  <c r="U3" i="9"/>
  <c r="W3" i="9" s="1"/>
  <c r="AA248" i="16"/>
  <c r="AA261" i="16"/>
  <c r="AA268" i="16"/>
  <c r="Y337" i="16"/>
  <c r="Y338" i="16"/>
  <c r="Y339" i="16"/>
  <c r="Y340" i="16"/>
  <c r="Y341" i="16"/>
  <c r="Y343" i="16"/>
  <c r="Y344" i="16"/>
  <c r="Y345" i="16"/>
  <c r="Y346" i="16"/>
  <c r="Y347" i="16"/>
  <c r="Y348" i="16"/>
  <c r="Y349" i="16"/>
  <c r="Y342" i="16"/>
  <c r="AK331" i="16"/>
  <c r="Z29" i="12" l="1"/>
  <c r="V29" i="12" s="1"/>
  <c r="AB3" i="9"/>
  <c r="AA3" i="9"/>
  <c r="Z3" i="9"/>
  <c r="Y3" i="9"/>
  <c r="V5" i="12"/>
  <c r="P9" i="12"/>
  <c r="R9" i="12" s="1"/>
  <c r="V9" i="12"/>
  <c r="V6" i="12"/>
  <c r="J29" i="12"/>
  <c r="T29" i="12" s="1"/>
  <c r="H18" i="12"/>
  <c r="P18" i="12" l="1"/>
  <c r="R18" i="12" s="1"/>
  <c r="V18" i="12"/>
  <c r="Y336" i="16"/>
  <c r="Y335" i="16"/>
  <c r="Y334" i="16"/>
  <c r="Y333" i="16"/>
  <c r="Y332" i="16"/>
  <c r="Z11" i="16"/>
  <c r="Z28" i="16"/>
  <c r="Z33" i="16"/>
  <c r="Z52" i="16"/>
  <c r="Z78" i="16"/>
  <c r="Z79" i="16"/>
  <c r="Z108" i="16"/>
  <c r="Z109" i="16"/>
  <c r="Z158" i="16"/>
  <c r="Z159" i="16"/>
  <c r="Z160" i="16"/>
  <c r="Z161" i="16"/>
  <c r="Z162" i="16"/>
  <c r="Z176" i="16"/>
  <c r="Z177" i="16"/>
  <c r="Z178" i="16"/>
  <c r="Z179" i="16"/>
  <c r="Z180" i="16"/>
  <c r="Z181" i="16"/>
  <c r="Z182" i="16"/>
  <c r="Z183" i="16"/>
  <c r="Z184" i="16"/>
  <c r="Z185" i="16"/>
  <c r="Z186" i="16"/>
  <c r="Z187" i="16"/>
  <c r="Z188" i="16"/>
  <c r="Z189" i="16"/>
  <c r="Z190" i="16"/>
  <c r="Z195" i="16"/>
  <c r="Z196" i="16"/>
  <c r="Z197" i="16"/>
  <c r="Z198" i="16"/>
  <c r="Z199" i="16"/>
  <c r="Z200" i="16"/>
  <c r="Z201" i="16"/>
  <c r="Z202" i="16"/>
  <c r="Z203" i="16"/>
  <c r="Z204" i="16"/>
  <c r="Z205" i="16"/>
  <c r="Z206" i="16"/>
  <c r="Z207" i="16"/>
  <c r="Z208" i="16"/>
  <c r="Z209" i="16"/>
  <c r="Z210" i="16"/>
  <c r="Z246" i="16"/>
  <c r="Z247" i="16"/>
  <c r="Z252" i="16"/>
  <c r="Z253" i="16"/>
  <c r="Z254" i="16"/>
  <c r="Z255" i="16"/>
  <c r="Z256" i="16"/>
  <c r="Z257" i="16"/>
  <c r="Z258" i="16"/>
  <c r="Z259" i="16"/>
  <c r="Z260" i="16"/>
  <c r="Z267" i="16"/>
  <c r="Z269" i="16"/>
  <c r="Z271" i="16"/>
  <c r="Z276" i="16"/>
  <c r="Z283" i="16"/>
  <c r="Z328" i="16"/>
  <c r="AA276" i="16" l="1"/>
  <c r="AA189" i="16"/>
  <c r="AA160" i="16"/>
  <c r="AA33" i="16"/>
  <c r="AA271" i="16"/>
  <c r="AA159" i="16"/>
  <c r="AA28" i="16"/>
  <c r="AA269" i="16"/>
  <c r="AA254" i="16"/>
  <c r="AA158" i="16"/>
  <c r="AA11" i="16"/>
  <c r="AA209" i="16"/>
  <c r="AA267" i="16"/>
  <c r="AA253" i="16"/>
  <c r="AA206" i="16"/>
  <c r="AA109" i="16"/>
  <c r="AA256" i="16"/>
  <c r="AA260" i="16"/>
  <c r="AA252" i="16"/>
  <c r="AA108" i="16"/>
  <c r="AA259" i="16"/>
  <c r="AA247" i="16"/>
  <c r="AA79" i="16"/>
  <c r="AA258" i="16"/>
  <c r="AA246" i="16"/>
  <c r="AA203" i="16"/>
  <c r="AA162" i="16"/>
  <c r="AA78" i="16"/>
  <c r="AA283" i="16"/>
  <c r="AA257" i="16"/>
  <c r="AA210" i="16"/>
  <c r="AA190" i="16"/>
  <c r="AA161" i="16"/>
  <c r="AA52" i="16"/>
  <c r="AK2" i="16" l="1"/>
  <c r="AK3" i="16"/>
  <c r="AK329" i="16"/>
  <c r="AK330" i="16"/>
  <c r="S49" i="10"/>
  <c r="S30" i="10"/>
  <c r="S31" i="10" s="1"/>
  <c r="S17" i="10"/>
  <c r="S13" i="10"/>
  <c r="R29" i="6"/>
  <c r="S29" i="6" s="1"/>
  <c r="U29" i="6" s="1"/>
  <c r="R26" i="6"/>
  <c r="S26" i="6" s="1"/>
  <c r="U26" i="6" s="1"/>
  <c r="R22" i="6"/>
  <c r="S22" i="6" s="1"/>
  <c r="U22" i="6" s="1"/>
  <c r="B29" i="6"/>
  <c r="C29" i="6" s="1"/>
  <c r="R11" i="6"/>
  <c r="S11" i="6" s="1"/>
  <c r="U11" i="6" s="1"/>
  <c r="AC250" i="16"/>
  <c r="AC327" i="16"/>
  <c r="AC325" i="16"/>
  <c r="AC323" i="16"/>
  <c r="AC322" i="16"/>
  <c r="AC282" i="16"/>
  <c r="AC281" i="16"/>
  <c r="AC280" i="16"/>
  <c r="AC279" i="16"/>
  <c r="AC278" i="16"/>
  <c r="AC275" i="16"/>
  <c r="AC274" i="16"/>
  <c r="AC273" i="16"/>
  <c r="AC318" i="16"/>
  <c r="AC286" i="16" a="1"/>
  <c r="AC286" i="16" s="1"/>
  <c r="AC287" i="16" a="1"/>
  <c r="AC287" i="16" s="1"/>
  <c r="AC288" i="16" a="1"/>
  <c r="AC288" i="16" s="1"/>
  <c r="AC289" i="16" a="1"/>
  <c r="AC289" i="16" s="1"/>
  <c r="AC290" i="16" a="1"/>
  <c r="AC290" i="16" s="1"/>
  <c r="AC291" i="16" a="1"/>
  <c r="AC291" i="16" s="1"/>
  <c r="AC292" i="16" a="1"/>
  <c r="AC292" i="16" s="1"/>
  <c r="AC293" i="16" a="1"/>
  <c r="AC293" i="16" s="1"/>
  <c r="AC294" i="16" a="1"/>
  <c r="AC294" i="16" s="1"/>
  <c r="AC295" i="16" a="1"/>
  <c r="AC295" i="16" s="1"/>
  <c r="AC296" i="16" a="1"/>
  <c r="AC296" i="16" s="1"/>
  <c r="AC297" i="16" a="1"/>
  <c r="AC297" i="16" s="1"/>
  <c r="AC298" i="16" a="1"/>
  <c r="AC298" i="16" s="1"/>
  <c r="AC299" i="16" a="1"/>
  <c r="AC299" i="16" s="1"/>
  <c r="AC300" i="16" a="1"/>
  <c r="AC300" i="16" s="1"/>
  <c r="AC301" i="16" a="1"/>
  <c r="AC301" i="16" s="1"/>
  <c r="AC302" i="16" a="1"/>
  <c r="AC302" i="16" s="1"/>
  <c r="AC303" i="16" a="1"/>
  <c r="AC303" i="16" s="1"/>
  <c r="AC304" i="16" a="1"/>
  <c r="AC304" i="16" s="1"/>
  <c r="AC305" i="16" a="1"/>
  <c r="AC305" i="16" s="1"/>
  <c r="AC306" i="16" a="1"/>
  <c r="AC306" i="16" s="1"/>
  <c r="AC307" i="16" a="1"/>
  <c r="AC307" i="16" s="1"/>
  <c r="AC308" i="16" a="1"/>
  <c r="AC308" i="16" s="1"/>
  <c r="AC309" i="16" a="1"/>
  <c r="AC309" i="16" s="1"/>
  <c r="AC310" i="16" a="1"/>
  <c r="AC310" i="16" s="1"/>
  <c r="AC311" i="16" a="1"/>
  <c r="AC311" i="16" s="1"/>
  <c r="AC312" i="16" a="1"/>
  <c r="AC312" i="16" s="1"/>
  <c r="AC285" i="16" a="1"/>
  <c r="AC285" i="16" s="1"/>
  <c r="R19" i="4"/>
  <c r="R16" i="4"/>
  <c r="R13" i="4"/>
  <c r="R17" i="4" s="1"/>
  <c r="R12" i="4"/>
  <c r="R7" i="4"/>
  <c r="P19" i="4"/>
  <c r="Q19" i="4" s="1"/>
  <c r="P18" i="4"/>
  <c r="Q18" i="4" s="1"/>
  <c r="P17" i="4"/>
  <c r="P16" i="4"/>
  <c r="Q16" i="4" s="1"/>
  <c r="P15" i="4"/>
  <c r="Q15" i="4" s="1"/>
  <c r="P14" i="4"/>
  <c r="Q14" i="4" s="1"/>
  <c r="P13" i="4"/>
  <c r="Q13" i="4" s="1"/>
  <c r="P12" i="4"/>
  <c r="Q12" i="4" s="1"/>
  <c r="P11" i="4"/>
  <c r="Q11" i="4" s="1"/>
  <c r="P9" i="4"/>
  <c r="Q9" i="4" s="1"/>
  <c r="P8" i="4"/>
  <c r="Q8" i="4" s="1"/>
  <c r="P7" i="4"/>
  <c r="Q7" i="4" s="1"/>
  <c r="P6" i="4"/>
  <c r="Q6" i="4" s="1"/>
  <c r="P5" i="4"/>
  <c r="Q5" i="4" s="1"/>
  <c r="P4" i="4"/>
  <c r="Q4" i="4" s="1"/>
  <c r="Q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3" i="4"/>
  <c r="AG19" i="4"/>
  <c r="AG18" i="4"/>
  <c r="AG17" i="4"/>
  <c r="AG16" i="4"/>
  <c r="AG15" i="4"/>
  <c r="AG14" i="4"/>
  <c r="AG13" i="4"/>
  <c r="AG12" i="4"/>
  <c r="AG7" i="4"/>
  <c r="AG6" i="4"/>
  <c r="AG11" i="4"/>
  <c r="AG8" i="4"/>
  <c r="AG4" i="4"/>
  <c r="AG3" i="4"/>
  <c r="AF18" i="4"/>
  <c r="AC4" i="4"/>
  <c r="AD4" i="4"/>
  <c r="AE4" i="4" s="1"/>
  <c r="AC5" i="4"/>
  <c r="AD5" i="4"/>
  <c r="AE5" i="4"/>
  <c r="AC6" i="4"/>
  <c r="AD6" i="4"/>
  <c r="AE6" i="4"/>
  <c r="AC7" i="4"/>
  <c r="AD7" i="4"/>
  <c r="AC8" i="4"/>
  <c r="AD8" i="4"/>
  <c r="AE8" i="4" s="1"/>
  <c r="AC9" i="4"/>
  <c r="AD9" i="4"/>
  <c r="AC10" i="4"/>
  <c r="AD10" i="4"/>
  <c r="AE10" i="4" s="1"/>
  <c r="AC11" i="4"/>
  <c r="AD11" i="4"/>
  <c r="AC12" i="4"/>
  <c r="AD12" i="4"/>
  <c r="AE12" i="4" s="1"/>
  <c r="AC13" i="4"/>
  <c r="AD13" i="4"/>
  <c r="AE13" i="4"/>
  <c r="AC14" i="4"/>
  <c r="AD14" i="4"/>
  <c r="AE14" i="4" s="1"/>
  <c r="AC15" i="4"/>
  <c r="AD15" i="4"/>
  <c r="AE15" i="4" s="1"/>
  <c r="AC16" i="4"/>
  <c r="AD16" i="4"/>
  <c r="AE16" i="4"/>
  <c r="AC17" i="4"/>
  <c r="AD17" i="4"/>
  <c r="AE17" i="4" s="1"/>
  <c r="AC18" i="4"/>
  <c r="AD18" i="4"/>
  <c r="AC19" i="4"/>
  <c r="AD19" i="4"/>
  <c r="AE19" i="4" s="1"/>
  <c r="AD3" i="4"/>
  <c r="AC3" i="4"/>
  <c r="AE3" i="4" l="1"/>
  <c r="AE18" i="4"/>
  <c r="AC326" i="16"/>
  <c r="W29" i="6"/>
  <c r="X29" i="6"/>
  <c r="Y29" i="6"/>
  <c r="Z29" i="6"/>
  <c r="X26" i="6"/>
  <c r="Z26" i="6"/>
  <c r="W26" i="6"/>
  <c r="Y26" i="6"/>
  <c r="X11" i="6"/>
  <c r="W11" i="6"/>
  <c r="Y11" i="6"/>
  <c r="Z11" i="6"/>
  <c r="W22" i="6"/>
  <c r="X22" i="6"/>
  <c r="Z22" i="6"/>
  <c r="Y22" i="6"/>
  <c r="AE9" i="4"/>
  <c r="AE11" i="4"/>
  <c r="AE7" i="4"/>
  <c r="Q17" i="4"/>
  <c r="Z4" i="4"/>
  <c r="AA4" i="4"/>
  <c r="Z5" i="4"/>
  <c r="AA5" i="4"/>
  <c r="Z6" i="4"/>
  <c r="AA6" i="4"/>
  <c r="Z7" i="4"/>
  <c r="AA7" i="4"/>
  <c r="Z8" i="4"/>
  <c r="AA8" i="4"/>
  <c r="Z9" i="4"/>
  <c r="AA9" i="4"/>
  <c r="Z10" i="4"/>
  <c r="AA10" i="4"/>
  <c r="Z11" i="4"/>
  <c r="AA11" i="4"/>
  <c r="Z12" i="4"/>
  <c r="AA12" i="4"/>
  <c r="Z13" i="4"/>
  <c r="AA13" i="4"/>
  <c r="Z14" i="4"/>
  <c r="AA14" i="4"/>
  <c r="Z15" i="4"/>
  <c r="AA15" i="4"/>
  <c r="Z16" i="4"/>
  <c r="AA16" i="4"/>
  <c r="Z17" i="4"/>
  <c r="AA17" i="4"/>
  <c r="Z18" i="4"/>
  <c r="AA18" i="4"/>
  <c r="Z19" i="4"/>
  <c r="AA19" i="4"/>
  <c r="AA3" i="4"/>
  <c r="Z3" i="4"/>
  <c r="AB3" i="4" s="1"/>
  <c r="AC245" i="16"/>
  <c r="AC244" i="16"/>
  <c r="AC243" i="16"/>
  <c r="AC242" i="16"/>
  <c r="AC241" i="16"/>
  <c r="AC240" i="16"/>
  <c r="AC238" i="16"/>
  <c r="AC237" i="16"/>
  <c r="AC236" i="16"/>
  <c r="AC235" i="16"/>
  <c r="AC234" i="16"/>
  <c r="AC233" i="16"/>
  <c r="AC232" i="16"/>
  <c r="AC231" i="16"/>
  <c r="AC223" i="16"/>
  <c r="AC224" i="16"/>
  <c r="AC225" i="16"/>
  <c r="AC226" i="16"/>
  <c r="AC221" i="16"/>
  <c r="AC220" i="16"/>
  <c r="AC219" i="16"/>
  <c r="AC218" i="16"/>
  <c r="AC217" i="16"/>
  <c r="AC215" i="16"/>
  <c r="AC213" i="16"/>
  <c r="AC211" i="16"/>
  <c r="AC208" i="16"/>
  <c r="AC207" i="16"/>
  <c r="AC204" i="16"/>
  <c r="AC202" i="16"/>
  <c r="AC201" i="16"/>
  <c r="AC200" i="16"/>
  <c r="AC199" i="16"/>
  <c r="AC198" i="16"/>
  <c r="AC197" i="16"/>
  <c r="AC196" i="16"/>
  <c r="AC194" i="16"/>
  <c r="AC193" i="16"/>
  <c r="AC205" i="16"/>
  <c r="AC195" i="16"/>
  <c r="AC191" i="16"/>
  <c r="AC186" i="16"/>
  <c r="AC185" i="16"/>
  <c r="AC183" i="16"/>
  <c r="AC184" i="16"/>
  <c r="AC182" i="16"/>
  <c r="AC181" i="16"/>
  <c r="AC180" i="16"/>
  <c r="AC179" i="16"/>
  <c r="AC178" i="16"/>
  <c r="AC177" i="16"/>
  <c r="AC176" i="16"/>
  <c r="AC175" i="16"/>
  <c r="AC174" i="16"/>
  <c r="AC173" i="16"/>
  <c r="AC171" i="16"/>
  <c r="AC170" i="16"/>
  <c r="AC169" i="16"/>
  <c r="AC167" i="16"/>
  <c r="AC166" i="16"/>
  <c r="AC168" i="16"/>
  <c r="AC187" i="16"/>
  <c r="AC165" i="16"/>
  <c r="AC188" i="16"/>
  <c r="AC128" i="16"/>
  <c r="AC129" i="16"/>
  <c r="AC130" i="16"/>
  <c r="AC131" i="16"/>
  <c r="AC132" i="16"/>
  <c r="AC133" i="16"/>
  <c r="AC134" i="16"/>
  <c r="AC135" i="16"/>
  <c r="AC136" i="16"/>
  <c r="AC137" i="16"/>
  <c r="AC139" i="16"/>
  <c r="AC142" i="16"/>
  <c r="AC143" i="16"/>
  <c r="AC145" i="16"/>
  <c r="AC138" i="16"/>
  <c r="AC150" i="16"/>
  <c r="AC151" i="16"/>
  <c r="AC157" i="16"/>
  <c r="AC155" i="16"/>
  <c r="AC121" i="16"/>
  <c r="AC153" i="16"/>
  <c r="AC152" i="16"/>
  <c r="AC103" i="16"/>
  <c r="AC101" i="16"/>
  <c r="AC100" i="16"/>
  <c r="AC99" i="16"/>
  <c r="AC98" i="16"/>
  <c r="AC97" i="16"/>
  <c r="AC96" i="16"/>
  <c r="AC95" i="16"/>
  <c r="AC94" i="16"/>
  <c r="AC93" i="16"/>
  <c r="AC92" i="16"/>
  <c r="AC91" i="16"/>
  <c r="AC90" i="16"/>
  <c r="AC88" i="16"/>
  <c r="AC89" i="16"/>
  <c r="AC74" i="16"/>
  <c r="AC75" i="16"/>
  <c r="AC76" i="16"/>
  <c r="AC73" i="16"/>
  <c r="AC71" i="16"/>
  <c r="AC70" i="16"/>
  <c r="AC68" i="16"/>
  <c r="AC65" i="16"/>
  <c r="AC60" i="16"/>
  <c r="AC59" i="16"/>
  <c r="AC57" i="16"/>
  <c r="AC54" i="16"/>
  <c r="AC62" i="16"/>
  <c r="AC48" i="16"/>
  <c r="AC47" i="16"/>
  <c r="AC46" i="16"/>
  <c r="AC45" i="16"/>
  <c r="AC49" i="16"/>
  <c r="AC50" i="16"/>
  <c r="AC44" i="16"/>
  <c r="AC43" i="16"/>
  <c r="AC32" i="16"/>
  <c r="AC26" i="16"/>
  <c r="AC25" i="16"/>
  <c r="AC24" i="16"/>
  <c r="AC23" i="16"/>
  <c r="AC22" i="16"/>
  <c r="AC21" i="16"/>
  <c r="AC20" i="16"/>
  <c r="AC19" i="16"/>
  <c r="AC16" i="16"/>
  <c r="AC14" i="16"/>
  <c r="AC13" i="16"/>
  <c r="N6" i="15"/>
  <c r="N7" i="15"/>
  <c r="N8" i="15"/>
  <c r="N14" i="15"/>
  <c r="N15" i="15"/>
  <c r="N16" i="15"/>
  <c r="N22" i="15"/>
  <c r="N23" i="15"/>
  <c r="N24" i="15"/>
  <c r="N30" i="15"/>
  <c r="N31" i="15"/>
  <c r="N32" i="15"/>
  <c r="N38" i="15"/>
  <c r="N39" i="15"/>
  <c r="N40" i="15"/>
  <c r="N46" i="15"/>
  <c r="N47" i="15"/>
  <c r="N48" i="15"/>
  <c r="N54" i="15"/>
  <c r="N55" i="15"/>
  <c r="N56" i="15"/>
  <c r="N62" i="15"/>
  <c r="N63" i="15"/>
  <c r="N64" i="15"/>
  <c r="N70" i="15"/>
  <c r="N71" i="15"/>
  <c r="N72" i="15"/>
  <c r="N78" i="15"/>
  <c r="N79" i="15"/>
  <c r="N80" i="15"/>
  <c r="N86" i="15"/>
  <c r="N87" i="15"/>
  <c r="N88" i="15"/>
  <c r="N94" i="15"/>
  <c r="N95" i="15"/>
  <c r="N96" i="15"/>
  <c r="N102" i="15"/>
  <c r="N103" i="15"/>
  <c r="N104" i="15"/>
  <c r="N110" i="15"/>
  <c r="N111" i="15"/>
  <c r="N112" i="15"/>
  <c r="N118" i="15"/>
  <c r="N119" i="15"/>
  <c r="N120" i="15"/>
  <c r="N126" i="15"/>
  <c r="N127" i="15"/>
  <c r="N128" i="15"/>
  <c r="N134" i="15"/>
  <c r="N135" i="15"/>
  <c r="N136" i="15"/>
  <c r="N142" i="15"/>
  <c r="N143" i="15"/>
  <c r="N144" i="15"/>
  <c r="N150" i="15"/>
  <c r="N151" i="15"/>
  <c r="N152" i="15"/>
  <c r="N158" i="15"/>
  <c r="N159" i="15"/>
  <c r="N160" i="15"/>
  <c r="L2" i="15"/>
  <c r="N2" i="15" s="1"/>
  <c r="L3" i="15"/>
  <c r="N3" i="15" s="1"/>
  <c r="L4" i="15"/>
  <c r="N4" i="15" s="1"/>
  <c r="L5" i="15"/>
  <c r="N5" i="15" s="1"/>
  <c r="L6" i="15"/>
  <c r="L7" i="15"/>
  <c r="L8" i="15"/>
  <c r="L9" i="15"/>
  <c r="N9" i="15" s="1"/>
  <c r="L10" i="15"/>
  <c r="N10" i="15" s="1"/>
  <c r="L11" i="15"/>
  <c r="N11" i="15" s="1"/>
  <c r="L12" i="15"/>
  <c r="N12" i="15" s="1"/>
  <c r="L13" i="15"/>
  <c r="N13" i="15" s="1"/>
  <c r="L14" i="15"/>
  <c r="L15" i="15"/>
  <c r="L16" i="15"/>
  <c r="L17" i="15"/>
  <c r="N17" i="15" s="1"/>
  <c r="L18" i="15"/>
  <c r="N18" i="15" s="1"/>
  <c r="L19" i="15"/>
  <c r="N19" i="15" s="1"/>
  <c r="L20" i="15"/>
  <c r="N20" i="15" s="1"/>
  <c r="L21" i="15"/>
  <c r="N21" i="15" s="1"/>
  <c r="L22" i="15"/>
  <c r="L23" i="15"/>
  <c r="L24" i="15"/>
  <c r="L25" i="15"/>
  <c r="N25" i="15" s="1"/>
  <c r="L26" i="15"/>
  <c r="N26" i="15" s="1"/>
  <c r="L27" i="15"/>
  <c r="N27" i="15" s="1"/>
  <c r="L28" i="15"/>
  <c r="N28" i="15" s="1"/>
  <c r="L29" i="15"/>
  <c r="N29" i="15" s="1"/>
  <c r="L30" i="15"/>
  <c r="L31" i="15"/>
  <c r="L32" i="15"/>
  <c r="L33" i="15"/>
  <c r="N33" i="15" s="1"/>
  <c r="L34" i="15"/>
  <c r="N34" i="15" s="1"/>
  <c r="L35" i="15"/>
  <c r="N35" i="15" s="1"/>
  <c r="L36" i="15"/>
  <c r="N36" i="15" s="1"/>
  <c r="L37" i="15"/>
  <c r="N37" i="15" s="1"/>
  <c r="L38" i="15"/>
  <c r="L39" i="15"/>
  <c r="L40" i="15"/>
  <c r="L41" i="15"/>
  <c r="N41" i="15" s="1"/>
  <c r="L42" i="15"/>
  <c r="N42" i="15" s="1"/>
  <c r="L43" i="15"/>
  <c r="N43" i="15" s="1"/>
  <c r="L44" i="15"/>
  <c r="N44" i="15" s="1"/>
  <c r="L45" i="15"/>
  <c r="N45" i="15" s="1"/>
  <c r="L46" i="15"/>
  <c r="L47" i="15"/>
  <c r="L48" i="15"/>
  <c r="L49" i="15"/>
  <c r="N49" i="15" s="1"/>
  <c r="L50" i="15"/>
  <c r="N50" i="15" s="1"/>
  <c r="L51" i="15"/>
  <c r="N51" i="15" s="1"/>
  <c r="L52" i="15"/>
  <c r="N52" i="15" s="1"/>
  <c r="L53" i="15"/>
  <c r="N53" i="15" s="1"/>
  <c r="L54" i="15"/>
  <c r="L55" i="15"/>
  <c r="L56" i="15"/>
  <c r="L57" i="15"/>
  <c r="N57" i="15" s="1"/>
  <c r="L58" i="15"/>
  <c r="N58" i="15" s="1"/>
  <c r="L59" i="15"/>
  <c r="N59" i="15" s="1"/>
  <c r="L60" i="15"/>
  <c r="N60" i="15" s="1"/>
  <c r="L61" i="15"/>
  <c r="N61" i="15" s="1"/>
  <c r="L62" i="15"/>
  <c r="L63" i="15"/>
  <c r="L64" i="15"/>
  <c r="L65" i="15"/>
  <c r="N65" i="15" s="1"/>
  <c r="L66" i="15"/>
  <c r="N66" i="15" s="1"/>
  <c r="L67" i="15"/>
  <c r="N67" i="15" s="1"/>
  <c r="L68" i="15"/>
  <c r="N68" i="15" s="1"/>
  <c r="L69" i="15"/>
  <c r="N69" i="15" s="1"/>
  <c r="L70" i="15"/>
  <c r="L71" i="15"/>
  <c r="L72" i="15"/>
  <c r="L73" i="15"/>
  <c r="N73" i="15" s="1"/>
  <c r="L74" i="15"/>
  <c r="N74" i="15" s="1"/>
  <c r="L75" i="15"/>
  <c r="N75" i="15" s="1"/>
  <c r="L76" i="15"/>
  <c r="N76" i="15" s="1"/>
  <c r="L77" i="15"/>
  <c r="N77" i="15" s="1"/>
  <c r="L78" i="15"/>
  <c r="L79" i="15"/>
  <c r="L80" i="15"/>
  <c r="L81" i="15"/>
  <c r="N81" i="15" s="1"/>
  <c r="L82" i="15"/>
  <c r="N82" i="15" s="1"/>
  <c r="L83" i="15"/>
  <c r="N83" i="15" s="1"/>
  <c r="L84" i="15"/>
  <c r="N84" i="15" s="1"/>
  <c r="L85" i="15"/>
  <c r="N85" i="15" s="1"/>
  <c r="L86" i="15"/>
  <c r="L87" i="15"/>
  <c r="L88" i="15"/>
  <c r="L89" i="15"/>
  <c r="N89" i="15" s="1"/>
  <c r="L90" i="15"/>
  <c r="N90" i="15" s="1"/>
  <c r="L91" i="15"/>
  <c r="N91" i="15" s="1"/>
  <c r="L92" i="15"/>
  <c r="N92" i="15" s="1"/>
  <c r="L93" i="15"/>
  <c r="N93" i="15" s="1"/>
  <c r="L94" i="15"/>
  <c r="L95" i="15"/>
  <c r="L96" i="15"/>
  <c r="L97" i="15"/>
  <c r="N97" i="15" s="1"/>
  <c r="L98" i="15"/>
  <c r="N98" i="15" s="1"/>
  <c r="L99" i="15"/>
  <c r="N99" i="15" s="1"/>
  <c r="L100" i="15"/>
  <c r="N100" i="15" s="1"/>
  <c r="L101" i="15"/>
  <c r="N101" i="15" s="1"/>
  <c r="L102" i="15"/>
  <c r="L103" i="15"/>
  <c r="L104" i="15"/>
  <c r="L105" i="15"/>
  <c r="N105" i="15" s="1"/>
  <c r="L106" i="15"/>
  <c r="N106" i="15" s="1"/>
  <c r="L107" i="15"/>
  <c r="N107" i="15" s="1"/>
  <c r="L108" i="15"/>
  <c r="N108" i="15" s="1"/>
  <c r="L109" i="15"/>
  <c r="N109" i="15" s="1"/>
  <c r="L110" i="15"/>
  <c r="L111" i="15"/>
  <c r="L112" i="15"/>
  <c r="L113" i="15"/>
  <c r="N113" i="15" s="1"/>
  <c r="L114" i="15"/>
  <c r="N114" i="15" s="1"/>
  <c r="L115" i="15"/>
  <c r="N115" i="15" s="1"/>
  <c r="L116" i="15"/>
  <c r="N116" i="15" s="1"/>
  <c r="L117" i="15"/>
  <c r="N117" i="15" s="1"/>
  <c r="L118" i="15"/>
  <c r="L119" i="15"/>
  <c r="L120" i="15"/>
  <c r="L121" i="15"/>
  <c r="N121" i="15" s="1"/>
  <c r="L122" i="15"/>
  <c r="N122" i="15" s="1"/>
  <c r="L123" i="15"/>
  <c r="N123" i="15" s="1"/>
  <c r="L124" i="15"/>
  <c r="N124" i="15" s="1"/>
  <c r="L125" i="15"/>
  <c r="N125" i="15" s="1"/>
  <c r="L126" i="15"/>
  <c r="L127" i="15"/>
  <c r="L128" i="15"/>
  <c r="L129" i="15"/>
  <c r="N129" i="15" s="1"/>
  <c r="L130" i="15"/>
  <c r="N130" i="15" s="1"/>
  <c r="L131" i="15"/>
  <c r="N131" i="15" s="1"/>
  <c r="L132" i="15"/>
  <c r="N132" i="15" s="1"/>
  <c r="L133" i="15"/>
  <c r="N133" i="15" s="1"/>
  <c r="L134" i="15"/>
  <c r="L135" i="15"/>
  <c r="L136" i="15"/>
  <c r="L137" i="15"/>
  <c r="N137" i="15" s="1"/>
  <c r="L138" i="15"/>
  <c r="N138" i="15" s="1"/>
  <c r="L139" i="15"/>
  <c r="N139" i="15" s="1"/>
  <c r="L140" i="15"/>
  <c r="N140" i="15" s="1"/>
  <c r="L141" i="15"/>
  <c r="N141" i="15" s="1"/>
  <c r="L142" i="15"/>
  <c r="L143" i="15"/>
  <c r="L144" i="15"/>
  <c r="L145" i="15"/>
  <c r="N145" i="15" s="1"/>
  <c r="L146" i="15"/>
  <c r="N146" i="15" s="1"/>
  <c r="L147" i="15"/>
  <c r="N147" i="15" s="1"/>
  <c r="L148" i="15"/>
  <c r="N148" i="15" s="1"/>
  <c r="L149" i="15"/>
  <c r="N149" i="15" s="1"/>
  <c r="L150" i="15"/>
  <c r="L151" i="15"/>
  <c r="L152" i="15"/>
  <c r="L153" i="15"/>
  <c r="N153" i="15" s="1"/>
  <c r="L154" i="15"/>
  <c r="N154" i="15" s="1"/>
  <c r="L155" i="15"/>
  <c r="N155" i="15" s="1"/>
  <c r="L156" i="15"/>
  <c r="N156" i="15" s="1"/>
  <c r="L157" i="15"/>
  <c r="N157" i="15" s="1"/>
  <c r="L158" i="15"/>
  <c r="L159" i="15"/>
  <c r="L160" i="15"/>
  <c r="L161" i="15"/>
  <c r="N161" i="15" s="1"/>
  <c r="L162" i="15"/>
  <c r="N162" i="15" s="1"/>
  <c r="L163" i="15"/>
  <c r="N163" i="15" s="1"/>
  <c r="L164" i="15"/>
  <c r="N164" i="15" s="1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102" i="16"/>
  <c r="AD102" i="16" s="1"/>
  <c r="H103" i="16"/>
  <c r="H104" i="16"/>
  <c r="AD104" i="16" s="1"/>
  <c r="H105" i="16"/>
  <c r="AD105" i="16" s="1"/>
  <c r="H106" i="16"/>
  <c r="AD106" i="16" s="1"/>
  <c r="H107" i="16"/>
  <c r="AD107" i="16" s="1"/>
  <c r="H41" i="16"/>
  <c r="AD41" i="16" s="1"/>
  <c r="H42" i="16"/>
  <c r="AD42" i="16" s="1"/>
  <c r="H43" i="16"/>
  <c r="H44" i="16"/>
  <c r="H45" i="16"/>
  <c r="H46" i="16"/>
  <c r="H47" i="16"/>
  <c r="H48" i="16"/>
  <c r="H49" i="16"/>
  <c r="H50" i="16"/>
  <c r="H51" i="16"/>
  <c r="AD51" i="16" s="1"/>
  <c r="H20" i="16"/>
  <c r="H21" i="16"/>
  <c r="H22" i="16"/>
  <c r="H23" i="16"/>
  <c r="H24" i="16"/>
  <c r="H25" i="16"/>
  <c r="H26" i="16"/>
  <c r="H27" i="16"/>
  <c r="C20" i="16"/>
  <c r="D20" i="16" s="1"/>
  <c r="C21" i="16"/>
  <c r="C22" i="16"/>
  <c r="C23" i="16"/>
  <c r="C24" i="16"/>
  <c r="C29" i="12" s="1"/>
  <c r="C25" i="16"/>
  <c r="D25" i="16" s="1"/>
  <c r="C26" i="16"/>
  <c r="D26" i="16" s="1"/>
  <c r="C27" i="16"/>
  <c r="D27" i="16" s="1"/>
  <c r="C40" i="16"/>
  <c r="C41" i="16"/>
  <c r="C42" i="16"/>
  <c r="C43" i="16"/>
  <c r="C44" i="16"/>
  <c r="C45" i="16"/>
  <c r="C46" i="16"/>
  <c r="C47" i="16"/>
  <c r="C48" i="16"/>
  <c r="C49" i="16"/>
  <c r="C50" i="16"/>
  <c r="C51" i="16"/>
  <c r="H77" i="16"/>
  <c r="AD77" i="16" s="1"/>
  <c r="H62" i="16"/>
  <c r="H63" i="16"/>
  <c r="AD63" i="16" s="1"/>
  <c r="H64" i="16"/>
  <c r="AD64" i="16" s="1"/>
  <c r="H65" i="16"/>
  <c r="H66" i="16"/>
  <c r="H67" i="16"/>
  <c r="H68" i="16"/>
  <c r="H69" i="16"/>
  <c r="AD69" i="16" s="1"/>
  <c r="H70" i="16"/>
  <c r="H71" i="16"/>
  <c r="H72" i="16"/>
  <c r="H73" i="16"/>
  <c r="H74" i="16"/>
  <c r="H75" i="16"/>
  <c r="H76" i="16"/>
  <c r="C77" i="16"/>
  <c r="D77" i="16" s="1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105" i="16"/>
  <c r="C106" i="16"/>
  <c r="C107" i="16"/>
  <c r="C108" i="16"/>
  <c r="D108" i="16" s="1"/>
  <c r="H127" i="16"/>
  <c r="AD127" i="16" s="1"/>
  <c r="H128" i="16"/>
  <c r="H129" i="16"/>
  <c r="H130" i="16"/>
  <c r="H131" i="16"/>
  <c r="H132" i="16"/>
  <c r="H133" i="16"/>
  <c r="H134" i="16"/>
  <c r="H135" i="16"/>
  <c r="H136" i="16"/>
  <c r="H137" i="16"/>
  <c r="H138" i="16"/>
  <c r="H139" i="16"/>
  <c r="H140" i="16"/>
  <c r="AD140" i="16" s="1"/>
  <c r="H141" i="16"/>
  <c r="AD141" i="16" s="1"/>
  <c r="H142" i="16"/>
  <c r="H143" i="16"/>
  <c r="H144" i="16"/>
  <c r="AD144" i="16" s="1"/>
  <c r="H145" i="16"/>
  <c r="H146" i="16"/>
  <c r="AD146" i="16" s="1"/>
  <c r="H147" i="16"/>
  <c r="AD147" i="16" s="1"/>
  <c r="H148" i="16"/>
  <c r="H149" i="16"/>
  <c r="H150" i="16"/>
  <c r="H151" i="16"/>
  <c r="H152" i="16"/>
  <c r="H153" i="16"/>
  <c r="H154" i="16"/>
  <c r="AD154" i="16" s="1"/>
  <c r="H155" i="16"/>
  <c r="H156" i="16"/>
  <c r="AD156" i="16" s="1"/>
  <c r="H157" i="16"/>
  <c r="C127" i="16"/>
  <c r="C128" i="16"/>
  <c r="C129" i="16"/>
  <c r="C130" i="16"/>
  <c r="C131" i="16"/>
  <c r="C132" i="16"/>
  <c r="C133" i="16"/>
  <c r="C134" i="16"/>
  <c r="C135" i="16"/>
  <c r="C136" i="16"/>
  <c r="C137" i="16"/>
  <c r="C138" i="16"/>
  <c r="C139" i="16"/>
  <c r="C140" i="16"/>
  <c r="C141" i="16"/>
  <c r="C142" i="16"/>
  <c r="C143" i="16"/>
  <c r="C144" i="16"/>
  <c r="C145" i="16"/>
  <c r="C146" i="16"/>
  <c r="C147" i="16"/>
  <c r="C148" i="16"/>
  <c r="C149" i="16"/>
  <c r="C150" i="16"/>
  <c r="C151" i="16"/>
  <c r="C152" i="16"/>
  <c r="C153" i="16"/>
  <c r="C154" i="16"/>
  <c r="C155" i="16"/>
  <c r="C156" i="16"/>
  <c r="C157" i="16"/>
  <c r="C158" i="16"/>
  <c r="D158" i="16" s="1"/>
  <c r="C176" i="16"/>
  <c r="D176" i="16" s="1"/>
  <c r="C177" i="16"/>
  <c r="D177" i="16" s="1"/>
  <c r="C178" i="16"/>
  <c r="D178" i="16" s="1"/>
  <c r="C179" i="16"/>
  <c r="D179" i="16" s="1"/>
  <c r="C180" i="16"/>
  <c r="D180" i="16" s="1"/>
  <c r="C181" i="16"/>
  <c r="D181" i="16" s="1"/>
  <c r="C182" i="16"/>
  <c r="D182" i="16" s="1"/>
  <c r="C183" i="16"/>
  <c r="D183" i="16" s="1"/>
  <c r="C184" i="16"/>
  <c r="D184" i="16" s="1"/>
  <c r="C185" i="16"/>
  <c r="D185" i="16" s="1"/>
  <c r="C186" i="16"/>
  <c r="D186" i="16" s="1"/>
  <c r="C187" i="16"/>
  <c r="D187" i="16" s="1"/>
  <c r="C188" i="16"/>
  <c r="D188" i="16" s="1"/>
  <c r="C189" i="16"/>
  <c r="D189" i="16" s="1"/>
  <c r="C195" i="16"/>
  <c r="D195" i="16" s="1"/>
  <c r="C196" i="16"/>
  <c r="D196" i="16" s="1"/>
  <c r="C197" i="16"/>
  <c r="D197" i="16" s="1"/>
  <c r="C198" i="16"/>
  <c r="D198" i="16" s="1"/>
  <c r="C199" i="16"/>
  <c r="D199" i="16" s="1"/>
  <c r="C200" i="16"/>
  <c r="D200" i="16" s="1"/>
  <c r="C201" i="16"/>
  <c r="D201" i="16" s="1"/>
  <c r="C202" i="16"/>
  <c r="D202" i="16" s="1"/>
  <c r="C203" i="16"/>
  <c r="D203" i="16" s="1"/>
  <c r="C204" i="16"/>
  <c r="D204" i="16" s="1"/>
  <c r="C205" i="16"/>
  <c r="D205" i="16" s="1"/>
  <c r="C206" i="16"/>
  <c r="D206" i="16" s="1"/>
  <c r="C207" i="16"/>
  <c r="D207" i="16" s="1"/>
  <c r="C208" i="16"/>
  <c r="D208" i="16" s="1"/>
  <c r="H217" i="16"/>
  <c r="H218" i="16"/>
  <c r="H219" i="16"/>
  <c r="H220" i="16"/>
  <c r="H221" i="16"/>
  <c r="H222" i="16"/>
  <c r="AD222" i="16" s="1"/>
  <c r="H223" i="16"/>
  <c r="H224" i="16"/>
  <c r="H225" i="16"/>
  <c r="H226" i="16"/>
  <c r="H227" i="16"/>
  <c r="AD227" i="16" s="1"/>
  <c r="H228" i="16"/>
  <c r="AD228" i="16" s="1"/>
  <c r="H229" i="16"/>
  <c r="AD229" i="16" s="1"/>
  <c r="H230" i="16"/>
  <c r="AD230" i="16" s="1"/>
  <c r="H231" i="16"/>
  <c r="H232" i="16"/>
  <c r="H233" i="16"/>
  <c r="H234" i="16"/>
  <c r="H235" i="16"/>
  <c r="H236" i="16"/>
  <c r="H237" i="16"/>
  <c r="H238" i="16"/>
  <c r="H239" i="16"/>
  <c r="AD239" i="16" s="1"/>
  <c r="H240" i="16"/>
  <c r="H241" i="16"/>
  <c r="H242" i="16"/>
  <c r="H243" i="16"/>
  <c r="H244" i="16"/>
  <c r="H245" i="16"/>
  <c r="C217" i="16"/>
  <c r="C218" i="16"/>
  <c r="C219" i="16"/>
  <c r="C220" i="16"/>
  <c r="C221" i="16"/>
  <c r="C222" i="16"/>
  <c r="C223" i="16"/>
  <c r="C224" i="16"/>
  <c r="C225" i="16"/>
  <c r="C226" i="16"/>
  <c r="C227" i="16"/>
  <c r="C228" i="16"/>
  <c r="C229" i="16"/>
  <c r="C230" i="16"/>
  <c r="C231" i="16"/>
  <c r="C232" i="16"/>
  <c r="C233" i="16"/>
  <c r="C234" i="16"/>
  <c r="C235" i="16"/>
  <c r="C236" i="16"/>
  <c r="C237" i="16"/>
  <c r="C238" i="16"/>
  <c r="C239" i="16"/>
  <c r="C240" i="16"/>
  <c r="C241" i="16"/>
  <c r="C242" i="16"/>
  <c r="C243" i="16"/>
  <c r="C244" i="16"/>
  <c r="C245" i="16"/>
  <c r="C299" i="16"/>
  <c r="C300" i="16"/>
  <c r="C301" i="16"/>
  <c r="C302" i="16"/>
  <c r="C303" i="16"/>
  <c r="C304" i="16"/>
  <c r="C305" i="16"/>
  <c r="C306" i="16"/>
  <c r="C307" i="16"/>
  <c r="C308" i="16"/>
  <c r="C309" i="16"/>
  <c r="C310" i="16"/>
  <c r="C311" i="16"/>
  <c r="C312" i="16"/>
  <c r="C313" i="16"/>
  <c r="C314" i="16"/>
  <c r="C315" i="16"/>
  <c r="C316" i="16"/>
  <c r="C317" i="16"/>
  <c r="C318" i="16"/>
  <c r="C319" i="16"/>
  <c r="H322" i="16"/>
  <c r="AD322" i="16" s="1"/>
  <c r="H323" i="16"/>
  <c r="AD323" i="16" s="1"/>
  <c r="C322" i="16"/>
  <c r="C323" i="16"/>
  <c r="C324" i="16"/>
  <c r="C325" i="16"/>
  <c r="C326" i="16"/>
  <c r="AC27" i="16" l="1"/>
  <c r="AD19" i="16"/>
  <c r="AD20" i="16"/>
  <c r="AD21" i="16"/>
  <c r="AD22" i="16"/>
  <c r="AD23" i="16"/>
  <c r="AD24" i="16"/>
  <c r="AD25" i="16"/>
  <c r="AD26" i="16"/>
  <c r="AD32" i="16"/>
  <c r="AD43" i="16"/>
  <c r="AD44" i="16"/>
  <c r="AD50" i="16"/>
  <c r="AD49" i="16"/>
  <c r="AD45" i="16"/>
  <c r="AD46" i="16"/>
  <c r="AD47" i="16"/>
  <c r="AD48" i="16"/>
  <c r="AC67" i="16"/>
  <c r="AD62" i="16"/>
  <c r="AC61" i="16"/>
  <c r="AC66" i="16"/>
  <c r="AD65" i="16"/>
  <c r="AE65" i="16"/>
  <c r="AD68" i="16"/>
  <c r="AD70" i="16"/>
  <c r="AC72" i="16"/>
  <c r="AD71" i="16"/>
  <c r="AD73" i="16"/>
  <c r="AD76" i="16"/>
  <c r="AD75" i="16"/>
  <c r="AD74" i="16"/>
  <c r="AC84" i="16"/>
  <c r="AD89" i="16"/>
  <c r="AD88" i="16"/>
  <c r="AD90" i="16"/>
  <c r="AD91" i="16"/>
  <c r="AE91" i="16"/>
  <c r="AD92" i="16"/>
  <c r="AD93" i="16"/>
  <c r="AD94" i="16"/>
  <c r="AD95" i="16"/>
  <c r="AE95" i="16"/>
  <c r="AD96" i="16"/>
  <c r="AD97" i="16"/>
  <c r="AD98" i="16"/>
  <c r="AD99" i="16"/>
  <c r="AE99" i="16"/>
  <c r="AD100" i="16"/>
  <c r="AD101" i="16"/>
  <c r="AD103" i="16"/>
  <c r="AD152" i="16"/>
  <c r="AE152" i="16"/>
  <c r="AD153" i="16"/>
  <c r="AD155" i="16"/>
  <c r="AD157" i="16"/>
  <c r="AE157" i="16"/>
  <c r="AD151" i="16"/>
  <c r="AC149" i="16"/>
  <c r="AD150" i="16"/>
  <c r="AD138" i="16"/>
  <c r="AD145" i="16"/>
  <c r="AD143" i="16"/>
  <c r="AD142" i="16"/>
  <c r="AD139" i="16"/>
  <c r="AD137" i="16"/>
  <c r="AD136" i="16"/>
  <c r="AD135" i="16"/>
  <c r="AD134" i="16"/>
  <c r="AD133" i="16"/>
  <c r="AD132" i="16"/>
  <c r="AD131" i="16"/>
  <c r="AD130" i="16"/>
  <c r="AD129" i="16"/>
  <c r="AD128" i="16"/>
  <c r="AA188" i="16"/>
  <c r="AD188" i="16"/>
  <c r="AE188" i="16"/>
  <c r="AA187" i="16"/>
  <c r="AD187" i="16"/>
  <c r="AE187" i="16"/>
  <c r="AD167" i="16"/>
  <c r="AD173" i="16"/>
  <c r="AA176" i="16"/>
  <c r="AD176" i="16"/>
  <c r="AE176" i="16"/>
  <c r="AA177" i="16"/>
  <c r="AD177" i="16"/>
  <c r="AE177" i="16"/>
  <c r="AA178" i="16"/>
  <c r="AD178" i="16"/>
  <c r="AE178" i="16"/>
  <c r="AA179" i="16"/>
  <c r="AD179" i="16"/>
  <c r="AE179" i="16"/>
  <c r="AA180" i="16"/>
  <c r="AD180" i="16"/>
  <c r="AE180" i="16"/>
  <c r="AA181" i="16"/>
  <c r="AD181" i="16"/>
  <c r="AE181" i="16"/>
  <c r="AA182" i="16"/>
  <c r="AD182" i="16"/>
  <c r="AE182" i="16"/>
  <c r="AA184" i="16"/>
  <c r="AD184" i="16"/>
  <c r="AE184" i="16"/>
  <c r="AA183" i="16"/>
  <c r="AD183" i="16"/>
  <c r="AE183" i="16"/>
  <c r="AA185" i="16"/>
  <c r="AD185" i="16"/>
  <c r="AE185" i="16"/>
  <c r="AA186" i="16"/>
  <c r="AD186" i="16"/>
  <c r="AE186" i="16"/>
  <c r="AA195" i="16"/>
  <c r="AD195" i="16"/>
  <c r="AE195" i="16"/>
  <c r="AA205" i="16"/>
  <c r="AD205" i="16"/>
  <c r="AE205" i="16"/>
  <c r="AA196" i="16"/>
  <c r="AD196" i="16"/>
  <c r="AE196" i="16"/>
  <c r="AA197" i="16"/>
  <c r="AD197" i="16"/>
  <c r="AE197" i="16"/>
  <c r="AA198" i="16"/>
  <c r="AD198" i="16"/>
  <c r="AE198" i="16"/>
  <c r="AA199" i="16"/>
  <c r="AD199" i="16"/>
  <c r="AE199" i="16"/>
  <c r="AA200" i="16"/>
  <c r="AD200" i="16"/>
  <c r="AE200" i="16"/>
  <c r="AA201" i="16"/>
  <c r="AD201" i="16"/>
  <c r="AE201" i="16"/>
  <c r="AA202" i="16"/>
  <c r="AD202" i="16"/>
  <c r="AE202" i="16"/>
  <c r="AA204" i="16"/>
  <c r="AD204" i="16"/>
  <c r="AE204" i="16"/>
  <c r="AA207" i="16"/>
  <c r="AD207" i="16"/>
  <c r="AE207" i="16"/>
  <c r="AA208" i="16"/>
  <c r="AD208" i="16"/>
  <c r="AE208" i="16"/>
  <c r="AC216" i="16"/>
  <c r="AD217" i="16"/>
  <c r="AD218" i="16"/>
  <c r="AE218" i="16"/>
  <c r="AD219" i="16"/>
  <c r="AD220" i="16"/>
  <c r="AD221" i="16"/>
  <c r="AD226" i="16"/>
  <c r="AE226" i="16"/>
  <c r="AD225" i="16"/>
  <c r="AD224" i="16"/>
  <c r="AD223" i="16"/>
  <c r="AD231" i="16"/>
  <c r="AD232" i="16"/>
  <c r="AD233" i="16"/>
  <c r="AD234" i="16"/>
  <c r="AD235" i="16"/>
  <c r="AD236" i="16"/>
  <c r="AD237" i="16"/>
  <c r="AD238" i="16"/>
  <c r="AD240" i="16"/>
  <c r="AE240" i="16"/>
  <c r="AD241" i="16"/>
  <c r="AD242" i="16"/>
  <c r="AD243" i="16"/>
  <c r="AD244" i="16"/>
  <c r="AD245" i="16"/>
  <c r="I25" i="16"/>
  <c r="AE25" i="16" s="1"/>
  <c r="Z25" i="16"/>
  <c r="I49" i="16"/>
  <c r="AE49" i="16" s="1"/>
  <c r="Z49" i="16"/>
  <c r="I41" i="16"/>
  <c r="AE41" i="16" s="1"/>
  <c r="Z41" i="16"/>
  <c r="I100" i="16"/>
  <c r="AE100" i="16" s="1"/>
  <c r="Z100" i="16"/>
  <c r="I92" i="16"/>
  <c r="AE92" i="16" s="1"/>
  <c r="Z92" i="16"/>
  <c r="I243" i="16"/>
  <c r="AE243" i="16" s="1"/>
  <c r="Z243" i="16"/>
  <c r="I148" i="16"/>
  <c r="Z148" i="16"/>
  <c r="I69" i="16"/>
  <c r="AE69" i="16" s="1"/>
  <c r="Z69" i="16"/>
  <c r="I77" i="16"/>
  <c r="AE77" i="16" s="1"/>
  <c r="Z77" i="16"/>
  <c r="I24" i="16"/>
  <c r="AE24" i="16" s="1"/>
  <c r="Z24" i="16"/>
  <c r="Z48" i="16"/>
  <c r="Z107" i="16"/>
  <c r="Z99" i="16"/>
  <c r="I91" i="16"/>
  <c r="Z91" i="16"/>
  <c r="I26" i="16"/>
  <c r="AE26" i="16" s="1"/>
  <c r="Z26" i="16"/>
  <c r="I50" i="16"/>
  <c r="AE50" i="16" s="1"/>
  <c r="Z50" i="16"/>
  <c r="I42" i="16"/>
  <c r="AE42" i="16" s="1"/>
  <c r="Z42" i="16"/>
  <c r="I93" i="16"/>
  <c r="AE93" i="16" s="1"/>
  <c r="Z93" i="16"/>
  <c r="I241" i="16"/>
  <c r="AE241" i="16" s="1"/>
  <c r="Z241" i="16"/>
  <c r="I217" i="16"/>
  <c r="AE217" i="16" s="1"/>
  <c r="Z217" i="16"/>
  <c r="I146" i="16"/>
  <c r="AE146" i="16" s="1"/>
  <c r="Z146" i="16"/>
  <c r="I138" i="16"/>
  <c r="AE138" i="16" s="1"/>
  <c r="Z138" i="16"/>
  <c r="I70" i="16"/>
  <c r="AE70" i="16" s="1"/>
  <c r="Z70" i="16"/>
  <c r="I224" i="16"/>
  <c r="AE224" i="16" s="1"/>
  <c r="Z224" i="16"/>
  <c r="I153" i="16"/>
  <c r="AE153" i="16" s="1"/>
  <c r="Z153" i="16"/>
  <c r="I137" i="16"/>
  <c r="AE137" i="16" s="1"/>
  <c r="Z137" i="16"/>
  <c r="I239" i="16"/>
  <c r="AE239" i="16" s="1"/>
  <c r="Z239" i="16"/>
  <c r="I231" i="16"/>
  <c r="AE231" i="16" s="1"/>
  <c r="Z231" i="16"/>
  <c r="I223" i="16"/>
  <c r="AE223" i="16" s="1"/>
  <c r="Z223" i="16"/>
  <c r="I152" i="16"/>
  <c r="Z152" i="16"/>
  <c r="I144" i="16"/>
  <c r="AE144" i="16" s="1"/>
  <c r="Z144" i="16"/>
  <c r="I136" i="16"/>
  <c r="AE136" i="16" s="1"/>
  <c r="Z136" i="16"/>
  <c r="I128" i="16"/>
  <c r="AE128" i="16" s="1"/>
  <c r="Z128" i="16"/>
  <c r="I76" i="16"/>
  <c r="AE76" i="16" s="1"/>
  <c r="Z76" i="16"/>
  <c r="I68" i="16"/>
  <c r="AE68" i="16" s="1"/>
  <c r="Z68" i="16"/>
  <c r="I23" i="16"/>
  <c r="AE23" i="16" s="1"/>
  <c r="Z23" i="16"/>
  <c r="Z47" i="16"/>
  <c r="I106" i="16"/>
  <c r="AE106" i="16" s="1"/>
  <c r="Z106" i="16"/>
  <c r="I98" i="16"/>
  <c r="AE98" i="16" s="1"/>
  <c r="Z98" i="16"/>
  <c r="I90" i="16"/>
  <c r="AE90" i="16" s="1"/>
  <c r="Z90" i="16"/>
  <c r="I228" i="16"/>
  <c r="AE228" i="16" s="1"/>
  <c r="Z228" i="16"/>
  <c r="I227" i="16"/>
  <c r="AE227" i="16" s="1"/>
  <c r="Z227" i="16"/>
  <c r="I323" i="16"/>
  <c r="AE323" i="16" s="1"/>
  <c r="Z323" i="16"/>
  <c r="I242" i="16"/>
  <c r="AE242" i="16" s="1"/>
  <c r="Z242" i="16"/>
  <c r="I226" i="16"/>
  <c r="Z226" i="16"/>
  <c r="I218" i="16"/>
  <c r="Z218" i="16"/>
  <c r="I155" i="16"/>
  <c r="AE155" i="16" s="1"/>
  <c r="Z155" i="16"/>
  <c r="I139" i="16"/>
  <c r="AE139" i="16" s="1"/>
  <c r="Z139" i="16"/>
  <c r="I131" i="16"/>
  <c r="AE131" i="16" s="1"/>
  <c r="Z131" i="16"/>
  <c r="I63" i="16"/>
  <c r="AE63" i="16" s="1"/>
  <c r="Z63" i="16"/>
  <c r="I322" i="16"/>
  <c r="AE322" i="16" s="1"/>
  <c r="Z322" i="16"/>
  <c r="I233" i="16"/>
  <c r="AE233" i="16" s="1"/>
  <c r="Z233" i="16"/>
  <c r="I225" i="16"/>
  <c r="AE225" i="16" s="1"/>
  <c r="Z225" i="16"/>
  <c r="I154" i="16"/>
  <c r="AE154" i="16" s="1"/>
  <c r="Z154" i="16"/>
  <c r="I130" i="16"/>
  <c r="AE130" i="16" s="1"/>
  <c r="Z130" i="16"/>
  <c r="I62" i="16"/>
  <c r="AE62" i="16" s="1"/>
  <c r="Z62" i="16"/>
  <c r="I240" i="16"/>
  <c r="Z240" i="16"/>
  <c r="I232" i="16"/>
  <c r="AE232" i="16" s="1"/>
  <c r="Z232" i="16"/>
  <c r="I145" i="16"/>
  <c r="AE145" i="16" s="1"/>
  <c r="Z145" i="16"/>
  <c r="I129" i="16"/>
  <c r="AE129" i="16" s="1"/>
  <c r="Z129" i="16"/>
  <c r="I238" i="16"/>
  <c r="AE238" i="16" s="1"/>
  <c r="Z238" i="16"/>
  <c r="I230" i="16"/>
  <c r="AE230" i="16" s="1"/>
  <c r="Z230" i="16"/>
  <c r="I222" i="16"/>
  <c r="AE222" i="16" s="1"/>
  <c r="Z222" i="16"/>
  <c r="I151" i="16"/>
  <c r="AE151" i="16" s="1"/>
  <c r="Z151" i="16"/>
  <c r="I143" i="16"/>
  <c r="AE143" i="16" s="1"/>
  <c r="Z143" i="16"/>
  <c r="I135" i="16"/>
  <c r="AE135" i="16" s="1"/>
  <c r="Z135" i="16"/>
  <c r="I127" i="16"/>
  <c r="AE127" i="16" s="1"/>
  <c r="Z127" i="16"/>
  <c r="I75" i="16"/>
  <c r="AE75" i="16" s="1"/>
  <c r="Z75" i="16"/>
  <c r="I67" i="16"/>
  <c r="Z67" i="16"/>
  <c r="Z22" i="16"/>
  <c r="I46" i="16"/>
  <c r="AE46" i="16" s="1"/>
  <c r="Z46" i="16"/>
  <c r="I105" i="16"/>
  <c r="AE105" i="16" s="1"/>
  <c r="Z105" i="16"/>
  <c r="I97" i="16"/>
  <c r="AE97" i="16" s="1"/>
  <c r="Z97" i="16"/>
  <c r="I89" i="16"/>
  <c r="AE89" i="16" s="1"/>
  <c r="Z89" i="16"/>
  <c r="I245" i="16"/>
  <c r="AE245" i="16" s="1"/>
  <c r="Z245" i="16"/>
  <c r="I237" i="16"/>
  <c r="AE237" i="16" s="1"/>
  <c r="Z237" i="16"/>
  <c r="I229" i="16"/>
  <c r="AE229" i="16" s="1"/>
  <c r="Z229" i="16"/>
  <c r="I221" i="16"/>
  <c r="AE221" i="16" s="1"/>
  <c r="Z221" i="16"/>
  <c r="I150" i="16"/>
  <c r="AE150" i="16" s="1"/>
  <c r="Z150" i="16"/>
  <c r="I142" i="16"/>
  <c r="AE142" i="16" s="1"/>
  <c r="Z142" i="16"/>
  <c r="I134" i="16"/>
  <c r="AE134" i="16" s="1"/>
  <c r="Z134" i="16"/>
  <c r="I74" i="16"/>
  <c r="AE74" i="16" s="1"/>
  <c r="Z74" i="16"/>
  <c r="I66" i="16"/>
  <c r="Z66" i="16"/>
  <c r="I21" i="16"/>
  <c r="AE21" i="16" s="1"/>
  <c r="Z21" i="16"/>
  <c r="I45" i="16"/>
  <c r="AE45" i="16" s="1"/>
  <c r="Z45" i="16"/>
  <c r="I104" i="16"/>
  <c r="AE104" i="16" s="1"/>
  <c r="Z104" i="16"/>
  <c r="I96" i="16"/>
  <c r="AE96" i="16" s="1"/>
  <c r="Z96" i="16"/>
  <c r="I88" i="16"/>
  <c r="AE88" i="16" s="1"/>
  <c r="Z88" i="16"/>
  <c r="I244" i="16"/>
  <c r="AE244" i="16" s="1"/>
  <c r="Z244" i="16"/>
  <c r="I220" i="16"/>
  <c r="AE220" i="16" s="1"/>
  <c r="Z220" i="16"/>
  <c r="I157" i="16"/>
  <c r="Z157" i="16"/>
  <c r="I149" i="16"/>
  <c r="Z149" i="16"/>
  <c r="I141" i="16"/>
  <c r="AE141" i="16" s="1"/>
  <c r="Z141" i="16"/>
  <c r="I133" i="16"/>
  <c r="AE133" i="16" s="1"/>
  <c r="Z133" i="16"/>
  <c r="I73" i="16"/>
  <c r="AE73" i="16" s="1"/>
  <c r="Z73" i="16"/>
  <c r="I65" i="16"/>
  <c r="Z65" i="16"/>
  <c r="Z20" i="16"/>
  <c r="Z44" i="16"/>
  <c r="Z103" i="16"/>
  <c r="I95" i="16"/>
  <c r="Z95" i="16"/>
  <c r="I235" i="16"/>
  <c r="AE235" i="16" s="1"/>
  <c r="Z235" i="16"/>
  <c r="I156" i="16"/>
  <c r="AE156" i="16" s="1"/>
  <c r="Z156" i="16"/>
  <c r="I140" i="16"/>
  <c r="AE140" i="16" s="1"/>
  <c r="Z140" i="16"/>
  <c r="I132" i="16"/>
  <c r="AE132" i="16" s="1"/>
  <c r="Z132" i="16"/>
  <c r="I72" i="16"/>
  <c r="Z72" i="16"/>
  <c r="I64" i="16"/>
  <c r="AE64" i="16" s="1"/>
  <c r="Z64" i="16"/>
  <c r="I27" i="16"/>
  <c r="Z27" i="16"/>
  <c r="Z51" i="16"/>
  <c r="I43" i="16"/>
  <c r="AE43" i="16" s="1"/>
  <c r="Z43" i="16"/>
  <c r="I102" i="16"/>
  <c r="AE102" i="16" s="1"/>
  <c r="Z102" i="16"/>
  <c r="I94" i="16"/>
  <c r="AE94" i="16" s="1"/>
  <c r="Z94" i="16"/>
  <c r="I236" i="16"/>
  <c r="AE236" i="16" s="1"/>
  <c r="Z236" i="16"/>
  <c r="I219" i="16"/>
  <c r="AE219" i="16" s="1"/>
  <c r="Z219" i="16"/>
  <c r="I234" i="16"/>
  <c r="AE234" i="16" s="1"/>
  <c r="Z234" i="16"/>
  <c r="I147" i="16"/>
  <c r="AE147" i="16" s="1"/>
  <c r="Z147" i="16"/>
  <c r="I71" i="16"/>
  <c r="AE71" i="16" s="1"/>
  <c r="Z71" i="16"/>
  <c r="I101" i="16"/>
  <c r="AE101" i="16" s="1"/>
  <c r="Z101" i="16"/>
  <c r="I20" i="16"/>
  <c r="AE20" i="16" s="1"/>
  <c r="AB5" i="4"/>
  <c r="AB16" i="4"/>
  <c r="AB4" i="4"/>
  <c r="AB19" i="4"/>
  <c r="AB15" i="4"/>
  <c r="AB11" i="4"/>
  <c r="AB7" i="4"/>
  <c r="AB17" i="4"/>
  <c r="AB9" i="4"/>
  <c r="AB8" i="4"/>
  <c r="AB13" i="4"/>
  <c r="AB12" i="4"/>
  <c r="AB18" i="4"/>
  <c r="AB14" i="4"/>
  <c r="AB10" i="4"/>
  <c r="AB6" i="4"/>
  <c r="D51" i="16"/>
  <c r="D46" i="16"/>
  <c r="D98" i="16"/>
  <c r="D103" i="16"/>
  <c r="D102" i="16"/>
  <c r="D94" i="16"/>
  <c r="D43" i="16"/>
  <c r="I47" i="16"/>
  <c r="AE47" i="16" s="1"/>
  <c r="I107" i="16"/>
  <c r="AE107" i="16" s="1"/>
  <c r="D49" i="16"/>
  <c r="D107" i="16"/>
  <c r="I51" i="16"/>
  <c r="AE51" i="16" s="1"/>
  <c r="D105" i="16"/>
  <c r="D97" i="16"/>
  <c r="D89" i="16"/>
  <c r="D41" i="16"/>
  <c r="D99" i="16"/>
  <c r="D91" i="16"/>
  <c r="D48" i="16"/>
  <c r="I99" i="16"/>
  <c r="I44" i="16"/>
  <c r="AE44" i="16" s="1"/>
  <c r="D45" i="16"/>
  <c r="D44" i="16"/>
  <c r="D95" i="16"/>
  <c r="D50" i="16"/>
  <c r="D42" i="16"/>
  <c r="D22" i="16"/>
  <c r="I22" i="16"/>
  <c r="AE22" i="16" s="1"/>
  <c r="I48" i="16"/>
  <c r="AE48" i="16" s="1"/>
  <c r="I103" i="16"/>
  <c r="AE103" i="16" s="1"/>
  <c r="D141" i="16"/>
  <c r="D106" i="16"/>
  <c r="D90" i="16"/>
  <c r="N165" i="15"/>
  <c r="D21" i="16"/>
  <c r="D24" i="16"/>
  <c r="D29" i="12" s="1"/>
  <c r="D23" i="16"/>
  <c r="D101" i="16"/>
  <c r="D93" i="16"/>
  <c r="D100" i="16"/>
  <c r="D92" i="16"/>
  <c r="D104" i="16"/>
  <c r="D96" i="16"/>
  <c r="D88" i="16"/>
  <c r="D47" i="16"/>
  <c r="D135" i="16"/>
  <c r="D148" i="16"/>
  <c r="D153" i="16"/>
  <c r="D145" i="16"/>
  <c r="D137" i="16"/>
  <c r="C72" i="16"/>
  <c r="D72" i="16" s="1"/>
  <c r="C69" i="16"/>
  <c r="D69" i="16" s="1"/>
  <c r="C62" i="16"/>
  <c r="D62" i="16" s="1"/>
  <c r="C63" i="16"/>
  <c r="D63" i="16" s="1"/>
  <c r="C64" i="16"/>
  <c r="D64" i="16" s="1"/>
  <c r="C65" i="16"/>
  <c r="D65" i="16" s="1"/>
  <c r="C66" i="16"/>
  <c r="D66" i="16" s="1"/>
  <c r="C67" i="16"/>
  <c r="D67" i="16" s="1"/>
  <c r="C68" i="16"/>
  <c r="D68" i="16" s="1"/>
  <c r="C70" i="16"/>
  <c r="D70" i="16" s="1"/>
  <c r="C71" i="16"/>
  <c r="D71" i="16" s="1"/>
  <c r="C73" i="16"/>
  <c r="D73" i="16" s="1"/>
  <c r="C74" i="16"/>
  <c r="D74" i="16" s="1"/>
  <c r="C75" i="16"/>
  <c r="D75" i="16" s="1"/>
  <c r="C76" i="16"/>
  <c r="D76" i="16" s="1"/>
  <c r="D128" i="16"/>
  <c r="D130" i="16"/>
  <c r="D157" i="16"/>
  <c r="D149" i="16"/>
  <c r="D129" i="16"/>
  <c r="D156" i="16"/>
  <c r="D134" i="16"/>
  <c r="D133" i="16"/>
  <c r="D154" i="16"/>
  <c r="D140" i="16"/>
  <c r="D146" i="16"/>
  <c r="D138" i="16"/>
  <c r="D132" i="16"/>
  <c r="D237" i="16"/>
  <c r="D150" i="16"/>
  <c r="D144" i="16"/>
  <c r="D139" i="16"/>
  <c r="D243" i="16"/>
  <c r="D235" i="16"/>
  <c r="D227" i="16"/>
  <c r="D155" i="16"/>
  <c r="D142" i="16"/>
  <c r="D136" i="16"/>
  <c r="D152" i="16"/>
  <c r="D225" i="16"/>
  <c r="D217" i="16"/>
  <c r="D147" i="16"/>
  <c r="D127" i="16"/>
  <c r="D151" i="16"/>
  <c r="D131" i="16"/>
  <c r="D143" i="16"/>
  <c r="D244" i="16"/>
  <c r="D220" i="16"/>
  <c r="D239" i="16"/>
  <c r="D231" i="16"/>
  <c r="D240" i="16"/>
  <c r="D232" i="16"/>
  <c r="D224" i="16"/>
  <c r="D219" i="16"/>
  <c r="D238" i="16"/>
  <c r="D230" i="16"/>
  <c r="D245" i="16"/>
  <c r="D223" i="16"/>
  <c r="D229" i="16"/>
  <c r="D222" i="16"/>
  <c r="D236" i="16"/>
  <c r="D228" i="16"/>
  <c r="D221" i="16"/>
  <c r="D242" i="16"/>
  <c r="D234" i="16"/>
  <c r="D241" i="16"/>
  <c r="D233" i="16"/>
  <c r="D226" i="16"/>
  <c r="D218" i="16"/>
  <c r="D323" i="16"/>
  <c r="D322" i="16"/>
  <c r="C329" i="16"/>
  <c r="D329" i="16" s="1"/>
  <c r="H327" i="16"/>
  <c r="AD327" i="16" s="1"/>
  <c r="H326" i="16"/>
  <c r="AD326" i="16" s="1"/>
  <c r="H325" i="16"/>
  <c r="AD325" i="16" s="1"/>
  <c r="H324" i="16"/>
  <c r="AD324" i="16" s="1"/>
  <c r="H321" i="16"/>
  <c r="AD321" i="16" s="1"/>
  <c r="C321" i="16"/>
  <c r="H320" i="16"/>
  <c r="AD320" i="16" s="1"/>
  <c r="H319" i="16"/>
  <c r="AD319" i="16" s="1"/>
  <c r="H318" i="16"/>
  <c r="AD318" i="16" s="1"/>
  <c r="H317" i="16"/>
  <c r="AD317" i="16" s="1"/>
  <c r="H316" i="16"/>
  <c r="AD316" i="16" s="1"/>
  <c r="H315" i="16"/>
  <c r="H314" i="16"/>
  <c r="H313" i="16"/>
  <c r="AD313" i="16" s="1"/>
  <c r="H312" i="16"/>
  <c r="AD312" i="16" s="1"/>
  <c r="H311" i="16"/>
  <c r="AD311" i="16" s="1"/>
  <c r="H310" i="16"/>
  <c r="AD310" i="16" s="1"/>
  <c r="H309" i="16"/>
  <c r="AD309" i="16" s="1"/>
  <c r="H308" i="16"/>
  <c r="AD308" i="16" s="1"/>
  <c r="H307" i="16"/>
  <c r="AD307" i="16" s="1"/>
  <c r="H306" i="16"/>
  <c r="AD306" i="16" s="1"/>
  <c r="H305" i="16"/>
  <c r="AD305" i="16" s="1"/>
  <c r="H304" i="16"/>
  <c r="AD304" i="16" s="1"/>
  <c r="H303" i="16"/>
  <c r="AD303" i="16" s="1"/>
  <c r="H302" i="16"/>
  <c r="AD302" i="16" s="1"/>
  <c r="H301" i="16"/>
  <c r="AD301" i="16" s="1"/>
  <c r="H300" i="16"/>
  <c r="AD300" i="16" s="1"/>
  <c r="H299" i="16"/>
  <c r="AD299" i="16" s="1"/>
  <c r="H298" i="16"/>
  <c r="AD298" i="16" s="1"/>
  <c r="C298" i="16"/>
  <c r="H297" i="16"/>
  <c r="AD297" i="16" s="1"/>
  <c r="C297" i="16"/>
  <c r="H296" i="16"/>
  <c r="AD296" i="16" s="1"/>
  <c r="C296" i="16"/>
  <c r="H295" i="16"/>
  <c r="AD295" i="16" s="1"/>
  <c r="C295" i="16"/>
  <c r="H294" i="16"/>
  <c r="AD294" i="16" s="1"/>
  <c r="C294" i="16"/>
  <c r="H293" i="16"/>
  <c r="AD293" i="16" s="1"/>
  <c r="C293" i="16"/>
  <c r="H292" i="16"/>
  <c r="AD292" i="16" s="1"/>
  <c r="C292" i="16"/>
  <c r="H291" i="16"/>
  <c r="AD291" i="16" s="1"/>
  <c r="C291" i="16"/>
  <c r="H290" i="16"/>
  <c r="AD290" i="16" s="1"/>
  <c r="C290" i="16"/>
  <c r="H289" i="16"/>
  <c r="AD289" i="16" s="1"/>
  <c r="C289" i="16"/>
  <c r="H288" i="16"/>
  <c r="AD288" i="16" s="1"/>
  <c r="C288" i="16"/>
  <c r="H287" i="16"/>
  <c r="AD287" i="16" s="1"/>
  <c r="C287" i="16"/>
  <c r="H286" i="16"/>
  <c r="AD286" i="16" s="1"/>
  <c r="C286" i="16"/>
  <c r="H285" i="16"/>
  <c r="AD285" i="16" s="1"/>
  <c r="C285" i="16"/>
  <c r="H284" i="16"/>
  <c r="AD284" i="16" s="1"/>
  <c r="C284" i="16"/>
  <c r="H282" i="16"/>
  <c r="AD282" i="16" s="1"/>
  <c r="C282" i="16"/>
  <c r="H281" i="16"/>
  <c r="AD281" i="16" s="1"/>
  <c r="C281" i="16"/>
  <c r="H280" i="16"/>
  <c r="AD280" i="16" s="1"/>
  <c r="C280" i="16"/>
  <c r="H279" i="16"/>
  <c r="AD279" i="16" s="1"/>
  <c r="C279" i="16"/>
  <c r="H278" i="16"/>
  <c r="AD278" i="16" s="1"/>
  <c r="C278" i="16"/>
  <c r="H277" i="16"/>
  <c r="AD277" i="16" s="1"/>
  <c r="C277" i="16"/>
  <c r="H275" i="16"/>
  <c r="AD275" i="16" s="1"/>
  <c r="C275" i="16"/>
  <c r="H274" i="16"/>
  <c r="AD274" i="16" s="1"/>
  <c r="C274" i="16"/>
  <c r="H273" i="16"/>
  <c r="AD273" i="16" s="1"/>
  <c r="C273" i="16"/>
  <c r="H272" i="16"/>
  <c r="AD272" i="16" s="1"/>
  <c r="C272" i="16"/>
  <c r="H270" i="16"/>
  <c r="AD270" i="16" s="1"/>
  <c r="C270" i="16"/>
  <c r="C268" i="16"/>
  <c r="D268" i="16" s="1"/>
  <c r="H266" i="16"/>
  <c r="AD266" i="16" s="1"/>
  <c r="C266" i="16"/>
  <c r="H265" i="16"/>
  <c r="C265" i="16"/>
  <c r="H264" i="16"/>
  <c r="AD264" i="16" s="1"/>
  <c r="C264" i="16"/>
  <c r="H263" i="16"/>
  <c r="C263" i="16"/>
  <c r="H262" i="16"/>
  <c r="C262" i="16"/>
  <c r="C261" i="16"/>
  <c r="D261" i="16" s="1"/>
  <c r="I256" i="16"/>
  <c r="AE256" i="16" s="1"/>
  <c r="C256" i="16"/>
  <c r="D256" i="16" s="1"/>
  <c r="AC255" i="16"/>
  <c r="I255" i="16"/>
  <c r="C255" i="16"/>
  <c r="D255" i="16" s="1"/>
  <c r="I254" i="16"/>
  <c r="AE254" i="16" s="1"/>
  <c r="C254" i="16"/>
  <c r="D254" i="16" s="1"/>
  <c r="I253" i="16"/>
  <c r="AE253" i="16" s="1"/>
  <c r="C253" i="16"/>
  <c r="D253" i="16" s="1"/>
  <c r="I252" i="16"/>
  <c r="AE252" i="16" s="1"/>
  <c r="C252" i="16"/>
  <c r="D252" i="16" s="1"/>
  <c r="H251" i="16"/>
  <c r="AD251" i="16" s="1"/>
  <c r="C251" i="16"/>
  <c r="H250" i="16"/>
  <c r="AD250" i="16" s="1"/>
  <c r="C250" i="16"/>
  <c r="H249" i="16"/>
  <c r="AD249" i="16" s="1"/>
  <c r="C249" i="16"/>
  <c r="C248" i="16"/>
  <c r="D248" i="16" s="1"/>
  <c r="H216" i="16"/>
  <c r="C216" i="16"/>
  <c r="H215" i="16"/>
  <c r="AD215" i="16" s="1"/>
  <c r="C215" i="16"/>
  <c r="H214" i="16"/>
  <c r="AD214" i="16" s="1"/>
  <c r="C214" i="16"/>
  <c r="H213" i="16"/>
  <c r="AD213" i="16" s="1"/>
  <c r="C213" i="16"/>
  <c r="H212" i="16"/>
  <c r="AD212" i="16" s="1"/>
  <c r="C212" i="16"/>
  <c r="H211" i="16"/>
  <c r="AD211" i="16" s="1"/>
  <c r="C211" i="16"/>
  <c r="H194" i="16"/>
  <c r="AD194" i="16" s="1"/>
  <c r="C194" i="16"/>
  <c r="H193" i="16"/>
  <c r="AD193" i="16" s="1"/>
  <c r="C193" i="16"/>
  <c r="H192" i="16"/>
  <c r="AD192" i="16" s="1"/>
  <c r="C192" i="16"/>
  <c r="H191" i="16"/>
  <c r="AD191" i="16" s="1"/>
  <c r="C191" i="16"/>
  <c r="H175" i="16"/>
  <c r="AD175" i="16" s="1"/>
  <c r="C175" i="16"/>
  <c r="H174" i="16"/>
  <c r="AD174" i="16" s="1"/>
  <c r="C174" i="16"/>
  <c r="H173" i="16"/>
  <c r="C173" i="16"/>
  <c r="H172" i="16"/>
  <c r="AD172" i="16" s="1"/>
  <c r="C172" i="16"/>
  <c r="H171" i="16"/>
  <c r="AD171" i="16" s="1"/>
  <c r="C171" i="16"/>
  <c r="H170" i="16"/>
  <c r="AD170" i="16" s="1"/>
  <c r="C170" i="16"/>
  <c r="H169" i="16"/>
  <c r="AD169" i="16" s="1"/>
  <c r="C169" i="16"/>
  <c r="H168" i="16"/>
  <c r="AD168" i="16" s="1"/>
  <c r="C168" i="16"/>
  <c r="H167" i="16"/>
  <c r="C167" i="16"/>
  <c r="H166" i="16"/>
  <c r="AD166" i="16" s="1"/>
  <c r="C166" i="16"/>
  <c r="H165" i="16"/>
  <c r="AD165" i="16" s="1"/>
  <c r="C165" i="16"/>
  <c r="H164" i="16"/>
  <c r="C164" i="16"/>
  <c r="H163" i="16"/>
  <c r="AD163" i="16" s="1"/>
  <c r="C163" i="16"/>
  <c r="H126" i="16"/>
  <c r="AD126" i="16" s="1"/>
  <c r="C126" i="16"/>
  <c r="H125" i="16"/>
  <c r="AD125" i="16" s="1"/>
  <c r="C125" i="16"/>
  <c r="H124" i="16"/>
  <c r="AD124" i="16" s="1"/>
  <c r="C124" i="16"/>
  <c r="H123" i="16"/>
  <c r="AD123" i="16" s="1"/>
  <c r="C123" i="16"/>
  <c r="H122" i="16"/>
  <c r="AD122" i="16" s="1"/>
  <c r="C122" i="16"/>
  <c r="H121" i="16"/>
  <c r="AD121" i="16" s="1"/>
  <c r="C121" i="16"/>
  <c r="H120" i="16"/>
  <c r="AD120" i="16" s="1"/>
  <c r="C120" i="16"/>
  <c r="H119" i="16"/>
  <c r="AD119" i="16" s="1"/>
  <c r="C119" i="16"/>
  <c r="H118" i="16"/>
  <c r="AD118" i="16" s="1"/>
  <c r="C118" i="16"/>
  <c r="H117" i="16"/>
  <c r="AD117" i="16" s="1"/>
  <c r="C117" i="16"/>
  <c r="H116" i="16"/>
  <c r="AD116" i="16" s="1"/>
  <c r="C116" i="16"/>
  <c r="H115" i="16"/>
  <c r="AD115" i="16" s="1"/>
  <c r="C115" i="16"/>
  <c r="H114" i="16"/>
  <c r="AD114" i="16" s="1"/>
  <c r="C114" i="16"/>
  <c r="H113" i="16"/>
  <c r="AD113" i="16" s="1"/>
  <c r="C113" i="16"/>
  <c r="H112" i="16"/>
  <c r="AD112" i="16" s="1"/>
  <c r="C112" i="16"/>
  <c r="H111" i="16"/>
  <c r="AD111" i="16" s="1"/>
  <c r="C111" i="16"/>
  <c r="H110" i="16"/>
  <c r="AD110" i="16" s="1"/>
  <c r="C110" i="16"/>
  <c r="H87" i="16"/>
  <c r="AD87" i="16" s="1"/>
  <c r="C87" i="16"/>
  <c r="H86" i="16"/>
  <c r="AD86" i="16" s="1"/>
  <c r="C86" i="16"/>
  <c r="H85" i="16"/>
  <c r="AD85" i="16" s="1"/>
  <c r="C85" i="16"/>
  <c r="H84" i="16"/>
  <c r="C84" i="16"/>
  <c r="H83" i="16"/>
  <c r="AD83" i="16" s="1"/>
  <c r="C83" i="16"/>
  <c r="H82" i="16"/>
  <c r="AD82" i="16" s="1"/>
  <c r="C82" i="16"/>
  <c r="H81" i="16"/>
  <c r="AD81" i="16" s="1"/>
  <c r="C81" i="16"/>
  <c r="H80" i="16"/>
  <c r="AD80" i="16" s="1"/>
  <c r="C80" i="16"/>
  <c r="H61" i="16"/>
  <c r="C61" i="16"/>
  <c r="H60" i="16"/>
  <c r="AD60" i="16" s="1"/>
  <c r="C60" i="16"/>
  <c r="H59" i="16"/>
  <c r="AD59" i="16" s="1"/>
  <c r="C59" i="16"/>
  <c r="H58" i="16"/>
  <c r="AD58" i="16" s="1"/>
  <c r="C58" i="16"/>
  <c r="H57" i="16"/>
  <c r="AD57" i="16" s="1"/>
  <c r="C57" i="16"/>
  <c r="H56" i="16"/>
  <c r="AD56" i="16" s="1"/>
  <c r="C56" i="16"/>
  <c r="H55" i="16"/>
  <c r="AD55" i="16" s="1"/>
  <c r="C55" i="16"/>
  <c r="H54" i="16"/>
  <c r="AD54" i="16" s="1"/>
  <c r="C54" i="16"/>
  <c r="H53" i="16"/>
  <c r="AD53" i="16" s="1"/>
  <c r="C53" i="16"/>
  <c r="H40" i="16"/>
  <c r="AD40" i="16" s="1"/>
  <c r="H39" i="16"/>
  <c r="AD39" i="16" s="1"/>
  <c r="C39" i="16"/>
  <c r="H38" i="16"/>
  <c r="AD38" i="16" s="1"/>
  <c r="C38" i="16"/>
  <c r="H37" i="16"/>
  <c r="AD37" i="16" s="1"/>
  <c r="C37" i="16"/>
  <c r="H36" i="16"/>
  <c r="AD36" i="16" s="1"/>
  <c r="C36" i="16"/>
  <c r="H35" i="16"/>
  <c r="AD35" i="16" s="1"/>
  <c r="C35" i="16"/>
  <c r="H34" i="16"/>
  <c r="AD34" i="16" s="1"/>
  <c r="C34" i="16"/>
  <c r="H32" i="16"/>
  <c r="C32" i="16"/>
  <c r="H31" i="16"/>
  <c r="AD31" i="16" s="1"/>
  <c r="C31" i="16"/>
  <c r="H30" i="16"/>
  <c r="AD30" i="16" s="1"/>
  <c r="C30" i="16"/>
  <c r="H29" i="16"/>
  <c r="AD29" i="16" s="1"/>
  <c r="C29" i="16"/>
  <c r="H19" i="16"/>
  <c r="C19" i="16"/>
  <c r="H18" i="16"/>
  <c r="AD18" i="16" s="1"/>
  <c r="C18" i="16"/>
  <c r="H17" i="16"/>
  <c r="AD17" i="16" s="1"/>
  <c r="C17" i="16"/>
  <c r="H16" i="16"/>
  <c r="AD16" i="16" s="1"/>
  <c r="C16" i="16"/>
  <c r="H15" i="16"/>
  <c r="AD15" i="16" s="1"/>
  <c r="C15" i="16"/>
  <c r="H14" i="16"/>
  <c r="AD14" i="16" s="1"/>
  <c r="C14" i="16"/>
  <c r="H13" i="16"/>
  <c r="AD13" i="16" s="1"/>
  <c r="C13" i="16"/>
  <c r="H12" i="16"/>
  <c r="AD12" i="16" s="1"/>
  <c r="C12" i="16"/>
  <c r="H10" i="16"/>
  <c r="AD10" i="16" s="1"/>
  <c r="C10" i="16"/>
  <c r="H9" i="16"/>
  <c r="AD9" i="16" s="1"/>
  <c r="C9" i="16"/>
  <c r="H8" i="16"/>
  <c r="AD8" i="16" s="1"/>
  <c r="C8" i="16"/>
  <c r="H7" i="16"/>
  <c r="AD7" i="16" s="1"/>
  <c r="C7" i="16"/>
  <c r="H6" i="16"/>
  <c r="AD6" i="16" s="1"/>
  <c r="C6" i="16"/>
  <c r="H5" i="16"/>
  <c r="C5" i="16"/>
  <c r="H4" i="16"/>
  <c r="AD4" i="16" s="1"/>
  <c r="C4" i="16"/>
  <c r="H3" i="16"/>
  <c r="AD3" i="16" s="1"/>
  <c r="C3" i="16"/>
  <c r="AN6" i="16" l="1"/>
  <c r="AL6" i="16"/>
  <c r="AG143" i="16"/>
  <c r="AH143" i="16"/>
  <c r="AI143" i="16"/>
  <c r="AJ143" i="16"/>
  <c r="AG238" i="16"/>
  <c r="AH238" i="16"/>
  <c r="AI238" i="16"/>
  <c r="AJ238" i="16"/>
  <c r="AJ225" i="16"/>
  <c r="AH225" i="16"/>
  <c r="AI225" i="16"/>
  <c r="AG225" i="16"/>
  <c r="AG131" i="16"/>
  <c r="AH131" i="16"/>
  <c r="AI131" i="16"/>
  <c r="AJ131" i="16"/>
  <c r="AI94" i="16"/>
  <c r="AJ94" i="16"/>
  <c r="AG94" i="16"/>
  <c r="AH94" i="16"/>
  <c r="AG244" i="16"/>
  <c r="AH244" i="16"/>
  <c r="AI244" i="16"/>
  <c r="AJ244" i="16"/>
  <c r="AG45" i="16"/>
  <c r="AH45" i="16"/>
  <c r="AJ45" i="16"/>
  <c r="AI45" i="16"/>
  <c r="AI134" i="16"/>
  <c r="AJ134" i="16"/>
  <c r="AG134" i="16"/>
  <c r="AH134" i="16"/>
  <c r="AG97" i="16"/>
  <c r="AH97" i="16"/>
  <c r="AI97" i="16"/>
  <c r="AJ97" i="16"/>
  <c r="AG23" i="16"/>
  <c r="AH23" i="16"/>
  <c r="AJ23" i="16"/>
  <c r="AI23" i="16"/>
  <c r="AI136" i="16"/>
  <c r="AJ136" i="16"/>
  <c r="AG136" i="16"/>
  <c r="AH136" i="16"/>
  <c r="AJ231" i="16"/>
  <c r="AH231" i="16"/>
  <c r="AG231" i="16"/>
  <c r="AI231" i="16"/>
  <c r="AG224" i="16"/>
  <c r="AH224" i="16"/>
  <c r="AI224" i="16"/>
  <c r="AJ224" i="16"/>
  <c r="AJ217" i="16"/>
  <c r="AH217" i="16"/>
  <c r="AI217" i="16"/>
  <c r="AG217" i="16"/>
  <c r="AI50" i="16"/>
  <c r="AJ50" i="16"/>
  <c r="AG50" i="16"/>
  <c r="AH50" i="16"/>
  <c r="AJ75" i="16"/>
  <c r="AG75" i="16"/>
  <c r="AH75" i="16"/>
  <c r="AI75" i="16"/>
  <c r="AG151" i="16"/>
  <c r="AH151" i="16"/>
  <c r="AI151" i="16"/>
  <c r="AJ151" i="16"/>
  <c r="AG129" i="16"/>
  <c r="AH129" i="16"/>
  <c r="AI129" i="16"/>
  <c r="AJ129" i="16"/>
  <c r="AG242" i="16"/>
  <c r="AH242" i="16"/>
  <c r="AI242" i="16"/>
  <c r="AJ242" i="16"/>
  <c r="AI90" i="16"/>
  <c r="AJ90" i="16"/>
  <c r="AG90" i="16"/>
  <c r="AH90" i="16"/>
  <c r="AI24" i="16"/>
  <c r="AJ24" i="16"/>
  <c r="AG24" i="16"/>
  <c r="AH24" i="16"/>
  <c r="AJ243" i="16"/>
  <c r="AH243" i="16"/>
  <c r="AG243" i="16"/>
  <c r="AI243" i="16"/>
  <c r="AG49" i="16"/>
  <c r="AH49" i="16"/>
  <c r="AJ49" i="16"/>
  <c r="AI49" i="16"/>
  <c r="AG47" i="16"/>
  <c r="AH47" i="16"/>
  <c r="AJ47" i="16"/>
  <c r="AI47" i="16"/>
  <c r="AI20" i="16"/>
  <c r="AJ20" i="16"/>
  <c r="AH20" i="16"/>
  <c r="AG20" i="16"/>
  <c r="AG234" i="16"/>
  <c r="AH234" i="16"/>
  <c r="AI234" i="16"/>
  <c r="AJ234" i="16"/>
  <c r="AJ88" i="16"/>
  <c r="AH88" i="16"/>
  <c r="AI88" i="16"/>
  <c r="AG88" i="16"/>
  <c r="AG21" i="16"/>
  <c r="AH21" i="16"/>
  <c r="AJ21" i="16"/>
  <c r="AI21" i="16"/>
  <c r="AI142" i="16"/>
  <c r="AJ142" i="16"/>
  <c r="AG142" i="16"/>
  <c r="AH142" i="16"/>
  <c r="AJ237" i="16"/>
  <c r="AH237" i="16"/>
  <c r="AG237" i="16"/>
  <c r="AI237" i="16"/>
  <c r="AI68" i="16"/>
  <c r="AJ68" i="16"/>
  <c r="AH68" i="16"/>
  <c r="AG68" i="16"/>
  <c r="AI70" i="16"/>
  <c r="AJ70" i="16"/>
  <c r="AG70" i="16"/>
  <c r="AH70" i="16"/>
  <c r="AJ241" i="16"/>
  <c r="AH241" i="16"/>
  <c r="AI241" i="16"/>
  <c r="AG241" i="16"/>
  <c r="AI26" i="16"/>
  <c r="AJ26" i="16"/>
  <c r="AG26" i="16"/>
  <c r="AH26" i="16"/>
  <c r="AG139" i="16"/>
  <c r="AH139" i="16"/>
  <c r="AI139" i="16"/>
  <c r="AJ139" i="16"/>
  <c r="AJ235" i="16"/>
  <c r="AH235" i="16"/>
  <c r="AG235" i="16"/>
  <c r="AI235" i="16"/>
  <c r="AG145" i="16"/>
  <c r="AH145" i="16"/>
  <c r="AI145" i="16"/>
  <c r="AJ145" i="16"/>
  <c r="AI130" i="16"/>
  <c r="AJ130" i="16"/>
  <c r="AG130" i="16"/>
  <c r="AH130" i="16"/>
  <c r="AG155" i="16"/>
  <c r="AH155" i="16"/>
  <c r="AI155" i="16"/>
  <c r="AJ155" i="16"/>
  <c r="AI98" i="16"/>
  <c r="AJ98" i="16"/>
  <c r="AG98" i="16"/>
  <c r="AH98" i="16"/>
  <c r="AI92" i="16"/>
  <c r="AJ92" i="16"/>
  <c r="AG92" i="16"/>
  <c r="AH92" i="16"/>
  <c r="AG25" i="16"/>
  <c r="AH25" i="16"/>
  <c r="AJ25" i="16"/>
  <c r="AI25" i="16"/>
  <c r="AG103" i="16"/>
  <c r="AH103" i="16"/>
  <c r="AI103" i="16"/>
  <c r="AJ103" i="16"/>
  <c r="AG101" i="16"/>
  <c r="AH101" i="16"/>
  <c r="AI101" i="16"/>
  <c r="AJ101" i="16"/>
  <c r="AJ219" i="16"/>
  <c r="AH219" i="16"/>
  <c r="AG219" i="16"/>
  <c r="AI219" i="16"/>
  <c r="AG43" i="16"/>
  <c r="AH43" i="16"/>
  <c r="AJ43" i="16"/>
  <c r="AI43" i="16"/>
  <c r="AG73" i="16"/>
  <c r="AH73" i="16"/>
  <c r="AJ73" i="16"/>
  <c r="AI73" i="16"/>
  <c r="AI96" i="16"/>
  <c r="AJ96" i="16"/>
  <c r="AG96" i="16"/>
  <c r="AH96" i="16"/>
  <c r="AI150" i="16"/>
  <c r="AJ150" i="16"/>
  <c r="AG150" i="16"/>
  <c r="AH150" i="16"/>
  <c r="AJ245" i="16"/>
  <c r="AH245" i="16"/>
  <c r="AG245" i="16"/>
  <c r="AI245" i="16"/>
  <c r="AI46" i="16"/>
  <c r="AJ46" i="16"/>
  <c r="AG46" i="16"/>
  <c r="AH46" i="16"/>
  <c r="AJ76" i="16"/>
  <c r="AG76" i="16"/>
  <c r="AH76" i="16"/>
  <c r="AI76" i="16"/>
  <c r="AG137" i="16"/>
  <c r="AH137" i="16"/>
  <c r="AI137" i="16"/>
  <c r="AJ137" i="16"/>
  <c r="AI138" i="16"/>
  <c r="AJ138" i="16"/>
  <c r="AG138" i="16"/>
  <c r="AH138" i="16"/>
  <c r="AG93" i="16"/>
  <c r="AH93" i="16"/>
  <c r="AI93" i="16"/>
  <c r="AJ93" i="16"/>
  <c r="AJ233" i="16"/>
  <c r="AH233" i="16"/>
  <c r="AI233" i="16"/>
  <c r="AG233" i="16"/>
  <c r="AI48" i="16"/>
  <c r="AJ48" i="16"/>
  <c r="AH48" i="16"/>
  <c r="AG48" i="16"/>
  <c r="AI44" i="16"/>
  <c r="AJ44" i="16"/>
  <c r="AG44" i="16"/>
  <c r="AH44" i="16"/>
  <c r="AI132" i="16"/>
  <c r="AJ132" i="16"/>
  <c r="AG132" i="16"/>
  <c r="AH132" i="16"/>
  <c r="AG135" i="16"/>
  <c r="AH135" i="16"/>
  <c r="AI135" i="16"/>
  <c r="AJ135" i="16"/>
  <c r="AG232" i="16"/>
  <c r="AH232" i="16"/>
  <c r="AI232" i="16"/>
  <c r="AJ232" i="16"/>
  <c r="AI100" i="16"/>
  <c r="AJ100" i="16"/>
  <c r="AG100" i="16"/>
  <c r="AH100" i="16"/>
  <c r="AI62" i="16"/>
  <c r="AJ62" i="16"/>
  <c r="AG62" i="16"/>
  <c r="AH62" i="16"/>
  <c r="AI22" i="16"/>
  <c r="AJ22" i="16"/>
  <c r="AG22" i="16"/>
  <c r="AH22" i="16"/>
  <c r="AG71" i="16"/>
  <c r="AH71" i="16"/>
  <c r="AJ71" i="16"/>
  <c r="AI71" i="16"/>
  <c r="AG236" i="16"/>
  <c r="AH236" i="16"/>
  <c r="AI236" i="16"/>
  <c r="AJ236" i="16"/>
  <c r="AG133" i="16"/>
  <c r="AH133" i="16"/>
  <c r="AI133" i="16"/>
  <c r="AJ133" i="16"/>
  <c r="AG220" i="16"/>
  <c r="AH220" i="16"/>
  <c r="AI220" i="16"/>
  <c r="AJ220" i="16"/>
  <c r="AI74" i="16"/>
  <c r="AJ74" i="16"/>
  <c r="AG74" i="16"/>
  <c r="AH74" i="16"/>
  <c r="AJ221" i="16"/>
  <c r="AH221" i="16"/>
  <c r="AG221" i="16"/>
  <c r="AI221" i="16"/>
  <c r="AG89" i="16"/>
  <c r="AH89" i="16"/>
  <c r="AI89" i="16"/>
  <c r="AJ89" i="16"/>
  <c r="AI128" i="16"/>
  <c r="AJ128" i="16"/>
  <c r="AG128" i="16"/>
  <c r="AH128" i="16"/>
  <c r="AJ223" i="16"/>
  <c r="AH223" i="16"/>
  <c r="AG223" i="16"/>
  <c r="AI223" i="16"/>
  <c r="AG153" i="16"/>
  <c r="AH153" i="16"/>
  <c r="AI153" i="16"/>
  <c r="AJ153" i="16"/>
  <c r="AG202" i="16"/>
  <c r="AH202" i="16"/>
  <c r="AI202" i="16"/>
  <c r="AJ202" i="16"/>
  <c r="AG181" i="16"/>
  <c r="AI181" i="16"/>
  <c r="AH181" i="16"/>
  <c r="AJ181" i="16"/>
  <c r="AG127" i="16"/>
  <c r="AH127" i="16"/>
  <c r="AI127" i="16"/>
  <c r="AJ127" i="16"/>
  <c r="AJ77" i="16"/>
  <c r="AI77" i="16"/>
  <c r="AG77" i="16"/>
  <c r="AH77" i="16"/>
  <c r="AI152" i="16"/>
  <c r="AJ152" i="16"/>
  <c r="AG152" i="16"/>
  <c r="AH152" i="16"/>
  <c r="AG65" i="16"/>
  <c r="AH65" i="16"/>
  <c r="AJ65" i="16"/>
  <c r="AI65" i="16"/>
  <c r="AG230" i="16"/>
  <c r="AH230" i="16"/>
  <c r="AI230" i="16"/>
  <c r="AJ230" i="16"/>
  <c r="AI154" i="16"/>
  <c r="AJ154" i="16"/>
  <c r="AG154" i="16"/>
  <c r="AH154" i="16"/>
  <c r="AG63" i="16"/>
  <c r="AH63" i="16"/>
  <c r="AJ63" i="16"/>
  <c r="AI63" i="16"/>
  <c r="AJ227" i="16"/>
  <c r="AH227" i="16"/>
  <c r="AG227" i="16"/>
  <c r="AI227" i="16"/>
  <c r="AI106" i="16"/>
  <c r="AJ106" i="16"/>
  <c r="AG106" i="16"/>
  <c r="AH106" i="16"/>
  <c r="AG69" i="16"/>
  <c r="AH69" i="16"/>
  <c r="AJ69" i="16"/>
  <c r="AI69" i="16"/>
  <c r="AJ199" i="16"/>
  <c r="AH199" i="16"/>
  <c r="AG199" i="16"/>
  <c r="AI199" i="16"/>
  <c r="AJ205" i="16"/>
  <c r="AH205" i="16"/>
  <c r="AG205" i="16"/>
  <c r="AI205" i="16"/>
  <c r="AJ186" i="16"/>
  <c r="AI186" i="16"/>
  <c r="AG186" i="16"/>
  <c r="AH186" i="16"/>
  <c r="AJ178" i="16"/>
  <c r="AG178" i="16"/>
  <c r="AH178" i="16"/>
  <c r="AI178" i="16"/>
  <c r="AJ188" i="16"/>
  <c r="AH188" i="16"/>
  <c r="AG188" i="16"/>
  <c r="AI188" i="16"/>
  <c r="AG322" i="16"/>
  <c r="AH322" i="16"/>
  <c r="AI322" i="16"/>
  <c r="AJ322" i="16"/>
  <c r="AG208" i="16"/>
  <c r="AH208" i="16"/>
  <c r="AI208" i="16"/>
  <c r="AJ208" i="16"/>
  <c r="AJ176" i="16"/>
  <c r="AG176" i="16"/>
  <c r="AI176" i="16"/>
  <c r="AH176" i="16"/>
  <c r="AG99" i="16"/>
  <c r="AH99" i="16"/>
  <c r="AI99" i="16"/>
  <c r="AJ99" i="16"/>
  <c r="AG91" i="16"/>
  <c r="AH91" i="16"/>
  <c r="AI91" i="16"/>
  <c r="AJ91" i="16"/>
  <c r="AJ253" i="16"/>
  <c r="AH253" i="16"/>
  <c r="AG253" i="16"/>
  <c r="AI253" i="16"/>
  <c r="AG254" i="16"/>
  <c r="AH254" i="16"/>
  <c r="AI254" i="16"/>
  <c r="AJ254" i="16"/>
  <c r="AG51" i="16"/>
  <c r="AH51" i="16"/>
  <c r="AJ51" i="16"/>
  <c r="AI51" i="16"/>
  <c r="AI104" i="16"/>
  <c r="AJ104" i="16"/>
  <c r="AG104" i="16"/>
  <c r="AH104" i="16"/>
  <c r="AI146" i="16"/>
  <c r="AJ146" i="16"/>
  <c r="AG146" i="16"/>
  <c r="AH146" i="16"/>
  <c r="AI42" i="16"/>
  <c r="AJ42" i="16"/>
  <c r="AG42" i="16"/>
  <c r="AH42" i="16"/>
  <c r="AJ207" i="16"/>
  <c r="AH207" i="16"/>
  <c r="AG207" i="16"/>
  <c r="AI207" i="16"/>
  <c r="AG196" i="16"/>
  <c r="AH196" i="16"/>
  <c r="AI196" i="16"/>
  <c r="AJ196" i="16"/>
  <c r="AJ184" i="16"/>
  <c r="AH184" i="16"/>
  <c r="AI184" i="16"/>
  <c r="AG184" i="16"/>
  <c r="AG222" i="16"/>
  <c r="AH222" i="16"/>
  <c r="AI222" i="16"/>
  <c r="AJ222" i="16"/>
  <c r="AG323" i="16"/>
  <c r="AH323" i="16"/>
  <c r="AI323" i="16"/>
  <c r="AJ323" i="16"/>
  <c r="AJ197" i="16"/>
  <c r="AH197" i="16"/>
  <c r="AG197" i="16"/>
  <c r="AI197" i="16"/>
  <c r="AG183" i="16"/>
  <c r="AH183" i="16"/>
  <c r="AJ183" i="16"/>
  <c r="AI183" i="16"/>
  <c r="AG157" i="16"/>
  <c r="AH157" i="16"/>
  <c r="AI157" i="16"/>
  <c r="AJ157" i="16"/>
  <c r="AG95" i="16"/>
  <c r="AH95" i="16"/>
  <c r="AI95" i="16"/>
  <c r="AJ95" i="16"/>
  <c r="AI140" i="16"/>
  <c r="AJ140" i="16"/>
  <c r="AG140" i="16"/>
  <c r="AH140" i="16"/>
  <c r="AG228" i="16"/>
  <c r="AH228" i="16"/>
  <c r="AI228" i="16"/>
  <c r="AJ228" i="16"/>
  <c r="AG41" i="16"/>
  <c r="AH41" i="16"/>
  <c r="AJ41" i="16"/>
  <c r="AI41" i="16"/>
  <c r="AJ201" i="16"/>
  <c r="AH201" i="16"/>
  <c r="AI201" i="16"/>
  <c r="AG201" i="16"/>
  <c r="AJ180" i="16"/>
  <c r="AG180" i="16"/>
  <c r="AH180" i="16"/>
  <c r="AI180" i="16"/>
  <c r="AG147" i="16"/>
  <c r="AH147" i="16"/>
  <c r="AI147" i="16"/>
  <c r="AJ147" i="16"/>
  <c r="AG141" i="16"/>
  <c r="AH141" i="16"/>
  <c r="AI141" i="16"/>
  <c r="AJ141" i="16"/>
  <c r="AJ229" i="16"/>
  <c r="AH229" i="16"/>
  <c r="AG229" i="16"/>
  <c r="AI229" i="16"/>
  <c r="AG240" i="16"/>
  <c r="AH240" i="16"/>
  <c r="AI240" i="16"/>
  <c r="AJ240" i="16"/>
  <c r="AG226" i="16"/>
  <c r="AH226" i="16"/>
  <c r="AI226" i="16"/>
  <c r="AJ226" i="16"/>
  <c r="AG218" i="16"/>
  <c r="AH218" i="16"/>
  <c r="AI218" i="16"/>
  <c r="AJ218" i="16"/>
  <c r="AG198" i="16"/>
  <c r="AH198" i="16"/>
  <c r="AI198" i="16"/>
  <c r="AJ198" i="16"/>
  <c r="AJ195" i="16"/>
  <c r="AH195" i="16"/>
  <c r="AG195" i="16"/>
  <c r="AI195" i="16"/>
  <c r="AG185" i="16"/>
  <c r="AH185" i="16"/>
  <c r="AI185" i="16"/>
  <c r="AJ185" i="16"/>
  <c r="AI177" i="16"/>
  <c r="AH177" i="16"/>
  <c r="AJ177" i="16"/>
  <c r="AG177" i="16"/>
  <c r="AG187" i="16"/>
  <c r="AH187" i="16"/>
  <c r="AI187" i="16"/>
  <c r="AJ187" i="16"/>
  <c r="AG256" i="16"/>
  <c r="AH256" i="16"/>
  <c r="AI256" i="16"/>
  <c r="AJ256" i="16"/>
  <c r="AG107" i="16"/>
  <c r="AH107" i="16"/>
  <c r="AI107" i="16"/>
  <c r="AJ107" i="16"/>
  <c r="AI64" i="16"/>
  <c r="AJ64" i="16"/>
  <c r="AH64" i="16"/>
  <c r="AG64" i="16"/>
  <c r="AI156" i="16"/>
  <c r="AJ156" i="16"/>
  <c r="AG156" i="16"/>
  <c r="AH156" i="16"/>
  <c r="AG204" i="16"/>
  <c r="AH204" i="16"/>
  <c r="AI204" i="16"/>
  <c r="AJ204" i="16"/>
  <c r="AJ182" i="16"/>
  <c r="AG182" i="16"/>
  <c r="AH182" i="16"/>
  <c r="AI182" i="16"/>
  <c r="AG252" i="16"/>
  <c r="AH252" i="16"/>
  <c r="AI252" i="16"/>
  <c r="AJ252" i="16"/>
  <c r="AI102" i="16"/>
  <c r="AJ102" i="16"/>
  <c r="AG102" i="16"/>
  <c r="AH102" i="16"/>
  <c r="AG105" i="16"/>
  <c r="AH105" i="16"/>
  <c r="AI105" i="16"/>
  <c r="AJ105" i="16"/>
  <c r="AI144" i="16"/>
  <c r="AJ144" i="16"/>
  <c r="AG144" i="16"/>
  <c r="AH144" i="16"/>
  <c r="AJ239" i="16"/>
  <c r="AH239" i="16"/>
  <c r="AG239" i="16"/>
  <c r="AI239" i="16"/>
  <c r="AG200" i="16"/>
  <c r="AH200" i="16"/>
  <c r="AI200" i="16"/>
  <c r="AJ200" i="16"/>
  <c r="AJ179" i="16"/>
  <c r="AH179" i="16"/>
  <c r="AG179" i="16"/>
  <c r="AI179" i="16"/>
  <c r="AA255" i="16"/>
  <c r="AD255" i="16"/>
  <c r="AE255" i="16"/>
  <c r="AD216" i="16"/>
  <c r="AC148" i="16"/>
  <c r="AD149" i="16"/>
  <c r="AE149" i="16"/>
  <c r="AD84" i="16"/>
  <c r="AD72" i="16"/>
  <c r="AE72" i="16"/>
  <c r="AD66" i="16"/>
  <c r="AE66" i="16"/>
  <c r="AD61" i="16"/>
  <c r="AE61" i="16"/>
  <c r="AD67" i="16"/>
  <c r="AE67" i="16"/>
  <c r="AD27" i="16"/>
  <c r="AE27" i="16"/>
  <c r="AA27" i="16"/>
  <c r="AA98" i="16"/>
  <c r="AA147" i="16"/>
  <c r="AA132" i="16"/>
  <c r="AA73" i="16"/>
  <c r="AA96" i="16"/>
  <c r="AA150" i="16"/>
  <c r="AA46" i="16"/>
  <c r="AA75" i="16"/>
  <c r="AA129" i="16"/>
  <c r="AA233" i="16"/>
  <c r="AA242" i="16"/>
  <c r="AA128" i="16"/>
  <c r="AA153" i="16"/>
  <c r="AA42" i="16"/>
  <c r="AA48" i="16"/>
  <c r="AA69" i="16"/>
  <c r="AA74" i="16"/>
  <c r="AA155" i="16"/>
  <c r="AA236" i="16"/>
  <c r="AA235" i="16"/>
  <c r="AA44" i="16"/>
  <c r="AA149" i="16"/>
  <c r="AA21" i="16"/>
  <c r="AA237" i="16"/>
  <c r="AA143" i="16"/>
  <c r="AA240" i="16"/>
  <c r="AA131" i="16"/>
  <c r="AA228" i="16"/>
  <c r="AA152" i="16"/>
  <c r="AA138" i="16"/>
  <c r="AA91" i="16"/>
  <c r="AA92" i="16"/>
  <c r="AA89" i="16"/>
  <c r="AA217" i="16"/>
  <c r="AA101" i="16"/>
  <c r="AA43" i="16"/>
  <c r="AA64" i="16"/>
  <c r="AA244" i="16"/>
  <c r="AA134" i="16"/>
  <c r="AA97" i="16"/>
  <c r="AA230" i="16"/>
  <c r="Z347" i="16"/>
  <c r="AA154" i="16"/>
  <c r="AA218" i="16"/>
  <c r="AA106" i="16"/>
  <c r="AA68" i="16"/>
  <c r="AA239" i="16"/>
  <c r="Z348" i="16"/>
  <c r="AA241" i="16"/>
  <c r="AA24" i="16"/>
  <c r="AA49" i="16"/>
  <c r="AA102" i="16"/>
  <c r="AA234" i="16"/>
  <c r="AA140" i="16"/>
  <c r="AA20" i="16"/>
  <c r="AA133" i="16"/>
  <c r="AA104" i="16"/>
  <c r="AA221" i="16"/>
  <c r="AA22" i="16"/>
  <c r="AA127" i="16"/>
  <c r="AA145" i="16"/>
  <c r="AA322" i="16"/>
  <c r="AA323" i="16"/>
  <c r="AA136" i="16"/>
  <c r="AA224" i="16"/>
  <c r="AA50" i="16"/>
  <c r="AA148" i="16"/>
  <c r="AA220" i="16"/>
  <c r="AA41" i="16"/>
  <c r="AA94" i="16"/>
  <c r="AA95" i="16"/>
  <c r="AA157" i="16"/>
  <c r="AA66" i="16"/>
  <c r="AA245" i="16"/>
  <c r="AA349" i="16" s="1"/>
  <c r="Z349" i="16"/>
  <c r="AA151" i="16"/>
  <c r="AA62" i="16"/>
  <c r="AA139" i="16"/>
  <c r="AA90" i="16"/>
  <c r="AA223" i="16"/>
  <c r="AA146" i="16"/>
  <c r="AA99" i="16"/>
  <c r="AA100" i="16"/>
  <c r="AA103" i="16"/>
  <c r="AA23" i="16"/>
  <c r="AA71" i="16"/>
  <c r="AA51" i="16"/>
  <c r="AA72" i="16"/>
  <c r="AA65" i="16"/>
  <c r="AA88" i="16"/>
  <c r="AA142" i="16"/>
  <c r="AA105" i="16"/>
  <c r="AA67" i="16"/>
  <c r="AA238" i="16"/>
  <c r="AA225" i="16"/>
  <c r="AA226" i="16"/>
  <c r="AA47" i="16"/>
  <c r="AA76" i="16"/>
  <c r="AA137" i="16"/>
  <c r="AA93" i="16"/>
  <c r="AA77" i="16"/>
  <c r="AA25" i="16"/>
  <c r="AA222" i="16"/>
  <c r="AA231" i="16"/>
  <c r="AA219" i="16"/>
  <c r="AA156" i="16"/>
  <c r="AA141" i="16"/>
  <c r="AA45" i="16"/>
  <c r="AA229" i="16"/>
  <c r="AA135" i="16"/>
  <c r="AA232" i="16"/>
  <c r="AA130" i="16"/>
  <c r="AA63" i="16"/>
  <c r="AA227" i="16"/>
  <c r="AA144" i="16"/>
  <c r="AA70" i="16"/>
  <c r="AA26" i="16"/>
  <c r="AA107" i="16"/>
  <c r="AA243" i="16"/>
  <c r="Z10" i="16"/>
  <c r="Z37" i="16"/>
  <c r="Z284" i="16"/>
  <c r="Z296" i="16"/>
  <c r="Z310" i="16"/>
  <c r="Z54" i="16"/>
  <c r="Z58" i="16"/>
  <c r="Z80" i="16"/>
  <c r="Z84" i="16"/>
  <c r="Z110" i="16"/>
  <c r="Z114" i="16"/>
  <c r="Z118" i="16"/>
  <c r="Z122" i="16"/>
  <c r="Z126" i="16"/>
  <c r="Z166" i="16"/>
  <c r="Z170" i="16"/>
  <c r="Z174" i="16"/>
  <c r="Z193" i="16"/>
  <c r="Z213" i="16"/>
  <c r="Z263" i="16"/>
  <c r="Z303" i="16"/>
  <c r="Z311" i="16"/>
  <c r="Z319" i="16"/>
  <c r="Z353" i="16" s="1"/>
  <c r="Z6" i="16"/>
  <c r="Z19" i="16"/>
  <c r="Z274" i="16"/>
  <c r="Z292" i="16"/>
  <c r="Z302" i="16"/>
  <c r="Z318" i="16"/>
  <c r="Z7" i="16"/>
  <c r="Z12" i="16"/>
  <c r="Z16" i="16"/>
  <c r="Z29" i="16"/>
  <c r="Z34" i="16"/>
  <c r="Z38" i="16"/>
  <c r="Z249" i="16"/>
  <c r="Z270" i="16"/>
  <c r="Z275" i="16"/>
  <c r="Z280" i="16"/>
  <c r="Z285" i="16"/>
  <c r="Z289" i="16"/>
  <c r="Z293" i="16"/>
  <c r="Z297" i="16"/>
  <c r="Z304" i="16"/>
  <c r="Z312" i="16"/>
  <c r="Z320" i="16"/>
  <c r="Z15" i="16"/>
  <c r="Z32" i="16"/>
  <c r="Z288" i="16"/>
  <c r="Z327" i="16"/>
  <c r="Z55" i="16"/>
  <c r="Z59" i="16"/>
  <c r="Z81" i="16"/>
  <c r="Z85" i="16"/>
  <c r="Z111" i="16"/>
  <c r="Z115" i="16"/>
  <c r="Z119" i="16"/>
  <c r="Z123" i="16"/>
  <c r="Z163" i="16"/>
  <c r="Z167" i="16"/>
  <c r="Z171" i="16"/>
  <c r="Z175" i="16"/>
  <c r="Z194" i="16"/>
  <c r="Z214" i="16"/>
  <c r="Z264" i="16"/>
  <c r="Z305" i="16"/>
  <c r="Z313" i="16"/>
  <c r="Z286" i="16"/>
  <c r="Z8" i="16"/>
  <c r="Z30" i="16"/>
  <c r="Z272" i="16"/>
  <c r="Z290" i="16"/>
  <c r="Z306" i="16"/>
  <c r="Z314" i="16"/>
  <c r="Z321" i="16"/>
  <c r="Z40" i="16"/>
  <c r="Z56" i="16"/>
  <c r="Z60" i="16"/>
  <c r="Z82" i="16"/>
  <c r="Z86" i="16"/>
  <c r="Z112" i="16"/>
  <c r="Z116" i="16"/>
  <c r="Z120" i="16"/>
  <c r="Z124" i="16"/>
  <c r="Z164" i="16"/>
  <c r="Z168" i="16"/>
  <c r="Z172" i="16"/>
  <c r="Z191" i="16"/>
  <c r="Z211" i="16"/>
  <c r="Z215" i="16"/>
  <c r="Z265" i="16"/>
  <c r="Z299" i="16"/>
  <c r="Z307" i="16"/>
  <c r="Z315" i="16"/>
  <c r="Z324" i="16"/>
  <c r="Z13" i="16"/>
  <c r="Z35" i="16"/>
  <c r="Z281" i="16"/>
  <c r="Z298" i="16"/>
  <c r="Z5" i="16"/>
  <c r="Z9" i="16"/>
  <c r="Z14" i="16"/>
  <c r="Z18" i="16"/>
  <c r="Z31" i="16"/>
  <c r="Z36" i="16"/>
  <c r="Z251" i="16"/>
  <c r="Z273" i="16"/>
  <c r="Z278" i="16"/>
  <c r="Z282" i="16"/>
  <c r="Z287" i="16"/>
  <c r="Z291" i="16"/>
  <c r="Z295" i="16"/>
  <c r="Z300" i="16"/>
  <c r="Z308" i="16"/>
  <c r="Z316" i="16"/>
  <c r="Z325" i="16"/>
  <c r="Z4" i="16"/>
  <c r="Z17" i="16"/>
  <c r="Z39" i="16"/>
  <c r="Z250" i="16"/>
  <c r="Z277" i="16"/>
  <c r="Z294" i="16"/>
  <c r="Z53" i="16"/>
  <c r="Z57" i="16"/>
  <c r="Z61" i="16"/>
  <c r="Z83" i="16"/>
  <c r="Z87" i="16"/>
  <c r="Z113" i="16"/>
  <c r="Z117" i="16"/>
  <c r="Z121" i="16"/>
  <c r="Z125" i="16"/>
  <c r="Z165" i="16"/>
  <c r="Z169" i="16"/>
  <c r="Z173" i="16"/>
  <c r="Z192" i="16"/>
  <c r="Z212" i="16"/>
  <c r="Z216" i="16"/>
  <c r="Z262" i="16"/>
  <c r="Z266" i="16"/>
  <c r="Z301" i="16"/>
  <c r="Z309" i="16"/>
  <c r="Z317" i="16"/>
  <c r="Z326" i="16"/>
  <c r="Z279" i="16"/>
  <c r="Z3" i="16"/>
  <c r="D32" i="16"/>
  <c r="I14" i="16"/>
  <c r="AE14" i="16" s="1"/>
  <c r="I36" i="16"/>
  <c r="AE36" i="16" s="1"/>
  <c r="I19" i="16"/>
  <c r="AE19" i="16" s="1"/>
  <c r="I37" i="16"/>
  <c r="AE37" i="16" s="1"/>
  <c r="I249" i="16"/>
  <c r="AE249" i="16" s="1"/>
  <c r="I308" i="16"/>
  <c r="AE308" i="16" s="1"/>
  <c r="I166" i="16"/>
  <c r="AE166" i="16" s="1"/>
  <c r="I170" i="16"/>
  <c r="AE170" i="16" s="1"/>
  <c r="I53" i="16"/>
  <c r="AE53" i="16" s="1"/>
  <c r="I57" i="16"/>
  <c r="AE57" i="16" s="1"/>
  <c r="I61" i="16"/>
  <c r="I295" i="16"/>
  <c r="AE295" i="16" s="1"/>
  <c r="I300" i="16"/>
  <c r="AE300" i="16" s="1"/>
  <c r="I316" i="16"/>
  <c r="AE316" i="16" s="1"/>
  <c r="I55" i="16"/>
  <c r="AE55" i="16" s="1"/>
  <c r="I85" i="16"/>
  <c r="AE85" i="16" s="1"/>
  <c r="I9" i="16"/>
  <c r="AE9" i="16" s="1"/>
  <c r="I191" i="16"/>
  <c r="AE191" i="16" s="1"/>
  <c r="I213" i="16"/>
  <c r="AE213" i="16" s="1"/>
  <c r="I324" i="16"/>
  <c r="AE324" i="16" s="1"/>
  <c r="I6" i="16"/>
  <c r="AE6" i="16" s="1"/>
  <c r="I32" i="16"/>
  <c r="AE32" i="16" s="1"/>
  <c r="I273" i="16"/>
  <c r="AE273" i="16" s="1"/>
  <c r="I80" i="16"/>
  <c r="AE80" i="16" s="1"/>
  <c r="I214" i="16"/>
  <c r="AE214" i="16" s="1"/>
  <c r="I264" i="16"/>
  <c r="AE264" i="16" s="1"/>
  <c r="I3" i="16"/>
  <c r="AE3" i="16" s="1"/>
  <c r="I7" i="16"/>
  <c r="AE7" i="16" s="1"/>
  <c r="I12" i="16"/>
  <c r="AE12" i="16" s="1"/>
  <c r="I279" i="16"/>
  <c r="AE279" i="16" s="1"/>
  <c r="I284" i="16"/>
  <c r="AE284" i="16" s="1"/>
  <c r="I81" i="16"/>
  <c r="AE81" i="16" s="1"/>
  <c r="I119" i="16"/>
  <c r="AE119" i="16" s="1"/>
  <c r="I211" i="16"/>
  <c r="AE211" i="16" s="1"/>
  <c r="I215" i="16"/>
  <c r="AE215" i="16" s="1"/>
  <c r="I8" i="16"/>
  <c r="AE8" i="16" s="1"/>
  <c r="I17" i="16"/>
  <c r="AE17" i="16" s="1"/>
  <c r="I251" i="16"/>
  <c r="AE251" i="16" s="1"/>
  <c r="I270" i="16"/>
  <c r="AE270" i="16" s="1"/>
  <c r="I280" i="16"/>
  <c r="AE280" i="16" s="1"/>
  <c r="I289" i="16"/>
  <c r="AE289" i="16" s="1"/>
  <c r="I293" i="16"/>
  <c r="AE293" i="16" s="1"/>
  <c r="I297" i="16"/>
  <c r="AE297" i="16" s="1"/>
  <c r="I304" i="16"/>
  <c r="AE304" i="16" s="1"/>
  <c r="I312" i="16"/>
  <c r="AE312" i="16" s="1"/>
  <c r="I112" i="16"/>
  <c r="AE112" i="16" s="1"/>
  <c r="I116" i="16"/>
  <c r="AE116" i="16" s="1"/>
  <c r="I120" i="16"/>
  <c r="AE120" i="16" s="1"/>
  <c r="I124" i="16"/>
  <c r="AE124" i="16" s="1"/>
  <c r="I172" i="16"/>
  <c r="AE172" i="16" s="1"/>
  <c r="I216" i="16"/>
  <c r="AE216" i="16" s="1"/>
  <c r="I262" i="16"/>
  <c r="D40" i="16"/>
  <c r="D114" i="16"/>
  <c r="D31" i="16"/>
  <c r="I30" i="16"/>
  <c r="AE30" i="16" s="1"/>
  <c r="D39" i="16"/>
  <c r="D55" i="16"/>
  <c r="D5" i="16"/>
  <c r="D16" i="16"/>
  <c r="D29" i="16"/>
  <c r="D86" i="16"/>
  <c r="I290" i="16"/>
  <c r="AE290" i="16" s="1"/>
  <c r="D284" i="16"/>
  <c r="I165" i="16"/>
  <c r="AE165" i="16" s="1"/>
  <c r="D173" i="16"/>
  <c r="D212" i="16"/>
  <c r="D265" i="16"/>
  <c r="D6" i="16"/>
  <c r="D34" i="16"/>
  <c r="D194" i="16"/>
  <c r="D125" i="16"/>
  <c r="D175" i="16"/>
  <c r="D14" i="16"/>
  <c r="D273" i="16"/>
  <c r="D58" i="16"/>
  <c r="D215" i="16"/>
  <c r="D249" i="16"/>
  <c r="D324" i="16"/>
  <c r="D174" i="16"/>
  <c r="I35" i="16"/>
  <c r="AE35" i="16" s="1"/>
  <c r="D279" i="16"/>
  <c r="I281" i="16"/>
  <c r="AE281" i="16" s="1"/>
  <c r="D308" i="16"/>
  <c r="I31" i="16"/>
  <c r="AE31" i="16" s="1"/>
  <c r="I167" i="16"/>
  <c r="AE167" i="16" s="1"/>
  <c r="D213" i="16"/>
  <c r="I265" i="16"/>
  <c r="D309" i="16"/>
  <c r="D317" i="16"/>
  <c r="D325" i="16"/>
  <c r="D300" i="16"/>
  <c r="D303" i="16"/>
  <c r="D30" i="16"/>
  <c r="D80" i="16"/>
  <c r="D282" i="16"/>
  <c r="I296" i="16"/>
  <c r="AE296" i="16" s="1"/>
  <c r="I302" i="16"/>
  <c r="AE302" i="16" s="1"/>
  <c r="D302" i="16"/>
  <c r="I310" i="16"/>
  <c r="AE310" i="16" s="1"/>
  <c r="D310" i="16"/>
  <c r="I318" i="16"/>
  <c r="AE318" i="16" s="1"/>
  <c r="D318" i="16"/>
  <c r="D326" i="16"/>
  <c r="D311" i="16"/>
  <c r="D319" i="16"/>
  <c r="D3" i="16"/>
  <c r="D37" i="16"/>
  <c r="D87" i="16"/>
  <c r="I327" i="16"/>
  <c r="AE327" i="16" s="1"/>
  <c r="D327" i="16"/>
  <c r="D316" i="16"/>
  <c r="D304" i="16"/>
  <c r="D301" i="16"/>
  <c r="D320" i="16"/>
  <c r="D305" i="16"/>
  <c r="D313" i="16"/>
  <c r="D312" i="16"/>
  <c r="D299" i="16"/>
  <c r="D35" i="16"/>
  <c r="D270" i="16"/>
  <c r="I306" i="16"/>
  <c r="AE306" i="16" s="1"/>
  <c r="D306" i="16"/>
  <c r="I314" i="16"/>
  <c r="D314" i="16"/>
  <c r="D307" i="16"/>
  <c r="D315" i="16"/>
  <c r="I274" i="16"/>
  <c r="AE274" i="16" s="1"/>
  <c r="D291" i="16"/>
  <c r="D10" i="16"/>
  <c r="I16" i="16"/>
  <c r="AE16" i="16" s="1"/>
  <c r="D54" i="16"/>
  <c r="I111" i="16"/>
  <c r="AE111" i="16" s="1"/>
  <c r="D166" i="16"/>
  <c r="D297" i="16"/>
  <c r="I173" i="16"/>
  <c r="AE173" i="16" s="1"/>
  <c r="I175" i="16"/>
  <c r="AE175" i="16" s="1"/>
  <c r="D12" i="16"/>
  <c r="I40" i="16"/>
  <c r="AE40" i="16" s="1"/>
  <c r="D61" i="16"/>
  <c r="D112" i="16"/>
  <c r="D119" i="16"/>
  <c r="D164" i="16"/>
  <c r="I169" i="16"/>
  <c r="AE169" i="16" s="1"/>
  <c r="I174" i="16"/>
  <c r="AE174" i="16" s="1"/>
  <c r="D111" i="16"/>
  <c r="D8" i="16"/>
  <c r="D17" i="16"/>
  <c r="D38" i="16"/>
  <c r="D126" i="16"/>
  <c r="D191" i="16"/>
  <c r="D211" i="16"/>
  <c r="D251" i="16"/>
  <c r="D262" i="16"/>
  <c r="D290" i="16"/>
  <c r="I321" i="16"/>
  <c r="AE321" i="16" s="1"/>
  <c r="D296" i="16"/>
  <c r="D18" i="16"/>
  <c r="I38" i="16"/>
  <c r="AE38" i="16" s="1"/>
  <c r="I58" i="16"/>
  <c r="AE58" i="16" s="1"/>
  <c r="D120" i="16"/>
  <c r="D165" i="16"/>
  <c r="D170" i="16"/>
  <c r="D4" i="16"/>
  <c r="D9" i="16"/>
  <c r="D15" i="16"/>
  <c r="D19" i="16"/>
  <c r="D36" i="16"/>
  <c r="D56" i="16"/>
  <c r="D60" i="16"/>
  <c r="D81" i="16"/>
  <c r="D113" i="16"/>
  <c r="D115" i="16"/>
  <c r="D121" i="16"/>
  <c r="D123" i="16"/>
  <c r="D171" i="16"/>
  <c r="D264" i="16"/>
  <c r="D289" i="16"/>
  <c r="I4" i="16"/>
  <c r="AE4" i="16" s="1"/>
  <c r="D7" i="16"/>
  <c r="D13" i="16"/>
  <c r="I15" i="16"/>
  <c r="AE15" i="16" s="1"/>
  <c r="I56" i="16"/>
  <c r="AE56" i="16" s="1"/>
  <c r="I60" i="16"/>
  <c r="AE60" i="16" s="1"/>
  <c r="D84" i="16"/>
  <c r="I113" i="16"/>
  <c r="AE113" i="16" s="1"/>
  <c r="I115" i="16"/>
  <c r="AE115" i="16" s="1"/>
  <c r="D117" i="16"/>
  <c r="I121" i="16"/>
  <c r="AE121" i="16" s="1"/>
  <c r="I123" i="16"/>
  <c r="AE123" i="16" s="1"/>
  <c r="D163" i="16"/>
  <c r="D172" i="16"/>
  <c r="D193" i="16"/>
  <c r="D274" i="16"/>
  <c r="I291" i="16"/>
  <c r="AE291" i="16" s="1"/>
  <c r="D321" i="16"/>
  <c r="I325" i="16"/>
  <c r="AE325" i="16" s="1"/>
  <c r="D272" i="16"/>
  <c r="D280" i="16"/>
  <c r="D288" i="16"/>
  <c r="D292" i="16"/>
  <c r="I84" i="16"/>
  <c r="AE84" i="16" s="1"/>
  <c r="I193" i="16"/>
  <c r="AE193" i="16" s="1"/>
  <c r="I34" i="16"/>
  <c r="AE34" i="16" s="1"/>
  <c r="I39" i="16"/>
  <c r="AE39" i="16" s="1"/>
  <c r="D57" i="16"/>
  <c r="D82" i="16"/>
  <c r="I86" i="16"/>
  <c r="AE86" i="16" s="1"/>
  <c r="D116" i="16"/>
  <c r="D124" i="16"/>
  <c r="D168" i="16"/>
  <c r="D216" i="16"/>
  <c r="I272" i="16"/>
  <c r="AE272" i="16" s="1"/>
  <c r="I282" i="16"/>
  <c r="AE282" i="16" s="1"/>
  <c r="I288" i="16"/>
  <c r="AE288" i="16" s="1"/>
  <c r="I292" i="16"/>
  <c r="AE292" i="16" s="1"/>
  <c r="D298" i="16"/>
  <c r="I326" i="16"/>
  <c r="AE326" i="16" s="1"/>
  <c r="D85" i="16"/>
  <c r="D167" i="16"/>
  <c r="D169" i="16"/>
  <c r="D214" i="16"/>
  <c r="D281" i="16"/>
  <c r="I298" i="16"/>
  <c r="AE298" i="16" s="1"/>
  <c r="I29" i="16"/>
  <c r="AE29" i="16" s="1"/>
  <c r="I13" i="16"/>
  <c r="AE13" i="16" s="1"/>
  <c r="I5" i="16"/>
  <c r="I10" i="16"/>
  <c r="AE10" i="16" s="1"/>
  <c r="I87" i="16"/>
  <c r="AE87" i="16" s="1"/>
  <c r="I118" i="16"/>
  <c r="AE118" i="16" s="1"/>
  <c r="I18" i="16"/>
  <c r="AE18" i="16" s="1"/>
  <c r="D122" i="16"/>
  <c r="I168" i="16"/>
  <c r="AE168" i="16" s="1"/>
  <c r="D277" i="16"/>
  <c r="I277" i="16"/>
  <c r="AE277" i="16" s="1"/>
  <c r="I110" i="16"/>
  <c r="AE110" i="16" s="1"/>
  <c r="D59" i="16"/>
  <c r="D83" i="16"/>
  <c r="I114" i="16"/>
  <c r="AE114" i="16" s="1"/>
  <c r="I122" i="16"/>
  <c r="AE122" i="16" s="1"/>
  <c r="I83" i="16"/>
  <c r="AE83" i="16" s="1"/>
  <c r="D192" i="16"/>
  <c r="I192" i="16"/>
  <c r="AE192" i="16" s="1"/>
  <c r="D53" i="16"/>
  <c r="I54" i="16"/>
  <c r="AE54" i="16" s="1"/>
  <c r="I59" i="16"/>
  <c r="AE59" i="16" s="1"/>
  <c r="D110" i="16"/>
  <c r="D118" i="16"/>
  <c r="D266" i="16"/>
  <c r="I266" i="16"/>
  <c r="AE266" i="16" s="1"/>
  <c r="D286" i="16"/>
  <c r="I286" i="16"/>
  <c r="AE286" i="16" s="1"/>
  <c r="I82" i="16"/>
  <c r="AE82" i="16" s="1"/>
  <c r="I117" i="16"/>
  <c r="AE117" i="16" s="1"/>
  <c r="I125" i="16"/>
  <c r="AE125" i="16" s="1"/>
  <c r="I163" i="16"/>
  <c r="AE163" i="16" s="1"/>
  <c r="I171" i="16"/>
  <c r="AE171" i="16" s="1"/>
  <c r="I212" i="16"/>
  <c r="AE212" i="16" s="1"/>
  <c r="D294" i="16"/>
  <c r="I294" i="16"/>
  <c r="AE294" i="16" s="1"/>
  <c r="D250" i="16"/>
  <c r="I126" i="16"/>
  <c r="AE126" i="16" s="1"/>
  <c r="I164" i="16"/>
  <c r="I250" i="16"/>
  <c r="AE250" i="16" s="1"/>
  <c r="I263" i="16"/>
  <c r="D263" i="16"/>
  <c r="I194" i="16"/>
  <c r="AE194" i="16" s="1"/>
  <c r="D278" i="16"/>
  <c r="D287" i="16"/>
  <c r="D295" i="16"/>
  <c r="I320" i="16"/>
  <c r="AE320" i="16" s="1"/>
  <c r="D275" i="16"/>
  <c r="I278" i="16"/>
  <c r="AE278" i="16" s="1"/>
  <c r="D285" i="16"/>
  <c r="I287" i="16"/>
  <c r="AE287" i="16" s="1"/>
  <c r="D293" i="16"/>
  <c r="I275" i="16"/>
  <c r="AE275" i="16" s="1"/>
  <c r="I285" i="16"/>
  <c r="AE285" i="16" s="1"/>
  <c r="I299" i="16"/>
  <c r="AE299" i="16" s="1"/>
  <c r="I301" i="16"/>
  <c r="AE301" i="16" s="1"/>
  <c r="I303" i="16"/>
  <c r="AE303" i="16" s="1"/>
  <c r="I305" i="16"/>
  <c r="AE305" i="16" s="1"/>
  <c r="I307" i="16"/>
  <c r="AE307" i="16" s="1"/>
  <c r="I309" i="16"/>
  <c r="AE309" i="16" s="1"/>
  <c r="I311" i="16"/>
  <c r="AE311" i="16" s="1"/>
  <c r="I313" i="16"/>
  <c r="AE313" i="16" s="1"/>
  <c r="I315" i="16"/>
  <c r="I317" i="16"/>
  <c r="AE317" i="16" s="1"/>
  <c r="I319" i="16"/>
  <c r="AE319" i="16" s="1"/>
  <c r="AP6" i="16" l="1"/>
  <c r="AQ6" i="16"/>
  <c r="AR6" i="16"/>
  <c r="AO6" i="16"/>
  <c r="AG216" i="16"/>
  <c r="AH216" i="16"/>
  <c r="AI216" i="16"/>
  <c r="AJ216" i="16"/>
  <c r="AJ84" i="16"/>
  <c r="AG84" i="16"/>
  <c r="AH84" i="16"/>
  <c r="AI84" i="16"/>
  <c r="AG326" i="16"/>
  <c r="AH326" i="16"/>
  <c r="AI326" i="16"/>
  <c r="AJ326" i="16"/>
  <c r="AI172" i="16"/>
  <c r="AJ172" i="16"/>
  <c r="AG172" i="16"/>
  <c r="AH172" i="16"/>
  <c r="AG57" i="16"/>
  <c r="AH57" i="16"/>
  <c r="AJ57" i="16"/>
  <c r="AI57" i="16"/>
  <c r="AI175" i="16"/>
  <c r="AG175" i="16"/>
  <c r="AH175" i="16"/>
  <c r="AJ175" i="16"/>
  <c r="AG35" i="16"/>
  <c r="AH35" i="16"/>
  <c r="AJ35" i="16"/>
  <c r="AI35" i="16"/>
  <c r="AI124" i="16"/>
  <c r="AJ124" i="16"/>
  <c r="AG124" i="16"/>
  <c r="AH124" i="16"/>
  <c r="AG214" i="16"/>
  <c r="AH214" i="16"/>
  <c r="AI214" i="16"/>
  <c r="AJ214" i="16"/>
  <c r="AG53" i="16"/>
  <c r="AH53" i="16"/>
  <c r="AJ53" i="16"/>
  <c r="AI53" i="16"/>
  <c r="AJ311" i="16"/>
  <c r="AG311" i="16"/>
  <c r="AH311" i="16"/>
  <c r="AI311" i="16"/>
  <c r="AJ82" i="16"/>
  <c r="AH82" i="16"/>
  <c r="AG82" i="16"/>
  <c r="AI82" i="16"/>
  <c r="AI54" i="16"/>
  <c r="AJ54" i="16"/>
  <c r="AG54" i="16"/>
  <c r="AH54" i="16"/>
  <c r="AJ87" i="16"/>
  <c r="AG87" i="16"/>
  <c r="AI87" i="16"/>
  <c r="AH87" i="16"/>
  <c r="AG325" i="16"/>
  <c r="AH325" i="16"/>
  <c r="AI325" i="16"/>
  <c r="AJ325" i="16"/>
  <c r="AG31" i="16"/>
  <c r="AH31" i="16"/>
  <c r="AJ31" i="16"/>
  <c r="AI31" i="16"/>
  <c r="AG17" i="16"/>
  <c r="AH17" i="16"/>
  <c r="AJ17" i="16"/>
  <c r="AI17" i="16"/>
  <c r="AI12" i="16"/>
  <c r="AJ12" i="16"/>
  <c r="AG12" i="16"/>
  <c r="AH12" i="16"/>
  <c r="AI6" i="16"/>
  <c r="AJ6" i="16"/>
  <c r="AG6" i="16"/>
  <c r="AH6" i="16"/>
  <c r="AG300" i="16"/>
  <c r="AJ300" i="16"/>
  <c r="AH300" i="16"/>
  <c r="AI300" i="16"/>
  <c r="AJ249" i="16"/>
  <c r="AH249" i="16"/>
  <c r="AI249" i="16"/>
  <c r="AG249" i="16"/>
  <c r="AH309" i="16"/>
  <c r="AI309" i="16"/>
  <c r="AJ309" i="16"/>
  <c r="AG309" i="16"/>
  <c r="AI10" i="16"/>
  <c r="AJ10" i="16"/>
  <c r="AG10" i="16"/>
  <c r="AH10" i="16"/>
  <c r="AI34" i="16"/>
  <c r="AJ34" i="16"/>
  <c r="AG34" i="16"/>
  <c r="AH34" i="16"/>
  <c r="AG304" i="16"/>
  <c r="AJ304" i="16"/>
  <c r="AH304" i="16"/>
  <c r="AI304" i="16"/>
  <c r="AI8" i="16"/>
  <c r="AJ8" i="16"/>
  <c r="AG8" i="16"/>
  <c r="AH8" i="16"/>
  <c r="AG7" i="16"/>
  <c r="AH7" i="16"/>
  <c r="AJ7" i="16"/>
  <c r="AI7" i="16"/>
  <c r="AJ295" i="16"/>
  <c r="AG295" i="16"/>
  <c r="AH295" i="16"/>
  <c r="AI295" i="16"/>
  <c r="AG37" i="16"/>
  <c r="AH37" i="16"/>
  <c r="AJ37" i="16"/>
  <c r="AI37" i="16"/>
  <c r="AG67" i="16"/>
  <c r="AH67" i="16"/>
  <c r="AJ67" i="16"/>
  <c r="AI67" i="16"/>
  <c r="AG305" i="16"/>
  <c r="AH305" i="16"/>
  <c r="AI305" i="16"/>
  <c r="AJ305" i="16"/>
  <c r="AG266" i="16"/>
  <c r="AH266" i="16"/>
  <c r="AI266" i="16"/>
  <c r="AJ266" i="16"/>
  <c r="AG306" i="16"/>
  <c r="AJ306" i="16"/>
  <c r="AI306" i="16"/>
  <c r="AH306" i="16"/>
  <c r="AG278" i="16"/>
  <c r="AH278" i="16"/>
  <c r="AJ278" i="16"/>
  <c r="AI278" i="16"/>
  <c r="AJ275" i="16"/>
  <c r="AH275" i="16"/>
  <c r="AG275" i="16"/>
  <c r="AI275" i="16"/>
  <c r="AG272" i="16"/>
  <c r="AH272" i="16"/>
  <c r="AJ272" i="16"/>
  <c r="AI272" i="16"/>
  <c r="AG39" i="16"/>
  <c r="AH39" i="16"/>
  <c r="AJ39" i="16"/>
  <c r="AI39" i="16"/>
  <c r="AG121" i="16"/>
  <c r="AH121" i="16"/>
  <c r="AI121" i="16"/>
  <c r="AJ121" i="16"/>
  <c r="AG111" i="16"/>
  <c r="AH111" i="16"/>
  <c r="AI111" i="16"/>
  <c r="AJ111" i="16"/>
  <c r="AG312" i="16"/>
  <c r="AH312" i="16"/>
  <c r="AI312" i="16"/>
  <c r="AJ312" i="16"/>
  <c r="AG294" i="16"/>
  <c r="AJ294" i="16"/>
  <c r="AH294" i="16"/>
  <c r="AI294" i="16"/>
  <c r="AG286" i="16"/>
  <c r="AH286" i="16"/>
  <c r="AJ286" i="16"/>
  <c r="AI286" i="16"/>
  <c r="AI110" i="16"/>
  <c r="AJ110" i="16"/>
  <c r="AG110" i="16"/>
  <c r="AH110" i="16"/>
  <c r="AG321" i="16"/>
  <c r="AH321" i="16"/>
  <c r="AI321" i="16"/>
  <c r="AJ321" i="16"/>
  <c r="AG310" i="16"/>
  <c r="AJ310" i="16"/>
  <c r="AH310" i="16"/>
  <c r="AI310" i="16"/>
  <c r="AG324" i="16"/>
  <c r="AH324" i="16"/>
  <c r="AI324" i="16"/>
  <c r="AJ324" i="16"/>
  <c r="AG307" i="16"/>
  <c r="AH307" i="16"/>
  <c r="AI307" i="16"/>
  <c r="AJ307" i="16"/>
  <c r="AH287" i="16"/>
  <c r="AG287" i="16"/>
  <c r="AI287" i="16"/>
  <c r="AJ287" i="16"/>
  <c r="AJ194" i="16"/>
  <c r="AG194" i="16"/>
  <c r="AH194" i="16"/>
  <c r="AI194" i="16"/>
  <c r="AJ192" i="16"/>
  <c r="AG192" i="16"/>
  <c r="AH192" i="16"/>
  <c r="AI192" i="16"/>
  <c r="AJ277" i="16"/>
  <c r="AH277" i="16"/>
  <c r="AG277" i="16"/>
  <c r="AI277" i="16"/>
  <c r="AI193" i="16"/>
  <c r="AJ193" i="16"/>
  <c r="AG193" i="16"/>
  <c r="AH193" i="16"/>
  <c r="AH291" i="16"/>
  <c r="AG291" i="16"/>
  <c r="AI291" i="16"/>
  <c r="AJ291" i="16"/>
  <c r="AG115" i="16"/>
  <c r="AH115" i="16"/>
  <c r="AI115" i="16"/>
  <c r="AJ115" i="16"/>
  <c r="AI4" i="16"/>
  <c r="AJ4" i="16"/>
  <c r="AH4" i="16"/>
  <c r="AG4" i="16"/>
  <c r="AI40" i="16"/>
  <c r="AJ40" i="16"/>
  <c r="AG40" i="16"/>
  <c r="AH40" i="16"/>
  <c r="AI16" i="16"/>
  <c r="AJ16" i="16"/>
  <c r="AH16" i="16"/>
  <c r="AG16" i="16"/>
  <c r="AH281" i="16"/>
  <c r="AJ281" i="16"/>
  <c r="AG281" i="16"/>
  <c r="AI281" i="16"/>
  <c r="AG297" i="16"/>
  <c r="AH297" i="16"/>
  <c r="AI297" i="16"/>
  <c r="AJ297" i="16"/>
  <c r="AJ215" i="16"/>
  <c r="AH215" i="16"/>
  <c r="AG215" i="16"/>
  <c r="AI215" i="16"/>
  <c r="AJ3" i="16"/>
  <c r="AI3" i="16"/>
  <c r="AH3" i="16"/>
  <c r="AG3" i="16"/>
  <c r="AJ213" i="16"/>
  <c r="AH213" i="16"/>
  <c r="AG213" i="16"/>
  <c r="AI213" i="16"/>
  <c r="AG19" i="16"/>
  <c r="AH19" i="16"/>
  <c r="AJ19" i="16"/>
  <c r="AI19" i="16"/>
  <c r="AH293" i="16"/>
  <c r="AI293" i="16"/>
  <c r="AJ293" i="16"/>
  <c r="AG293" i="16"/>
  <c r="AH191" i="16"/>
  <c r="AI191" i="16"/>
  <c r="AJ191" i="16"/>
  <c r="AG191" i="16"/>
  <c r="AG61" i="16"/>
  <c r="AH61" i="16"/>
  <c r="AJ61" i="16"/>
  <c r="AI61" i="16"/>
  <c r="AG149" i="16"/>
  <c r="AH149" i="16"/>
  <c r="AI149" i="16"/>
  <c r="AJ149" i="16"/>
  <c r="AG113" i="16"/>
  <c r="AH113" i="16"/>
  <c r="AI113" i="16"/>
  <c r="AJ113" i="16"/>
  <c r="AG264" i="16"/>
  <c r="AH264" i="16"/>
  <c r="AI264" i="16"/>
  <c r="AJ264" i="16"/>
  <c r="AJ303" i="16"/>
  <c r="AG303" i="16"/>
  <c r="AH303" i="16"/>
  <c r="AI303" i="16"/>
  <c r="AI168" i="16"/>
  <c r="AJ168" i="16"/>
  <c r="AG168" i="16"/>
  <c r="AH168" i="16"/>
  <c r="AI174" i="16"/>
  <c r="AJ174" i="16"/>
  <c r="AG174" i="16"/>
  <c r="AH174" i="16"/>
  <c r="AG317" i="16"/>
  <c r="AH317" i="16"/>
  <c r="AI317" i="16"/>
  <c r="AJ317" i="16"/>
  <c r="AH301" i="16"/>
  <c r="AI301" i="16"/>
  <c r="AJ301" i="16"/>
  <c r="AG301" i="16"/>
  <c r="AG250" i="16"/>
  <c r="AH250" i="16"/>
  <c r="AI250" i="16"/>
  <c r="AJ250" i="16"/>
  <c r="AG163" i="16"/>
  <c r="AH163" i="16"/>
  <c r="AI163" i="16"/>
  <c r="AJ163" i="16"/>
  <c r="AI122" i="16"/>
  <c r="AJ122" i="16"/>
  <c r="AG122" i="16"/>
  <c r="AH122" i="16"/>
  <c r="AG298" i="16"/>
  <c r="AJ298" i="16"/>
  <c r="AI298" i="16"/>
  <c r="AH298" i="16"/>
  <c r="AG292" i="16"/>
  <c r="AJ292" i="16"/>
  <c r="AH292" i="16"/>
  <c r="AI292" i="16"/>
  <c r="AJ86" i="16"/>
  <c r="AG86" i="16"/>
  <c r="AH86" i="16"/>
  <c r="AI86" i="16"/>
  <c r="AI60" i="16"/>
  <c r="AJ60" i="16"/>
  <c r="AG60" i="16"/>
  <c r="AH60" i="16"/>
  <c r="AI58" i="16"/>
  <c r="AJ58" i="16"/>
  <c r="AG58" i="16"/>
  <c r="AH58" i="16"/>
  <c r="AG169" i="16"/>
  <c r="AH169" i="16"/>
  <c r="AI169" i="16"/>
  <c r="AJ169" i="16"/>
  <c r="AG173" i="16"/>
  <c r="AH173" i="16"/>
  <c r="AI173" i="16"/>
  <c r="AJ173" i="16"/>
  <c r="AG274" i="16"/>
  <c r="AH274" i="16"/>
  <c r="AJ274" i="16"/>
  <c r="AI274" i="16"/>
  <c r="AI30" i="16"/>
  <c r="AJ30" i="16"/>
  <c r="AG30" i="16"/>
  <c r="AH30" i="16"/>
  <c r="AI120" i="16"/>
  <c r="AJ120" i="16"/>
  <c r="AG120" i="16"/>
  <c r="AH120" i="16"/>
  <c r="AG280" i="16"/>
  <c r="AH280" i="16"/>
  <c r="AJ280" i="16"/>
  <c r="AI280" i="16"/>
  <c r="AJ81" i="16"/>
  <c r="AG81" i="16"/>
  <c r="AH81" i="16"/>
  <c r="AI81" i="16"/>
  <c r="AJ80" i="16"/>
  <c r="AH80" i="16"/>
  <c r="AI80" i="16"/>
  <c r="AG80" i="16"/>
  <c r="AJ85" i="16"/>
  <c r="AI85" i="16"/>
  <c r="AG85" i="16"/>
  <c r="AH85" i="16"/>
  <c r="AI170" i="16"/>
  <c r="AJ170" i="16"/>
  <c r="AG170" i="16"/>
  <c r="AH170" i="16"/>
  <c r="AI66" i="16"/>
  <c r="AJ66" i="16"/>
  <c r="AG66" i="16"/>
  <c r="AH66" i="16"/>
  <c r="AG212" i="16"/>
  <c r="AH212" i="16"/>
  <c r="AI212" i="16"/>
  <c r="AJ212" i="16"/>
  <c r="AG13" i="16"/>
  <c r="AH13" i="16"/>
  <c r="AJ13" i="16"/>
  <c r="AI13" i="16"/>
  <c r="AG302" i="16"/>
  <c r="AJ302" i="16"/>
  <c r="AH302" i="16"/>
  <c r="AI302" i="16"/>
  <c r="AG319" i="16"/>
  <c r="AH319" i="16"/>
  <c r="AI319" i="16"/>
  <c r="AJ319" i="16"/>
  <c r="AG171" i="16"/>
  <c r="AH171" i="16"/>
  <c r="AI171" i="16"/>
  <c r="AJ171" i="16"/>
  <c r="AG29" i="16"/>
  <c r="AH29" i="16"/>
  <c r="AJ29" i="16"/>
  <c r="AI29" i="16"/>
  <c r="AG119" i="16"/>
  <c r="AH119" i="16"/>
  <c r="AI119" i="16"/>
  <c r="AJ119" i="16"/>
  <c r="AI14" i="16"/>
  <c r="AJ14" i="16"/>
  <c r="AG14" i="16"/>
  <c r="AH14" i="16"/>
  <c r="AG299" i="16"/>
  <c r="AH299" i="16"/>
  <c r="AI299" i="16"/>
  <c r="AJ299" i="16"/>
  <c r="AG290" i="16"/>
  <c r="AH290" i="16"/>
  <c r="AJ290" i="16"/>
  <c r="AI290" i="16"/>
  <c r="AG270" i="16"/>
  <c r="AH270" i="16"/>
  <c r="AJ270" i="16"/>
  <c r="AI270" i="16"/>
  <c r="AJ211" i="16"/>
  <c r="AH211" i="16"/>
  <c r="AG211" i="16"/>
  <c r="AI211" i="16"/>
  <c r="AI36" i="16"/>
  <c r="AJ36" i="16"/>
  <c r="AH36" i="16"/>
  <c r="AG36" i="16"/>
  <c r="AJ83" i="16"/>
  <c r="AG83" i="16"/>
  <c r="AH83" i="16"/>
  <c r="AI83" i="16"/>
  <c r="AG296" i="16"/>
  <c r="AJ296" i="16"/>
  <c r="AH296" i="16"/>
  <c r="AI296" i="16"/>
  <c r="AG165" i="16"/>
  <c r="AH165" i="16"/>
  <c r="AI165" i="16"/>
  <c r="AJ165" i="16"/>
  <c r="AH289" i="16"/>
  <c r="AJ289" i="16"/>
  <c r="AG289" i="16"/>
  <c r="AI289" i="16"/>
  <c r="AG9" i="16"/>
  <c r="AH9" i="16"/>
  <c r="AJ9" i="16"/>
  <c r="AI9" i="16"/>
  <c r="AG320" i="16"/>
  <c r="AH320" i="16"/>
  <c r="AI320" i="16"/>
  <c r="AJ320" i="16"/>
  <c r="AG125" i="16"/>
  <c r="AH125" i="16"/>
  <c r="AI125" i="16"/>
  <c r="AJ125" i="16"/>
  <c r="AI114" i="16"/>
  <c r="AJ114" i="16"/>
  <c r="AG114" i="16"/>
  <c r="AH114" i="16"/>
  <c r="AI18" i="16"/>
  <c r="AJ18" i="16"/>
  <c r="AG18" i="16"/>
  <c r="AH18" i="16"/>
  <c r="AG288" i="16"/>
  <c r="AH288" i="16"/>
  <c r="AJ288" i="16"/>
  <c r="AI288" i="16"/>
  <c r="AI56" i="16"/>
  <c r="AJ56" i="16"/>
  <c r="AG56" i="16"/>
  <c r="AH56" i="16"/>
  <c r="AI38" i="16"/>
  <c r="AJ38" i="16"/>
  <c r="AG38" i="16"/>
  <c r="AH38" i="16"/>
  <c r="AI116" i="16"/>
  <c r="AJ116" i="16"/>
  <c r="AG116" i="16"/>
  <c r="AH116" i="16"/>
  <c r="AG284" i="16"/>
  <c r="AH284" i="16"/>
  <c r="AJ284" i="16"/>
  <c r="AI284" i="16"/>
  <c r="AJ273" i="16"/>
  <c r="AH273" i="16"/>
  <c r="AG273" i="16"/>
  <c r="AI273" i="16"/>
  <c r="AG55" i="16"/>
  <c r="AH55" i="16"/>
  <c r="AJ55" i="16"/>
  <c r="AI55" i="16"/>
  <c r="AI166" i="16"/>
  <c r="AJ166" i="16"/>
  <c r="AG166" i="16"/>
  <c r="AH166" i="16"/>
  <c r="AG313" i="16"/>
  <c r="AH313" i="16"/>
  <c r="AI313" i="16"/>
  <c r="AJ313" i="16"/>
  <c r="AH285" i="16"/>
  <c r="AJ285" i="16"/>
  <c r="AG285" i="16"/>
  <c r="AI285" i="16"/>
  <c r="AI126" i="16"/>
  <c r="AJ126" i="16"/>
  <c r="AG126" i="16"/>
  <c r="AH126" i="16"/>
  <c r="AG117" i="16"/>
  <c r="AH117" i="16"/>
  <c r="AI117" i="16"/>
  <c r="AJ117" i="16"/>
  <c r="AG59" i="16"/>
  <c r="AH59" i="16"/>
  <c r="AJ59" i="16"/>
  <c r="AI59" i="16"/>
  <c r="AI118" i="16"/>
  <c r="AJ118" i="16"/>
  <c r="AG118" i="16"/>
  <c r="AH118" i="16"/>
  <c r="AG282" i="16"/>
  <c r="AH282" i="16"/>
  <c r="AJ282" i="16"/>
  <c r="AI282" i="16"/>
  <c r="AG123" i="16"/>
  <c r="AH123" i="16"/>
  <c r="AI123" i="16"/>
  <c r="AJ123" i="16"/>
  <c r="AG15" i="16"/>
  <c r="AH15" i="16"/>
  <c r="AJ15" i="16"/>
  <c r="AI15" i="16"/>
  <c r="AG327" i="16"/>
  <c r="AH327" i="16"/>
  <c r="AI327" i="16"/>
  <c r="AJ327" i="16"/>
  <c r="AG318" i="16"/>
  <c r="AH318" i="16"/>
  <c r="AI318" i="16"/>
  <c r="AJ318" i="16"/>
  <c r="AG167" i="16"/>
  <c r="AH167" i="16"/>
  <c r="AI167" i="16"/>
  <c r="AJ167" i="16"/>
  <c r="AI112" i="16"/>
  <c r="AJ112" i="16"/>
  <c r="AG112" i="16"/>
  <c r="AH112" i="16"/>
  <c r="AJ251" i="16"/>
  <c r="AH251" i="16"/>
  <c r="AG251" i="16"/>
  <c r="AI251" i="16"/>
  <c r="AJ279" i="16"/>
  <c r="AH279" i="16"/>
  <c r="AG279" i="16"/>
  <c r="AI279" i="16"/>
  <c r="AI32" i="16"/>
  <c r="AJ32" i="16"/>
  <c r="AH32" i="16"/>
  <c r="AG32" i="16"/>
  <c r="AG316" i="16"/>
  <c r="AH316" i="16"/>
  <c r="AI316" i="16"/>
  <c r="AJ316" i="16"/>
  <c r="AG308" i="16"/>
  <c r="AJ308" i="16"/>
  <c r="AH308" i="16"/>
  <c r="AI308" i="16"/>
  <c r="AG27" i="16"/>
  <c r="AH27" i="16"/>
  <c r="AJ27" i="16"/>
  <c r="AI27" i="16"/>
  <c r="AI72" i="16"/>
  <c r="AJ72" i="16"/>
  <c r="AG72" i="16"/>
  <c r="AH72" i="16"/>
  <c r="AJ255" i="16"/>
  <c r="AH255" i="16"/>
  <c r="AG255" i="16"/>
  <c r="AI255" i="16"/>
  <c r="AD148" i="16"/>
  <c r="AE148" i="16"/>
  <c r="AC349" i="16"/>
  <c r="AA348" i="16"/>
  <c r="AC348" i="16" s="1"/>
  <c r="AA216" i="16"/>
  <c r="AA305" i="16"/>
  <c r="AA175" i="16"/>
  <c r="AA123" i="16"/>
  <c r="AA85" i="16"/>
  <c r="AA327" i="16"/>
  <c r="AA58" i="16"/>
  <c r="AA309" i="16"/>
  <c r="AA4" i="16"/>
  <c r="AA31" i="16"/>
  <c r="AA321" i="16"/>
  <c r="AA29" i="16"/>
  <c r="Z338" i="16"/>
  <c r="AA170" i="16"/>
  <c r="AA301" i="16"/>
  <c r="AA212" i="16"/>
  <c r="AA346" i="16" s="1"/>
  <c r="Z346" i="16"/>
  <c r="AA165" i="16"/>
  <c r="AA113" i="16"/>
  <c r="AA57" i="16"/>
  <c r="AA250" i="16"/>
  <c r="AA316" i="16"/>
  <c r="AA291" i="16"/>
  <c r="AA273" i="16"/>
  <c r="AA18" i="16"/>
  <c r="AA298" i="16"/>
  <c r="AA215" i="16"/>
  <c r="AA168" i="16"/>
  <c r="AA116" i="16"/>
  <c r="AA60" i="16"/>
  <c r="AA30" i="16"/>
  <c r="AA304" i="16"/>
  <c r="AA285" i="16"/>
  <c r="AA249" i="16"/>
  <c r="AA16" i="16"/>
  <c r="AA302" i="16"/>
  <c r="AA6" i="16"/>
  <c r="AA319" i="16"/>
  <c r="Z354" i="16"/>
  <c r="AA213" i="16"/>
  <c r="AA166" i="16"/>
  <c r="AA114" i="16"/>
  <c r="AA284" i="16"/>
  <c r="Z350" i="16"/>
  <c r="AA169" i="16"/>
  <c r="AA295" i="16"/>
  <c r="AA82" i="16"/>
  <c r="Z341" i="16"/>
  <c r="AA264" i="16"/>
  <c r="AA171" i="16"/>
  <c r="AA119" i="16"/>
  <c r="AA81" i="16"/>
  <c r="AA288" i="16"/>
  <c r="AA347" i="16"/>
  <c r="AC347" i="16" s="1"/>
  <c r="AA61" i="16"/>
  <c r="AC5" i="16"/>
  <c r="AA120" i="16"/>
  <c r="AA289" i="16"/>
  <c r="AA279" i="16"/>
  <c r="AA326" i="16"/>
  <c r="AA266" i="16"/>
  <c r="AA192" i="16"/>
  <c r="AA125" i="16"/>
  <c r="AA87" i="16"/>
  <c r="AA53" i="16"/>
  <c r="Z340" i="16"/>
  <c r="AA39" i="16"/>
  <c r="AA308" i="16"/>
  <c r="AA287" i="16"/>
  <c r="AA251" i="16"/>
  <c r="AA14" i="16"/>
  <c r="AA281" i="16"/>
  <c r="AA307" i="16"/>
  <c r="AA211" i="16"/>
  <c r="Z345" i="16"/>
  <c r="AA112" i="16"/>
  <c r="AA56" i="16"/>
  <c r="AA306" i="16"/>
  <c r="AA8" i="16"/>
  <c r="AA297" i="16"/>
  <c r="AA280" i="16"/>
  <c r="AA38" i="16"/>
  <c r="AA12" i="16"/>
  <c r="Z337" i="16"/>
  <c r="AA292" i="16"/>
  <c r="AA311" i="16"/>
  <c r="AA193" i="16"/>
  <c r="AA126" i="16"/>
  <c r="AA110" i="16"/>
  <c r="Z342" i="16"/>
  <c r="AA54" i="16"/>
  <c r="AA37" i="16"/>
  <c r="AA117" i="16"/>
  <c r="AA324" i="16"/>
  <c r="AA312" i="16"/>
  <c r="AA19" i="16"/>
  <c r="AA80" i="16"/>
  <c r="AA214" i="16"/>
  <c r="AA167" i="16"/>
  <c r="AA115" i="16"/>
  <c r="AA59" i="16"/>
  <c r="AA32" i="16"/>
  <c r="AA325" i="16"/>
  <c r="AA13" i="16"/>
  <c r="AA272" i="16"/>
  <c r="AA318" i="16"/>
  <c r="AA118" i="16"/>
  <c r="AA317" i="16"/>
  <c r="Z352" i="16"/>
  <c r="AA121" i="16"/>
  <c r="AA83" i="16"/>
  <c r="AA294" i="16"/>
  <c r="AA17" i="16"/>
  <c r="AA300" i="16"/>
  <c r="AA282" i="16"/>
  <c r="AA36" i="16"/>
  <c r="AA9" i="16"/>
  <c r="AA35" i="16"/>
  <c r="AA299" i="16"/>
  <c r="AA191" i="16"/>
  <c r="Z344" i="16"/>
  <c r="AA124" i="16"/>
  <c r="AA86" i="16"/>
  <c r="AA40" i="16"/>
  <c r="AA290" i="16"/>
  <c r="AA286" i="16"/>
  <c r="AA320" i="16"/>
  <c r="AA293" i="16"/>
  <c r="AA275" i="16"/>
  <c r="AA34" i="16"/>
  <c r="Z339" i="16"/>
  <c r="AA7" i="16"/>
  <c r="AA274" i="16"/>
  <c r="AA303" i="16"/>
  <c r="AA174" i="16"/>
  <c r="AA122" i="16"/>
  <c r="AA84" i="16"/>
  <c r="AA310" i="16"/>
  <c r="AA10" i="16"/>
  <c r="AA277" i="16"/>
  <c r="AA278" i="16"/>
  <c r="AA172" i="16"/>
  <c r="AA270" i="16"/>
  <c r="AA296" i="16"/>
  <c r="AA173" i="16"/>
  <c r="Z351" i="16"/>
  <c r="AA313" i="16"/>
  <c r="AA194" i="16"/>
  <c r="AA163" i="16"/>
  <c r="Z343" i="16"/>
  <c r="AA111" i="16"/>
  <c r="AA55" i="16"/>
  <c r="AA15" i="16"/>
  <c r="AC262" i="16"/>
  <c r="Z334" i="16"/>
  <c r="AA3" i="16"/>
  <c r="Z329" i="16"/>
  <c r="Z332" i="16"/>
  <c r="Z336" i="16"/>
  <c r="Z335" i="16"/>
  <c r="Z333" i="16"/>
  <c r="AC263" i="16"/>
  <c r="AC265" i="16"/>
  <c r="AI148" i="16" l="1"/>
  <c r="AJ148" i="16"/>
  <c r="AG148" i="16"/>
  <c r="AH148" i="16"/>
  <c r="AA265" i="16"/>
  <c r="AD265" i="16"/>
  <c r="AE265" i="16"/>
  <c r="AA263" i="16"/>
  <c r="AD263" i="16"/>
  <c r="AE263" i="16"/>
  <c r="AD262" i="16"/>
  <c r="AE262" i="16"/>
  <c r="AA5" i="16"/>
  <c r="AD5" i="16"/>
  <c r="AE5" i="16"/>
  <c r="AA354" i="16"/>
  <c r="AC354" i="16" s="1"/>
  <c r="AA353" i="16"/>
  <c r="AC353" i="16" s="1"/>
  <c r="AA344" i="16"/>
  <c r="AC344" i="16" s="1"/>
  <c r="AA352" i="16"/>
  <c r="AC352" i="16" s="1"/>
  <c r="AA333" i="16"/>
  <c r="AC333" i="16" s="1"/>
  <c r="AA340" i="16"/>
  <c r="AC340" i="16" s="1"/>
  <c r="AA336" i="16"/>
  <c r="AC336" i="16" s="1"/>
  <c r="AA345" i="16"/>
  <c r="AC345" i="16" s="1"/>
  <c r="AA337" i="16"/>
  <c r="AC337" i="16" s="1"/>
  <c r="AA339" i="16"/>
  <c r="AC339" i="16" s="1"/>
  <c r="AA262" i="16"/>
  <c r="AA350" i="16"/>
  <c r="AC350" i="16" s="1"/>
  <c r="AC346" i="16"/>
  <c r="AA338" i="16"/>
  <c r="AC338" i="16" s="1"/>
  <c r="AA341" i="16"/>
  <c r="AC341" i="16" s="1"/>
  <c r="AA342" i="16"/>
  <c r="AC342" i="16" s="1"/>
  <c r="AG5" i="16" l="1"/>
  <c r="AH5" i="16"/>
  <c r="AJ5" i="16"/>
  <c r="AI5" i="16"/>
  <c r="AJ265" i="16"/>
  <c r="AH265" i="16"/>
  <c r="AI265" i="16"/>
  <c r="AG265" i="16"/>
  <c r="AG262" i="16"/>
  <c r="AH262" i="16"/>
  <c r="AI262" i="16"/>
  <c r="AJ262" i="16"/>
  <c r="AJ263" i="16"/>
  <c r="AH263" i="16"/>
  <c r="AG263" i="16"/>
  <c r="AI263" i="16"/>
  <c r="AA334" i="16"/>
  <c r="B53" i="9"/>
  <c r="G54" i="11" l="1"/>
  <c r="B7" i="4"/>
  <c r="C7" i="4" s="1"/>
  <c r="B17" i="4"/>
  <c r="C17" i="4" s="1"/>
  <c r="B19" i="4"/>
  <c r="C19" i="4" s="1"/>
  <c r="B13" i="4"/>
  <c r="C13" i="4" s="1"/>
  <c r="B12" i="4"/>
  <c r="C12" i="4" s="1"/>
  <c r="W16" i="4"/>
  <c r="V16" i="4"/>
  <c r="U16" i="4"/>
  <c r="T16" i="4"/>
  <c r="B16" i="4"/>
  <c r="C16" i="4" s="1"/>
  <c r="B49" i="8" l="1"/>
  <c r="F49" i="8"/>
  <c r="C49" i="8" l="1"/>
  <c r="A68" i="15" l="1"/>
  <c r="A69" i="15"/>
  <c r="A70" i="15"/>
  <c r="A71" i="15"/>
  <c r="B68" i="15"/>
  <c r="B69" i="15"/>
  <c r="B70" i="15"/>
  <c r="B71" i="15"/>
  <c r="B14" i="4"/>
  <c r="C14" i="4" s="1"/>
  <c r="T14" i="4"/>
  <c r="B38" i="10"/>
  <c r="C38" i="10"/>
  <c r="B39" i="10"/>
  <c r="C39" i="10"/>
  <c r="B37" i="10"/>
  <c r="C37" i="10"/>
  <c r="B64" i="9"/>
  <c r="C64" i="9" s="1"/>
  <c r="Q64" i="9"/>
  <c r="R64" i="9" s="1"/>
  <c r="B60" i="9"/>
  <c r="C60" i="9" s="1"/>
  <c r="Q60" i="9"/>
  <c r="R60" i="9" s="1"/>
  <c r="B29" i="9"/>
  <c r="C29" i="9" s="1"/>
  <c r="Q29" i="9"/>
  <c r="R29" i="9" s="1"/>
  <c r="B44" i="9"/>
  <c r="C44" i="9" s="1"/>
  <c r="Q44" i="9"/>
  <c r="R44" i="9" s="1"/>
  <c r="B45" i="9"/>
  <c r="C45" i="9" s="1"/>
  <c r="Q45" i="9"/>
  <c r="R45" i="9" s="1"/>
  <c r="B46" i="9"/>
  <c r="C46" i="9" s="1"/>
  <c r="Q46" i="9"/>
  <c r="R46" i="9" s="1"/>
  <c r="B56" i="9"/>
  <c r="C56" i="9" s="1"/>
  <c r="Q56" i="9"/>
  <c r="R56" i="9" s="1"/>
  <c r="B33" i="6"/>
  <c r="C33" i="6" s="1"/>
  <c r="B32" i="6"/>
  <c r="C32" i="6" s="1"/>
  <c r="B11" i="6"/>
  <c r="C11" i="6" s="1"/>
  <c r="Q6" i="9"/>
  <c r="R6" i="9" s="1"/>
  <c r="B6" i="9"/>
  <c r="C6" i="9" s="1"/>
  <c r="B31" i="10"/>
  <c r="C31" i="10"/>
  <c r="B49" i="10"/>
  <c r="W14" i="4" l="1"/>
  <c r="V14" i="4"/>
  <c r="U14" i="4"/>
  <c r="C49" i="10"/>
  <c r="B39" i="6"/>
  <c r="C39" i="6" s="1"/>
  <c r="B21" i="8"/>
  <c r="F21" i="8"/>
  <c r="A7" i="15"/>
  <c r="A13" i="15"/>
  <c r="A19" i="15"/>
  <c r="A23" i="15"/>
  <c r="A27" i="15"/>
  <c r="A31" i="15"/>
  <c r="A45" i="15"/>
  <c r="A52" i="15"/>
  <c r="A57" i="15"/>
  <c r="A61" i="15"/>
  <c r="A65" i="15"/>
  <c r="A73" i="15"/>
  <c r="A79" i="15"/>
  <c r="A83" i="15"/>
  <c r="A87" i="15"/>
  <c r="A91" i="15"/>
  <c r="A95" i="15"/>
  <c r="A99" i="15"/>
  <c r="A103" i="15"/>
  <c r="A107" i="15"/>
  <c r="A121" i="15"/>
  <c r="A125" i="15"/>
  <c r="A129" i="15"/>
  <c r="A133" i="15"/>
  <c r="A137" i="15"/>
  <c r="A141" i="15"/>
  <c r="A145" i="15"/>
  <c r="A149" i="15"/>
  <c r="A153" i="15"/>
  <c r="A157" i="15"/>
  <c r="A161" i="15"/>
  <c r="B7" i="15"/>
  <c r="B13" i="15"/>
  <c r="B19" i="15"/>
  <c r="B23" i="15"/>
  <c r="B27" i="15"/>
  <c r="B31" i="15"/>
  <c r="B45" i="15"/>
  <c r="B52" i="15"/>
  <c r="B57" i="15"/>
  <c r="B61" i="15"/>
  <c r="B65" i="15"/>
  <c r="B73" i="15"/>
  <c r="B79" i="15"/>
  <c r="B83" i="15"/>
  <c r="B87" i="15"/>
  <c r="B91" i="15"/>
  <c r="B95" i="15"/>
  <c r="B99" i="15"/>
  <c r="B103" i="15"/>
  <c r="B107" i="15"/>
  <c r="B121" i="15"/>
  <c r="B125" i="15"/>
  <c r="B129" i="15"/>
  <c r="B133" i="15"/>
  <c r="B137" i="15"/>
  <c r="B141" i="15"/>
  <c r="B145" i="15"/>
  <c r="B149" i="15"/>
  <c r="B153" i="15"/>
  <c r="B157" i="15"/>
  <c r="B161" i="15"/>
  <c r="A3" i="15"/>
  <c r="B3" i="15"/>
  <c r="P44" i="6"/>
  <c r="P3" i="6"/>
  <c r="Q50" i="7"/>
  <c r="R50" i="7" s="1"/>
  <c r="Q49" i="7"/>
  <c r="R49" i="7" s="1"/>
  <c r="Q48" i="7"/>
  <c r="R48" i="7" s="1"/>
  <c r="Q47" i="7"/>
  <c r="R47" i="7" s="1"/>
  <c r="Q46" i="7"/>
  <c r="R46" i="7" s="1"/>
  <c r="Q45" i="7"/>
  <c r="R45" i="7" s="1"/>
  <c r="Q44" i="7"/>
  <c r="R44" i="7" s="1"/>
  <c r="Q42" i="7"/>
  <c r="R42" i="7" s="1"/>
  <c r="Q41" i="7"/>
  <c r="R41" i="7" s="1"/>
  <c r="Q40" i="7"/>
  <c r="R40" i="7" s="1"/>
  <c r="Q39" i="7"/>
  <c r="R39" i="7" s="1"/>
  <c r="Q38" i="7"/>
  <c r="R38" i="7" s="1"/>
  <c r="Q37" i="7"/>
  <c r="R37" i="7" s="1"/>
  <c r="Q36" i="7"/>
  <c r="R36" i="7" s="1"/>
  <c r="Q35" i="7"/>
  <c r="R35" i="7" s="1"/>
  <c r="Q34" i="7"/>
  <c r="R34" i="7" s="1"/>
  <c r="Q33" i="7"/>
  <c r="R33" i="7" s="1"/>
  <c r="Q32" i="7"/>
  <c r="R32" i="7" s="1"/>
  <c r="Q31" i="7"/>
  <c r="R31" i="7" s="1"/>
  <c r="Q30" i="7"/>
  <c r="R30" i="7" s="1"/>
  <c r="Q29" i="7"/>
  <c r="R29" i="7" s="1"/>
  <c r="Q28" i="7"/>
  <c r="R28" i="7" s="1"/>
  <c r="Q27" i="7"/>
  <c r="R27" i="7" s="1"/>
  <c r="Q26" i="7"/>
  <c r="R26" i="7" s="1"/>
  <c r="Q25" i="7"/>
  <c r="R25" i="7" s="1"/>
  <c r="Q24" i="7"/>
  <c r="R24" i="7" s="1"/>
  <c r="Q23" i="7"/>
  <c r="R23" i="7" s="1"/>
  <c r="Q22" i="7"/>
  <c r="R22" i="7" s="1"/>
  <c r="Q21" i="7"/>
  <c r="R21" i="7" s="1"/>
  <c r="Q20" i="7"/>
  <c r="R20" i="7" s="1"/>
  <c r="Q19" i="7"/>
  <c r="R19" i="7" s="1"/>
  <c r="Q18" i="7"/>
  <c r="R18" i="7" s="1"/>
  <c r="Q17" i="7"/>
  <c r="R17" i="7" s="1"/>
  <c r="Q16" i="7"/>
  <c r="R16" i="7" s="1"/>
  <c r="Q15" i="7"/>
  <c r="R15" i="7" s="1"/>
  <c r="Q14" i="7"/>
  <c r="R14" i="7" s="1"/>
  <c r="Q13" i="7"/>
  <c r="R13" i="7" s="1"/>
  <c r="Q12" i="7"/>
  <c r="R12" i="7" s="1"/>
  <c r="Q11" i="7"/>
  <c r="Q10" i="7"/>
  <c r="R10" i="7" s="1"/>
  <c r="Q9" i="7"/>
  <c r="R9" i="7" s="1"/>
  <c r="Q8" i="7"/>
  <c r="R8" i="7" s="1"/>
  <c r="Q7" i="7"/>
  <c r="R7" i="7" s="1"/>
  <c r="Q6" i="7"/>
  <c r="R6" i="7" s="1"/>
  <c r="Q5" i="7"/>
  <c r="R5" i="7" s="1"/>
  <c r="Q4" i="7"/>
  <c r="R4" i="7" s="1"/>
  <c r="Q3" i="7"/>
  <c r="R3" i="7" s="1"/>
  <c r="Q63" i="9"/>
  <c r="Q62" i="9"/>
  <c r="Q61" i="9"/>
  <c r="Q59" i="9"/>
  <c r="Q58" i="9"/>
  <c r="Q57" i="9"/>
  <c r="Q55" i="9"/>
  <c r="Q54" i="9"/>
  <c r="Q52" i="9"/>
  <c r="Q51" i="9"/>
  <c r="Q50" i="9"/>
  <c r="Q49" i="9"/>
  <c r="Q48" i="9"/>
  <c r="Q47" i="9"/>
  <c r="Q43" i="9"/>
  <c r="Q42" i="9"/>
  <c r="Q41" i="9"/>
  <c r="Q40" i="9"/>
  <c r="Q39" i="9"/>
  <c r="Q38" i="9"/>
  <c r="Q37" i="9"/>
  <c r="Q36" i="9"/>
  <c r="Q35" i="9"/>
  <c r="Q34" i="9"/>
  <c r="Q33" i="9"/>
  <c r="Q32" i="9"/>
  <c r="Q31" i="9"/>
  <c r="Q30" i="9"/>
  <c r="Q28" i="9"/>
  <c r="Q27" i="9"/>
  <c r="Q26" i="9"/>
  <c r="Q53" i="9"/>
  <c r="Q25" i="9"/>
  <c r="Q24" i="9"/>
  <c r="Q23" i="9"/>
  <c r="Q22" i="9"/>
  <c r="Q21" i="9"/>
  <c r="Q20" i="9"/>
  <c r="Q19" i="9"/>
  <c r="Q18" i="9"/>
  <c r="Q17" i="9"/>
  <c r="Q16" i="9"/>
  <c r="Q15" i="9"/>
  <c r="Q14" i="9"/>
  <c r="Q13" i="9"/>
  <c r="Q12" i="9"/>
  <c r="Q11" i="9"/>
  <c r="Q10" i="9"/>
  <c r="Q9" i="9"/>
  <c r="Q8" i="9"/>
  <c r="Q7" i="9"/>
  <c r="Q5" i="9"/>
  <c r="Q4" i="9"/>
  <c r="Q3" i="9"/>
  <c r="Q3" i="10"/>
  <c r="P3" i="11"/>
  <c r="P3" i="8"/>
  <c r="C79" i="11"/>
  <c r="C80" i="11"/>
  <c r="C81" i="11"/>
  <c r="C82" i="11"/>
  <c r="C83" i="11"/>
  <c r="C84" i="11"/>
  <c r="C85" i="11"/>
  <c r="C86" i="11"/>
  <c r="C87" i="11"/>
  <c r="C78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46" i="11"/>
  <c r="B79" i="11"/>
  <c r="B80" i="11"/>
  <c r="B81" i="11"/>
  <c r="B82" i="11"/>
  <c r="B83" i="11"/>
  <c r="B84" i="11"/>
  <c r="B85" i="11"/>
  <c r="B86" i="11"/>
  <c r="B87" i="11"/>
  <c r="B78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45" i="11"/>
  <c r="B37" i="11"/>
  <c r="B38" i="11"/>
  <c r="B39" i="11"/>
  <c r="B40" i="11"/>
  <c r="B41" i="11"/>
  <c r="B42" i="11"/>
  <c r="B43" i="11"/>
  <c r="B44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3" i="11"/>
  <c r="C4" i="10"/>
  <c r="C5" i="10"/>
  <c r="C6" i="10"/>
  <c r="C7" i="10"/>
  <c r="C8" i="10"/>
  <c r="C9" i="10"/>
  <c r="C10" i="10"/>
  <c r="C11" i="10"/>
  <c r="C13" i="10"/>
  <c r="C15" i="10"/>
  <c r="C16" i="10"/>
  <c r="C17" i="10"/>
  <c r="C18" i="10"/>
  <c r="C19" i="10"/>
  <c r="C20" i="10"/>
  <c r="C21" i="10"/>
  <c r="C23" i="10"/>
  <c r="C24" i="10"/>
  <c r="C25" i="10"/>
  <c r="C26" i="10"/>
  <c r="C27" i="10"/>
  <c r="C28" i="10"/>
  <c r="C29" i="10"/>
  <c r="C30" i="10"/>
  <c r="C32" i="10"/>
  <c r="C33" i="10"/>
  <c r="C34" i="10"/>
  <c r="C35" i="10"/>
  <c r="C36" i="10"/>
  <c r="C40" i="10"/>
  <c r="C41" i="10"/>
  <c r="C42" i="10"/>
  <c r="C43" i="10"/>
  <c r="C44" i="10"/>
  <c r="C46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4" i="10"/>
  <c r="C65" i="10"/>
  <c r="C45" i="10"/>
  <c r="C18" i="6"/>
  <c r="B17" i="6"/>
  <c r="C17" i="6" s="1"/>
  <c r="B16" i="6"/>
  <c r="C16" i="6" s="1"/>
  <c r="B15" i="6"/>
  <c r="C15" i="6" s="1"/>
  <c r="B14" i="6"/>
  <c r="C14" i="6" s="1"/>
  <c r="B13" i="6"/>
  <c r="C13" i="6" s="1"/>
  <c r="B12" i="6"/>
  <c r="C12" i="6" s="1"/>
  <c r="B10" i="6"/>
  <c r="C10" i="6" s="1"/>
  <c r="B9" i="6"/>
  <c r="C9" i="6" s="1"/>
  <c r="B8" i="6"/>
  <c r="C8" i="6" s="1"/>
  <c r="B7" i="6"/>
  <c r="C7" i="6" s="1"/>
  <c r="B6" i="6"/>
  <c r="C6" i="6" s="1"/>
  <c r="B5" i="6"/>
  <c r="C5" i="6" s="1"/>
  <c r="B4" i="6"/>
  <c r="C4" i="6" s="1"/>
  <c r="B3" i="6"/>
  <c r="C3" i="6" s="1"/>
  <c r="B20" i="6"/>
  <c r="C20" i="6" s="1"/>
  <c r="B21" i="6"/>
  <c r="C21" i="6" s="1"/>
  <c r="B22" i="6"/>
  <c r="C22" i="6" s="1"/>
  <c r="B23" i="6"/>
  <c r="C23" i="6" s="1"/>
  <c r="B24" i="6"/>
  <c r="C24" i="6" s="1"/>
  <c r="B25" i="6"/>
  <c r="B26" i="6"/>
  <c r="C26" i="6" s="1"/>
  <c r="B27" i="6"/>
  <c r="C27" i="6" s="1"/>
  <c r="B28" i="6"/>
  <c r="C28" i="6" s="1"/>
  <c r="B30" i="6"/>
  <c r="C30" i="6" s="1"/>
  <c r="B31" i="6"/>
  <c r="C31" i="6" s="1"/>
  <c r="B34" i="6"/>
  <c r="C34" i="6" s="1"/>
  <c r="B35" i="6"/>
  <c r="C35" i="6" s="1"/>
  <c r="B36" i="6"/>
  <c r="C36" i="6" s="1"/>
  <c r="B37" i="6"/>
  <c r="C37" i="6" s="1"/>
  <c r="B38" i="6"/>
  <c r="C38" i="6" s="1"/>
  <c r="B40" i="6"/>
  <c r="C40" i="6" s="1"/>
  <c r="B41" i="6"/>
  <c r="C41" i="6" s="1"/>
  <c r="B42" i="6"/>
  <c r="C42" i="6" s="1"/>
  <c r="B43" i="6"/>
  <c r="C43" i="6" s="1"/>
  <c r="B19" i="6"/>
  <c r="C19" i="6" s="1"/>
  <c r="C25" i="6" l="1"/>
  <c r="D24" i="12" s="1"/>
  <c r="C24" i="12"/>
  <c r="C21" i="8"/>
  <c r="B4" i="10"/>
  <c r="B5" i="10"/>
  <c r="B6" i="10"/>
  <c r="B7" i="10"/>
  <c r="B8" i="10"/>
  <c r="B9" i="10"/>
  <c r="B10" i="10"/>
  <c r="B11" i="10"/>
  <c r="B13" i="10"/>
  <c r="B15" i="10"/>
  <c r="B16" i="10"/>
  <c r="B17" i="10"/>
  <c r="B18" i="10"/>
  <c r="B19" i="10"/>
  <c r="B20" i="10"/>
  <c r="B21" i="10"/>
  <c r="B23" i="10"/>
  <c r="B24" i="10"/>
  <c r="B25" i="10"/>
  <c r="B26" i="10"/>
  <c r="B27" i="10"/>
  <c r="B28" i="10"/>
  <c r="B29" i="10"/>
  <c r="B30" i="10"/>
  <c r="B32" i="10"/>
  <c r="B33" i="10"/>
  <c r="B34" i="10"/>
  <c r="B35" i="10"/>
  <c r="B36" i="10"/>
  <c r="B40" i="10"/>
  <c r="B41" i="10"/>
  <c r="B42" i="10"/>
  <c r="B43" i="10"/>
  <c r="B44" i="10"/>
  <c r="B45" i="10"/>
  <c r="B46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4" i="10"/>
  <c r="B65" i="10"/>
  <c r="B16" i="9"/>
  <c r="C16" i="9" s="1"/>
  <c r="B17" i="9"/>
  <c r="C17" i="9" s="1"/>
  <c r="B18" i="9"/>
  <c r="C18" i="9" s="1"/>
  <c r="B19" i="9"/>
  <c r="C19" i="9" s="1"/>
  <c r="B20" i="9"/>
  <c r="C20" i="9" s="1"/>
  <c r="B21" i="9"/>
  <c r="C21" i="9" s="1"/>
  <c r="B22" i="9"/>
  <c r="C22" i="9" s="1"/>
  <c r="B23" i="9"/>
  <c r="C23" i="9" s="1"/>
  <c r="B24" i="9"/>
  <c r="C24" i="9" s="1"/>
  <c r="B25" i="9"/>
  <c r="C25" i="9" s="1"/>
  <c r="C53" i="9"/>
  <c r="B26" i="9"/>
  <c r="C26" i="9" s="1"/>
  <c r="B27" i="9"/>
  <c r="C27" i="9" s="1"/>
  <c r="B28" i="9"/>
  <c r="C28" i="9" s="1"/>
  <c r="B30" i="9"/>
  <c r="C30" i="9" s="1"/>
  <c r="B31" i="9"/>
  <c r="C31" i="9" s="1"/>
  <c r="B32" i="9"/>
  <c r="C32" i="9" s="1"/>
  <c r="B33" i="9"/>
  <c r="C33" i="9" s="1"/>
  <c r="B34" i="9"/>
  <c r="C34" i="9" s="1"/>
  <c r="B35" i="9"/>
  <c r="C35" i="9" s="1"/>
  <c r="B36" i="9"/>
  <c r="C36" i="9" s="1"/>
  <c r="B37" i="9"/>
  <c r="C37" i="9" s="1"/>
  <c r="B38" i="9"/>
  <c r="C38" i="9" s="1"/>
  <c r="B39" i="9"/>
  <c r="C39" i="9" s="1"/>
  <c r="B40" i="9"/>
  <c r="C40" i="9" s="1"/>
  <c r="B41" i="9"/>
  <c r="C41" i="9" s="1"/>
  <c r="B42" i="9"/>
  <c r="C42" i="9" s="1"/>
  <c r="B43" i="9"/>
  <c r="C43" i="9" s="1"/>
  <c r="B47" i="9"/>
  <c r="C47" i="9" s="1"/>
  <c r="B48" i="9"/>
  <c r="C48" i="9" s="1"/>
  <c r="B49" i="9"/>
  <c r="C49" i="9" s="1"/>
  <c r="B50" i="9"/>
  <c r="C50" i="9" s="1"/>
  <c r="B51" i="9"/>
  <c r="C51" i="9" s="1"/>
  <c r="B52" i="9"/>
  <c r="C52" i="9" s="1"/>
  <c r="B54" i="9"/>
  <c r="C54" i="9" s="1"/>
  <c r="B55" i="9"/>
  <c r="C55" i="9" s="1"/>
  <c r="B57" i="9"/>
  <c r="C57" i="9" s="1"/>
  <c r="B58" i="9"/>
  <c r="C58" i="9" s="1"/>
  <c r="B59" i="9"/>
  <c r="C59" i="9" s="1"/>
  <c r="B61" i="9"/>
  <c r="C61" i="9" s="1"/>
  <c r="B62" i="9"/>
  <c r="C62" i="9" s="1"/>
  <c r="B63" i="9"/>
  <c r="C63" i="9" s="1"/>
  <c r="B4" i="9"/>
  <c r="C4" i="9" s="1"/>
  <c r="B5" i="9"/>
  <c r="C5" i="9" s="1"/>
  <c r="B7" i="9"/>
  <c r="C7" i="9" s="1"/>
  <c r="B8" i="9"/>
  <c r="C8" i="9" s="1"/>
  <c r="B9" i="9"/>
  <c r="C9" i="9" s="1"/>
  <c r="B10" i="9"/>
  <c r="C10" i="9" s="1"/>
  <c r="B11" i="9"/>
  <c r="B12" i="9"/>
  <c r="C12" i="9" s="1"/>
  <c r="B13" i="9"/>
  <c r="C13" i="9" s="1"/>
  <c r="B14" i="9"/>
  <c r="C14" i="9" s="1"/>
  <c r="B15" i="9"/>
  <c r="C15" i="9" s="1"/>
  <c r="B3" i="9"/>
  <c r="C3" i="9" s="1"/>
  <c r="B6" i="8"/>
  <c r="B7" i="8"/>
  <c r="B8" i="8"/>
  <c r="B9" i="8"/>
  <c r="B10" i="8"/>
  <c r="C18" i="12" s="1"/>
  <c r="B11" i="8"/>
  <c r="B12" i="8"/>
  <c r="B13" i="8"/>
  <c r="B14" i="8"/>
  <c r="B15" i="8"/>
  <c r="B16" i="8"/>
  <c r="B17" i="8"/>
  <c r="B18" i="8"/>
  <c r="B19" i="8"/>
  <c r="B20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4" i="8"/>
  <c r="B5" i="8"/>
  <c r="B3" i="8"/>
  <c r="B4" i="7"/>
  <c r="C4" i="7" s="1"/>
  <c r="B5" i="7"/>
  <c r="C5" i="7" s="1"/>
  <c r="B6" i="7"/>
  <c r="C6" i="7" s="1"/>
  <c r="B7" i="7"/>
  <c r="C7" i="7" s="1"/>
  <c r="B8" i="7"/>
  <c r="C8" i="7" s="1"/>
  <c r="B9" i="7"/>
  <c r="C9" i="7" s="1"/>
  <c r="B10" i="7"/>
  <c r="C10" i="7" s="1"/>
  <c r="B11" i="7"/>
  <c r="C23" i="12" s="1"/>
  <c r="B12" i="7"/>
  <c r="C12" i="7" s="1"/>
  <c r="B13" i="7"/>
  <c r="C13" i="7" s="1"/>
  <c r="B14" i="7"/>
  <c r="C14" i="7" s="1"/>
  <c r="B15" i="7"/>
  <c r="C15" i="7" s="1"/>
  <c r="B16" i="7"/>
  <c r="C16" i="7" s="1"/>
  <c r="B17" i="7"/>
  <c r="C17" i="7" s="1"/>
  <c r="B18" i="7"/>
  <c r="C18" i="7" s="1"/>
  <c r="B19" i="7"/>
  <c r="C19" i="7" s="1"/>
  <c r="B20" i="7"/>
  <c r="C20" i="7" s="1"/>
  <c r="B21" i="7"/>
  <c r="C21" i="7" s="1"/>
  <c r="B22" i="7"/>
  <c r="C22" i="7" s="1"/>
  <c r="B23" i="7"/>
  <c r="C23" i="7" s="1"/>
  <c r="B24" i="7"/>
  <c r="C24" i="7" s="1"/>
  <c r="B25" i="7"/>
  <c r="C25" i="7" s="1"/>
  <c r="B26" i="7"/>
  <c r="C26" i="7" s="1"/>
  <c r="B27" i="7"/>
  <c r="C27" i="7" s="1"/>
  <c r="B28" i="7"/>
  <c r="C28" i="7" s="1"/>
  <c r="B29" i="7"/>
  <c r="C29" i="7" s="1"/>
  <c r="B30" i="7"/>
  <c r="C30" i="7" s="1"/>
  <c r="B31" i="7"/>
  <c r="C31" i="7" s="1"/>
  <c r="B32" i="7"/>
  <c r="C32" i="7" s="1"/>
  <c r="B33" i="7"/>
  <c r="C33" i="7" s="1"/>
  <c r="B34" i="7"/>
  <c r="C34" i="7" s="1"/>
  <c r="B35" i="7"/>
  <c r="C35" i="7" s="1"/>
  <c r="B36" i="7"/>
  <c r="C36" i="7" s="1"/>
  <c r="B37" i="7"/>
  <c r="C37" i="7" s="1"/>
  <c r="B38" i="7"/>
  <c r="C38" i="7" s="1"/>
  <c r="B39" i="7"/>
  <c r="C39" i="7" s="1"/>
  <c r="B40" i="7"/>
  <c r="C40" i="7" s="1"/>
  <c r="B41" i="7"/>
  <c r="C41" i="7" s="1"/>
  <c r="B42" i="7"/>
  <c r="C42" i="7" s="1"/>
  <c r="B43" i="7"/>
  <c r="C43" i="7" s="1"/>
  <c r="B44" i="7"/>
  <c r="C44" i="7" s="1"/>
  <c r="B45" i="7"/>
  <c r="C45" i="7" s="1"/>
  <c r="B46" i="7"/>
  <c r="C46" i="7" s="1"/>
  <c r="B47" i="7"/>
  <c r="C47" i="7" s="1"/>
  <c r="B48" i="7"/>
  <c r="C48" i="7" s="1"/>
  <c r="B49" i="7"/>
  <c r="C49" i="7" s="1"/>
  <c r="B50" i="7"/>
  <c r="C50" i="7" s="1"/>
  <c r="B3" i="7"/>
  <c r="C3" i="7" s="1"/>
  <c r="B16" i="5"/>
  <c r="C16" i="5" s="1"/>
  <c r="B15" i="5"/>
  <c r="C15" i="5" s="1"/>
  <c r="B14" i="5"/>
  <c r="C14" i="5" s="1"/>
  <c r="B13" i="5"/>
  <c r="C13" i="5" s="1"/>
  <c r="B12" i="5"/>
  <c r="C12" i="5" s="1"/>
  <c r="B11" i="5"/>
  <c r="C11" i="5" s="1"/>
  <c r="B4" i="5"/>
  <c r="C4" i="5" s="1"/>
  <c r="B5" i="5"/>
  <c r="C5" i="5" s="1"/>
  <c r="B6" i="5"/>
  <c r="C6" i="5" s="1"/>
  <c r="B7" i="5"/>
  <c r="C7" i="5" s="1"/>
  <c r="B8" i="5"/>
  <c r="C8" i="5" s="1"/>
  <c r="B9" i="5"/>
  <c r="C9" i="5" s="1"/>
  <c r="B10" i="5"/>
  <c r="C10" i="5" s="1"/>
  <c r="B3" i="5"/>
  <c r="C3" i="5" s="1"/>
  <c r="B3" i="4"/>
  <c r="C3" i="4" s="1"/>
  <c r="B4" i="4"/>
  <c r="C4" i="4" s="1"/>
  <c r="B5" i="4"/>
  <c r="C5" i="4" s="1"/>
  <c r="B6" i="4"/>
  <c r="C6" i="4" s="1"/>
  <c r="B8" i="4"/>
  <c r="C8" i="4" s="1"/>
  <c r="B9" i="4"/>
  <c r="C9" i="4" s="1"/>
  <c r="B10" i="4"/>
  <c r="B11" i="4"/>
  <c r="C11" i="4" s="1"/>
  <c r="B15" i="4"/>
  <c r="C15" i="4" s="1"/>
  <c r="B18" i="4"/>
  <c r="C18" i="4" s="1"/>
  <c r="T4" i="4"/>
  <c r="U4" i="4"/>
  <c r="V4" i="4"/>
  <c r="W4" i="4"/>
  <c r="T5" i="4"/>
  <c r="U5" i="4"/>
  <c r="V5" i="4"/>
  <c r="W5" i="4"/>
  <c r="U6" i="4"/>
  <c r="T8" i="4"/>
  <c r="T9" i="4"/>
  <c r="U9" i="4"/>
  <c r="V9" i="4"/>
  <c r="W9" i="4"/>
  <c r="W11" i="4"/>
  <c r="V15" i="4"/>
  <c r="U18" i="4"/>
  <c r="U4" i="5"/>
  <c r="U13" i="5"/>
  <c r="T52" i="10"/>
  <c r="T53" i="10"/>
  <c r="T54" i="10"/>
  <c r="T55" i="10"/>
  <c r="T56" i="10"/>
  <c r="T57" i="10"/>
  <c r="T58" i="10"/>
  <c r="T59" i="10"/>
  <c r="T60" i="10"/>
  <c r="T61" i="10"/>
  <c r="T62" i="10"/>
  <c r="T63" i="10"/>
  <c r="T64" i="10"/>
  <c r="T65" i="10"/>
  <c r="C11" i="9" l="1"/>
  <c r="D22" i="12" s="1"/>
  <c r="C22" i="12"/>
  <c r="T18" i="4"/>
  <c r="V11" i="4"/>
  <c r="Q22" i="4"/>
  <c r="D4" i="17" s="1"/>
  <c r="U11" i="4"/>
  <c r="T11" i="4"/>
  <c r="T6" i="4"/>
  <c r="U15" i="4"/>
  <c r="W15" i="4"/>
  <c r="T15" i="4"/>
  <c r="W8" i="4"/>
  <c r="V8" i="4"/>
  <c r="U8" i="4"/>
  <c r="W18" i="4"/>
  <c r="W6" i="4"/>
  <c r="V18" i="4"/>
  <c r="V6" i="4"/>
  <c r="F87" i="8"/>
  <c r="F86" i="8"/>
  <c r="F10" i="8"/>
  <c r="F11" i="8"/>
  <c r="F12" i="8"/>
  <c r="F13" i="8"/>
  <c r="F14" i="8"/>
  <c r="F15" i="8"/>
  <c r="F16" i="8"/>
  <c r="F17" i="8"/>
  <c r="F18" i="8"/>
  <c r="F19" i="8"/>
  <c r="F20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4" i="8"/>
  <c r="F5" i="8"/>
  <c r="F6" i="8"/>
  <c r="F7" i="8"/>
  <c r="F8" i="8"/>
  <c r="F9" i="8"/>
  <c r="F3" i="8"/>
  <c r="H14" i="12"/>
  <c r="F13" i="12"/>
  <c r="H13" i="12" s="1"/>
  <c r="Q87" i="11"/>
  <c r="Q86" i="11"/>
  <c r="Q85" i="11"/>
  <c r="Q84" i="11"/>
  <c r="Q83" i="11"/>
  <c r="Q82" i="11"/>
  <c r="Q81" i="11"/>
  <c r="Q80" i="11"/>
  <c r="Q79" i="11"/>
  <c r="Q78" i="11"/>
  <c r="Q75" i="11"/>
  <c r="Q74" i="11"/>
  <c r="Q73" i="11"/>
  <c r="Q72" i="11"/>
  <c r="Q71" i="11"/>
  <c r="Q70" i="11"/>
  <c r="Q69" i="11"/>
  <c r="Q68" i="11"/>
  <c r="Q67" i="11"/>
  <c r="Q66" i="11"/>
  <c r="Q65" i="11"/>
  <c r="Q64" i="11"/>
  <c r="Q63" i="11"/>
  <c r="Q62" i="11"/>
  <c r="Q61" i="11"/>
  <c r="Q60" i="11"/>
  <c r="Q59" i="11"/>
  <c r="Q58" i="11"/>
  <c r="Q57" i="11"/>
  <c r="Q56" i="11"/>
  <c r="Q55" i="11"/>
  <c r="Q54" i="11"/>
  <c r="Q53" i="11"/>
  <c r="Q52" i="11"/>
  <c r="Q51" i="11"/>
  <c r="Q50" i="11"/>
  <c r="Q49" i="11"/>
  <c r="Q48" i="11"/>
  <c r="Q47" i="11"/>
  <c r="Q46" i="11"/>
  <c r="Q45" i="11"/>
  <c r="Q44" i="11"/>
  <c r="Q43" i="11"/>
  <c r="Q42" i="11"/>
  <c r="Q41" i="11"/>
  <c r="Q40" i="11"/>
  <c r="Q39" i="11"/>
  <c r="Q38" i="11"/>
  <c r="Q37" i="11"/>
  <c r="Q36" i="11"/>
  <c r="Q35" i="11"/>
  <c r="Q34" i="11"/>
  <c r="Q33" i="11"/>
  <c r="Q32" i="11"/>
  <c r="Q31" i="11"/>
  <c r="Q30" i="11"/>
  <c r="Q29" i="11"/>
  <c r="Q28" i="11"/>
  <c r="Q27" i="11"/>
  <c r="Q26" i="11"/>
  <c r="Q25" i="11"/>
  <c r="Q24" i="11"/>
  <c r="Q23" i="11"/>
  <c r="Q22" i="11"/>
  <c r="Q21" i="11"/>
  <c r="Q20" i="11"/>
  <c r="Q19" i="11"/>
  <c r="Q18" i="11"/>
  <c r="Q17" i="11"/>
  <c r="Q16" i="11"/>
  <c r="Q15" i="11"/>
  <c r="Q14" i="11"/>
  <c r="Q13" i="11"/>
  <c r="Q12" i="11"/>
  <c r="Q11" i="11"/>
  <c r="Q10" i="11"/>
  <c r="Q9" i="11"/>
  <c r="Q8" i="11"/>
  <c r="Q7" i="11"/>
  <c r="Q6" i="11"/>
  <c r="Q5" i="11"/>
  <c r="Q4" i="11"/>
  <c r="Q3" i="11"/>
  <c r="F63" i="10"/>
  <c r="E50" i="10"/>
  <c r="E48" i="10"/>
  <c r="E47" i="10"/>
  <c r="E22" i="10"/>
  <c r="F14" i="10"/>
  <c r="E12" i="10"/>
  <c r="E3" i="10"/>
  <c r="R63" i="9"/>
  <c r="R62" i="9"/>
  <c r="R61" i="9"/>
  <c r="R59" i="9"/>
  <c r="R58" i="9"/>
  <c r="R57" i="9"/>
  <c r="R55" i="9"/>
  <c r="R54" i="9"/>
  <c r="R52" i="9"/>
  <c r="R51" i="9"/>
  <c r="R50" i="9"/>
  <c r="R49" i="9"/>
  <c r="R48" i="9"/>
  <c r="R43" i="9"/>
  <c r="R42" i="9"/>
  <c r="R41" i="9"/>
  <c r="R40" i="9"/>
  <c r="R39" i="9"/>
  <c r="R38" i="9"/>
  <c r="R37" i="9"/>
  <c r="R36" i="9"/>
  <c r="R35" i="9"/>
  <c r="R34" i="9"/>
  <c r="R33" i="9"/>
  <c r="R32" i="9"/>
  <c r="R31" i="9"/>
  <c r="R30" i="9"/>
  <c r="R28" i="9"/>
  <c r="R27" i="9"/>
  <c r="R26" i="9"/>
  <c r="R53" i="9"/>
  <c r="R25" i="9"/>
  <c r="R24" i="9"/>
  <c r="R23" i="9"/>
  <c r="R22" i="9"/>
  <c r="R21" i="9"/>
  <c r="R20" i="9"/>
  <c r="R19" i="9"/>
  <c r="R18" i="9"/>
  <c r="R17" i="9"/>
  <c r="R16" i="9"/>
  <c r="R15" i="9"/>
  <c r="R14" i="9"/>
  <c r="R13" i="9"/>
  <c r="R12" i="9"/>
  <c r="R11" i="9"/>
  <c r="R10" i="9"/>
  <c r="R9" i="9"/>
  <c r="R8" i="9"/>
  <c r="R7" i="9"/>
  <c r="R5" i="9"/>
  <c r="R4" i="9"/>
  <c r="R3" i="9"/>
  <c r="G11" i="7"/>
  <c r="H23" i="12" l="1"/>
  <c r="W11" i="7"/>
  <c r="U11" i="7"/>
  <c r="R11" i="7" s="1"/>
  <c r="P23" i="12"/>
  <c r="R23" i="12" s="1"/>
  <c r="V23" i="12"/>
  <c r="X61" i="11"/>
  <c r="X66" i="11" s="1"/>
  <c r="X71" i="11" s="1"/>
  <c r="X76" i="11" s="1"/>
  <c r="X81" i="11" s="1"/>
  <c r="X86" i="11" s="1"/>
  <c r="Z61" i="11"/>
  <c r="AA61" i="11"/>
  <c r="Y61" i="11"/>
  <c r="Y66" i="11" s="1"/>
  <c r="Y71" i="11" s="1"/>
  <c r="Y76" i="11" s="1"/>
  <c r="Y81" i="11" s="1"/>
  <c r="Y86" i="11" s="1"/>
  <c r="P14" i="12"/>
  <c r="R14" i="12" s="1"/>
  <c r="V14" i="12"/>
  <c r="P13" i="12"/>
  <c r="R13" i="12" s="1"/>
  <c r="V13" i="12"/>
  <c r="C11" i="7"/>
  <c r="D23" i="12" s="1"/>
  <c r="B12" i="10"/>
  <c r="C12" i="10"/>
  <c r="B47" i="10"/>
  <c r="C47" i="10"/>
  <c r="B14" i="10"/>
  <c r="C14" i="10"/>
  <c r="B3" i="10"/>
  <c r="C3" i="10"/>
  <c r="B50" i="10"/>
  <c r="C50" i="10"/>
  <c r="B48" i="10"/>
  <c r="C48" i="10"/>
  <c r="B63" i="10"/>
  <c r="C63" i="10"/>
  <c r="B22" i="10"/>
  <c r="C22" i="10"/>
  <c r="C86" i="8"/>
  <c r="C87" i="8"/>
  <c r="C4" i="8"/>
  <c r="C54" i="8"/>
  <c r="C12" i="8"/>
  <c r="C85" i="8"/>
  <c r="C69" i="8"/>
  <c r="C28" i="8"/>
  <c r="C19" i="8"/>
  <c r="Q3" i="8"/>
  <c r="C3" i="8"/>
  <c r="C84" i="8"/>
  <c r="C76" i="8"/>
  <c r="C68" i="8"/>
  <c r="C60" i="8"/>
  <c r="C52" i="8"/>
  <c r="C43" i="8"/>
  <c r="C35" i="8"/>
  <c r="C27" i="8"/>
  <c r="C18" i="8"/>
  <c r="C10" i="8"/>
  <c r="D18" i="12" s="1"/>
  <c r="C70" i="8"/>
  <c r="C45" i="8"/>
  <c r="C20" i="8"/>
  <c r="C77" i="8"/>
  <c r="C61" i="8"/>
  <c r="C36" i="8"/>
  <c r="C11" i="8"/>
  <c r="C9" i="8"/>
  <c r="C83" i="8"/>
  <c r="C75" i="8"/>
  <c r="C67" i="8"/>
  <c r="C59" i="8"/>
  <c r="C51" i="8"/>
  <c r="C42" i="8"/>
  <c r="C34" i="8"/>
  <c r="C26" i="8"/>
  <c r="C17" i="8"/>
  <c r="C78" i="8"/>
  <c r="C37" i="8"/>
  <c r="C44" i="8"/>
  <c r="C8" i="8"/>
  <c r="C82" i="8"/>
  <c r="C74" i="8"/>
  <c r="C66" i="8"/>
  <c r="C58" i="8"/>
  <c r="C50" i="8"/>
  <c r="C41" i="8"/>
  <c r="C33" i="8"/>
  <c r="C25" i="8"/>
  <c r="C16" i="8"/>
  <c r="C62" i="8"/>
  <c r="C7" i="8"/>
  <c r="C81" i="8"/>
  <c r="C73" i="8"/>
  <c r="C65" i="8"/>
  <c r="C57" i="8"/>
  <c r="C48" i="8"/>
  <c r="C40" i="8"/>
  <c r="C32" i="8"/>
  <c r="C24" i="8"/>
  <c r="C15" i="8"/>
  <c r="C29" i="8"/>
  <c r="C53" i="8"/>
  <c r="C6" i="8"/>
  <c r="C80" i="8"/>
  <c r="C72" i="8"/>
  <c r="C64" i="8"/>
  <c r="C56" i="8"/>
  <c r="C47" i="8"/>
  <c r="C39" i="8"/>
  <c r="C31" i="8"/>
  <c r="C23" i="8"/>
  <c r="C14" i="8"/>
  <c r="C5" i="8"/>
  <c r="C79" i="8"/>
  <c r="C71" i="8"/>
  <c r="C63" i="8"/>
  <c r="C55" i="8"/>
  <c r="C46" i="8"/>
  <c r="C38" i="8"/>
  <c r="C30" i="8"/>
  <c r="C22" i="8"/>
  <c r="C13" i="8"/>
  <c r="R66" i="10"/>
  <c r="R67" i="9"/>
  <c r="Q88" i="11"/>
  <c r="Y11" i="7" l="1"/>
  <c r="Z11" i="7"/>
  <c r="AA11" i="7"/>
  <c r="AB11" i="7"/>
  <c r="R51" i="7"/>
  <c r="N23" i="1" l="1"/>
  <c r="N13" i="1"/>
  <c r="N4" i="1" l="1"/>
  <c r="N5" i="1"/>
  <c r="N6" i="1"/>
  <c r="N7" i="1"/>
  <c r="N8" i="1"/>
  <c r="N11" i="1"/>
  <c r="N12" i="1"/>
  <c r="N14" i="1"/>
  <c r="N15" i="1"/>
  <c r="N16" i="1"/>
  <c r="N17" i="1"/>
  <c r="N18" i="1"/>
  <c r="N19" i="1"/>
  <c r="N20" i="1"/>
  <c r="N21" i="1"/>
  <c r="N22" i="1"/>
  <c r="N24" i="1"/>
  <c r="N25" i="1"/>
  <c r="N26" i="1"/>
  <c r="N27" i="1"/>
  <c r="N28" i="1"/>
  <c r="N9" i="1"/>
  <c r="N10" i="1"/>
  <c r="N3" i="1"/>
  <c r="N65" i="1"/>
  <c r="C161" i="15" s="1"/>
  <c r="N64" i="1"/>
  <c r="C157" i="15" s="1"/>
  <c r="N63" i="1"/>
  <c r="C153" i="15" s="1"/>
  <c r="N35" i="1"/>
  <c r="C7" i="15" s="1"/>
  <c r="N36" i="1"/>
  <c r="C13" i="15" s="1"/>
  <c r="N37" i="1"/>
  <c r="C19" i="15" s="1"/>
  <c r="N38" i="1"/>
  <c r="C23" i="15" s="1"/>
  <c r="N39" i="1"/>
  <c r="C27" i="15" s="1"/>
  <c r="N40" i="1"/>
  <c r="C31" i="15" s="1"/>
  <c r="N41" i="1"/>
  <c r="C45" i="15" s="1"/>
  <c r="N42" i="1"/>
  <c r="C52" i="15" s="1"/>
  <c r="N43" i="1"/>
  <c r="C57" i="15" s="1"/>
  <c r="N44" i="1"/>
  <c r="C61" i="15" s="1"/>
  <c r="N45" i="1"/>
  <c r="C65" i="15" s="1"/>
  <c r="N46" i="1"/>
  <c r="C73" i="15" s="1"/>
  <c r="N47" i="1"/>
  <c r="C79" i="15" s="1"/>
  <c r="N48" i="1"/>
  <c r="C83" i="15" s="1"/>
  <c r="N49" i="1"/>
  <c r="C87" i="15" s="1"/>
  <c r="N50" i="1"/>
  <c r="C91" i="15" s="1"/>
  <c r="N51" i="1"/>
  <c r="C95" i="15" s="1"/>
  <c r="N52" i="1"/>
  <c r="C99" i="15" s="1"/>
  <c r="N53" i="1"/>
  <c r="C103" i="15" s="1"/>
  <c r="N54" i="1"/>
  <c r="C107" i="15" s="1"/>
  <c r="N55" i="1"/>
  <c r="C121" i="15" s="1"/>
  <c r="N56" i="1"/>
  <c r="C125" i="15" s="1"/>
  <c r="N57" i="1"/>
  <c r="C129" i="15" s="1"/>
  <c r="N58" i="1"/>
  <c r="C133" i="15" s="1"/>
  <c r="N59" i="1"/>
  <c r="C137" i="15" s="1"/>
  <c r="N60" i="1"/>
  <c r="C141" i="15" s="1"/>
  <c r="N61" i="1"/>
  <c r="C145" i="15" s="1"/>
  <c r="N62" i="1"/>
  <c r="C149" i="15" s="1"/>
  <c r="N34" i="1"/>
  <c r="C3" i="15" s="1"/>
  <c r="AC164" i="16" l="1"/>
  <c r="AD164" i="16" l="1"/>
  <c r="AE164" i="16"/>
  <c r="AA164" i="16"/>
  <c r="AA332" i="16"/>
  <c r="AC332" i="16" s="1"/>
  <c r="AC314" i="16" a="1"/>
  <c r="AC314" i="16" s="1"/>
  <c r="AC315" i="16" a="1"/>
  <c r="AC315" i="16" s="1"/>
  <c r="AI164" i="16" l="1"/>
  <c r="AJ164" i="16"/>
  <c r="AG164" i="16"/>
  <c r="AH164" i="16"/>
  <c r="AA315" i="16"/>
  <c r="AD315" i="16"/>
  <c r="AE315" i="16"/>
  <c r="AA314" i="16"/>
  <c r="AD314" i="16"/>
  <c r="AE314" i="16"/>
  <c r="AA335" i="16"/>
  <c r="AC335" i="16" s="1"/>
  <c r="AA329" i="16"/>
  <c r="AA343" i="16"/>
  <c r="AC343" i="16" s="1"/>
  <c r="AA351" i="16"/>
  <c r="AC351" i="16" s="1"/>
  <c r="AG315" i="16" l="1"/>
  <c r="AH315" i="16"/>
  <c r="AI315" i="16"/>
  <c r="AJ315" i="16"/>
  <c r="AG314" i="16"/>
  <c r="AH314" i="16"/>
  <c r="AI314" i="16"/>
  <c r="AJ314" i="16"/>
  <c r="D3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Francis Fox</author>
  </authors>
  <commentList>
    <comment ref="H3" authorId="0" shapeId="0" xr:uid="{85C96D1B-0501-43B5-89E8-A4BEF3D49DFC}">
      <text>
        <r>
          <rPr>
            <b/>
            <sz val="9"/>
            <color indexed="81"/>
            <rFont val="Tahoma"/>
            <family val="2"/>
          </rPr>
          <t>Francis Fox:</t>
        </r>
        <r>
          <rPr>
            <sz val="9"/>
            <color indexed="81"/>
            <rFont val="Tahoma"/>
            <family val="2"/>
          </rPr>
          <t xml:space="preserve">
2.5x.6 + 2.5x.4
</t>
        </r>
      </text>
    </comment>
    <comment ref="H11" authorId="0" shapeId="0" xr:uid="{4DFF04A5-BE1C-4164-85EE-AE90601C580D}">
      <text>
        <r>
          <rPr>
            <b/>
            <sz val="9"/>
            <color indexed="81"/>
            <rFont val="Tahoma"/>
            <family val="2"/>
          </rPr>
          <t>Francis Fox:</t>
        </r>
        <r>
          <rPr>
            <sz val="9"/>
            <color indexed="81"/>
            <rFont val="Tahoma"/>
            <family val="2"/>
          </rPr>
          <t xml:space="preserve">
5 INDIVUAL PIECES</t>
        </r>
      </text>
    </comment>
    <comment ref="H18" authorId="0" shapeId="0" xr:uid="{8A6360F2-72CB-466D-AF1D-349E2E77C62D}">
      <text>
        <r>
          <rPr>
            <b/>
            <sz val="9"/>
            <color indexed="81"/>
            <rFont val="Tahoma"/>
            <family val="2"/>
          </rPr>
          <t>Francis Fox:</t>
        </r>
        <r>
          <rPr>
            <sz val="9"/>
            <color indexed="81"/>
            <rFont val="Tahoma"/>
            <family val="2"/>
          </rPr>
          <t xml:space="preserve">
3 INDIVUAL PIECES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Francis Fox</author>
  </authors>
  <commentList>
    <comment ref="M6" authorId="0" shapeId="0" xr:uid="{54CA8C30-3FAF-4B70-84E6-5517DE491FCC}">
      <text>
        <r>
          <rPr>
            <b/>
            <sz val="9"/>
            <color indexed="81"/>
            <rFont val="Tahoma"/>
            <family val="2"/>
          </rPr>
          <t>Francis Fox:</t>
        </r>
        <r>
          <rPr>
            <sz val="9"/>
            <color indexed="81"/>
            <rFont val="Tahoma"/>
            <family val="2"/>
          </rPr>
          <t xml:space="preserve">
1 @ 2.5M &amp; 1 @ 5M</t>
        </r>
      </text>
    </comment>
    <comment ref="M26" authorId="0" shapeId="0" xr:uid="{D2FE4646-085A-47D6-AFEA-5F4AE2DBC388}">
      <text>
        <r>
          <rPr>
            <b/>
            <sz val="9"/>
            <color indexed="81"/>
            <rFont val="Tahoma"/>
            <family val="2"/>
          </rPr>
          <t>Francis Fox:</t>
        </r>
        <r>
          <rPr>
            <sz val="9"/>
            <color indexed="81"/>
            <rFont val="Tahoma"/>
            <family val="2"/>
          </rPr>
          <t xml:space="preserve">
2 @ 2.9M &amp; 1 @4.4M
</t>
        </r>
      </text>
    </comment>
    <comment ref="G39" authorId="0" shapeId="0" xr:uid="{10FF8A20-44A2-493E-9AA6-0EEC9618B640}">
      <text>
        <r>
          <rPr>
            <b/>
            <sz val="9"/>
            <color indexed="81"/>
            <rFont val="Tahoma"/>
            <family val="2"/>
          </rPr>
          <t>Francis Fox:</t>
        </r>
        <r>
          <rPr>
            <sz val="9"/>
            <color indexed="81"/>
            <rFont val="Tahoma"/>
            <family val="2"/>
          </rPr>
          <t xml:space="preserve">
 3 pieces - MDS - one off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Francis Fox</author>
  </authors>
  <commentList>
    <comment ref="A31" authorId="0" shapeId="0" xr:uid="{7A73383D-951C-4FD8-ABB2-9866B9C614E2}">
      <text>
        <r>
          <rPr>
            <b/>
            <sz val="9"/>
            <color indexed="81"/>
            <rFont val="Tahoma"/>
            <family val="2"/>
          </rPr>
          <t>Francis Fox:</t>
        </r>
        <r>
          <rPr>
            <sz val="9"/>
            <color indexed="81"/>
            <rFont val="Tahoma"/>
            <family val="2"/>
          </rPr>
          <t xml:space="preserve">
New row inserted - product may needed to be reviewed.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Gormley Engineering</author>
  </authors>
  <commentList>
    <comment ref="X3" authorId="0" shapeId="0" xr:uid="{FC09C6C0-37B5-428E-B332-4D8634C94A53}">
      <text>
        <r>
          <rPr>
            <b/>
            <sz val="8"/>
            <color indexed="81"/>
            <rFont val="Tahoma"/>
            <family val="2"/>
          </rPr>
          <t>Gormley Engineering:</t>
        </r>
        <r>
          <rPr>
            <sz val="8"/>
            <color indexed="81"/>
            <rFont val="Tahoma"/>
            <family val="2"/>
          </rPr>
          <t xml:space="preserve">
CHARGE AT LEAST 100%</t>
        </r>
      </text>
    </comment>
    <comment ref="X4" authorId="0" shapeId="0" xr:uid="{FBD81B12-547F-4C51-B512-6787DE55CC7E}">
      <text>
        <r>
          <rPr>
            <b/>
            <sz val="8"/>
            <color indexed="81"/>
            <rFont val="Tahoma"/>
            <family val="2"/>
          </rPr>
          <t>Gormley Engineering:</t>
        </r>
        <r>
          <rPr>
            <sz val="8"/>
            <color indexed="81"/>
            <rFont val="Tahoma"/>
            <family val="2"/>
          </rPr>
          <t xml:space="preserve">
CHARGE AT LEAST 70%</t>
        </r>
      </text>
    </comment>
    <comment ref="X5" authorId="0" shapeId="0" xr:uid="{5B2E9D8D-D53D-4116-B827-475E439431FA}">
      <text>
        <r>
          <rPr>
            <b/>
            <sz val="8"/>
            <color indexed="81"/>
            <rFont val="Tahoma"/>
            <family val="2"/>
          </rPr>
          <t>Gormley Engineering:</t>
        </r>
        <r>
          <rPr>
            <sz val="8"/>
            <color indexed="81"/>
            <rFont val="Tahoma"/>
            <family val="2"/>
          </rPr>
          <t xml:space="preserve">
CHARGE AT LEAST 60%</t>
        </r>
      </text>
    </comment>
    <comment ref="Y6" authorId="0" shapeId="0" xr:uid="{530186D1-87D3-48D0-B5CE-A975BDC6B500}">
      <text>
        <r>
          <rPr>
            <b/>
            <sz val="8"/>
            <color indexed="81"/>
            <rFont val="Tahoma"/>
            <family val="2"/>
          </rPr>
          <t>Gormley Engineering:</t>
        </r>
        <r>
          <rPr>
            <sz val="8"/>
            <color indexed="81"/>
            <rFont val="Tahoma"/>
            <family val="2"/>
          </rPr>
          <t xml:space="preserve">
CHARGE AT LEAST 60%
</t>
        </r>
      </text>
    </comment>
    <comment ref="D24" authorId="0" shapeId="0" xr:uid="{D3E61525-53E9-49CC-9C68-A4A88CF6564F}">
      <text>
        <r>
          <rPr>
            <b/>
            <sz val="8"/>
            <color indexed="81"/>
            <rFont val="Tahoma"/>
            <family val="2"/>
          </rPr>
          <t>Gormley Engineering: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3" ROLLERS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Francis Fox</author>
  </authors>
  <commentList>
    <comment ref="O13" authorId="0" shapeId="0" xr:uid="{ACDF19DB-97A6-4F31-822A-0F6E3D1693C9}">
      <text>
        <r>
          <rPr>
            <b/>
            <sz val="9"/>
            <color indexed="81"/>
            <rFont val="Tahoma"/>
            <family val="2"/>
          </rPr>
          <t>Francis Fox:</t>
        </r>
        <r>
          <rPr>
            <sz val="9"/>
            <color indexed="81"/>
            <rFont val="Tahoma"/>
            <family val="2"/>
          </rPr>
          <t xml:space="preserve">
GALANISED
</t>
        </r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<sst xmlns="http://schemas.openxmlformats.org/spreadsheetml/2006/main" count="3227" uniqueCount="645">
  <si>
    <t>FinishProds</t>
  </si>
  <si>
    <t>PLT &amp; SHEET</t>
  </si>
  <si>
    <t>Alum</t>
  </si>
  <si>
    <t>Msh &amp; Exp.Metal</t>
  </si>
  <si>
    <t>Chan &amp; Bms</t>
  </si>
  <si>
    <t>Angles+T</t>
  </si>
  <si>
    <t>Tube_CHS</t>
  </si>
  <si>
    <t>FLTS</t>
  </si>
  <si>
    <t>Rnds_Sqrs_HolBar</t>
  </si>
  <si>
    <t>RHS</t>
  </si>
  <si>
    <t>Product Code</t>
  </si>
  <si>
    <t>Product Description</t>
  </si>
  <si>
    <t>Cat.No.</t>
  </si>
  <si>
    <t>Category</t>
  </si>
  <si>
    <t>ProductRecord.AccountReference</t>
  </si>
  <si>
    <t>ProductRecord.Description</t>
  </si>
  <si>
    <t>ProductCategory.Number</t>
  </si>
  <si>
    <t>ProductCategory.Name</t>
  </si>
  <si>
    <t>Company.EndOfReportBanner</t>
  </si>
  <si>
    <t>Category Group</t>
  </si>
  <si>
    <t>Product Category Prefix</t>
  </si>
  <si>
    <t>PL_Plate Mild Steel</t>
  </si>
  <si>
    <t/>
  </si>
  <si>
    <t>Plt/Sht/Mesh</t>
  </si>
  <si>
    <t>PL</t>
  </si>
  <si>
    <t>Plate Mild Steel</t>
  </si>
  <si>
    <t>PLCHQ_Chequer Plate Mild Steel</t>
  </si>
  <si>
    <t>PLCHQ</t>
  </si>
  <si>
    <t>Chequer Plate Mild Steel</t>
  </si>
  <si>
    <t>HD_Hardox Plate</t>
  </si>
  <si>
    <t>HD</t>
  </si>
  <si>
    <t>Hardox Plate</t>
  </si>
  <si>
    <t>GS_Galvanised Sheet</t>
  </si>
  <si>
    <t>GS</t>
  </si>
  <si>
    <t>Galvanised Sheet</t>
  </si>
  <si>
    <t>ALSH_Aluminium Sheet</t>
  </si>
  <si>
    <t>ALSH</t>
  </si>
  <si>
    <t>Aluminium Sheet</t>
  </si>
  <si>
    <t>ALCHQ_Aluminium Chequer Plate</t>
  </si>
  <si>
    <t>ALCHQ</t>
  </si>
  <si>
    <t>Aluminium Chequer Plate</t>
  </si>
  <si>
    <t>MSH_Wire Weld Mesh</t>
  </si>
  <si>
    <t>MSH</t>
  </si>
  <si>
    <t>Wire Weld Mesh</t>
  </si>
  <si>
    <t>EX_MET_Expanded Metal</t>
  </si>
  <si>
    <t>EX_MET</t>
  </si>
  <si>
    <t>Expanded Metal</t>
  </si>
  <si>
    <t>SHS_Square Hollow Section</t>
  </si>
  <si>
    <t>Sections &amp; Bars</t>
  </si>
  <si>
    <t>SHS</t>
  </si>
  <si>
    <t>Square Hollow Section</t>
  </si>
  <si>
    <t>RHS_Rectangular Hollow Section</t>
  </si>
  <si>
    <t>Rectangular Hollow Section</t>
  </si>
  <si>
    <t>PFC_Parallel Flange Channel</t>
  </si>
  <si>
    <t>PFC</t>
  </si>
  <si>
    <t>Parallel Flange Channel</t>
  </si>
  <si>
    <t>UB_Universal Beam</t>
  </si>
  <si>
    <t>UB</t>
  </si>
  <si>
    <t>Universal Beam</t>
  </si>
  <si>
    <t>UC_Universal Column</t>
  </si>
  <si>
    <t>UC</t>
  </si>
  <si>
    <t>Universal Column</t>
  </si>
  <si>
    <t>IPE_Continental I Beams (I-Sections)</t>
  </si>
  <si>
    <t>IPE</t>
  </si>
  <si>
    <t>Continental I Beams (I-Sections)</t>
  </si>
  <si>
    <t>EA_Equal Angles</t>
  </si>
  <si>
    <t>EA</t>
  </si>
  <si>
    <t>Equal Angles</t>
  </si>
  <si>
    <t>UA_Unequal Angles</t>
  </si>
  <si>
    <t>UA</t>
  </si>
  <si>
    <t>Unequal Angles</t>
  </si>
  <si>
    <t>TS_T-Section T-Bar</t>
  </si>
  <si>
    <t>TS</t>
  </si>
  <si>
    <t>T-Section T-Bar</t>
  </si>
  <si>
    <t>CHS_Circular Hollow Section</t>
  </si>
  <si>
    <t>CHS</t>
  </si>
  <si>
    <t>Circular Hollow Section</t>
  </si>
  <si>
    <t>GCHS_Galv Cirular Hollow Section</t>
  </si>
  <si>
    <t>GCHS</t>
  </si>
  <si>
    <t>Galv Cirular Hollow Section</t>
  </si>
  <si>
    <t>FL_Flat Bar Mild Steel</t>
  </si>
  <si>
    <t>FL</t>
  </si>
  <si>
    <t>Flat Bar Mild Steel</t>
  </si>
  <si>
    <t>FLB_Flat Bar Bright</t>
  </si>
  <si>
    <t>FLB</t>
  </si>
  <si>
    <t>Flat Bar Bright</t>
  </si>
  <si>
    <t>RB_BLK_Black Round Bar</t>
  </si>
  <si>
    <t>RB_BLK</t>
  </si>
  <si>
    <t>Black Round Bar</t>
  </si>
  <si>
    <t>RB_BRI_Bright Round Bar</t>
  </si>
  <si>
    <t>RB_BRI</t>
  </si>
  <si>
    <t>Bright Round Bar</t>
  </si>
  <si>
    <t>SQ_BLK_Square Bar Black</t>
  </si>
  <si>
    <t>SQ_BLK</t>
  </si>
  <si>
    <t>Square Bar Black</t>
  </si>
  <si>
    <t>SQ_BRI_Square Bar Bright</t>
  </si>
  <si>
    <t>SQ_BRI</t>
  </si>
  <si>
    <t>Square Bar Bright</t>
  </si>
  <si>
    <t>HB_Hollow Bore Bar</t>
  </si>
  <si>
    <t>HB</t>
  </si>
  <si>
    <t>Hollow Bore Bar</t>
  </si>
  <si>
    <t>Fixed Characters</t>
  </si>
  <si>
    <t>Value</t>
  </si>
  <si>
    <t>F_BH_Finished_Bale Handlers</t>
  </si>
  <si>
    <t>Finished Products</t>
  </si>
  <si>
    <t>F_BH</t>
  </si>
  <si>
    <t>Finished_</t>
  </si>
  <si>
    <t>Bale Handlers</t>
  </si>
  <si>
    <t>BaleQty</t>
  </si>
  <si>
    <t>1 or 2</t>
  </si>
  <si>
    <t>Hydraulic</t>
  </si>
  <si>
    <t>Y or N</t>
  </si>
  <si>
    <t>Textual Descriptiion</t>
  </si>
  <si>
    <t>Open Text</t>
  </si>
  <si>
    <t>F_PB_Finished_Power Boxes</t>
  </si>
  <si>
    <t>F_PB</t>
  </si>
  <si>
    <t>Power Boxes</t>
  </si>
  <si>
    <t>Width</t>
  </si>
  <si>
    <t>Qty Rams</t>
  </si>
  <si>
    <t>1,2,3</t>
  </si>
  <si>
    <t>F_TB_Finished_Transport Boxes</t>
  </si>
  <si>
    <t>F_TB</t>
  </si>
  <si>
    <t>Transport Boxes</t>
  </si>
  <si>
    <t>Text</t>
  </si>
  <si>
    <t>F_PS_Finished_Power Scoop</t>
  </si>
  <si>
    <t>F_PS</t>
  </si>
  <si>
    <t>Power Scoop</t>
  </si>
  <si>
    <t>F_LL_Finished_Land Leveller</t>
  </si>
  <si>
    <t>F_LL</t>
  </si>
  <si>
    <t>Land Leveller</t>
  </si>
  <si>
    <t>Textual Description</t>
  </si>
  <si>
    <t>F_TS_Finished_Tip Skip</t>
  </si>
  <si>
    <t>F_TS</t>
  </si>
  <si>
    <t>Tip Skip</t>
  </si>
  <si>
    <t>F_LR_Finished_Land Rollers</t>
  </si>
  <si>
    <t>F_LR</t>
  </si>
  <si>
    <t>Land Rollers</t>
  </si>
  <si>
    <t>mm</t>
  </si>
  <si>
    <t>Diameter</t>
  </si>
  <si>
    <t>Thickness</t>
  </si>
  <si>
    <t>F_CF_Finished_Circular Feeders</t>
  </si>
  <si>
    <t>F_CF</t>
  </si>
  <si>
    <t>Circular Feeders</t>
  </si>
  <si>
    <t>Heads</t>
  </si>
  <si>
    <t>Numerical 1-40</t>
  </si>
  <si>
    <t>F_BT_Finished_Bale Trailer</t>
  </si>
  <si>
    <t>F_BT</t>
  </si>
  <si>
    <t>Bale Trailer</t>
  </si>
  <si>
    <t>Numerical 1-16</t>
  </si>
  <si>
    <t>F_FT_Finished_Feeding Troughs</t>
  </si>
  <si>
    <t>F_FT</t>
  </si>
  <si>
    <t>Feeding Troughs</t>
  </si>
  <si>
    <t>Single / Double</t>
  </si>
  <si>
    <t>F_PL_Finished_Pallet Lifter</t>
  </si>
  <si>
    <t>F_PL</t>
  </si>
  <si>
    <t>Pallet Lifter</t>
  </si>
  <si>
    <t>F_FLB_Finished_Fork Lift Bucket</t>
  </si>
  <si>
    <t>F_FLB</t>
  </si>
  <si>
    <t>Fork Lift Bucket</t>
  </si>
  <si>
    <t>F_YS_Finished_Yardscraper</t>
  </si>
  <si>
    <t>F_YS</t>
  </si>
  <si>
    <t>Yardscraper</t>
  </si>
  <si>
    <t>F_SP_Finished_Snow Plough</t>
  </si>
  <si>
    <t>F_SP</t>
  </si>
  <si>
    <t>Snow Plough</t>
  </si>
  <si>
    <t>PF_BH_Part Finished_Bale Handlers</t>
  </si>
  <si>
    <t>PF_BH</t>
  </si>
  <si>
    <t>Part Finished_</t>
  </si>
  <si>
    <t>Part Finished Status</t>
  </si>
  <si>
    <t>PF_PB_Part Finished_Power Boxes</t>
  </si>
  <si>
    <t>PF_PB</t>
  </si>
  <si>
    <t>PF_TB_Part Finished_Transport Boxes</t>
  </si>
  <si>
    <t>PF_TB</t>
  </si>
  <si>
    <t>PF_PS_Part Finished_Power Scoop</t>
  </si>
  <si>
    <t>PF_PS</t>
  </si>
  <si>
    <t>PF_LL_Part Finished_Land Leveller</t>
  </si>
  <si>
    <t>PF_LL</t>
  </si>
  <si>
    <t>PF_TS_Part Finished_Tip Skip</t>
  </si>
  <si>
    <t>PF_TS</t>
  </si>
  <si>
    <t>PF_LR_Part Finished_Land Rollers</t>
  </si>
  <si>
    <t>PF_LR</t>
  </si>
  <si>
    <t>PF_CF_Part Finished_Circular Feeders</t>
  </si>
  <si>
    <t>PF_CF</t>
  </si>
  <si>
    <t>PF_CA_Part Finished_Crush Assemblies</t>
  </si>
  <si>
    <t>PF_CA</t>
  </si>
  <si>
    <t>Crush Assemblies</t>
  </si>
  <si>
    <t>PF_BT_Part Finished_Bale Trailer</t>
  </si>
  <si>
    <t>PF_BT</t>
  </si>
  <si>
    <t>PF_FT_Part Finished_Feeding Troughs</t>
  </si>
  <si>
    <t>PF_FT</t>
  </si>
  <si>
    <t>PF_PL_Part Finished_Pallet Lifter</t>
  </si>
  <si>
    <t>PF_PL</t>
  </si>
  <si>
    <t>PF_FLB_Part Finished_Fork Lift Bucket</t>
  </si>
  <si>
    <t>PF_FLB</t>
  </si>
  <si>
    <t>PF_YS_Part Finished_Yardscraper</t>
  </si>
  <si>
    <t>PF_YS</t>
  </si>
  <si>
    <t>PF_SP_Part Finished_Snow Plough</t>
  </si>
  <si>
    <t>PF_SP</t>
  </si>
  <si>
    <t>RAM_Rams</t>
  </si>
  <si>
    <t>Miscelanneous</t>
  </si>
  <si>
    <t>RAM_</t>
  </si>
  <si>
    <t>Rams</t>
  </si>
  <si>
    <t>Closed Measurement</t>
  </si>
  <si>
    <t>Open Measurement</t>
  </si>
  <si>
    <t>PAI_Paint</t>
  </si>
  <si>
    <t>PAI</t>
  </si>
  <si>
    <t>Paint</t>
  </si>
  <si>
    <t>Colour</t>
  </si>
  <si>
    <t>Primer / Other</t>
  </si>
  <si>
    <t>CON_Consumables</t>
  </si>
  <si>
    <t>CON</t>
  </si>
  <si>
    <t>Consumables</t>
  </si>
  <si>
    <t>GEng Cat</t>
  </si>
  <si>
    <t>Metric 1</t>
  </si>
  <si>
    <t>Metric 2</t>
  </si>
  <si>
    <t>Metric 3</t>
  </si>
  <si>
    <t>Metric 4</t>
  </si>
  <si>
    <t>Qty 1</t>
  </si>
  <si>
    <t>Area 1</t>
  </si>
  <si>
    <t>Qty 2</t>
  </si>
  <si>
    <t>Area 2</t>
  </si>
  <si>
    <t>Total Qty All Areas</t>
  </si>
  <si>
    <t>Unit Cost</t>
  </si>
  <si>
    <t>Total Stock Take Value</t>
  </si>
  <si>
    <t>Double</t>
  </si>
  <si>
    <t>QH</t>
  </si>
  <si>
    <t>Singles</t>
  </si>
  <si>
    <t>Twin Ram - 7ft</t>
  </si>
  <si>
    <t>QG</t>
  </si>
  <si>
    <t>Single Ram - 6ft</t>
  </si>
  <si>
    <t>Twin Ram - 8ft</t>
  </si>
  <si>
    <t>Twin Ram - 7.6ft</t>
  </si>
  <si>
    <t>5 ft</t>
  </si>
  <si>
    <t>4ft</t>
  </si>
  <si>
    <t>7 Ft</t>
  </si>
  <si>
    <t>6 Ft</t>
  </si>
  <si>
    <t>5 Ft</t>
  </si>
  <si>
    <t>4 Ft</t>
  </si>
  <si>
    <t>3 Ft</t>
  </si>
  <si>
    <t>FY</t>
  </si>
  <si>
    <t>Length Inches</t>
  </si>
  <si>
    <t>Diameter Inches</t>
  </si>
  <si>
    <t>Thickness mm</t>
  </si>
  <si>
    <t>QA</t>
  </si>
  <si>
    <t>End Tow</t>
  </si>
  <si>
    <t>6 Bale (No Wheels)</t>
  </si>
  <si>
    <t>QI</t>
  </si>
  <si>
    <t>QE</t>
  </si>
  <si>
    <t>Buckets (Grey / off white)</t>
  </si>
  <si>
    <t>Linkage for T/over Scraper - Painted</t>
  </si>
  <si>
    <t>Rubber &amp; Channel for T/over Scraper - Painted</t>
  </si>
  <si>
    <t>Channels for T/over Scraper (Painted - No Rubber)</t>
  </si>
  <si>
    <t>Galvanished Complete Yardscraper</t>
  </si>
  <si>
    <t>4 Channels / Rubber - 4ft / 5ft</t>
  </si>
  <si>
    <t>Barrels</t>
  </si>
  <si>
    <t>QF</t>
  </si>
  <si>
    <t>Frames on wheels</t>
  </si>
  <si>
    <t>Frames only</t>
  </si>
  <si>
    <t>Note</t>
  </si>
  <si>
    <t>Length</t>
  </si>
  <si>
    <r>
      <t>KG/M</t>
    </r>
    <r>
      <rPr>
        <b/>
        <vertAlign val="superscript"/>
        <sz val="10"/>
        <rFont val="Arial"/>
        <family val="2"/>
      </rPr>
      <t>2</t>
    </r>
  </si>
  <si>
    <t>Kg/ Sheet</t>
  </si>
  <si>
    <t>Dimension L1</t>
  </si>
  <si>
    <t>Dimension W1</t>
  </si>
  <si>
    <t>Dimension L2</t>
  </si>
  <si>
    <t>Dimension W2</t>
  </si>
  <si>
    <t>Dimension L3</t>
  </si>
  <si>
    <t>Dimension W3</t>
  </si>
  <si>
    <t>Qty 3</t>
  </si>
  <si>
    <t>Area 3</t>
  </si>
  <si>
    <t>Dimension L4</t>
  </si>
  <si>
    <t>Dimension W4</t>
  </si>
  <si>
    <t>Qty 4</t>
  </si>
  <si>
    <t>Area 4</t>
  </si>
  <si>
    <t>Total Weight All Areas</t>
  </si>
  <si>
    <t>Stock Take Value</t>
  </si>
  <si>
    <t>Blank1</t>
  </si>
  <si>
    <t>£/Tonne</t>
  </si>
  <si>
    <t>£Cost/m2</t>
  </si>
  <si>
    <t>£Cost / SHEET</t>
  </si>
  <si>
    <t>Blank2</t>
  </si>
  <si>
    <t>30%</t>
  </si>
  <si>
    <t>35%</t>
  </si>
  <si>
    <t>40%</t>
  </si>
  <si>
    <t>50%</t>
  </si>
  <si>
    <t>Column5</t>
  </si>
  <si>
    <t>Column6</t>
  </si>
  <si>
    <r>
      <t>Kg/m</t>
    </r>
    <r>
      <rPr>
        <b/>
        <vertAlign val="superscript"/>
        <sz val="10"/>
        <rFont val="Arial"/>
        <family val="2"/>
      </rPr>
      <t>2</t>
    </r>
  </si>
  <si>
    <t>KG</t>
  </si>
  <si>
    <t>Length 1</t>
  </si>
  <si>
    <t>Width 1</t>
  </si>
  <si>
    <t>Length 2</t>
  </si>
  <si>
    <t>Width 2</t>
  </si>
  <si>
    <t>Length 3</t>
  </si>
  <si>
    <t>Width 3</t>
  </si>
  <si>
    <t>Kg</t>
  </si>
  <si>
    <t>£</t>
  </si>
  <si>
    <t>£/m2</t>
  </si>
  <si>
    <t>20g</t>
  </si>
  <si>
    <t>GY</t>
  </si>
  <si>
    <t>18g</t>
  </si>
  <si>
    <t>16g</t>
  </si>
  <si>
    <t>QB</t>
  </si>
  <si>
    <t>14g</t>
  </si>
  <si>
    <t>12g</t>
  </si>
  <si>
    <t>QC</t>
  </si>
  <si>
    <t>BY</t>
  </si>
  <si>
    <t>fy</t>
  </si>
  <si>
    <t>CO</t>
  </si>
  <si>
    <t>QJ</t>
  </si>
  <si>
    <t>CHEQUER PLATE</t>
  </si>
  <si>
    <t>GALV SHEET</t>
  </si>
  <si>
    <t>20G</t>
  </si>
  <si>
    <t>18G</t>
  </si>
  <si>
    <t>16G</t>
  </si>
  <si>
    <t>HARDOX</t>
  </si>
  <si>
    <t>`</t>
  </si>
  <si>
    <t>``</t>
  </si>
  <si>
    <t>co</t>
  </si>
  <si>
    <t>50D</t>
  </si>
  <si>
    <t>2770</t>
  </si>
  <si>
    <t xml:space="preserve"> 370</t>
  </si>
  <si>
    <t>10</t>
  </si>
  <si>
    <t>5070</t>
  </si>
  <si>
    <t>2300</t>
  </si>
  <si>
    <t>1510</t>
  </si>
  <si>
    <t>1300</t>
  </si>
  <si>
    <t>12</t>
  </si>
  <si>
    <t>1850</t>
  </si>
  <si>
    <t xml:space="preserve"> 650</t>
  </si>
  <si>
    <t xml:space="preserve"> 380</t>
  </si>
  <si>
    <t>4480</t>
  </si>
  <si>
    <t>2470</t>
  </si>
  <si>
    <t>Thick</t>
  </si>
  <si>
    <t>Type</t>
  </si>
  <si>
    <t>Cost per category</t>
  </si>
  <si>
    <t>Average£/T</t>
  </si>
  <si>
    <t>GEng
CAT</t>
  </si>
  <si>
    <t>SIZE</t>
  </si>
  <si>
    <t>Std Length</t>
  </si>
  <si>
    <t>Std Width</t>
  </si>
  <si>
    <t>Qty.</t>
  </si>
  <si>
    <t>Area</t>
  </si>
  <si>
    <t>Qty2</t>
  </si>
  <si>
    <t>Area2</t>
  </si>
  <si>
    <t>Total Sq Metres</t>
  </si>
  <si>
    <t>Cost 
£ / SHEET</t>
  </si>
  <si>
    <t>Column2</t>
  </si>
  <si>
    <t>Add 30%</t>
  </si>
  <si>
    <t>use typed in value</t>
  </si>
  <si>
    <t>use default</t>
  </si>
  <si>
    <t>manual check what the answer should be</t>
  </si>
  <si>
    <t>Aluminium Plain</t>
  </si>
  <si>
    <t>Length mm</t>
  </si>
  <si>
    <t>Width mm</t>
  </si>
  <si>
    <t>m^2</t>
  </si>
  <si>
    <t>£/Sheet</t>
  </si>
  <si>
    <t>0.8mm PLAIN</t>
  </si>
  <si>
    <t>2mm PLAIN</t>
  </si>
  <si>
    <t>3mm PLAIN</t>
  </si>
  <si>
    <t>4mm PLAIN</t>
  </si>
  <si>
    <t>5mm Plain</t>
  </si>
  <si>
    <t>Aluminium Tread</t>
  </si>
  <si>
    <t>3mm Tread-Plate</t>
  </si>
  <si>
    <t>2mm Tread-Plate</t>
  </si>
  <si>
    <t>4.5mm Tread-Plate</t>
  </si>
  <si>
    <t>Aluminium Off-Cuts &amp; Pieces</t>
  </si>
  <si>
    <t>Product Code Short</t>
  </si>
  <si>
    <t>SHEET  SIZE</t>
  </si>
  <si>
    <t>Column1</t>
  </si>
  <si>
    <t>£ / SHEET</t>
  </si>
  <si>
    <t>WELD MESH</t>
  </si>
  <si>
    <t>25x25x10G</t>
  </si>
  <si>
    <t>1" x 1" x 10G</t>
  </si>
  <si>
    <t>8' x 4'</t>
  </si>
  <si>
    <t>Galv</t>
  </si>
  <si>
    <t>50x25x10G</t>
  </si>
  <si>
    <t>2" x 1" x 10G</t>
  </si>
  <si>
    <t>50x50x10G</t>
  </si>
  <si>
    <t>2"x2"x10G</t>
  </si>
  <si>
    <t>GALV MSH</t>
  </si>
  <si>
    <t>50x50x8G</t>
  </si>
  <si>
    <r>
      <t xml:space="preserve">2" x 2" x </t>
    </r>
    <r>
      <rPr>
        <b/>
        <sz val="10"/>
        <rFont val="Arial"/>
        <family val="2"/>
      </rPr>
      <t>8</t>
    </r>
    <r>
      <rPr>
        <sz val="11"/>
        <rFont val="Calibri"/>
        <family val="2"/>
      </rPr>
      <t>G</t>
    </r>
  </si>
  <si>
    <t>12' x 6'</t>
  </si>
  <si>
    <t>75x75x8G</t>
  </si>
  <si>
    <t>3" x 3" x 8G</t>
  </si>
  <si>
    <r>
      <t>75x75x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>G</t>
    </r>
  </si>
  <si>
    <r>
      <t xml:space="preserve">3" x 3" x </t>
    </r>
    <r>
      <rPr>
        <b/>
        <sz val="10"/>
        <rFont val="Arial"/>
        <family val="2"/>
      </rPr>
      <t>6</t>
    </r>
    <r>
      <rPr>
        <sz val="11"/>
        <rFont val="Calibri"/>
        <family val="2"/>
      </rPr>
      <t>G</t>
    </r>
  </si>
  <si>
    <t>Ref.4896</t>
  </si>
  <si>
    <t>WALKWAY Ref. 4896</t>
  </si>
  <si>
    <t>Ref.2089</t>
  </si>
  <si>
    <t>Sheep-Decking Ref. 2089</t>
  </si>
  <si>
    <t>Ref.2074F</t>
  </si>
  <si>
    <t>Flattened     Ref. 2074F</t>
  </si>
  <si>
    <t>FF_25x3</t>
  </si>
  <si>
    <t>Flowforge walkway 25x3</t>
  </si>
  <si>
    <t>6000 x 1000</t>
  </si>
  <si>
    <t>FF_25x5</t>
  </si>
  <si>
    <t>Flowforge walkway 25x5</t>
  </si>
  <si>
    <t xml:space="preserve">SIZE </t>
  </si>
  <si>
    <t>Kg/M</t>
  </si>
  <si>
    <t>Length (m)</t>
  </si>
  <si>
    <t>Qty3</t>
  </si>
  <si>
    <t>Area3</t>
  </si>
  <si>
    <t>Total Metres</t>
  </si>
  <si>
    <t>£Cost /m</t>
  </si>
  <si>
    <t>Normal Length</t>
  </si>
  <si>
    <t>£/ Length</t>
  </si>
  <si>
    <t>Blank 2</t>
  </si>
  <si>
    <t>IMPERIAL</t>
  </si>
  <si>
    <t>METRIC</t>
  </si>
  <si>
    <t>£/m</t>
  </si>
  <si>
    <t>m</t>
  </si>
  <si>
    <t>£/L</t>
  </si>
  <si>
    <t>2" x 1"</t>
  </si>
  <si>
    <t>51x25</t>
  </si>
  <si>
    <t>3" x 1 1/2"</t>
  </si>
  <si>
    <t>76x38</t>
  </si>
  <si>
    <t>3" x 2"</t>
  </si>
  <si>
    <t>80x45</t>
  </si>
  <si>
    <t>4" x 2"</t>
  </si>
  <si>
    <t>102x51</t>
  </si>
  <si>
    <t>RH</t>
  </si>
  <si>
    <t>5" x 2 1.2"</t>
  </si>
  <si>
    <t>127x64</t>
  </si>
  <si>
    <t>6" x 3"</t>
  </si>
  <si>
    <t>152x76</t>
  </si>
  <si>
    <t>6" x 3 1/2"</t>
  </si>
  <si>
    <t>152x89</t>
  </si>
  <si>
    <t>7" x 3"</t>
  </si>
  <si>
    <t>178x76</t>
  </si>
  <si>
    <t>180x90</t>
  </si>
  <si>
    <t>8" x 3"</t>
  </si>
  <si>
    <t>203x76</t>
  </si>
  <si>
    <t>8" x 3 1/2"</t>
  </si>
  <si>
    <t>203x89</t>
  </si>
  <si>
    <t>9" x 3"</t>
  </si>
  <si>
    <t>230x75</t>
  </si>
  <si>
    <t>10" x 3"</t>
  </si>
  <si>
    <t>254x76</t>
  </si>
  <si>
    <t>10" x 3 1/2"</t>
  </si>
  <si>
    <t>260x90</t>
  </si>
  <si>
    <t>12" x 4"</t>
  </si>
  <si>
    <t>305x102</t>
  </si>
  <si>
    <t>5" x 3" RSJ</t>
  </si>
  <si>
    <t>127x76_UB13</t>
  </si>
  <si>
    <t>7" x 4" RSJ</t>
  </si>
  <si>
    <t>178x102_UB19</t>
  </si>
  <si>
    <t>8" x 4" RSJ</t>
  </si>
  <si>
    <t>203x102_UB23</t>
  </si>
  <si>
    <t>8"x 5 1/4"</t>
  </si>
  <si>
    <t>203x133_UB25</t>
  </si>
  <si>
    <t>203x133_UB30</t>
  </si>
  <si>
    <t>10" x 4"</t>
  </si>
  <si>
    <t>254x102_UB25</t>
  </si>
  <si>
    <t>10" x 5 3/4"</t>
  </si>
  <si>
    <t>254x146_UB31</t>
  </si>
  <si>
    <t>305x165_UB40</t>
  </si>
  <si>
    <t>356x171_UB51</t>
  </si>
  <si>
    <t>406x178_UB67</t>
  </si>
  <si>
    <t>152x152_UC23</t>
  </si>
  <si>
    <t>152x152_UC30</t>
  </si>
  <si>
    <t>203x203_UC46</t>
  </si>
  <si>
    <t>203x203_UC60</t>
  </si>
  <si>
    <t>203x203_UC71</t>
  </si>
  <si>
    <t>305x305_97</t>
  </si>
  <si>
    <t>IPE 140</t>
  </si>
  <si>
    <t>IPE_140</t>
  </si>
  <si>
    <t>IPE 160</t>
  </si>
  <si>
    <t>IPE_160</t>
  </si>
  <si>
    <t>IPE 180</t>
  </si>
  <si>
    <t>IPE_180</t>
  </si>
  <si>
    <t>IPE 200</t>
  </si>
  <si>
    <t>IPE_200</t>
  </si>
  <si>
    <t>Total StockTake Value</t>
  </si>
  <si>
    <t>CHS OD</t>
  </si>
  <si>
    <t>CHS BORE</t>
  </si>
  <si>
    <t>Wall Thickness</t>
  </si>
  <si>
    <t>Weight   Kg/m</t>
  </si>
  <si>
    <t>Length (m)2</t>
  </si>
  <si>
    <t>Length (m)3</t>
  </si>
  <si>
    <t>Tubes &amp; CHS</t>
  </si>
  <si>
    <t>OD mm</t>
  </si>
  <si>
    <t>ID MM</t>
  </si>
  <si>
    <t>QM</t>
  </si>
  <si>
    <t>GALV-TUBE</t>
  </si>
  <si>
    <r>
      <t>1</t>
    </r>
    <r>
      <rPr>
        <b/>
        <sz val="8"/>
        <rFont val="Arial"/>
        <family val="2"/>
      </rPr>
      <t>1/2</t>
    </r>
    <r>
      <rPr>
        <b/>
        <sz val="10"/>
        <rFont val="Arial"/>
        <family val="2"/>
      </rPr>
      <t>" BORE   LIGHT  BROWN BAND</t>
    </r>
  </si>
  <si>
    <r>
      <t>1</t>
    </r>
    <r>
      <rPr>
        <b/>
        <sz val="8"/>
        <rFont val="Arial"/>
        <family val="2"/>
      </rPr>
      <t>1/2</t>
    </r>
    <r>
      <rPr>
        <b/>
        <sz val="10"/>
        <rFont val="Arial"/>
        <family val="2"/>
      </rPr>
      <t>" BORE MEDIUM  BLUE BAND</t>
    </r>
  </si>
  <si>
    <t>Thk</t>
  </si>
  <si>
    <t>KG/M</t>
  </si>
  <si>
    <t>Area/Length/Qty</t>
  </si>
  <si>
    <t>£/Length</t>
  </si>
  <si>
    <t>60%</t>
  </si>
  <si>
    <t>FLATS</t>
  </si>
  <si>
    <t>Flats</t>
  </si>
  <si>
    <t>M</t>
  </si>
  <si>
    <t>(m)</t>
  </si>
  <si>
    <t>20</t>
  </si>
  <si>
    <t>3</t>
  </si>
  <si>
    <t>25</t>
  </si>
  <si>
    <t>30</t>
  </si>
  <si>
    <t>40</t>
  </si>
  <si>
    <t>13</t>
  </si>
  <si>
    <t>5</t>
  </si>
  <si>
    <t>16</t>
  </si>
  <si>
    <t>6</t>
  </si>
  <si>
    <t>50</t>
  </si>
  <si>
    <t>65</t>
  </si>
  <si>
    <t>75</t>
  </si>
  <si>
    <t>80</t>
  </si>
  <si>
    <t>8</t>
  </si>
  <si>
    <t>100</t>
  </si>
  <si>
    <t>200</t>
  </si>
  <si>
    <t>60</t>
  </si>
  <si>
    <t>90</t>
  </si>
  <si>
    <t>120</t>
  </si>
  <si>
    <t>130</t>
  </si>
  <si>
    <t>150</t>
  </si>
  <si>
    <t>250</t>
  </si>
  <si>
    <t>180</t>
  </si>
  <si>
    <t>300</t>
  </si>
  <si>
    <t>15</t>
  </si>
  <si>
    <t>225</t>
  </si>
  <si>
    <t>BRIGHT_Flats</t>
  </si>
  <si>
    <t>1 1/2"</t>
  </si>
  <si>
    <t>1/4"</t>
  </si>
  <si>
    <t>5/8"</t>
  </si>
  <si>
    <t>Side a</t>
  </si>
  <si>
    <t>Side b</t>
  </si>
  <si>
    <t>Angles</t>
  </si>
  <si>
    <t>£/T</t>
  </si>
  <si>
    <t>70</t>
  </si>
  <si>
    <t>UNEQUAL ANGLES</t>
  </si>
  <si>
    <t xml:space="preserve"> 7</t>
  </si>
  <si>
    <t xml:space="preserve"> 8</t>
  </si>
  <si>
    <t>125</t>
  </si>
  <si>
    <t>12.5</t>
  </si>
  <si>
    <t>T-Bar</t>
  </si>
  <si>
    <t xml:space="preserve"> </t>
  </si>
  <si>
    <t>70%</t>
  </si>
  <si>
    <t>100%</t>
  </si>
  <si>
    <t>Rounds</t>
  </si>
  <si>
    <t>SQUARE SOLIDS</t>
  </si>
  <si>
    <t>ROUND BRIGHTS</t>
  </si>
  <si>
    <t>10mm</t>
  </si>
  <si>
    <t>1/2"</t>
  </si>
  <si>
    <t>3/4"</t>
  </si>
  <si>
    <t>7/8"</t>
  </si>
  <si>
    <t>20mm</t>
  </si>
  <si>
    <t>25mm</t>
  </si>
  <si>
    <t>25mm EN8</t>
  </si>
  <si>
    <t>1"</t>
  </si>
  <si>
    <t>BW</t>
  </si>
  <si>
    <t>1 1/8"</t>
  </si>
  <si>
    <t>28mm</t>
  </si>
  <si>
    <t>1 1/4"</t>
  </si>
  <si>
    <t>1 3/8"</t>
  </si>
  <si>
    <t>30 MM</t>
  </si>
  <si>
    <t>38mm</t>
  </si>
  <si>
    <t>40 MM</t>
  </si>
  <si>
    <t>42mm</t>
  </si>
  <si>
    <t>1 3/4"</t>
  </si>
  <si>
    <t>50 MM</t>
  </si>
  <si>
    <t>2"</t>
  </si>
  <si>
    <t>60 MM</t>
  </si>
  <si>
    <t>2 1/2"</t>
  </si>
  <si>
    <t>70 MM</t>
  </si>
  <si>
    <t>75 MM</t>
  </si>
  <si>
    <t>3 1/4"</t>
  </si>
  <si>
    <t>95 MM</t>
  </si>
  <si>
    <t>100 MM</t>
  </si>
  <si>
    <t>130 MM</t>
  </si>
  <si>
    <t>170 MM</t>
  </si>
  <si>
    <t>HOLLOW BAR</t>
  </si>
  <si>
    <t>OD</t>
  </si>
  <si>
    <t>ID</t>
  </si>
  <si>
    <t>Blank</t>
  </si>
  <si>
    <t>Cost £/Length</t>
  </si>
  <si>
    <t>SHS &amp; RHS</t>
  </si>
  <si>
    <t>4</t>
  </si>
  <si>
    <t>6.3</t>
  </si>
  <si>
    <t>2.5</t>
  </si>
  <si>
    <t>160</t>
  </si>
  <si>
    <t>QK</t>
  </si>
  <si>
    <t>Area Shortcode</t>
  </si>
  <si>
    <t>Area Description</t>
  </si>
  <si>
    <t>Rack House</t>
  </si>
  <si>
    <t>Compound</t>
  </si>
  <si>
    <t>Bottom Workshop</t>
  </si>
  <si>
    <t>Top Shed</t>
  </si>
  <si>
    <t>Back Yard</t>
  </si>
  <si>
    <t>Front Yard</t>
  </si>
  <si>
    <t>BP</t>
  </si>
  <si>
    <t>Big Press</t>
  </si>
  <si>
    <t>PO</t>
  </si>
  <si>
    <t>Porch</t>
  </si>
  <si>
    <t>BS</t>
  </si>
  <si>
    <t>Bolt Store</t>
  </si>
  <si>
    <t>LO</t>
  </si>
  <si>
    <t>Loft</t>
  </si>
  <si>
    <t>Garages</t>
  </si>
  <si>
    <t>BG</t>
  </si>
  <si>
    <t>Behind Garages</t>
  </si>
  <si>
    <t>81 Dwelling House</t>
  </si>
  <si>
    <t>Quarry Left of Main Route</t>
  </si>
  <si>
    <t>Quarry Front Shed</t>
  </si>
  <si>
    <t>Quarry Back Shed</t>
  </si>
  <si>
    <t>QD</t>
  </si>
  <si>
    <t>Quarry Concrete</t>
  </si>
  <si>
    <t>Quarry Area E</t>
  </si>
  <si>
    <t>Quarry Area F</t>
  </si>
  <si>
    <t>Quarry Area G</t>
  </si>
  <si>
    <t>Quarry Area H</t>
  </si>
  <si>
    <t>Quarry Area I</t>
  </si>
  <si>
    <t>Quarry Area J</t>
  </si>
  <si>
    <t>Quarry Area K</t>
  </si>
  <si>
    <t>QL</t>
  </si>
  <si>
    <t>Quarry Area L</t>
  </si>
  <si>
    <t>Quarry Area M</t>
  </si>
  <si>
    <t>Where £/T is known</t>
  </si>
  <si>
    <t>Where £/T is unknwon</t>
  </si>
  <si>
    <t>Material</t>
  </si>
  <si>
    <t>Dimension A</t>
  </si>
  <si>
    <t>Dimension B</t>
  </si>
  <si>
    <t>Kg/m</t>
  </si>
  <si>
    <r>
      <t>Kg/m</t>
    </r>
    <r>
      <rPr>
        <vertAlign val="superscript"/>
        <sz val="10"/>
        <rFont val="Arial"/>
        <family val="2"/>
      </rPr>
      <t>2</t>
    </r>
  </si>
  <si>
    <r>
      <t>£/m</t>
    </r>
    <r>
      <rPr>
        <vertAlign val="superscript"/>
        <sz val="10"/>
        <rFont val="Arial"/>
        <family val="2"/>
      </rPr>
      <t>2</t>
    </r>
  </si>
  <si>
    <t>Weight Multiplier Examples</t>
  </si>
  <si>
    <t>Size</t>
  </si>
  <si>
    <t>Plate &amp; Sheet</t>
  </si>
  <si>
    <t>Kg/Sheet</t>
  </si>
  <si>
    <t>Mesh</t>
  </si>
  <si>
    <t>Aluminium</t>
  </si>
  <si>
    <t>Density</t>
  </si>
  <si>
    <r>
      <t>g/cm</t>
    </r>
    <r>
      <rPr>
        <sz val="5"/>
        <color rgb="FF212529"/>
        <rFont val="Segoe UI"/>
        <family val="2"/>
      </rPr>
      <t>3</t>
    </r>
  </si>
  <si>
    <r>
      <t>kg/m</t>
    </r>
    <r>
      <rPr>
        <sz val="5"/>
        <color rgb="FF212529"/>
        <rFont val="Segoe UI"/>
        <family val="2"/>
      </rPr>
      <t>3</t>
    </r>
  </si>
  <si>
    <r>
      <t>lb / in</t>
    </r>
    <r>
      <rPr>
        <sz val="5"/>
        <color rgb="FF212529"/>
        <rFont val="Segoe UI"/>
        <family val="2"/>
      </rPr>
      <t>3</t>
    </r>
  </si>
  <si>
    <t>Density of Carbon Steels</t>
  </si>
  <si>
    <t>ASTM A36</t>
  </si>
  <si>
    <t>AISI 1010</t>
  </si>
  <si>
    <t>AISI 1018</t>
  </si>
  <si>
    <t>AISI 1020</t>
  </si>
  <si>
    <t>AISI 1025</t>
  </si>
  <si>
    <t>AISI 1040</t>
  </si>
  <si>
    <t>AISI 1045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</si>
</sst>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6" formatCode="&quot;£&quot;#,##0;[Red]\-&quot;£&quot;#,##0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0.0"/>
    <numFmt numFmtId="165" formatCode="_-[$£-809]* #,##0.00_-;\-[$£-809]* #,##0.00_-;_-[$£-809]* &quot;-&quot;??_-;_-@_-"/>
    <numFmt numFmtId="166" formatCode="d/m/yy;@"/>
    <numFmt numFmtId="167" formatCode="_(&quot;£&quot;* #,##0_);_(&quot;£&quot;* \(#,##0\);_(&quot;£&quot;* &quot;-&quot;??_);_(@_)"/>
    <numFmt numFmtId="168" formatCode="dd/mm/yy;@"/>
    <numFmt numFmtId="169" formatCode="0.##"/>
    <numFmt numFmtId="170" formatCode="0.00;\-0.00;;@\,"/>
    <numFmt numFmtId="171" formatCode="0;\-0;;@\,"/>
    <numFmt numFmtId="172" formatCode="0.000"/>
    <numFmt numFmtId="173" formatCode="_-* #,##0_-;\-* #,##0_-;_-* &quot;-&quot;??_-;_-@_-"/>
    <numFmt numFmtId="174" formatCode="&quot;£&quot;#,##0.00"/>
  </numFmts>
  <fonts count="35">
    <font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4"/>
      <name val="Arial"/>
      <family val="2"/>
    </font>
    <font>
      <sz val="11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2"/>
      <color indexed="81"/>
      <name val="Tahoma"/>
      <family val="2"/>
    </font>
    <font>
      <b/>
      <sz val="6"/>
      <color rgb="FF212529"/>
      <name val="Segoe UI"/>
      <family val="2"/>
    </font>
    <font>
      <sz val="5"/>
      <color rgb="FF212529"/>
      <name val="Segoe UI"/>
      <family val="2"/>
    </font>
    <font>
      <b/>
      <sz val="14"/>
      <color rgb="FF212529"/>
      <name val="Segoe UI"/>
      <family val="2"/>
    </font>
    <font>
      <sz val="6"/>
      <color rgb="FF212529"/>
      <name val="Segoe UI"/>
      <family val="2"/>
    </font>
    <font>
      <b/>
      <vertAlign val="superscript"/>
      <sz val="10"/>
      <name val="Arial"/>
      <family val="2"/>
    </font>
    <font>
      <sz val="11"/>
      <name val="Calibri"/>
      <family val="2"/>
    </font>
    <font>
      <sz val="10"/>
      <color rgb="FF212529"/>
      <name val="Segoe UI"/>
      <family val="2"/>
    </font>
    <font>
      <sz val="10"/>
      <color theme="1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name val="Arial"/>
      <family val="2"/>
    </font>
    <font>
      <sz val="20"/>
      <name val="Arial"/>
      <family val="2"/>
    </font>
    <font>
      <sz val="20"/>
      <color theme="1"/>
      <name val="Arial"/>
      <family val="2"/>
    </font>
    <font>
      <sz val="10"/>
      <color theme="4" tint="-0.249977111117893"/>
      <name val="Arial"/>
      <family val="2"/>
    </font>
    <font>
      <sz val="16"/>
      <name val="Arial"/>
      <family val="2"/>
    </font>
    <font>
      <vertAlign val="superscript"/>
      <sz val="10"/>
      <name val="Arial"/>
      <family val="2"/>
    </font>
    <font>
      <b/>
      <sz val="10"/>
      <color theme="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00DC00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E3E3E3"/>
        <bgColor indexed="64"/>
      </patternFill>
    </fill>
    <fill>
      <patternFill patternType="solid">
        <fgColor rgb="FFC1E1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79998168889431442"/>
        <bgColor theme="8" tint="0.79998168889431442"/>
      </patternFill>
    </fill>
  </fills>
  <borders count="4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4"/>
      </bottom>
      <diagonal/>
    </border>
    <border>
      <left/>
      <right style="thin">
        <color indexed="64"/>
      </right>
      <top/>
      <bottom style="thin">
        <color theme="4"/>
      </bottom>
      <diagonal/>
    </border>
    <border>
      <left style="thin">
        <color rgb="FF999999"/>
      </left>
      <right style="thin">
        <color rgb="FF808080"/>
      </right>
      <top style="thin">
        <color rgb="FF999999"/>
      </top>
      <bottom/>
      <diagonal/>
    </border>
    <border>
      <left style="thin">
        <color rgb="FF808080"/>
      </left>
      <right/>
      <top style="thin">
        <color rgb="FF999999"/>
      </top>
      <bottom style="thin">
        <color rgb="FF808080"/>
      </bottom>
      <diagonal/>
    </border>
    <border>
      <left/>
      <right/>
      <top style="thin">
        <color rgb="FF999999"/>
      </top>
      <bottom style="thin">
        <color rgb="FF808080"/>
      </bottom>
      <diagonal/>
    </border>
    <border>
      <left/>
      <right style="thin">
        <color rgb="FF999999"/>
      </right>
      <top style="thin">
        <color rgb="FF999999"/>
      </top>
      <bottom style="thin">
        <color rgb="FF808080"/>
      </bottom>
      <diagonal/>
    </border>
    <border>
      <left style="thin">
        <color rgb="FF999999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999999"/>
      </right>
      <top style="thin">
        <color rgb="FF808080"/>
      </top>
      <bottom style="thin">
        <color rgb="FF808080"/>
      </bottom>
      <diagonal/>
    </border>
    <border>
      <left style="thin">
        <color rgb="FF999999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999999"/>
      </right>
      <top style="thin">
        <color rgb="FF808080"/>
      </top>
      <bottom style="thin">
        <color rgb="FF808080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5" fillId="0" borderId="0"/>
    <xf numFmtId="44" fontId="5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" fillId="0" borderId="0"/>
    <xf numFmtId="9" fontId="22" fillId="0" borderId="0" applyFont="0" applyFill="0" applyBorder="0" applyAlignment="0" applyProtection="0"/>
  </cellStyleXfs>
  <cellXfs count="329">
    <xf numFmtId="0" fontId="0" fillId="0" borderId="0" xfId="0"/>
    <xf numFmtId="0" fontId="0" fillId="2" borderId="0" xfId="0" applyFill="1" applyAlignment="1">
      <alignment vertical="top" wrapText="1"/>
    </xf>
    <xf numFmtId="0" fontId="0" fillId="0" borderId="0" xfId="0" applyAlignment="1">
      <alignment vertical="top" wrapText="1"/>
    </xf>
    <xf numFmtId="0" fontId="4" fillId="2" borderId="1" xfId="0" applyFont="1" applyFill="1" applyBorder="1" applyAlignment="1">
      <alignment vertical="top" wrapText="1"/>
    </xf>
    <xf numFmtId="0" fontId="4" fillId="2" borderId="2" xfId="0" applyFont="1" applyFill="1" applyBorder="1" applyAlignment="1">
      <alignment vertical="top" wrapText="1"/>
    </xf>
    <xf numFmtId="0" fontId="0" fillId="0" borderId="0" xfId="0" applyAlignment="1">
      <alignment wrapText="1"/>
    </xf>
    <xf numFmtId="0" fontId="6" fillId="0" borderId="0" xfId="1" applyFont="1"/>
    <xf numFmtId="0" fontId="5" fillId="0" borderId="0" xfId="1"/>
    <xf numFmtId="0" fontId="8" fillId="0" borderId="0" xfId="1" applyFont="1"/>
    <xf numFmtId="0" fontId="5" fillId="0" borderId="0" xfId="1" applyAlignment="1">
      <alignment horizontal="center"/>
    </xf>
    <xf numFmtId="44" fontId="5" fillId="0" borderId="0" xfId="2"/>
    <xf numFmtId="0" fontId="5" fillId="0" borderId="0" xfId="1" applyAlignment="1">
      <alignment wrapText="1"/>
    </xf>
    <xf numFmtId="44" fontId="6" fillId="4" borderId="3" xfId="2" applyFont="1" applyFill="1" applyBorder="1" applyAlignment="1">
      <alignment horizontal="center" wrapText="1"/>
    </xf>
    <xf numFmtId="0" fontId="6" fillId="0" borderId="3" xfId="1" applyFont="1" applyBorder="1"/>
    <xf numFmtId="9" fontId="6" fillId="4" borderId="3" xfId="1" applyNumberFormat="1" applyFont="1" applyFill="1" applyBorder="1"/>
    <xf numFmtId="0" fontId="8" fillId="0" borderId="0" xfId="1" applyFont="1" applyAlignment="1">
      <alignment horizontal="left"/>
    </xf>
    <xf numFmtId="0" fontId="6" fillId="0" borderId="0" xfId="1" applyFont="1" applyAlignment="1">
      <alignment horizontal="center"/>
    </xf>
    <xf numFmtId="44" fontId="5" fillId="0" borderId="0" xfId="1" applyNumberFormat="1" applyAlignment="1">
      <alignment horizontal="center"/>
    </xf>
    <xf numFmtId="44" fontId="5" fillId="0" borderId="0" xfId="1" applyNumberFormat="1"/>
    <xf numFmtId="0" fontId="5" fillId="5" borderId="0" xfId="1" applyFill="1"/>
    <xf numFmtId="165" fontId="8" fillId="3" borderId="4" xfId="2" applyNumberFormat="1" applyFont="1" applyFill="1" applyBorder="1" applyAlignment="1">
      <alignment horizontal="right"/>
    </xf>
    <xf numFmtId="44" fontId="8" fillId="3" borderId="4" xfId="1" applyNumberFormat="1" applyFont="1" applyFill="1" applyBorder="1" applyAlignment="1">
      <alignment horizontal="center"/>
    </xf>
    <xf numFmtId="44" fontId="6" fillId="4" borderId="3" xfId="2" applyFont="1" applyFill="1" applyBorder="1" applyAlignment="1">
      <alignment horizontal="center"/>
    </xf>
    <xf numFmtId="0" fontId="8" fillId="0" borderId="0" xfId="1" applyFont="1" applyAlignment="1">
      <alignment horizontal="center"/>
    </xf>
    <xf numFmtId="0" fontId="5" fillId="0" borderId="5" xfId="1" applyBorder="1" applyAlignment="1">
      <alignment horizontal="center"/>
    </xf>
    <xf numFmtId="166" fontId="5" fillId="0" borderId="0" xfId="1" applyNumberFormat="1" applyAlignment="1">
      <alignment horizontal="center"/>
    </xf>
    <xf numFmtId="0" fontId="5" fillId="4" borderId="0" xfId="1" applyFill="1" applyAlignment="1">
      <alignment horizontal="center"/>
    </xf>
    <xf numFmtId="0" fontId="5" fillId="0" borderId="0" xfId="1" applyAlignment="1">
      <alignment horizontal="left"/>
    </xf>
    <xf numFmtId="0" fontId="6" fillId="0" borderId="0" xfId="1" applyFont="1" applyAlignment="1">
      <alignment vertical="top" wrapText="1"/>
    </xf>
    <xf numFmtId="0" fontId="6" fillId="4" borderId="3" xfId="1" applyFont="1" applyFill="1" applyBorder="1" applyAlignment="1">
      <alignment vertical="top"/>
    </xf>
    <xf numFmtId="0" fontId="6" fillId="4" borderId="3" xfId="1" applyFont="1" applyFill="1" applyBorder="1" applyAlignment="1">
      <alignment vertical="top" wrapText="1"/>
    </xf>
    <xf numFmtId="0" fontId="6" fillId="0" borderId="0" xfId="1" applyFont="1" applyAlignment="1">
      <alignment vertical="top"/>
    </xf>
    <xf numFmtId="0" fontId="11" fillId="0" borderId="0" xfId="1" applyFont="1"/>
    <xf numFmtId="0" fontId="6" fillId="0" borderId="5" xfId="1" applyFont="1" applyBorder="1" applyAlignment="1">
      <alignment horizontal="center"/>
    </xf>
    <xf numFmtId="0" fontId="6" fillId="0" borderId="9" xfId="1" applyFont="1" applyBorder="1" applyAlignment="1">
      <alignment horizontal="center"/>
    </xf>
    <xf numFmtId="0" fontId="5" fillId="0" borderId="0" xfId="1" applyAlignment="1">
      <alignment horizontal="center" wrapText="1"/>
    </xf>
    <xf numFmtId="0" fontId="5" fillId="0" borderId="9" xfId="1" applyBorder="1" applyAlignment="1">
      <alignment horizontal="center"/>
    </xf>
    <xf numFmtId="1" fontId="5" fillId="0" borderId="0" xfId="1" applyNumberFormat="1" applyAlignment="1">
      <alignment horizontal="center"/>
    </xf>
    <xf numFmtId="167" fontId="5" fillId="0" borderId="0" xfId="1" applyNumberFormat="1" applyAlignment="1">
      <alignment horizontal="center"/>
    </xf>
    <xf numFmtId="44" fontId="5" fillId="0" borderId="0" xfId="2" applyFont="1"/>
    <xf numFmtId="0" fontId="12" fillId="0" borderId="0" xfId="1" applyFont="1" applyAlignment="1">
      <alignment horizontal="center"/>
    </xf>
    <xf numFmtId="0" fontId="6" fillId="4" borderId="3" xfId="1" applyFont="1" applyFill="1" applyBorder="1" applyAlignment="1">
      <alignment wrapText="1"/>
    </xf>
    <xf numFmtId="0" fontId="6" fillId="0" borderId="0" xfId="1" applyFont="1" applyAlignment="1">
      <alignment wrapText="1"/>
    </xf>
    <xf numFmtId="0" fontId="6" fillId="4" borderId="3" xfId="1" applyFont="1" applyFill="1" applyBorder="1"/>
    <xf numFmtId="44" fontId="0" fillId="0" borderId="0" xfId="2" applyFont="1"/>
    <xf numFmtId="0" fontId="5" fillId="0" borderId="5" xfId="1" applyBorder="1"/>
    <xf numFmtId="0" fontId="6" fillId="4" borderId="8" xfId="1" applyFont="1" applyFill="1" applyBorder="1" applyAlignment="1">
      <alignment horizontal="center" wrapText="1"/>
    </xf>
    <xf numFmtId="0" fontId="9" fillId="4" borderId="8" xfId="1" applyFont="1" applyFill="1" applyBorder="1"/>
    <xf numFmtId="0" fontId="5" fillId="0" borderId="9" xfId="1" applyBorder="1" applyAlignment="1">
      <alignment horizontal="center" wrapText="1"/>
    </xf>
    <xf numFmtId="0" fontId="9" fillId="0" borderId="9" xfId="1" applyFont="1" applyBorder="1"/>
    <xf numFmtId="44" fontId="5" fillId="0" borderId="9" xfId="1" applyNumberFormat="1" applyBorder="1" applyAlignment="1">
      <alignment horizontal="center"/>
    </xf>
    <xf numFmtId="0" fontId="10" fillId="0" borderId="9" xfId="1" applyFont="1" applyBorder="1"/>
    <xf numFmtId="44" fontId="5" fillId="0" borderId="0" xfId="2" applyAlignment="1">
      <alignment horizontal="center"/>
    </xf>
    <xf numFmtId="165" fontId="8" fillId="3" borderId="12" xfId="2" applyNumberFormat="1" applyFont="1" applyFill="1" applyBorder="1" applyAlignment="1">
      <alignment horizontal="right"/>
    </xf>
    <xf numFmtId="44" fontId="8" fillId="3" borderId="13" xfId="1" applyNumberFormat="1" applyFont="1" applyFill="1" applyBorder="1" applyAlignment="1">
      <alignment horizontal="center"/>
    </xf>
    <xf numFmtId="0" fontId="5" fillId="0" borderId="9" xfId="1" applyBorder="1"/>
    <xf numFmtId="0" fontId="5" fillId="0" borderId="0" xfId="1" applyAlignment="1">
      <alignment vertical="top"/>
    </xf>
    <xf numFmtId="0" fontId="11" fillId="4" borderId="3" xfId="1" applyFont="1" applyFill="1" applyBorder="1" applyAlignment="1">
      <alignment horizontal="left" vertical="top" wrapText="1"/>
    </xf>
    <xf numFmtId="0" fontId="11" fillId="4" borderId="3" xfId="1" applyFont="1" applyFill="1" applyBorder="1" applyAlignment="1">
      <alignment horizontal="center" vertical="top" wrapText="1"/>
    </xf>
    <xf numFmtId="0" fontId="11" fillId="4" borderId="3" xfId="1" applyFont="1" applyFill="1" applyBorder="1" applyAlignment="1">
      <alignment horizontal="center" vertical="top"/>
    </xf>
    <xf numFmtId="0" fontId="11" fillId="4" borderId="3" xfId="1" applyFont="1" applyFill="1" applyBorder="1" applyAlignment="1">
      <alignment vertical="top" wrapText="1"/>
    </xf>
    <xf numFmtId="9" fontId="11" fillId="4" borderId="3" xfId="1" applyNumberFormat="1" applyFont="1" applyFill="1" applyBorder="1" applyAlignment="1">
      <alignment vertical="top"/>
    </xf>
    <xf numFmtId="9" fontId="11" fillId="4" borderId="3" xfId="1" applyNumberFormat="1" applyFont="1" applyFill="1" applyBorder="1" applyAlignment="1">
      <alignment horizontal="center" vertical="top"/>
    </xf>
    <xf numFmtId="0" fontId="13" fillId="0" borderId="0" xfId="1" applyFont="1" applyAlignment="1">
      <alignment vertical="top"/>
    </xf>
    <xf numFmtId="0" fontId="8" fillId="0" borderId="0" xfId="1" applyFont="1" applyAlignment="1">
      <alignment horizontal="left" vertical="top"/>
    </xf>
    <xf numFmtId="0" fontId="5" fillId="0" borderId="0" xfId="1" applyAlignment="1">
      <alignment horizontal="left" vertical="top"/>
    </xf>
    <xf numFmtId="0" fontId="8" fillId="0" borderId="0" xfId="1" applyFont="1" applyAlignment="1">
      <alignment horizontal="center" vertical="top"/>
    </xf>
    <xf numFmtId="0" fontId="5" fillId="0" borderId="9" xfId="1" applyBorder="1" applyAlignment="1">
      <alignment horizontal="center" vertical="top" wrapText="1"/>
    </xf>
    <xf numFmtId="167" fontId="5" fillId="0" borderId="5" xfId="1" applyNumberFormat="1" applyBorder="1" applyAlignment="1">
      <alignment horizontal="center" vertical="top" wrapText="1"/>
    </xf>
    <xf numFmtId="169" fontId="6" fillId="0" borderId="0" xfId="1" applyNumberFormat="1" applyFont="1" applyAlignment="1">
      <alignment horizontal="left"/>
    </xf>
    <xf numFmtId="0" fontId="6" fillId="0" borderId="0" xfId="1" applyFont="1" applyAlignment="1">
      <alignment horizontal="left"/>
    </xf>
    <xf numFmtId="2" fontId="5" fillId="0" borderId="0" xfId="1" applyNumberFormat="1" applyAlignment="1">
      <alignment horizontal="center"/>
    </xf>
    <xf numFmtId="167" fontId="5" fillId="0" borderId="5" xfId="1" applyNumberFormat="1" applyBorder="1" applyAlignment="1">
      <alignment horizontal="center"/>
    </xf>
    <xf numFmtId="167" fontId="5" fillId="0" borderId="0" xfId="2" applyNumberFormat="1" applyBorder="1"/>
    <xf numFmtId="44" fontId="5" fillId="0" borderId="0" xfId="2" applyBorder="1"/>
    <xf numFmtId="167" fontId="0" fillId="0" borderId="0" xfId="2" applyNumberFormat="1" applyFont="1" applyBorder="1"/>
    <xf numFmtId="44" fontId="0" fillId="0" borderId="0" xfId="2" applyFont="1" applyBorder="1"/>
    <xf numFmtId="167" fontId="5" fillId="0" borderId="0" xfId="2" applyNumberFormat="1" applyFont="1" applyFill="1" applyBorder="1"/>
    <xf numFmtId="0" fontId="7" fillId="0" borderId="0" xfId="1" applyFont="1" applyAlignment="1">
      <alignment horizontal="left"/>
    </xf>
    <xf numFmtId="44" fontId="8" fillId="4" borderId="3" xfId="2" applyFont="1" applyFill="1" applyBorder="1"/>
    <xf numFmtId="0" fontId="6" fillId="6" borderId="0" xfId="1" applyFont="1" applyFill="1" applyAlignment="1">
      <alignment horizontal="left"/>
    </xf>
    <xf numFmtId="0" fontId="5" fillId="6" borderId="0" xfId="1" applyFill="1" applyAlignment="1">
      <alignment horizontal="left"/>
    </xf>
    <xf numFmtId="0" fontId="5" fillId="6" borderId="0" xfId="1" applyFill="1" applyAlignment="1">
      <alignment horizontal="center"/>
    </xf>
    <xf numFmtId="44" fontId="5" fillId="6" borderId="0" xfId="2" applyFill="1" applyBorder="1"/>
    <xf numFmtId="0" fontId="6" fillId="6" borderId="0" xfId="1" applyFont="1" applyFill="1" applyAlignment="1">
      <alignment horizontal="center"/>
    </xf>
    <xf numFmtId="2" fontId="5" fillId="6" borderId="0" xfId="1" applyNumberFormat="1" applyFill="1" applyAlignment="1">
      <alignment horizontal="center"/>
    </xf>
    <xf numFmtId="0" fontId="6" fillId="7" borderId="0" xfId="1" applyFont="1" applyFill="1" applyAlignment="1">
      <alignment horizontal="left"/>
    </xf>
    <xf numFmtId="0" fontId="6" fillId="7" borderId="0" xfId="1" applyFont="1" applyFill="1" applyAlignment="1">
      <alignment horizontal="center"/>
    </xf>
    <xf numFmtId="0" fontId="5" fillId="7" borderId="0" xfId="1" applyFill="1" applyAlignment="1">
      <alignment horizontal="center"/>
    </xf>
    <xf numFmtId="44" fontId="5" fillId="7" borderId="0" xfId="2" applyFill="1" applyBorder="1"/>
    <xf numFmtId="2" fontId="5" fillId="7" borderId="0" xfId="1" applyNumberFormat="1" applyFill="1" applyAlignment="1">
      <alignment horizontal="center"/>
    </xf>
    <xf numFmtId="0" fontId="6" fillId="4" borderId="0" xfId="1" applyFont="1" applyFill="1" applyAlignment="1">
      <alignment wrapText="1"/>
    </xf>
    <xf numFmtId="2" fontId="6" fillId="4" borderId="10" xfId="1" applyNumberFormat="1" applyFont="1" applyFill="1" applyBorder="1" applyAlignment="1">
      <alignment horizontal="center"/>
    </xf>
    <xf numFmtId="168" fontId="5" fillId="0" borderId="5" xfId="1" applyNumberFormat="1" applyBorder="1"/>
    <xf numFmtId="44" fontId="5" fillId="0" borderId="9" xfId="2" applyBorder="1"/>
    <xf numFmtId="2" fontId="5" fillId="0" borderId="0" xfId="1" applyNumberFormat="1"/>
    <xf numFmtId="164" fontId="5" fillId="0" borderId="0" xfId="1" applyNumberFormat="1"/>
    <xf numFmtId="1" fontId="5" fillId="0" borderId="0" xfId="1" applyNumberFormat="1"/>
    <xf numFmtId="164" fontId="5" fillId="0" borderId="0" xfId="1" applyNumberFormat="1" applyAlignment="1">
      <alignment horizontal="center"/>
    </xf>
    <xf numFmtId="0" fontId="17" fillId="8" borderId="19" xfId="1" applyFont="1" applyFill="1" applyBorder="1" applyAlignment="1">
      <alignment horizontal="center" vertical="center" wrapText="1"/>
    </xf>
    <xf numFmtId="0" fontId="17" fillId="8" borderId="20" xfId="1" applyFont="1" applyFill="1" applyBorder="1" applyAlignment="1">
      <alignment horizontal="center" vertical="center" wrapText="1"/>
    </xf>
    <xf numFmtId="0" fontId="20" fillId="10" borderId="24" xfId="1" applyFont="1" applyFill="1" applyBorder="1" applyAlignment="1">
      <alignment horizontal="center" vertical="center" wrapText="1"/>
    </xf>
    <xf numFmtId="0" fontId="5" fillId="0" borderId="0" xfId="1" applyAlignment="1">
      <alignment vertical="top" wrapText="1"/>
    </xf>
    <xf numFmtId="0" fontId="6" fillId="4" borderId="3" xfId="1" applyFont="1" applyFill="1" applyBorder="1" applyAlignment="1">
      <alignment horizontal="left" vertical="top" wrapText="1"/>
    </xf>
    <xf numFmtId="0" fontId="6" fillId="4" borderId="25" xfId="1" applyFont="1" applyFill="1" applyBorder="1" applyAlignment="1">
      <alignment horizontal="center" vertical="center" wrapText="1"/>
    </xf>
    <xf numFmtId="9" fontId="6" fillId="4" borderId="3" xfId="1" applyNumberFormat="1" applyFont="1" applyFill="1" applyBorder="1" applyAlignment="1" applyProtection="1">
      <alignment vertical="top" wrapText="1"/>
      <protection hidden="1"/>
    </xf>
    <xf numFmtId="0" fontId="6" fillId="0" borderId="0" xfId="1" applyFont="1" applyAlignment="1">
      <alignment horizontal="left" wrapText="1"/>
    </xf>
    <xf numFmtId="0" fontId="11" fillId="0" borderId="0" xfId="1" applyFont="1" applyAlignment="1">
      <alignment wrapText="1"/>
    </xf>
    <xf numFmtId="9" fontId="6" fillId="0" borderId="0" xfId="1" applyNumberFormat="1" applyFont="1" applyProtection="1">
      <protection hidden="1"/>
    </xf>
    <xf numFmtId="0" fontId="5" fillId="0" borderId="5" xfId="1" applyBorder="1" applyAlignment="1">
      <alignment horizontal="right"/>
    </xf>
    <xf numFmtId="170" fontId="5" fillId="0" borderId="9" xfId="1" applyNumberFormat="1" applyBorder="1" applyAlignment="1">
      <alignment horizontal="right"/>
    </xf>
    <xf numFmtId="44" fontId="5" fillId="0" borderId="0" xfId="1" applyNumberFormat="1" applyProtection="1">
      <protection hidden="1"/>
    </xf>
    <xf numFmtId="0" fontId="11" fillId="0" borderId="0" xfId="1" applyFont="1" applyAlignment="1">
      <alignment horizontal="right"/>
    </xf>
    <xf numFmtId="0" fontId="12" fillId="11" borderId="0" xfId="1" applyFont="1" applyFill="1" applyAlignment="1">
      <alignment horizontal="left"/>
    </xf>
    <xf numFmtId="0" fontId="12" fillId="0" borderId="0" xfId="1" applyFont="1" applyAlignment="1">
      <alignment horizontal="left"/>
    </xf>
    <xf numFmtId="0" fontId="5" fillId="11" borderId="0" xfId="1" applyFill="1"/>
    <xf numFmtId="0" fontId="12" fillId="5" borderId="0" xfId="1" applyFont="1" applyFill="1" applyAlignment="1">
      <alignment horizontal="left"/>
    </xf>
    <xf numFmtId="170" fontId="5" fillId="0" borderId="9" xfId="1" applyNumberFormat="1" applyBorder="1"/>
    <xf numFmtId="0" fontId="12" fillId="6" borderId="0" xfId="1" applyFont="1" applyFill="1" applyAlignment="1">
      <alignment horizontal="left"/>
    </xf>
    <xf numFmtId="0" fontId="5" fillId="6" borderId="0" xfId="1" applyFill="1"/>
    <xf numFmtId="44" fontId="8" fillId="3" borderId="0" xfId="1" applyNumberFormat="1" applyFont="1" applyFill="1" applyAlignment="1">
      <alignment horizontal="center"/>
    </xf>
    <xf numFmtId="0" fontId="5" fillId="0" borderId="0" xfId="1" applyProtection="1">
      <protection hidden="1"/>
    </xf>
    <xf numFmtId="6" fontId="5" fillId="0" borderId="0" xfId="1" applyNumberFormat="1" applyAlignment="1">
      <alignment horizontal="center"/>
    </xf>
    <xf numFmtId="0" fontId="9" fillId="0" borderId="0" xfId="1" applyFont="1" applyAlignment="1">
      <alignment horizontal="left" wrapText="1"/>
    </xf>
    <xf numFmtId="0" fontId="23" fillId="3" borderId="24" xfId="1" applyFont="1" applyFill="1" applyBorder="1" applyAlignment="1">
      <alignment horizontal="center" vertical="center" wrapText="1"/>
    </xf>
    <xf numFmtId="0" fontId="6" fillId="4" borderId="0" xfId="1" applyFont="1" applyFill="1" applyAlignment="1">
      <alignment horizontal="center" wrapText="1"/>
    </xf>
    <xf numFmtId="0" fontId="6" fillId="4" borderId="3" xfId="1" applyFont="1" applyFill="1" applyBorder="1" applyAlignment="1">
      <alignment horizontal="center" wrapText="1"/>
    </xf>
    <xf numFmtId="0" fontId="6" fillId="4" borderId="3" xfId="1" applyFont="1" applyFill="1" applyBorder="1" applyAlignment="1">
      <alignment horizontal="center" vertical="top" wrapText="1"/>
    </xf>
    <xf numFmtId="0" fontId="11" fillId="4" borderId="7" xfId="1" applyFont="1" applyFill="1" applyBorder="1" applyAlignment="1">
      <alignment horizontal="center" vertical="top" wrapText="1"/>
    </xf>
    <xf numFmtId="0" fontId="6" fillId="4" borderId="7" xfId="1" applyFont="1" applyFill="1" applyBorder="1" applyAlignment="1">
      <alignment horizontal="center" wrapText="1"/>
    </xf>
    <xf numFmtId="0" fontId="11" fillId="4" borderId="8" xfId="1" applyFont="1" applyFill="1" applyBorder="1" applyAlignment="1">
      <alignment horizontal="center" vertical="top" wrapText="1"/>
    </xf>
    <xf numFmtId="0" fontId="2" fillId="0" borderId="0" xfId="4"/>
    <xf numFmtId="0" fontId="10" fillId="4" borderId="3" xfId="1" applyFont="1" applyFill="1" applyBorder="1" applyAlignment="1">
      <alignment horizontal="center"/>
    </xf>
    <xf numFmtId="43" fontId="10" fillId="0" borderId="0" xfId="3" applyFont="1"/>
    <xf numFmtId="0" fontId="6" fillId="4" borderId="26" xfId="1" applyFont="1" applyFill="1" applyBorder="1" applyAlignment="1">
      <alignment horizontal="center"/>
    </xf>
    <xf numFmtId="0" fontId="6" fillId="4" borderId="27" xfId="1" applyFont="1" applyFill="1" applyBorder="1" applyAlignment="1">
      <alignment horizontal="center"/>
    </xf>
    <xf numFmtId="0" fontId="6" fillId="4" borderId="28" xfId="1" applyFont="1" applyFill="1" applyBorder="1" applyAlignment="1">
      <alignment horizontal="center"/>
    </xf>
    <xf numFmtId="0" fontId="6" fillId="0" borderId="29" xfId="1" applyFont="1" applyBorder="1" applyAlignment="1">
      <alignment horizontal="center"/>
    </xf>
    <xf numFmtId="0" fontId="6" fillId="0" borderId="30" xfId="1" applyFont="1" applyBorder="1" applyAlignment="1">
      <alignment horizontal="center"/>
    </xf>
    <xf numFmtId="0" fontId="5" fillId="0" borderId="29" xfId="1" applyBorder="1" applyAlignment="1">
      <alignment horizontal="center"/>
    </xf>
    <xf numFmtId="0" fontId="5" fillId="0" borderId="30" xfId="1" applyBorder="1" applyAlignment="1">
      <alignment horizontal="center"/>
    </xf>
    <xf numFmtId="0" fontId="5" fillId="0" borderId="29" xfId="1" applyBorder="1"/>
    <xf numFmtId="0" fontId="5" fillId="0" borderId="30" xfId="1" applyBorder="1"/>
    <xf numFmtId="0" fontId="6" fillId="4" borderId="3" xfId="1" applyFont="1" applyFill="1" applyBorder="1" applyAlignment="1">
      <alignment horizontal="center" vertical="top"/>
    </xf>
    <xf numFmtId="0" fontId="6" fillId="4" borderId="6" xfId="1" applyFont="1" applyFill="1" applyBorder="1" applyAlignment="1">
      <alignment horizontal="center" vertical="top" wrapText="1"/>
    </xf>
    <xf numFmtId="0" fontId="6" fillId="4" borderId="7" xfId="1" applyFont="1" applyFill="1" applyBorder="1" applyAlignment="1">
      <alignment horizontal="center" vertical="top" wrapText="1"/>
    </xf>
    <xf numFmtId="0" fontId="25" fillId="0" borderId="29" xfId="1" applyFont="1" applyBorder="1"/>
    <xf numFmtId="0" fontId="25" fillId="0" borderId="0" xfId="1" applyFont="1"/>
    <xf numFmtId="0" fontId="25" fillId="0" borderId="30" xfId="1" applyFont="1" applyBorder="1"/>
    <xf numFmtId="1" fontId="24" fillId="0" borderId="31" xfId="1" applyNumberFormat="1" applyFont="1" applyBorder="1" applyAlignment="1">
      <alignment horizontal="center"/>
    </xf>
    <xf numFmtId="0" fontId="2" fillId="0" borderId="0" xfId="4" applyAlignment="1">
      <alignment vertical="top" wrapText="1"/>
    </xf>
    <xf numFmtId="0" fontId="2" fillId="0" borderId="3" xfId="4" applyBorder="1" applyAlignment="1">
      <alignment horizontal="left"/>
    </xf>
    <xf numFmtId="0" fontId="2" fillId="0" borderId="3" xfId="4" applyBorder="1"/>
    <xf numFmtId="0" fontId="1" fillId="0" borderId="0" xfId="4" applyFont="1"/>
    <xf numFmtId="170" fontId="6" fillId="4" borderId="32" xfId="1" applyNumberFormat="1" applyFont="1" applyFill="1" applyBorder="1" applyAlignment="1">
      <alignment horizontal="center" vertical="center" wrapText="1"/>
    </xf>
    <xf numFmtId="170" fontId="5" fillId="0" borderId="0" xfId="1" applyNumberFormat="1"/>
    <xf numFmtId="0" fontId="6" fillId="0" borderId="0" xfId="1" applyFont="1" applyAlignment="1">
      <alignment horizontal="center" vertical="top" wrapText="1"/>
    </xf>
    <xf numFmtId="0" fontId="6" fillId="0" borderId="5" xfId="1" applyFont="1" applyBorder="1" applyAlignment="1">
      <alignment horizontal="center" vertical="top" wrapText="1"/>
    </xf>
    <xf numFmtId="0" fontId="6" fillId="0" borderId="9" xfId="1" applyFont="1" applyBorder="1" applyAlignment="1">
      <alignment horizontal="center" vertical="top" wrapText="1"/>
    </xf>
    <xf numFmtId="170" fontId="5" fillId="0" borderId="5" xfId="1" applyNumberFormat="1" applyBorder="1" applyAlignment="1">
      <alignment horizontal="right"/>
    </xf>
    <xf numFmtId="170" fontId="5" fillId="0" borderId="5" xfId="1" applyNumberFormat="1" applyBorder="1"/>
    <xf numFmtId="170" fontId="5" fillId="0" borderId="0" xfId="1" applyNumberFormat="1" applyAlignment="1">
      <alignment horizontal="right"/>
    </xf>
    <xf numFmtId="0" fontId="6" fillId="4" borderId="7" xfId="1" applyFont="1" applyFill="1" applyBorder="1" applyAlignment="1">
      <alignment horizontal="center" vertical="center" wrapText="1"/>
    </xf>
    <xf numFmtId="0" fontId="6" fillId="4" borderId="8" xfId="1" applyFont="1" applyFill="1" applyBorder="1" applyAlignment="1">
      <alignment horizontal="center" vertical="center" wrapText="1"/>
    </xf>
    <xf numFmtId="171" fontId="5" fillId="0" borderId="5" xfId="1" applyNumberFormat="1" applyBorder="1" applyAlignment="1">
      <alignment horizontal="right"/>
    </xf>
    <xf numFmtId="171" fontId="5" fillId="0" borderId="0" xfId="1" applyNumberFormat="1" applyAlignment="1">
      <alignment horizontal="right"/>
    </xf>
    <xf numFmtId="171" fontId="5" fillId="0" borderId="9" xfId="1" applyNumberFormat="1" applyBorder="1" applyAlignment="1">
      <alignment horizontal="right"/>
    </xf>
    <xf numFmtId="0" fontId="5" fillId="0" borderId="32" xfId="1" applyBorder="1"/>
    <xf numFmtId="0" fontId="5" fillId="0" borderId="32" xfId="1" applyBorder="1" applyAlignment="1">
      <alignment horizontal="left"/>
    </xf>
    <xf numFmtId="0" fontId="5" fillId="0" borderId="3" xfId="1" applyBorder="1" applyAlignment="1">
      <alignment horizontal="left"/>
    </xf>
    <xf numFmtId="0" fontId="6" fillId="4" borderId="6" xfId="1" applyFont="1" applyFill="1" applyBorder="1" applyAlignment="1">
      <alignment horizontal="center" vertical="center" wrapText="1"/>
    </xf>
    <xf numFmtId="0" fontId="11" fillId="4" borderId="0" xfId="1" applyFont="1" applyFill="1" applyAlignment="1">
      <alignment vertical="top" wrapText="1"/>
    </xf>
    <xf numFmtId="0" fontId="11" fillId="0" borderId="32" xfId="1" applyFont="1" applyBorder="1"/>
    <xf numFmtId="170" fontId="5" fillId="0" borderId="25" xfId="1" applyNumberFormat="1" applyBorder="1" applyAlignment="1">
      <alignment horizontal="right"/>
    </xf>
    <xf numFmtId="170" fontId="5" fillId="0" borderId="32" xfId="1" applyNumberFormat="1" applyBorder="1" applyAlignment="1">
      <alignment horizontal="right"/>
    </xf>
    <xf numFmtId="0" fontId="5" fillId="0" borderId="25" xfId="1" applyBorder="1"/>
    <xf numFmtId="0" fontId="5" fillId="0" borderId="11" xfId="1" applyBorder="1"/>
    <xf numFmtId="0" fontId="5" fillId="0" borderId="32" xfId="1" applyBorder="1" applyAlignment="1">
      <alignment horizontal="left" wrapText="1"/>
    </xf>
    <xf numFmtId="0" fontId="28" fillId="4" borderId="8" xfId="1" applyFont="1" applyFill="1" applyBorder="1" applyAlignment="1">
      <alignment horizontal="center" vertical="top" wrapText="1"/>
    </xf>
    <xf numFmtId="0" fontId="28" fillId="4" borderId="6" xfId="1" applyFont="1" applyFill="1" applyBorder="1" applyAlignment="1">
      <alignment horizontal="center" vertical="top" wrapText="1"/>
    </xf>
    <xf numFmtId="0" fontId="28" fillId="4" borderId="3" xfId="1" applyFont="1" applyFill="1" applyBorder="1" applyAlignment="1">
      <alignment vertical="top"/>
    </xf>
    <xf numFmtId="0" fontId="29" fillId="0" borderId="0" xfId="1" applyFont="1" applyAlignment="1">
      <alignment vertical="top"/>
    </xf>
    <xf numFmtId="0" fontId="29" fillId="0" borderId="0" xfId="1" applyFont="1"/>
    <xf numFmtId="0" fontId="29" fillId="0" borderId="0" xfId="1" applyFont="1" applyAlignment="1">
      <alignment horizontal="left"/>
    </xf>
    <xf numFmtId="0" fontId="28" fillId="0" borderId="0" xfId="1" applyFont="1" applyAlignment="1">
      <alignment horizontal="left"/>
    </xf>
    <xf numFmtId="0" fontId="29" fillId="0" borderId="0" xfId="1" applyFont="1" applyAlignment="1">
      <alignment horizontal="center"/>
    </xf>
    <xf numFmtId="0" fontId="29" fillId="0" borderId="29" xfId="1" applyFont="1" applyBorder="1" applyAlignment="1">
      <alignment horizontal="center"/>
    </xf>
    <xf numFmtId="0" fontId="29" fillId="0" borderId="30" xfId="1" applyFont="1" applyBorder="1" applyAlignment="1">
      <alignment horizontal="center"/>
    </xf>
    <xf numFmtId="1" fontId="30" fillId="0" borderId="31" xfId="1" applyNumberFormat="1" applyFont="1" applyBorder="1" applyAlignment="1">
      <alignment horizontal="center"/>
    </xf>
    <xf numFmtId="167" fontId="29" fillId="0" borderId="0" xfId="1" applyNumberFormat="1" applyFont="1" applyAlignment="1">
      <alignment horizontal="center"/>
    </xf>
    <xf numFmtId="0" fontId="29" fillId="0" borderId="5" xfId="1" applyFont="1" applyBorder="1" applyAlignment="1">
      <alignment horizontal="center"/>
    </xf>
    <xf numFmtId="44" fontId="29" fillId="0" borderId="0" xfId="2" applyFont="1"/>
    <xf numFmtId="44" fontId="28" fillId="3" borderId="13" xfId="1" applyNumberFormat="1" applyFont="1" applyFill="1" applyBorder="1" applyAlignment="1">
      <alignment horizontal="center"/>
    </xf>
    <xf numFmtId="165" fontId="28" fillId="3" borderId="12" xfId="2" applyNumberFormat="1" applyFont="1" applyFill="1" applyBorder="1" applyAlignment="1">
      <alignment horizontal="right"/>
    </xf>
    <xf numFmtId="0" fontId="29" fillId="0" borderId="29" xfId="1" applyFont="1" applyBorder="1"/>
    <xf numFmtId="0" fontId="29" fillId="0" borderId="30" xfId="1" applyFont="1" applyBorder="1"/>
    <xf numFmtId="0" fontId="5" fillId="0" borderId="9" xfId="1" applyBorder="1" applyAlignment="1">
      <alignment horizontal="right"/>
    </xf>
    <xf numFmtId="0" fontId="5" fillId="0" borderId="33" xfId="1" applyBorder="1" applyAlignment="1">
      <alignment horizontal="right"/>
    </xf>
    <xf numFmtId="0" fontId="5" fillId="12" borderId="0" xfId="1" applyFill="1"/>
    <xf numFmtId="2" fontId="5" fillId="12" borderId="0" xfId="1" applyNumberFormat="1" applyFill="1" applyAlignment="1">
      <alignment horizontal="center"/>
    </xf>
    <xf numFmtId="170" fontId="6" fillId="0" borderId="0" xfId="1" applyNumberFormat="1" applyFont="1" applyAlignment="1">
      <alignment horizontal="center"/>
    </xf>
    <xf numFmtId="171" fontId="31" fillId="0" borderId="5" xfId="1" applyNumberFormat="1" applyFont="1" applyBorder="1" applyAlignment="1">
      <alignment horizontal="right"/>
    </xf>
    <xf numFmtId="171" fontId="31" fillId="0" borderId="0" xfId="1" applyNumberFormat="1" applyFont="1" applyAlignment="1">
      <alignment horizontal="right"/>
    </xf>
    <xf numFmtId="0" fontId="31" fillId="0" borderId="9" xfId="1" applyFont="1" applyBorder="1" applyAlignment="1">
      <alignment horizontal="right"/>
    </xf>
    <xf numFmtId="171" fontId="31" fillId="13" borderId="5" xfId="1" applyNumberFormat="1" applyFont="1" applyFill="1" applyBorder="1" applyAlignment="1">
      <alignment horizontal="right"/>
    </xf>
    <xf numFmtId="171" fontId="31" fillId="13" borderId="0" xfId="1" applyNumberFormat="1" applyFont="1" applyFill="1" applyAlignment="1">
      <alignment horizontal="right"/>
    </xf>
    <xf numFmtId="0" fontId="31" fillId="13" borderId="9" xfId="1" applyFont="1" applyFill="1" applyBorder="1" applyAlignment="1">
      <alignment horizontal="right"/>
    </xf>
    <xf numFmtId="170" fontId="31" fillId="0" borderId="5" xfId="1" applyNumberFormat="1" applyFont="1" applyBorder="1" applyAlignment="1">
      <alignment horizontal="right"/>
    </xf>
    <xf numFmtId="171" fontId="6" fillId="0" borderId="0" xfId="1" applyNumberFormat="1" applyFont="1" applyAlignment="1">
      <alignment horizontal="right"/>
    </xf>
    <xf numFmtId="171" fontId="32" fillId="0" borderId="5" xfId="1" applyNumberFormat="1" applyFont="1" applyBorder="1" applyAlignment="1">
      <alignment horizontal="right"/>
    </xf>
    <xf numFmtId="0" fontId="5" fillId="0" borderId="0" xfId="1" applyAlignment="1">
      <alignment horizontal="right"/>
    </xf>
    <xf numFmtId="170" fontId="5" fillId="0" borderId="0" xfId="1" applyNumberFormat="1" applyProtection="1">
      <protection hidden="1"/>
    </xf>
    <xf numFmtId="170" fontId="5" fillId="0" borderId="0" xfId="1" applyNumberFormat="1" applyAlignment="1" applyProtection="1">
      <alignment wrapText="1"/>
      <protection hidden="1"/>
    </xf>
    <xf numFmtId="170" fontId="5" fillId="0" borderId="32" xfId="1" applyNumberFormat="1" applyBorder="1" applyProtection="1">
      <protection hidden="1"/>
    </xf>
    <xf numFmtId="165" fontId="5" fillId="0" borderId="0" xfId="1" applyNumberFormat="1" applyAlignment="1" applyProtection="1">
      <alignment wrapText="1"/>
      <protection hidden="1"/>
    </xf>
    <xf numFmtId="165" fontId="5" fillId="0" borderId="32" xfId="1" applyNumberFormat="1" applyBorder="1" applyProtection="1">
      <protection hidden="1"/>
    </xf>
    <xf numFmtId="165" fontId="5" fillId="0" borderId="0" xfId="1" applyNumberFormat="1" applyProtection="1">
      <protection hidden="1"/>
    </xf>
    <xf numFmtId="165" fontId="5" fillId="0" borderId="0" xfId="1" applyNumberFormat="1"/>
    <xf numFmtId="44" fontId="5" fillId="3" borderId="0" xfId="2" applyFill="1"/>
    <xf numFmtId="0" fontId="5" fillId="0" borderId="33" xfId="1" applyBorder="1"/>
    <xf numFmtId="0" fontId="5" fillId="0" borderId="3" xfId="1" applyBorder="1"/>
    <xf numFmtId="172" fontId="5" fillId="0" borderId="0" xfId="1" applyNumberFormat="1"/>
    <xf numFmtId="172" fontId="5" fillId="0" borderId="0" xfId="1" applyNumberFormat="1" applyProtection="1">
      <protection hidden="1"/>
    </xf>
    <xf numFmtId="9" fontId="6" fillId="4" borderId="0" xfId="1" applyNumberFormat="1" applyFont="1" applyFill="1" applyAlignment="1" applyProtection="1">
      <alignment vertical="top" wrapText="1"/>
      <protection hidden="1"/>
    </xf>
    <xf numFmtId="173" fontId="5" fillId="0" borderId="0" xfId="3" applyNumberFormat="1" applyFont="1" applyAlignment="1">
      <alignment horizontal="center"/>
    </xf>
    <xf numFmtId="2" fontId="5" fillId="0" borderId="9" xfId="1" applyNumberFormat="1" applyBorder="1" applyAlignment="1">
      <alignment horizontal="center"/>
    </xf>
    <xf numFmtId="2" fontId="5" fillId="0" borderId="9" xfId="1" applyNumberFormat="1" applyBorder="1"/>
    <xf numFmtId="0" fontId="8" fillId="0" borderId="9" xfId="1" applyFont="1" applyBorder="1" applyAlignment="1">
      <alignment horizontal="center" vertical="top"/>
    </xf>
    <xf numFmtId="0" fontId="5" fillId="0" borderId="10" xfId="1" applyBorder="1"/>
    <xf numFmtId="165" fontId="5" fillId="0" borderId="32" xfId="1" applyNumberFormat="1" applyBorder="1"/>
    <xf numFmtId="165" fontId="5" fillId="0" borderId="5" xfId="1" applyNumberFormat="1" applyBorder="1"/>
    <xf numFmtId="165" fontId="5" fillId="0" borderId="9" xfId="1" applyNumberFormat="1" applyBorder="1"/>
    <xf numFmtId="165" fontId="5" fillId="0" borderId="11" xfId="1" applyNumberFormat="1" applyBorder="1"/>
    <xf numFmtId="165" fontId="5" fillId="0" borderId="3" xfId="1" applyNumberFormat="1" applyBorder="1"/>
    <xf numFmtId="165" fontId="5" fillId="0" borderId="10" xfId="1" applyNumberFormat="1" applyBorder="1"/>
    <xf numFmtId="165" fontId="5" fillId="3" borderId="5" xfId="1" applyNumberFormat="1" applyFill="1" applyBorder="1"/>
    <xf numFmtId="44" fontId="5" fillId="3" borderId="9" xfId="1" applyNumberFormat="1" applyFill="1" applyBorder="1"/>
    <xf numFmtId="165" fontId="5" fillId="3" borderId="25" xfId="1" applyNumberFormat="1" applyFill="1" applyBorder="1"/>
    <xf numFmtId="0" fontId="11" fillId="0" borderId="3" xfId="1" applyFont="1" applyBorder="1" applyAlignment="1">
      <alignment horizontal="left" vertical="top" wrapText="1"/>
    </xf>
    <xf numFmtId="0" fontId="11" fillId="0" borderId="3" xfId="1" applyFont="1" applyBorder="1" applyAlignment="1">
      <alignment horizontal="center" vertical="top" wrapText="1"/>
    </xf>
    <xf numFmtId="0" fontId="11" fillId="0" borderId="10" xfId="1" applyFont="1" applyBorder="1" applyAlignment="1">
      <alignment horizontal="center" vertical="top" wrapText="1"/>
    </xf>
    <xf numFmtId="0" fontId="5" fillId="3" borderId="25" xfId="1" applyFill="1" applyBorder="1" applyAlignment="1">
      <alignment horizontal="right"/>
    </xf>
    <xf numFmtId="165" fontId="5" fillId="3" borderId="0" xfId="1" applyNumberFormat="1" applyFill="1"/>
    <xf numFmtId="0" fontId="5" fillId="0" borderId="25" xfId="1" applyBorder="1" applyAlignment="1">
      <alignment horizontal="center"/>
    </xf>
    <xf numFmtId="6" fontId="5" fillId="0" borderId="32" xfId="1" applyNumberFormat="1" applyBorder="1" applyAlignment="1">
      <alignment horizontal="center"/>
    </xf>
    <xf numFmtId="173" fontId="31" fillId="0" borderId="32" xfId="3" applyNumberFormat="1" applyFont="1" applyBorder="1" applyAlignment="1">
      <alignment horizontal="center"/>
    </xf>
    <xf numFmtId="44" fontId="5" fillId="0" borderId="33" xfId="2" applyBorder="1"/>
    <xf numFmtId="173" fontId="31" fillId="0" borderId="0" xfId="3" applyNumberFormat="1" applyFont="1" applyBorder="1" applyAlignment="1">
      <alignment horizontal="center"/>
    </xf>
    <xf numFmtId="0" fontId="5" fillId="0" borderId="11" xfId="1" applyBorder="1" applyAlignment="1">
      <alignment horizontal="center"/>
    </xf>
    <xf numFmtId="0" fontId="5" fillId="0" borderId="3" xfId="1" applyBorder="1" applyAlignment="1">
      <alignment horizontal="center"/>
    </xf>
    <xf numFmtId="173" fontId="31" fillId="0" borderId="3" xfId="3" applyNumberFormat="1" applyFont="1" applyBorder="1" applyAlignment="1">
      <alignment horizontal="center"/>
    </xf>
    <xf numFmtId="6" fontId="5" fillId="0" borderId="3" xfId="1" applyNumberFormat="1" applyBorder="1" applyAlignment="1">
      <alignment horizontal="center"/>
    </xf>
    <xf numFmtId="44" fontId="5" fillId="0" borderId="10" xfId="2" applyBorder="1"/>
    <xf numFmtId="0" fontId="6" fillId="4" borderId="0" xfId="1" applyFont="1" applyFill="1" applyAlignment="1">
      <alignment horizontal="center"/>
    </xf>
    <xf numFmtId="165" fontId="6" fillId="4" borderId="0" xfId="1" applyNumberFormat="1" applyFont="1" applyFill="1" applyAlignment="1">
      <alignment horizontal="center"/>
    </xf>
    <xf numFmtId="165" fontId="8" fillId="3" borderId="13" xfId="1" applyNumberFormat="1" applyFont="1" applyFill="1" applyBorder="1" applyAlignment="1">
      <alignment horizontal="center"/>
    </xf>
    <xf numFmtId="9" fontId="5" fillId="0" borderId="0" xfId="5" applyFont="1" applyFill="1"/>
    <xf numFmtId="44" fontId="8" fillId="3" borderId="9" xfId="1" applyNumberFormat="1" applyFont="1" applyFill="1" applyBorder="1" applyAlignment="1">
      <alignment horizontal="center"/>
    </xf>
    <xf numFmtId="9" fontId="24" fillId="14" borderId="31" xfId="5" applyFont="1" applyFill="1" applyBorder="1"/>
    <xf numFmtId="44" fontId="8" fillId="4" borderId="0" xfId="2" applyFont="1" applyFill="1" applyBorder="1"/>
    <xf numFmtId="0" fontId="5" fillId="0" borderId="0" xfId="2" applyNumberFormat="1" applyBorder="1"/>
    <xf numFmtId="44" fontId="6" fillId="0" borderId="0" xfId="1" applyNumberFormat="1" applyFont="1" applyAlignment="1">
      <alignment vertical="top"/>
    </xf>
    <xf numFmtId="0" fontId="5" fillId="0" borderId="0" xfId="2" applyNumberFormat="1" applyFont="1"/>
    <xf numFmtId="165" fontId="8" fillId="3" borderId="0" xfId="2" applyNumberFormat="1" applyFont="1" applyFill="1" applyBorder="1" applyAlignment="1">
      <alignment horizontal="right"/>
    </xf>
    <xf numFmtId="0" fontId="6" fillId="4" borderId="10" xfId="1" applyFont="1" applyFill="1" applyBorder="1" applyAlignment="1">
      <alignment horizontal="center" wrapText="1"/>
    </xf>
    <xf numFmtId="0" fontId="6" fillId="4" borderId="26" xfId="1" applyFont="1" applyFill="1" applyBorder="1" applyAlignment="1">
      <alignment horizontal="center" wrapText="1"/>
    </xf>
    <xf numFmtId="0" fontId="6" fillId="4" borderId="27" xfId="1" applyFont="1" applyFill="1" applyBorder="1" applyAlignment="1">
      <alignment horizontal="center" wrapText="1"/>
    </xf>
    <xf numFmtId="0" fontId="6" fillId="4" borderId="28" xfId="1" applyFont="1" applyFill="1" applyBorder="1" applyAlignment="1">
      <alignment horizontal="center" wrapText="1"/>
    </xf>
    <xf numFmtId="0" fontId="6" fillId="0" borderId="3" xfId="1" applyFont="1" applyBorder="1" applyAlignment="1">
      <alignment wrapText="1"/>
    </xf>
    <xf numFmtId="9" fontId="6" fillId="4" borderId="3" xfId="1" applyNumberFormat="1" applyFont="1" applyFill="1" applyBorder="1" applyAlignment="1">
      <alignment wrapText="1"/>
    </xf>
    <xf numFmtId="165" fontId="6" fillId="4" borderId="3" xfId="1" applyNumberFormat="1" applyFont="1" applyFill="1" applyBorder="1" applyAlignment="1">
      <alignment horizontal="center" wrapText="1"/>
    </xf>
    <xf numFmtId="165" fontId="5" fillId="0" borderId="0" xfId="1" applyNumberFormat="1" applyAlignment="1">
      <alignment horizontal="center" wrapText="1"/>
    </xf>
    <xf numFmtId="165" fontId="5" fillId="0" borderId="0" xfId="1" applyNumberFormat="1" applyAlignment="1">
      <alignment horizontal="center"/>
    </xf>
    <xf numFmtId="44" fontId="0" fillId="0" borderId="0" xfId="0" applyNumberFormat="1"/>
    <xf numFmtId="1" fontId="8" fillId="0" borderId="0" xfId="1" applyNumberFormat="1" applyFont="1" applyAlignment="1">
      <alignment horizontal="right"/>
    </xf>
    <xf numFmtId="174" fontId="5" fillId="0" borderId="0" xfId="1" applyNumberFormat="1" applyProtection="1">
      <protection hidden="1"/>
    </xf>
    <xf numFmtId="0" fontId="5" fillId="0" borderId="34" xfId="1" applyBorder="1"/>
    <xf numFmtId="0" fontId="5" fillId="0" borderId="35" xfId="1" applyBorder="1"/>
    <xf numFmtId="165" fontId="5" fillId="3" borderId="36" xfId="1" applyNumberFormat="1" applyFill="1" applyBorder="1"/>
    <xf numFmtId="165" fontId="5" fillId="0" borderId="35" xfId="1" applyNumberFormat="1" applyBorder="1"/>
    <xf numFmtId="0" fontId="5" fillId="0" borderId="37" xfId="1" applyBorder="1"/>
    <xf numFmtId="165" fontId="5" fillId="0" borderId="36" xfId="1" applyNumberFormat="1" applyBorder="1"/>
    <xf numFmtId="165" fontId="5" fillId="3" borderId="35" xfId="1" applyNumberFormat="1" applyFill="1" applyBorder="1"/>
    <xf numFmtId="165" fontId="5" fillId="0" borderId="37" xfId="1" applyNumberFormat="1" applyBorder="1"/>
    <xf numFmtId="0" fontId="5" fillId="0" borderId="38" xfId="1" applyBorder="1"/>
    <xf numFmtId="0" fontId="5" fillId="0" borderId="39" xfId="1" applyBorder="1"/>
    <xf numFmtId="165" fontId="5" fillId="3" borderId="40" xfId="1" applyNumberFormat="1" applyFill="1" applyBorder="1"/>
    <xf numFmtId="165" fontId="5" fillId="0" borderId="39" xfId="1" applyNumberFormat="1" applyBorder="1"/>
    <xf numFmtId="0" fontId="5" fillId="0" borderId="41" xfId="1" applyBorder="1"/>
    <xf numFmtId="165" fontId="5" fillId="0" borderId="40" xfId="1" applyNumberFormat="1" applyBorder="1"/>
    <xf numFmtId="165" fontId="5" fillId="3" borderId="39" xfId="1" applyNumberFormat="1" applyFill="1" applyBorder="1"/>
    <xf numFmtId="165" fontId="5" fillId="0" borderId="41" xfId="1" applyNumberFormat="1" applyBorder="1"/>
    <xf numFmtId="0" fontId="5" fillId="0" borderId="36" xfId="1" applyBorder="1"/>
    <xf numFmtId="0" fontId="6" fillId="0" borderId="29" xfId="1" applyFont="1" applyBorder="1" applyAlignment="1">
      <alignment wrapText="1"/>
    </xf>
    <xf numFmtId="0" fontId="5" fillId="0" borderId="29" xfId="1" applyBorder="1" applyAlignment="1">
      <alignment vertical="top"/>
    </xf>
    <xf numFmtId="165" fontId="5" fillId="3" borderId="41" xfId="1" applyNumberFormat="1" applyFill="1" applyBorder="1"/>
    <xf numFmtId="44" fontId="5" fillId="0" borderId="35" xfId="1" applyNumberFormat="1" applyBorder="1"/>
    <xf numFmtId="44" fontId="5" fillId="3" borderId="37" xfId="1" applyNumberFormat="1" applyFill="1" applyBorder="1"/>
    <xf numFmtId="44" fontId="5" fillId="0" borderId="39" xfId="1" applyNumberFormat="1" applyBorder="1"/>
    <xf numFmtId="44" fontId="5" fillId="3" borderId="41" xfId="1" applyNumberFormat="1" applyFill="1" applyBorder="1"/>
    <xf numFmtId="0" fontId="5" fillId="0" borderId="40" xfId="1" applyBorder="1"/>
    <xf numFmtId="9" fontId="6" fillId="4" borderId="7" xfId="1" applyNumberFormat="1" applyFont="1" applyFill="1" applyBorder="1" applyAlignment="1" applyProtection="1">
      <alignment horizontal="center" vertical="top" wrapText="1"/>
      <protection hidden="1"/>
    </xf>
    <xf numFmtId="165" fontId="6" fillId="4" borderId="8" xfId="1" applyNumberFormat="1" applyFont="1" applyFill="1" applyBorder="1" applyAlignment="1" applyProtection="1">
      <alignment horizontal="center" vertical="top" wrapText="1"/>
      <protection hidden="1"/>
    </xf>
    <xf numFmtId="0" fontId="11" fillId="0" borderId="3" xfId="1" applyFont="1" applyBorder="1"/>
    <xf numFmtId="0" fontId="11" fillId="0" borderId="32" xfId="1" applyFont="1" applyBorder="1" applyAlignment="1">
      <alignment horizontal="right" wrapText="1"/>
    </xf>
    <xf numFmtId="0" fontId="17" fillId="8" borderId="14" xfId="1" applyFont="1" applyFill="1" applyBorder="1" applyAlignment="1">
      <alignment horizontal="center" vertical="center" wrapText="1"/>
    </xf>
    <xf numFmtId="0" fontId="17" fillId="8" borderId="18" xfId="1" applyFont="1" applyFill="1" applyBorder="1" applyAlignment="1">
      <alignment horizontal="center" vertical="center" wrapText="1"/>
    </xf>
    <xf numFmtId="0" fontId="17" fillId="8" borderId="15" xfId="1" applyFont="1" applyFill="1" applyBorder="1" applyAlignment="1">
      <alignment horizontal="center" vertical="center" wrapText="1"/>
    </xf>
    <xf numFmtId="0" fontId="17" fillId="8" borderId="16" xfId="1" applyFont="1" applyFill="1" applyBorder="1" applyAlignment="1">
      <alignment horizontal="center" vertical="center" wrapText="1"/>
    </xf>
    <xf numFmtId="0" fontId="17" fillId="8" borderId="17" xfId="1" applyFont="1" applyFill="1" applyBorder="1" applyAlignment="1">
      <alignment horizontal="center" vertical="center" wrapText="1"/>
    </xf>
    <xf numFmtId="0" fontId="19" fillId="9" borderId="21" xfId="1" applyFont="1" applyFill="1" applyBorder="1" applyAlignment="1">
      <alignment horizontal="center" vertical="center" wrapText="1"/>
    </xf>
    <xf numFmtId="0" fontId="19" fillId="9" borderId="22" xfId="1" applyFont="1" applyFill="1" applyBorder="1" applyAlignment="1">
      <alignment horizontal="center" vertical="center" wrapText="1"/>
    </xf>
    <xf numFmtId="0" fontId="19" fillId="9" borderId="23" xfId="1" applyFont="1" applyFill="1" applyBorder="1" applyAlignment="1">
      <alignment horizontal="center" vertical="center" wrapText="1"/>
    </xf>
    <xf numFmtId="0" fontId="5" fillId="0" borderId="0" xfId="1" applyFont="1"/>
    <xf numFmtId="0" fontId="5" fillId="0" borderId="0" xfId="1" applyFont="1" applyAlignment="1">
      <alignment horizontal="left"/>
    </xf>
    <xf numFmtId="0" fontId="5" fillId="0" borderId="9" xfId="1" applyFont="1" applyBorder="1" applyAlignment="1">
      <alignment horizontal="center" vertical="top" wrapText="1"/>
    </xf>
    <xf numFmtId="0" fontId="5" fillId="0" borderId="0" xfId="1" applyFont="1" applyAlignment="1">
      <alignment horizontal="center" wrapText="1"/>
    </xf>
    <xf numFmtId="0" fontId="5" fillId="0" borderId="5" xfId="1" applyFont="1" applyBorder="1" applyAlignment="1">
      <alignment horizontal="center" wrapText="1"/>
    </xf>
    <xf numFmtId="44" fontId="5" fillId="0" borderId="0" xfId="1" applyNumberFormat="1" applyFont="1"/>
    <xf numFmtId="0" fontId="5" fillId="0" borderId="0" xfId="1" applyFont="1" applyAlignment="1">
      <alignment horizontal="center"/>
    </xf>
    <xf numFmtId="0" fontId="5" fillId="0" borderId="29" xfId="1" applyFont="1" applyBorder="1" applyAlignment="1">
      <alignment horizontal="center"/>
    </xf>
    <xf numFmtId="0" fontId="5" fillId="0" borderId="30" xfId="1" applyFont="1" applyBorder="1" applyAlignment="1">
      <alignment horizontal="center"/>
    </xf>
    <xf numFmtId="167" fontId="5" fillId="0" borderId="0" xfId="1" applyNumberFormat="1" applyFont="1" applyAlignment="1">
      <alignment horizontal="center"/>
    </xf>
    <xf numFmtId="0" fontId="5" fillId="0" borderId="5" xfId="1" applyFont="1" applyBorder="1" applyAlignment="1">
      <alignment horizontal="center"/>
    </xf>
    <xf numFmtId="0" fontId="5" fillId="12" borderId="0" xfId="1" applyFont="1" applyFill="1"/>
    <xf numFmtId="0" fontId="5" fillId="3" borderId="30" xfId="1" applyFont="1" applyFill="1" applyBorder="1" applyAlignment="1">
      <alignment horizontal="center"/>
    </xf>
    <xf numFmtId="0" fontId="34" fillId="2" borderId="1" xfId="0" applyFont="1" applyFill="1" applyBorder="1" applyAlignment="1">
      <alignment vertical="top" wrapText="1"/>
    </xf>
    <xf numFmtId="0" fontId="34" fillId="2" borderId="2" xfId="0" applyFont="1" applyFill="1" applyBorder="1" applyAlignment="1">
      <alignment vertical="top" wrapText="1"/>
    </xf>
    <xf numFmtId="0" fontId="6" fillId="4" borderId="8" xfId="1" applyFont="1" applyFill="1" applyBorder="1" applyAlignment="1">
      <alignment horizontal="center" vertical="top" wrapText="1"/>
    </xf>
  </cellXfs>
  <cellStyles count="6">
    <cellStyle name="Currency 2" xfId="2" xr:uid="{E88B3565-F966-49E4-A2AD-0BA7257A6DA4}"/>
    <cellStyle name="Dziesiętny" xfId="3" builtinId="3"/>
    <cellStyle name="Normal 2" xfId="1" xr:uid="{EF766FAF-F0CB-4F04-A8D3-97E2BABAC4DC}"/>
    <cellStyle name="Normal 3" xfId="4" xr:uid="{EA533F95-B6CD-4578-B025-0687A0B059F5}"/>
    <cellStyle name="Normalny" xfId="0" builtinId="0"/>
    <cellStyle name="Procentowy" xfId="5" builtinId="5"/>
  </cellStyles>
  <dxfs count="219">
    <dxf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</font>
      <numFmt numFmtId="34" formatCode="_-&quot;£&quot;* #,##0.00_-;\-&quot;£&quot;* #,##0.00_-;_-&quot;£&quot;* &quot;-&quot;??_-;_-@_-"/>
    </dxf>
    <dxf>
      <font>
        <strike val="0"/>
        <outline val="0"/>
        <shadow val="0"/>
        <u val="none"/>
        <vertAlign val="baseline"/>
        <sz val="10"/>
        <name val="Arial"/>
        <family val="2"/>
      </font>
      <numFmt numFmtId="34" formatCode="_-&quot;£&quot;* #,##0.00_-;\-&quot;£&quot;* #,##0.00_-;_-&quot;£&quot;* &quot;-&quot;??_-;_-@_-"/>
    </dxf>
    <dxf>
      <font>
        <strike val="0"/>
        <outline val="0"/>
        <shadow val="0"/>
        <u val="none"/>
        <vertAlign val="baseline"/>
        <sz val="10"/>
        <name val="Arial"/>
        <family val="2"/>
      </font>
      <numFmt numFmtId="34" formatCode="_-&quot;£&quot;* #,##0.00_-;\-&quot;£&quot;* #,##0.00_-;_-&quot;£&quot;* &quot;-&quot;??_-;_-@_-"/>
    </dxf>
    <dxf>
      <font>
        <strike val="0"/>
        <outline val="0"/>
        <shadow val="0"/>
        <u val="none"/>
        <vertAlign val="baseline"/>
        <sz val="10"/>
        <name val="Arial"/>
        <family val="2"/>
      </font>
      <numFmt numFmtId="34" formatCode="_-&quot;£&quot;* #,##0.00_-;\-&quot;£&quot;* #,##0.00_-;_-&quot;£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-&quot;£&quot;* #,##0.00_-;\-&quot;£&quot;* #,##0.00_-;_-&quot;£&quot;* &quot;-&quot;??_-;_-@_-"/>
    </dxf>
    <dxf>
      <font>
        <strike val="0"/>
        <outline val="0"/>
        <shadow val="0"/>
        <u val="none"/>
        <vertAlign val="baseline"/>
        <sz val="10"/>
        <name val="Arial"/>
        <family val="2"/>
      </font>
      <numFmt numFmtId="34" formatCode="_-&quot;£&quot;* #,##0.00_-;\-&quot;£&quot;* #,##0.00_-;_-&quot;£&quot;* &quot;-&quot;??_-;_-@_-"/>
    </dxf>
    <dxf>
      <font>
        <strike val="0"/>
        <outline val="0"/>
        <shadow val="0"/>
        <u val="none"/>
        <vertAlign val="baseline"/>
        <sz val="10"/>
      </font>
    </dxf>
    <dxf>
      <font>
        <strike val="0"/>
        <outline val="0"/>
        <shadow val="0"/>
        <u val="none"/>
        <vertAlign val="baseline"/>
        <sz val="10"/>
      </font>
      <numFmt numFmtId="34" formatCode="_-&quot;£&quot;* #,##0.00_-;\-&quot;£&quot;* #,##0.00_-;_-&quot;£&quot;* &quot;-&quot;??_-;_-@_-"/>
    </dxf>
    <dxf>
      <font>
        <strike val="0"/>
        <outline val="0"/>
        <shadow val="0"/>
        <u val="none"/>
        <vertAlign val="baseline"/>
        <sz val="10"/>
      </font>
    </dxf>
    <dxf>
      <font>
        <strike val="0"/>
        <outline val="0"/>
        <shadow val="0"/>
        <u val="none"/>
        <vertAlign val="baseline"/>
        <sz val="10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0"/>
      </font>
      <numFmt numFmtId="167" formatCode="_(&quot;£&quot;* #,##0_);_(&quot;£&quot;* \(#,##0\);_(&quot;£&quot;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</font>
    </dxf>
    <dxf>
      <font>
        <strike val="0"/>
        <outline val="0"/>
        <shadow val="0"/>
        <u val="none"/>
        <vertAlign val="baseline"/>
        <sz val="10"/>
      </font>
    </dxf>
    <dxf>
      <font>
        <strike val="0"/>
        <outline val="0"/>
        <shadow val="0"/>
        <u val="none"/>
        <vertAlign val="baseline"/>
        <sz val="10"/>
      </font>
    </dxf>
    <dxf>
      <font>
        <strike val="0"/>
        <outline val="0"/>
        <shadow val="0"/>
        <u val="none"/>
        <vertAlign val="baseline"/>
        <sz val="10"/>
      </font>
    </dxf>
    <dxf>
      <font>
        <strike val="0"/>
        <outline val="0"/>
        <shadow val="0"/>
        <u val="none"/>
        <vertAlign val="baseline"/>
        <sz val="20"/>
      </font>
    </dxf>
    <dxf>
      <numFmt numFmtId="165" formatCode="_-[$£-809]* #,##0.00_-;\-[$£-809]* #,##0.00_-;_-[$£-809]* &quot;-&quot;??_-;_-@_-"/>
    </dxf>
    <dxf>
      <numFmt numFmtId="165" formatCode="_-[$£-809]* #,##0.00_-;\-[$£-809]* #,##0.00_-;_-[$£-809]* &quot;-&quot;??_-;_-@_-"/>
    </dxf>
    <dxf>
      <numFmt numFmtId="165" formatCode="_-[$£-809]* #,##0.00_-;\-[$£-809]* #,##0.00_-;_-[$£-809]* &quot;-&quot;??_-;_-@_-"/>
    </dxf>
    <dxf>
      <numFmt numFmtId="165" formatCode="_-[$£-809]* #,##0.00_-;\-[$£-809]* #,##0.00_-;_-[$£-809]* &quot;-&quot;??_-;_-@_-"/>
    </dxf>
    <dxf>
      <numFmt numFmtId="165" formatCode="_-[$£-809]* #,##0.00_-;\-[$£-809]* #,##0.00_-;_-[$£-809]* &quot;-&quot;??_-;_-@_-"/>
    </dxf>
    <dxf>
      <numFmt numFmtId="165" formatCode="_-[$£-809]* #,##0.00_-;\-[$£-809]* #,##0.00_-;_-[$£-809]* &quot;-&quot;??_-;_-@_-"/>
    </dxf>
    <dxf>
      <numFmt numFmtId="165" formatCode="_-[$£-809]* #,##0.00_-;\-[$£-809]* #,##0.00_-;_-[$£-809]* &quot;-&quot;??_-;_-@_-"/>
    </dxf>
    <dxf>
      <numFmt numFmtId="165" formatCode="_-[$£-809]* #,##0.00_-;\-[$£-809]* #,##0.00_-;_-[$£-809]* &quot;-&quot;??_-;_-@_-"/>
    </dxf>
    <dxf>
      <fill>
        <patternFill patternType="none">
          <fgColor indexed="64"/>
          <bgColor indexed="65"/>
        </patternFill>
      </fill>
    </dxf>
    <dxf>
      <numFmt numFmtId="165" formatCode="_-[$£-809]* #,##0.00_-;\-[$£-809]* #,##0.00_-;_-[$£-809]* &quot;-&quot;??_-;_-@_-"/>
    </dxf>
    <dxf>
      <numFmt numFmtId="165" formatCode="_-[$£-809]* #,##0.00_-;\-[$£-809]* #,##0.00_-;_-[$£-809]* &quot;-&quot;??_-;_-@_-"/>
    </dxf>
    <dxf>
      <numFmt numFmtId="165" formatCode="_-[$£-809]* #,##0.00_-;\-[$£-809]* #,##0.00_-;_-[$£-809]* &quot;-&quot;??_-;_-@_-"/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</dxf>
    <dxf>
      <numFmt numFmtId="1" formatCode="0"/>
    </dxf>
    <dxf>
      <border outline="0">
        <right style="medium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13"/>
        </patternFill>
      </fill>
      <alignment horizontal="center" vertical="bottom" textRotation="0" wrapText="0" indent="0" justifyLastLine="0" shrinkToFit="0" readingOrder="0"/>
    </dxf>
    <dxf>
      <numFmt numFmtId="34" formatCode="_-&quot;£&quot;* #,##0.00_-;\-&quot;£&quot;* #,##0.00_-;_-&quot;£&quot;* &quot;-&quot;??_-;_-@_-"/>
    </dxf>
    <dxf>
      <numFmt numFmtId="34" formatCode="_-&quot;£&quot;* #,##0.00_-;\-&quot;£&quot;* #,##0.00_-;_-&quot;£&quot;* &quot;-&quot;??_-;_-@_-"/>
    </dxf>
    <dxf>
      <numFmt numFmtId="34" formatCode="_-&quot;£&quot;* #,##0.00_-;\-&quot;£&quot;* #,##0.00_-;_-&quot;£&quot;* &quot;-&quot;??_-;_-@_-"/>
    </dxf>
    <dxf>
      <numFmt numFmtId="34" formatCode="_-&quot;£&quot;* #,##0.00_-;\-&quot;£&quot;* #,##0.00_-;_-&quot;£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numFmt numFmtId="167" formatCode="_(&quot;£&quot;* #,##0_);_(&quot;£&quot;* \(#,##0\);_(&quot;£&quot;* &quot;-&quot;??_);_(@_)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border diagonalUp="0" diagonalDown="0">
        <left/>
        <right style="thin">
          <color indexed="64"/>
        </right>
        <top/>
        <bottom/>
        <vertical/>
        <horizontal/>
      </border>
    </dxf>
    <dxf>
      <numFmt numFmtId="34" formatCode="_-&quot;£&quot;* #,##0.00_-;\-&quot;£&quot;* #,##0.00_-;_-&quot;£&quot;* &quot;-&quot;??_-;_-@_-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numFmt numFmtId="34" formatCode="_-&quot;£&quot;* #,##0.00_-;\-&quot;£&quot;* #,##0.00_-;_-&quot;£&quot;* &quot;-&quot;??_-;_-@_-"/>
    </dxf>
    <dxf>
      <numFmt numFmtId="167" formatCode="_(&quot;£&quot;* #,##0_);_(&quot;£&quot;* \(#,##0\);_(&quot;£&quot;* &quot;-&quot;??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numFmt numFmtId="165" formatCode="_-[$£-809]* #,##0.00_-;\-[$£-809]* #,##0.00_-;_-[$£-809]* &quot;-&quot;??_-;_-@_-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numFmt numFmtId="34" formatCode="_-&quot;£&quot;* #,##0.00_-;\-&quot;£&quot;* #,##0.00_-;_-&quot;£&quot;* &quot;-&quot;??_-;_-@_-"/>
    </dxf>
    <dxf>
      <numFmt numFmtId="34" formatCode="_-&quot;£&quot;* #,##0.00_-;\-&quot;£&quot;* #,##0.00_-;_-&quot;£&quot;* &quot;-&quot;??_-;_-@_-"/>
    </dxf>
    <dxf>
      <numFmt numFmtId="34" formatCode="_-&quot;£&quot;* #,##0.00_-;\-&quot;£&quot;* #,##0.00_-;_-&quot;£&quot;* &quot;-&quot;??_-;_-@_-"/>
    </dxf>
    <dxf>
      <numFmt numFmtId="34" formatCode="_-&quot;£&quot;* #,##0.00_-;\-&quot;£&quot;* #,##0.00_-;_-&quot;£&quot;* &quot;-&quot;??_-;_-@_-"/>
    </dxf>
    <dxf>
      <numFmt numFmtId="34" formatCode="_-&quot;£&quot;* #,##0.00_-;\-&quot;£&quot;* #,##0.00_-;_-&quot;£&quot;* &quot;-&quot;??_-;_-@_-"/>
    </dxf>
    <dxf>
      <numFmt numFmtId="34" formatCode="_-&quot;£&quot;* #,##0.00_-;\-&quot;£&quot;* #,##0.00_-;_-&quot;£&quot;* &quot;-&quot;??_-;_-@_-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3" formatCode="0%"/>
      <fill>
        <patternFill patternType="solid">
          <fgColor indexed="64"/>
          <bgColor indexed="13"/>
        </patternFill>
      </fill>
    </dxf>
    <dxf>
      <numFmt numFmtId="34" formatCode="_-&quot;£&quot;* #,##0.00_-;\-&quot;£&quot;* #,##0.00_-;_-&quot;£&quot;* &quot;-&quot;??_-;_-@_-"/>
    </dxf>
    <dxf>
      <numFmt numFmtId="34" formatCode="_-&quot;£&quot;* #,##0.00_-;\-&quot;£&quot;* #,##0.00_-;_-&quot;£&quot;* &quot;-&quot;??_-;_-@_-"/>
    </dxf>
    <dxf>
      <numFmt numFmtId="34" formatCode="_-&quot;£&quot;* #,##0.00_-;\-&quot;£&quot;* #,##0.00_-;_-&quot;£&quot;* &quot;-&quot;??_-;_-@_-"/>
    </dxf>
    <dxf>
      <numFmt numFmtId="34" formatCode="_-&quot;£&quot;* #,##0.00_-;\-&quot;£&quot;* #,##0.00_-;_-&quot;£&quot;* &quot;-&quot;??_-;_-@_-"/>
    </dxf>
    <dxf>
      <numFmt numFmtId="34" formatCode="_-&quot;£&quot;* #,##0.00_-;\-&quot;£&quot;* #,##0.00_-;_-&quot;£&quot;* &quot;-&quot;??_-;_-@_-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8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3" formatCode="0%"/>
      <fill>
        <patternFill patternType="solid">
          <fgColor indexed="64"/>
          <bgColor indexed="13"/>
        </patternFill>
      </fill>
    </dxf>
    <dxf>
      <protection locked="1" hidden="1"/>
    </dxf>
    <dxf>
      <numFmt numFmtId="172" formatCode="0.000"/>
      <protection locked="1" hidden="1"/>
    </dxf>
    <dxf>
      <protection locked="1" hidden="1"/>
    </dxf>
    <dxf>
      <protection locked="1" hidden="1"/>
    </dxf>
    <dxf>
      <protection locked="1" hidden="1"/>
    </dxf>
    <dxf>
      <protection locked="1" hidden="1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0" formatCode="0.00;\-0.00;;@\,"/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numFmt numFmtId="170" formatCode="0.00;\-0.00;;@\,"/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numFmt numFmtId="170" formatCode="0.00;\-0.00;;@\,"/>
      <alignment horizontal="right" vertical="bottom" textRotation="0" wrapText="0" indent="0" justifyLastLine="0" shrinkToFit="0" readingOrder="0"/>
    </dxf>
    <dxf>
      <numFmt numFmtId="170" formatCode="0.00;\-0.00;;@\,"/>
      <alignment horizontal="right" vertical="bottom" textRotation="0" wrapText="0" indent="0" justifyLastLine="0" shrinkToFit="0" readingOrder="0"/>
    </dxf>
    <dxf>
      <numFmt numFmtId="170" formatCode="0.00;\-0.00;;@\,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numFmt numFmtId="170" formatCode="0.00;\-0.00;;@\,"/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numFmt numFmtId="170" formatCode="0.00;\-0.00;;@\,"/>
      <alignment horizontal="right" vertical="bottom" textRotation="0" wrapText="0" indent="0" justifyLastLine="0" shrinkToFit="0" readingOrder="0"/>
    </dxf>
    <dxf>
      <numFmt numFmtId="170" formatCode="0.00;\-0.00;;@\,"/>
      <alignment horizontal="right" vertical="bottom" textRotation="0" wrapText="0" indent="0" justifyLastLine="0" shrinkToFit="0" readingOrder="0"/>
    </dxf>
    <dxf>
      <numFmt numFmtId="170" formatCode="0.00;\-0.00;;@\,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vertical/>
      </border>
    </dxf>
    <dxf>
      <numFmt numFmtId="170" formatCode="0.00;\-0.00;;@\,"/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alignment horizontal="left" vertical="bottom" textRotation="0" indent="0" justifyLastLine="0" shrinkToFit="0" readingOrder="0"/>
    </dxf>
    <dxf>
      <alignment horizontal="left" vertical="bottom" textRotation="0" indent="0" justifyLastLine="0" shrinkToFit="0" readingOrder="0"/>
    </dxf>
    <dxf>
      <fill>
        <patternFill patternType="solid">
          <fgColor indexed="64"/>
          <bgColor theme="5" tint="0.59999389629810485"/>
        </patternFill>
      </fill>
    </dxf>
    <dxf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3" formatCode="0%"/>
      <fill>
        <patternFill patternType="solid">
          <fgColor indexed="64"/>
          <bgColor indexed="13"/>
        </patternFill>
      </fill>
      <alignment vertical="top" textRotation="0" wrapText="1" indent="0" justifyLastLine="0" shrinkToFit="0" readingOrder="0"/>
      <protection locked="1" hidden="1"/>
    </dxf>
    <dxf>
      <numFmt numFmtId="165" formatCode="_-[$£-809]* #,##0.00_-;\-[$£-809]* #,##0.00_-;_-[$£-809]* &quot;-&quot;??_-;_-@_-"/>
      <protection locked="1" hidden="1"/>
    </dxf>
    <dxf>
      <numFmt numFmtId="174" formatCode="&quot;£&quot;#,##0.00"/>
      <protection locked="1" hidden="1"/>
    </dxf>
    <dxf>
      <numFmt numFmtId="165" formatCode="_-[$£-809]* #,##0.00_-;\-[$£-809]* #,##0.00_-;_-[$£-809]* &quot;-&quot;??_-;_-@_-"/>
      <protection locked="1" hidden="1"/>
    </dxf>
    <dxf>
      <numFmt numFmtId="165" formatCode="_-[$£-809]* #,##0.00_-;\-[$£-809]* #,##0.00_-;_-[$£-809]* &quot;-&quot;??_-;_-@_-"/>
      <protection locked="1" hidden="1"/>
    </dxf>
    <dxf>
      <numFmt numFmtId="170" formatCode="0.00;\-0.00;;@\,"/>
      <protection locked="1" hidden="1"/>
    </dxf>
    <dxf>
      <numFmt numFmtId="170" formatCode="0.00;\-0.00;;@\,"/>
      <protection locked="1" hidden="1"/>
    </dxf>
    <dxf>
      <numFmt numFmtId="0" formatCode="General"/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numFmt numFmtId="170" formatCode="0.00;\-0.00;;@\,"/>
      <alignment horizontal="right" vertical="bottom" textRotation="0" wrapText="0" indent="0" justifyLastLine="0" shrinkToFit="0" readingOrder="0"/>
      <border outline="0">
        <left style="thin">
          <color indexed="64"/>
        </left>
        <right/>
      </border>
    </dxf>
    <dxf>
      <numFmt numFmtId="170" formatCode="0.00;\-0.00;;@\,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numFmt numFmtId="0" formatCode="General"/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</border>
    </dxf>
    <dxf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numFmt numFmtId="170" formatCode="0.00;\-0.00;;@\,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</border>
    </dxf>
    <dxf>
      <numFmt numFmtId="170" formatCode="0.00;\-0.00;;@\,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border diagonalUp="0" diagonalDown="0" outline="0">
        <left/>
        <right/>
        <top/>
        <bottom/>
      </border>
    </dxf>
    <dxf>
      <alignment horizontal="left" vertical="bottom" textRotation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solid">
          <fgColor indexed="64"/>
          <bgColor theme="5" tint="0.59999389629810485"/>
        </patternFill>
      </fill>
    </dxf>
    <dxf>
      <numFmt numFmtId="0" formatCode="General"/>
      <fill>
        <patternFill patternType="solid">
          <fgColor indexed="64"/>
          <bgColor theme="5" tint="0.59999389629810485"/>
        </patternFill>
      </fill>
    </dxf>
    <dxf>
      <numFmt numFmtId="0" formatCode="General"/>
    </dxf>
    <dxf>
      <numFmt numFmtId="0" formatCode="General"/>
    </dxf>
    <dxf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3" formatCode="0%"/>
      <fill>
        <patternFill patternType="solid">
          <fgColor indexed="64"/>
          <bgColor indexed="13"/>
        </patternFill>
      </fill>
      <alignment vertical="top" textRotation="0" wrapText="1" indent="0" justifyLastLine="0" shrinkToFit="0" readingOrder="0"/>
      <protection locked="1" hidden="1"/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11.xml.rels><?xml version="1.0" encoding="UTF-8" standalone="yes"?>
<Relationships xmlns="http://schemas.openxmlformats.org/package/2006/relationships"><Relationship Id="rId13" Type="http://schemas.openxmlformats.org/officeDocument/2006/relationships/customXml" Target="../ink/ink9.xml"/><Relationship Id="rId18" Type="http://schemas.openxmlformats.org/officeDocument/2006/relationships/image" Target="../media/image30.png"/><Relationship Id="rId26" Type="http://schemas.openxmlformats.org/officeDocument/2006/relationships/image" Target="../media/image34.png"/><Relationship Id="rId3" Type="http://schemas.openxmlformats.org/officeDocument/2006/relationships/customXml" Target="../ink/ink4.xml"/><Relationship Id="rId21" Type="http://schemas.openxmlformats.org/officeDocument/2006/relationships/customXml" Target="../ink/ink13.xml"/><Relationship Id="rId34" Type="http://schemas.openxmlformats.org/officeDocument/2006/relationships/image" Target="../media/image38.png"/><Relationship Id="rId7" Type="http://schemas.openxmlformats.org/officeDocument/2006/relationships/customXml" Target="../ink/ink6.xml"/><Relationship Id="rId12" Type="http://schemas.openxmlformats.org/officeDocument/2006/relationships/image" Target="../media/image27.png"/><Relationship Id="rId17" Type="http://schemas.openxmlformats.org/officeDocument/2006/relationships/customXml" Target="../ink/ink11.xml"/><Relationship Id="rId25" Type="http://schemas.openxmlformats.org/officeDocument/2006/relationships/customXml" Target="../ink/ink15.xml"/><Relationship Id="rId33" Type="http://schemas.openxmlformats.org/officeDocument/2006/relationships/customXml" Target="../ink/ink19.xml"/><Relationship Id="rId2" Type="http://schemas.openxmlformats.org/officeDocument/2006/relationships/image" Target="../media/image22.png"/><Relationship Id="rId16" Type="http://schemas.openxmlformats.org/officeDocument/2006/relationships/image" Target="../media/image29.png"/><Relationship Id="rId20" Type="http://schemas.openxmlformats.org/officeDocument/2006/relationships/image" Target="../media/image31.png"/><Relationship Id="rId29" Type="http://schemas.openxmlformats.org/officeDocument/2006/relationships/customXml" Target="../ink/ink17.xml"/><Relationship Id="rId1" Type="http://schemas.openxmlformats.org/officeDocument/2006/relationships/customXml" Target="../ink/ink3.xml"/><Relationship Id="rId6" Type="http://schemas.openxmlformats.org/officeDocument/2006/relationships/image" Target="../media/image24.png"/><Relationship Id="rId11" Type="http://schemas.openxmlformats.org/officeDocument/2006/relationships/customXml" Target="../ink/ink8.xml"/><Relationship Id="rId24" Type="http://schemas.openxmlformats.org/officeDocument/2006/relationships/image" Target="../media/image33.png"/><Relationship Id="rId32" Type="http://schemas.openxmlformats.org/officeDocument/2006/relationships/image" Target="../media/image37.png"/><Relationship Id="rId5" Type="http://schemas.openxmlformats.org/officeDocument/2006/relationships/customXml" Target="../ink/ink5.xml"/><Relationship Id="rId15" Type="http://schemas.openxmlformats.org/officeDocument/2006/relationships/customXml" Target="../ink/ink10.xml"/><Relationship Id="rId23" Type="http://schemas.openxmlformats.org/officeDocument/2006/relationships/customXml" Target="../ink/ink14.xml"/><Relationship Id="rId28" Type="http://schemas.openxmlformats.org/officeDocument/2006/relationships/image" Target="../media/image35.png"/><Relationship Id="rId36" Type="http://schemas.openxmlformats.org/officeDocument/2006/relationships/image" Target="../media/image39.png"/><Relationship Id="rId10" Type="http://schemas.openxmlformats.org/officeDocument/2006/relationships/image" Target="../media/image26.png"/><Relationship Id="rId19" Type="http://schemas.openxmlformats.org/officeDocument/2006/relationships/customXml" Target="../ink/ink12.xml"/><Relationship Id="rId31" Type="http://schemas.openxmlformats.org/officeDocument/2006/relationships/customXml" Target="../ink/ink18.xml"/><Relationship Id="rId4" Type="http://schemas.openxmlformats.org/officeDocument/2006/relationships/image" Target="../media/image23.png"/><Relationship Id="rId9" Type="http://schemas.openxmlformats.org/officeDocument/2006/relationships/customXml" Target="../ink/ink7.xml"/><Relationship Id="rId14" Type="http://schemas.openxmlformats.org/officeDocument/2006/relationships/image" Target="../media/image28.png"/><Relationship Id="rId22" Type="http://schemas.openxmlformats.org/officeDocument/2006/relationships/image" Target="../media/image32.png"/><Relationship Id="rId27" Type="http://schemas.openxmlformats.org/officeDocument/2006/relationships/customXml" Target="../ink/ink16.xml"/><Relationship Id="rId30" Type="http://schemas.openxmlformats.org/officeDocument/2006/relationships/image" Target="../media/image36.png"/><Relationship Id="rId35" Type="http://schemas.openxmlformats.org/officeDocument/2006/relationships/customXml" Target="../ink/ink20.xml"/><Relationship Id="rId8" Type="http://schemas.openxmlformats.org/officeDocument/2006/relationships/image" Target="../media/image25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ustomXml" Target="../ink/ink1.xml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5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5" Type="http://schemas.openxmlformats.org/officeDocument/2006/relationships/image" Target="../media/image10.png"/><Relationship Id="rId4" Type="http://schemas.openxmlformats.org/officeDocument/2006/relationships/customXml" Target="../ink/ink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jpeg"/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jpeg"/><Relationship Id="rId1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476557</xdr:colOff>
      <xdr:row>0</xdr:row>
      <xdr:rowOff>195263</xdr:rowOff>
    </xdr:from>
    <xdr:to>
      <xdr:col>2</xdr:col>
      <xdr:colOff>1655300</xdr:colOff>
      <xdr:row>2</xdr:row>
      <xdr:rowOff>116627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A5D1449-32FF-412C-B384-3A6A48F4DF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9582" y="200025"/>
          <a:ext cx="1178743" cy="926252"/>
        </a:xfrm>
        <a:prstGeom prst="rect">
          <a:avLst/>
        </a:prstGeom>
      </xdr:spPr>
    </xdr:pic>
    <xdr:clientData/>
  </xdr:twoCellAnchor>
  <xdr:twoCellAnchor editAs="oneCell">
    <xdr:from>
      <xdr:col>2</xdr:col>
      <xdr:colOff>1221441</xdr:colOff>
      <xdr:row>247</xdr:row>
      <xdr:rowOff>201705</xdr:rowOff>
    </xdr:from>
    <xdr:to>
      <xdr:col>3</xdr:col>
      <xdr:colOff>64512</xdr:colOff>
      <xdr:row>250</xdr:row>
      <xdr:rowOff>96824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057ADC-A160-4F53-8A93-4502DD6FFF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4466" y="35720430"/>
          <a:ext cx="852847" cy="847620"/>
        </a:xfrm>
        <a:prstGeom prst="rect">
          <a:avLst/>
        </a:prstGeom>
      </xdr:spPr>
    </xdr:pic>
    <xdr:clientData/>
  </xdr:twoCellAnchor>
  <xdr:twoCellAnchor editAs="oneCell">
    <xdr:from>
      <xdr:col>2</xdr:col>
      <xdr:colOff>1058116</xdr:colOff>
      <xdr:row>267</xdr:row>
      <xdr:rowOff>35937</xdr:rowOff>
    </xdr:from>
    <xdr:to>
      <xdr:col>3</xdr:col>
      <xdr:colOff>49667</xdr:colOff>
      <xdr:row>269</xdr:row>
      <xdr:rowOff>131988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73B7A57-A832-4434-A1CE-E515F6D82F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1141" y="47213262"/>
          <a:ext cx="1001327" cy="734227"/>
        </a:xfrm>
        <a:prstGeom prst="rect">
          <a:avLst/>
        </a:prstGeom>
      </xdr:spPr>
    </xdr:pic>
    <xdr:clientData/>
  </xdr:twoCellAnchor>
  <xdr:twoCellAnchor>
    <xdr:from>
      <xdr:col>30</xdr:col>
      <xdr:colOff>119062</xdr:colOff>
      <xdr:row>336</xdr:row>
      <xdr:rowOff>9525</xdr:rowOff>
    </xdr:from>
    <xdr:to>
      <xdr:col>30</xdr:col>
      <xdr:colOff>300037</xdr:colOff>
      <xdr:row>348</xdr:row>
      <xdr:rowOff>119063</xdr:rowOff>
    </xdr:to>
    <xdr:sp macro="" textlink="">
      <xdr:nvSpPr>
        <xdr:cNvPr id="5" name="Right Brace 4">
          <a:extLst>
            <a:ext uri="{FF2B5EF4-FFF2-40B4-BE49-F238E27FC236}">
              <a16:creationId xmlns:a16="http://schemas.microsoft.com/office/drawing/2014/main" id="{BFA473F5-9AD7-4804-9073-A28D1A8A244C}"/>
            </a:ext>
          </a:extLst>
        </xdr:cNvPr>
        <xdr:cNvSpPr/>
      </xdr:nvSpPr>
      <xdr:spPr>
        <a:xfrm>
          <a:off x="25578026" y="106689525"/>
          <a:ext cx="180975" cy="2205038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30</xdr:col>
      <xdr:colOff>147637</xdr:colOff>
      <xdr:row>349</xdr:row>
      <xdr:rowOff>19050</xdr:rowOff>
    </xdr:from>
    <xdr:to>
      <xdr:col>30</xdr:col>
      <xdr:colOff>300037</xdr:colOff>
      <xdr:row>354</xdr:row>
      <xdr:rowOff>9525</xdr:rowOff>
    </xdr:to>
    <xdr:sp macro="" textlink="">
      <xdr:nvSpPr>
        <xdr:cNvPr id="6" name="Right Brace 5">
          <a:extLst>
            <a:ext uri="{FF2B5EF4-FFF2-40B4-BE49-F238E27FC236}">
              <a16:creationId xmlns:a16="http://schemas.microsoft.com/office/drawing/2014/main" id="{698C9AF4-096B-4620-8C03-A07D8158F4B6}"/>
            </a:ext>
          </a:extLst>
        </xdr:cNvPr>
        <xdr:cNvSpPr/>
      </xdr:nvSpPr>
      <xdr:spPr>
        <a:xfrm>
          <a:off x="25606601" y="108957836"/>
          <a:ext cx="152400" cy="806903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30</xdr:col>
      <xdr:colOff>442912</xdr:colOff>
      <xdr:row>340</xdr:row>
      <xdr:rowOff>28574</xdr:rowOff>
    </xdr:from>
    <xdr:to>
      <xdr:col>33</xdr:col>
      <xdr:colOff>161925</xdr:colOff>
      <xdr:row>345</xdr:row>
      <xdr:rowOff>152400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92D097F-800B-4CEB-99E1-26DDEC5C6B63}"/>
            </a:ext>
          </a:extLst>
        </xdr:cNvPr>
        <xdr:cNvSpPr txBox="1"/>
      </xdr:nvSpPr>
      <xdr:spPr>
        <a:xfrm>
          <a:off x="25901876" y="107416145"/>
          <a:ext cx="1304246" cy="10082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20/12/2021 [FG]</a:t>
          </a:r>
        </a:p>
        <a:p>
          <a:r>
            <a:rPr lang="en-GB" sz="1100"/>
            <a:t>Other thicknesses</a:t>
          </a:r>
          <a:r>
            <a:rPr lang="en-GB" sz="1100" baseline="0"/>
            <a:t> do exist, this is just a summary of interesting ones</a:t>
          </a:r>
          <a:endParaRPr lang="en-GB" sz="1100"/>
        </a:p>
      </xdr:txBody>
    </xdr:sp>
    <xdr:clientData/>
  </xdr:twoCellAnchor>
  <xdr:twoCellAnchor>
    <xdr:from>
      <xdr:col>30</xdr:col>
      <xdr:colOff>390523</xdr:colOff>
      <xdr:row>349</xdr:row>
      <xdr:rowOff>9525</xdr:rowOff>
    </xdr:from>
    <xdr:to>
      <xdr:col>33</xdr:col>
      <xdr:colOff>481011</xdr:colOff>
      <xdr:row>354</xdr:row>
      <xdr:rowOff>23814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41F6A42C-4622-4DF0-9A6E-DBC94BC95071}"/>
            </a:ext>
          </a:extLst>
        </xdr:cNvPr>
        <xdr:cNvSpPr txBox="1"/>
      </xdr:nvSpPr>
      <xdr:spPr>
        <a:xfrm>
          <a:off x="25849487" y="108948311"/>
          <a:ext cx="1675721" cy="8307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20/12/2021 [FG] Other thicknesses</a:t>
          </a:r>
          <a:r>
            <a:rPr lang="en-GB" sz="1100" baseline="0"/>
            <a:t> do exist, this is just a summary of interesting ones</a:t>
          </a:r>
          <a:endParaRPr lang="en-GB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133350</xdr:colOff>
      <xdr:row>0</xdr:row>
      <xdr:rowOff>0</xdr:rowOff>
    </xdr:from>
    <xdr:to>
      <xdr:col>21</xdr:col>
      <xdr:colOff>93269</xdr:colOff>
      <xdr:row>29</xdr:row>
      <xdr:rowOff>28215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459BE5-460E-4E3B-A37B-D869188345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4525" y="0"/>
          <a:ext cx="12418619" cy="740056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515082</xdr:colOff>
      <xdr:row>1</xdr:row>
      <xdr:rowOff>174381</xdr:rowOff>
    </xdr:from>
    <xdr:to>
      <xdr:col>8</xdr:col>
      <xdr:colOff>244721</xdr:colOff>
      <xdr:row>16</xdr:row>
      <xdr:rowOff>115033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E2FFDD09-1B17-4640-94DE-D19E4A4BDC79}"/>
            </a:ext>
          </a:extLst>
        </xdr:cNvPr>
        <xdr:cNvGrpSpPr/>
      </xdr:nvGrpSpPr>
      <xdr:grpSpPr>
        <a:xfrm>
          <a:off x="3744057" y="336306"/>
          <a:ext cx="2129939" cy="2950552"/>
          <a:chOff x="4399817" y="2084510"/>
          <a:chExt cx="2264021" cy="2960077"/>
        </a:xfrm>
      </xdr:grpSpPr>
      <xdr:sp macro="" textlink="">
        <xdr:nvSpPr>
          <xdr:cNvPr id="2" name="TextBox 1">
            <a:extLst>
              <a:ext uri="{FF2B5EF4-FFF2-40B4-BE49-F238E27FC236}">
                <a16:creationId xmlns:a16="http://schemas.microsoft.com/office/drawing/2014/main" id="{5663E80B-B5E0-4891-B89D-A7C70DD4AF49}"/>
              </a:ext>
            </a:extLst>
          </xdr:cNvPr>
          <xdr:cNvSpPr txBox="1"/>
        </xdr:nvSpPr>
        <xdr:spPr>
          <a:xfrm>
            <a:off x="4898049" y="2685318"/>
            <a:ext cx="1765789" cy="15716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For these</a:t>
            </a:r>
            <a:r>
              <a:rPr lang="en-GB" sz="1100" baseline="0"/>
              <a:t> items Kg/m is the defining metric, and is calculated based on a minimum of 2 dimensions and density</a:t>
            </a:r>
          </a:p>
          <a:p>
            <a:endParaRPr lang="en-GB" sz="1100"/>
          </a:p>
        </xdr:txBody>
      </xdr:sp>
      <xdr:sp macro="" textlink="">
        <xdr:nvSpPr>
          <xdr:cNvPr id="3" name="Right Brace 2">
            <a:extLst>
              <a:ext uri="{FF2B5EF4-FFF2-40B4-BE49-F238E27FC236}">
                <a16:creationId xmlns:a16="http://schemas.microsoft.com/office/drawing/2014/main" id="{B8107294-3915-4191-B0A2-7EEDED9D6319}"/>
              </a:ext>
            </a:extLst>
          </xdr:cNvPr>
          <xdr:cNvSpPr/>
        </xdr:nvSpPr>
        <xdr:spPr>
          <a:xfrm>
            <a:off x="4399817" y="2084510"/>
            <a:ext cx="388327" cy="2960077"/>
          </a:xfrm>
          <a:prstGeom prst="righ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2</xdr:col>
      <xdr:colOff>972229</xdr:colOff>
      <xdr:row>20</xdr:row>
      <xdr:rowOff>68116</xdr:rowOff>
    </xdr:from>
    <xdr:to>
      <xdr:col>5</xdr:col>
      <xdr:colOff>562376</xdr:colOff>
      <xdr:row>26</xdr:row>
      <xdr:rowOff>64754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DC22EFF-E9E1-4B7D-AE36-4A93AE07B6A2}"/>
            </a:ext>
            <a:ext uri="{147F2762-F138-4A5C-976F-8EAC2B608ADB}">
              <a16:predDERef xmlns:a16="http://schemas.microsoft.com/office/drawing/2014/main" pred="{E2FFDD09-1B17-4640-94DE-D19E4A4BDC79}"/>
            </a:ext>
          </a:extLst>
        </xdr:cNvPr>
        <xdr:cNvSpPr txBox="1"/>
      </xdr:nvSpPr>
      <xdr:spPr>
        <a:xfrm>
          <a:off x="2172379" y="3887641"/>
          <a:ext cx="2219047" cy="9681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For Plate &amp; Sheet K</a:t>
          </a:r>
          <a:r>
            <a:rPr lang="en-GB" sz="1100" baseline="0"/>
            <a:t>g/m</a:t>
          </a:r>
          <a:r>
            <a:rPr lang="en-GB" sz="1100" baseline="30000"/>
            <a:t>2</a:t>
          </a:r>
          <a:r>
            <a:rPr lang="en-GB" sz="1100" baseline="0"/>
            <a:t> is the defining metric, and is calculated based on a minimum of 3 dimensions and density.</a:t>
          </a:r>
        </a:p>
        <a:p>
          <a:r>
            <a:rPr lang="en-GB" sz="1100" baseline="0"/>
            <a:t>Kg/Sheet is also interesting.</a:t>
          </a:r>
        </a:p>
        <a:p>
          <a:endParaRPr lang="en-GB" sz="1100"/>
        </a:p>
      </xdr:txBody>
    </xdr:sp>
    <xdr:clientData/>
  </xdr:twoCellAnchor>
  <xdr:twoCellAnchor>
    <xdr:from>
      <xdr:col>9</xdr:col>
      <xdr:colOff>318355</xdr:colOff>
      <xdr:row>34</xdr:row>
      <xdr:rowOff>61230</xdr:rowOff>
    </xdr:from>
    <xdr:to>
      <xdr:col>13</xdr:col>
      <xdr:colOff>23071</xdr:colOff>
      <xdr:row>44</xdr:row>
      <xdr:rowOff>74838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96386BC-3463-4E11-AF34-23CFE7F391F4}"/>
            </a:ext>
          </a:extLst>
        </xdr:cNvPr>
        <xdr:cNvSpPr txBox="1"/>
      </xdr:nvSpPr>
      <xdr:spPr>
        <a:xfrm>
          <a:off x="7002664" y="6196451"/>
          <a:ext cx="2282069" cy="17337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Mesh / Expanded</a:t>
          </a:r>
          <a:r>
            <a:rPr lang="en-GB" sz="1100" baseline="0"/>
            <a:t> Metal and Aluminium are not defined by weight, rather they are defined by sheet length and width, and sheet cost.   Sheets are normally purchased on per sheet price, not £/T.</a:t>
          </a:r>
        </a:p>
        <a:p>
          <a:r>
            <a:rPr lang="en-GB" sz="1100" baseline="0"/>
            <a:t>£/m^2 should be calculated from £/sheet</a:t>
          </a:r>
        </a:p>
        <a:p>
          <a:endParaRPr lang="en-GB" sz="1100" baseline="0"/>
        </a:p>
        <a:p>
          <a:endParaRPr lang="en-GB" sz="1100"/>
        </a:p>
      </xdr:txBody>
    </xdr:sp>
    <xdr:clientData/>
  </xdr:twoCellAnchor>
  <xdr:twoCellAnchor>
    <xdr:from>
      <xdr:col>8</xdr:col>
      <xdr:colOff>609068</xdr:colOff>
      <xdr:row>34</xdr:row>
      <xdr:rowOff>96434</xdr:rowOff>
    </xdr:from>
    <xdr:to>
      <xdr:col>9</xdr:col>
      <xdr:colOff>354551</xdr:colOff>
      <xdr:row>38</xdr:row>
      <xdr:rowOff>30173</xdr:rowOff>
    </xdr:to>
    <xdr:sp macro="" textlink="">
      <xdr:nvSpPr>
        <xdr:cNvPr id="7" name="Right Brace 6">
          <a:extLst>
            <a:ext uri="{FF2B5EF4-FFF2-40B4-BE49-F238E27FC236}">
              <a16:creationId xmlns:a16="http://schemas.microsoft.com/office/drawing/2014/main" id="{C942A422-ACD8-48A7-9126-38FDEDD579ED}"/>
            </a:ext>
          </a:extLst>
        </xdr:cNvPr>
        <xdr:cNvSpPr/>
      </xdr:nvSpPr>
      <xdr:spPr>
        <a:xfrm>
          <a:off x="6649039" y="6231655"/>
          <a:ext cx="389821" cy="58368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264865</xdr:colOff>
      <xdr:row>19</xdr:row>
      <xdr:rowOff>64434</xdr:rowOff>
    </xdr:from>
    <xdr:to>
      <xdr:col>10</xdr:col>
      <xdr:colOff>1680</xdr:colOff>
      <xdr:row>24</xdr:row>
      <xdr:rowOff>98051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F058C5ED-3A99-4254-9AB2-105FCEEF0DFD}"/>
            </a:ext>
            <a:ext uri="{147F2762-F138-4A5C-976F-8EAC2B608ADB}">
              <a16:predDERef xmlns:a16="http://schemas.microsoft.com/office/drawing/2014/main" pred="{C942A422-ACD8-48A7-9126-38FDEDD579ED}"/>
            </a:ext>
          </a:extLst>
        </xdr:cNvPr>
        <xdr:cNvSpPr txBox="1"/>
      </xdr:nvSpPr>
      <xdr:spPr>
        <a:xfrm>
          <a:off x="4693990" y="3722034"/>
          <a:ext cx="2137115" cy="84324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For these</a:t>
          </a:r>
          <a:r>
            <a:rPr lang="en-GB" sz="1100" baseline="0"/>
            <a:t> items Kg/m is the defining metric, and is manually entered.  Kg/m cannot be calculated based on a dimensions and density.</a:t>
          </a:r>
          <a:endParaRPr lang="en-GB" sz="1100"/>
        </a:p>
      </xdr:txBody>
    </xdr:sp>
    <xdr:clientData/>
  </xdr:twoCellAnchor>
  <xdr:twoCellAnchor>
    <xdr:from>
      <xdr:col>8</xdr:col>
      <xdr:colOff>369795</xdr:colOff>
      <xdr:row>20</xdr:row>
      <xdr:rowOff>145677</xdr:rowOff>
    </xdr:from>
    <xdr:to>
      <xdr:col>9</xdr:col>
      <xdr:colOff>113562</xdr:colOff>
      <xdr:row>24</xdr:row>
      <xdr:rowOff>50427</xdr:rowOff>
    </xdr:to>
    <xdr:sp macro="" textlink="">
      <xdr:nvSpPr>
        <xdr:cNvPr id="9" name="Right Brace 8">
          <a:extLst>
            <a:ext uri="{FF2B5EF4-FFF2-40B4-BE49-F238E27FC236}">
              <a16:creationId xmlns:a16="http://schemas.microsoft.com/office/drawing/2014/main" id="{1C39AEEB-F200-4309-8189-FC571FD199C0}"/>
            </a:ext>
          </a:extLst>
        </xdr:cNvPr>
        <xdr:cNvSpPr/>
      </xdr:nvSpPr>
      <xdr:spPr>
        <a:xfrm>
          <a:off x="6409766" y="3989295"/>
          <a:ext cx="388105" cy="554691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18</xdr:col>
      <xdr:colOff>413810</xdr:colOff>
      <xdr:row>34</xdr:row>
      <xdr:rowOff>20698</xdr:rowOff>
    </xdr:from>
    <xdr:to>
      <xdr:col>19</xdr:col>
      <xdr:colOff>201049</xdr:colOff>
      <xdr:row>34</xdr:row>
      <xdr:rowOff>144898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D1D630FD-2874-47FE-9F44-431ED6775673}"/>
                </a:ext>
              </a:extLst>
            </xdr14:cNvPr>
            <xdr14:cNvContentPartPr/>
          </xdr14:nvContentPartPr>
          <xdr14:nvPr macro=""/>
          <xdr14:xfrm>
            <a:off x="12879655" y="6259573"/>
            <a:ext cx="584957" cy="12420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D1D630FD-2874-47FE-9F44-431ED677567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875356" y="6255253"/>
              <a:ext cx="593554" cy="132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343240</xdr:colOff>
      <xdr:row>2</xdr:row>
      <xdr:rowOff>151920</xdr:rowOff>
    </xdr:from>
    <xdr:to>
      <xdr:col>17</xdr:col>
      <xdr:colOff>294573</xdr:colOff>
      <xdr:row>3</xdr:row>
      <xdr:rowOff>153129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B5088904-C7BE-4A17-A260-A98FC207D913}"/>
                </a:ext>
              </a:extLst>
            </xdr14:cNvPr>
            <xdr14:cNvContentPartPr/>
          </xdr14:nvContentPartPr>
          <xdr14:nvPr macro=""/>
          <xdr14:xfrm>
            <a:off x="10237335" y="640078"/>
            <a:ext cx="1880146" cy="167897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B5088904-C7BE-4A17-A260-A98FC207D913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0233015" y="635601"/>
              <a:ext cx="1888785" cy="17685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397960</xdr:colOff>
      <xdr:row>7</xdr:row>
      <xdr:rowOff>25296</xdr:rowOff>
    </xdr:from>
    <xdr:to>
      <xdr:col>17</xdr:col>
      <xdr:colOff>205653</xdr:colOff>
      <xdr:row>7</xdr:row>
      <xdr:rowOff>148416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751598B0-CB6C-4668-9BDD-236A811EA5C8}"/>
                </a:ext>
              </a:extLst>
            </xdr14:cNvPr>
            <xdr14:cNvContentPartPr/>
          </xdr14:nvContentPartPr>
          <xdr14:nvPr macro=""/>
          <xdr14:xfrm>
            <a:off x="10292055" y="1370704"/>
            <a:ext cx="1736506" cy="12312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751598B0-CB6C-4668-9BDD-236A811EA5C8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0287735" y="1366384"/>
              <a:ext cx="1745145" cy="131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446200</xdr:colOff>
      <xdr:row>10</xdr:row>
      <xdr:rowOff>497644</xdr:rowOff>
    </xdr:from>
    <xdr:to>
      <xdr:col>17</xdr:col>
      <xdr:colOff>305013</xdr:colOff>
      <xdr:row>12</xdr:row>
      <xdr:rowOff>15739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786A5696-0D31-4C23-9A03-0C56A105774E}"/>
                </a:ext>
              </a:extLst>
            </xdr14:cNvPr>
            <xdr14:cNvContentPartPr/>
          </xdr14:nvContentPartPr>
          <xdr14:nvPr macro=""/>
          <xdr14:xfrm>
            <a:off x="10340295" y="2343114"/>
            <a:ext cx="1787626" cy="232468"/>
          </xdr14:xfrm>
        </xdr:contentPart>
      </mc:Choice>
      <mc:Fallback xmlns=""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786A5696-0D31-4C23-9A03-0C56A105774E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0335975" y="2338906"/>
              <a:ext cx="1796265" cy="24088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452320</xdr:colOff>
      <xdr:row>16</xdr:row>
      <xdr:rowOff>49011</xdr:rowOff>
    </xdr:from>
    <xdr:to>
      <xdr:col>15</xdr:col>
      <xdr:colOff>301097</xdr:colOff>
      <xdr:row>17</xdr:row>
      <xdr:rowOff>22859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06B76711-C173-4859-B824-DF4523DC3E01}"/>
                </a:ext>
              </a:extLst>
            </xdr14:cNvPr>
            <xdr14:cNvContentPartPr/>
          </xdr14:nvContentPartPr>
          <xdr14:nvPr macro=""/>
          <xdr14:xfrm>
            <a:off x="10346415" y="3275606"/>
            <a:ext cx="491715" cy="140537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06B76711-C173-4859-B824-DF4523DC3E01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0342095" y="3271145"/>
              <a:ext cx="500354" cy="1494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360880</xdr:colOff>
      <xdr:row>15</xdr:row>
      <xdr:rowOff>157962</xdr:rowOff>
    </xdr:from>
    <xdr:to>
      <xdr:col>17</xdr:col>
      <xdr:colOff>222213</xdr:colOff>
      <xdr:row>17</xdr:row>
      <xdr:rowOff>15300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24173712-6343-4F44-8B1F-74428C6BFCE3}"/>
                </a:ext>
              </a:extLst>
            </xdr14:cNvPr>
            <xdr14:cNvContentPartPr/>
          </xdr14:nvContentPartPr>
          <xdr14:nvPr macro=""/>
          <xdr14:xfrm>
            <a:off x="10254975" y="3217870"/>
            <a:ext cx="1790146" cy="190713"/>
          </xdr14:xfrm>
        </xdr:contentPart>
      </mc:Choice>
      <mc:Fallback xmlns=""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24173712-6343-4F44-8B1F-74428C6BFCE3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0250655" y="3213265"/>
              <a:ext cx="1798785" cy="19992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445480</xdr:colOff>
      <xdr:row>19</xdr:row>
      <xdr:rowOff>120525</xdr:rowOff>
    </xdr:from>
    <xdr:to>
      <xdr:col>17</xdr:col>
      <xdr:colOff>288093</xdr:colOff>
      <xdr:row>21</xdr:row>
      <xdr:rowOff>34549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8EDB24F4-9F28-4305-98E7-7D0920C818DE}"/>
                </a:ext>
              </a:extLst>
            </xdr14:cNvPr>
            <xdr14:cNvContentPartPr/>
          </xdr14:nvContentPartPr>
          <xdr14:nvPr macro=""/>
          <xdr14:xfrm>
            <a:off x="10339575" y="3847183"/>
            <a:ext cx="1771426" cy="253353"/>
          </xdr14:xfrm>
        </xdr:contentPart>
      </mc:Choice>
      <mc:Fallback xmlns="">
        <xdr:pic>
          <xdr:nvPicPr>
            <xdr:cNvPr id="55" name="Ink 54">
              <a:extLst>
                <a:ext uri="{FF2B5EF4-FFF2-40B4-BE49-F238E27FC236}">
                  <a16:creationId xmlns:a16="http://schemas.microsoft.com/office/drawing/2014/main" id="{8EDB24F4-9F28-4305-98E7-7D0920C818DE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0335255" y="3842652"/>
              <a:ext cx="1780065" cy="26241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445480</xdr:colOff>
      <xdr:row>25</xdr:row>
      <xdr:rowOff>155140</xdr:rowOff>
    </xdr:from>
    <xdr:to>
      <xdr:col>19</xdr:col>
      <xdr:colOff>386999</xdr:colOff>
      <xdr:row>28</xdr:row>
      <xdr:rowOff>10788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DE205D69-8B3B-475B-8BEB-EEF25E4DC760}"/>
                </a:ext>
              </a:extLst>
            </xdr14:cNvPr>
            <xdr14:cNvContentPartPr/>
          </xdr14:nvContentPartPr>
          <xdr14:nvPr macro=""/>
          <xdr14:xfrm>
            <a:off x="10339575" y="4881923"/>
            <a:ext cx="3310987" cy="373568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DE205D69-8B3B-475B-8BEB-EEF25E4DC760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0335263" y="4877554"/>
              <a:ext cx="3319610" cy="38230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552202</xdr:colOff>
      <xdr:row>3</xdr:row>
      <xdr:rowOff>60449</xdr:rowOff>
    </xdr:from>
    <xdr:to>
      <xdr:col>22</xdr:col>
      <xdr:colOff>427968</xdr:colOff>
      <xdr:row>4</xdr:row>
      <xdr:rowOff>33780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68" name="Ink 67">
              <a:extLst>
                <a:ext uri="{FF2B5EF4-FFF2-40B4-BE49-F238E27FC236}">
                  <a16:creationId xmlns:a16="http://schemas.microsoft.com/office/drawing/2014/main" id="{57B813A1-A3A8-4E15-939C-6837962E2976}"/>
                </a:ext>
              </a:extLst>
            </xdr14:cNvPr>
            <xdr14:cNvContentPartPr/>
          </xdr14:nvContentPartPr>
          <xdr14:nvPr macro=""/>
          <xdr14:xfrm>
            <a:off x="15101640" y="715294"/>
            <a:ext cx="685391" cy="140018"/>
          </xdr14:xfrm>
        </xdr:contentPart>
      </mc:Choice>
      <mc:Fallback xmlns="">
        <xdr:pic>
          <xdr:nvPicPr>
            <xdr:cNvPr id="68" name="Ink 67">
              <a:extLst>
                <a:ext uri="{FF2B5EF4-FFF2-40B4-BE49-F238E27FC236}">
                  <a16:creationId xmlns:a16="http://schemas.microsoft.com/office/drawing/2014/main" id="{57B813A1-A3A8-4E15-939C-6837962E2976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5097325" y="710801"/>
              <a:ext cx="694021" cy="14900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540322</xdr:colOff>
      <xdr:row>7</xdr:row>
      <xdr:rowOff>538</xdr:rowOff>
    </xdr:from>
    <xdr:to>
      <xdr:col>22</xdr:col>
      <xdr:colOff>386928</xdr:colOff>
      <xdr:row>7</xdr:row>
      <xdr:rowOff>153801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961CE8A9-2B28-42F1-83C9-46D1DBFEC365}"/>
                </a:ext>
              </a:extLst>
            </xdr14:cNvPr>
            <xdr14:cNvContentPartPr/>
          </xdr14:nvContentPartPr>
          <xdr14:nvPr macro=""/>
          <xdr14:xfrm>
            <a:off x="15089760" y="1345946"/>
            <a:ext cx="656231" cy="153263"/>
          </xdr14:xfrm>
        </xdr:contentPart>
      </mc:Choice>
      <mc:Fallback xmlns=""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961CE8A9-2B28-42F1-83C9-46D1DBFEC365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5085445" y="1341669"/>
              <a:ext cx="664861" cy="16181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466488</xdr:colOff>
      <xdr:row>2</xdr:row>
      <xdr:rowOff>160560</xdr:rowOff>
    </xdr:from>
    <xdr:to>
      <xdr:col>24</xdr:col>
      <xdr:colOff>321286</xdr:colOff>
      <xdr:row>4</xdr:row>
      <xdr:rowOff>7499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207C7448-BBFC-4F09-B2A7-47B32BB5B8C5}"/>
                </a:ext>
              </a:extLst>
            </xdr14:cNvPr>
            <xdr14:cNvContentPartPr/>
          </xdr14:nvContentPartPr>
          <xdr14:nvPr macro=""/>
          <xdr14:xfrm>
            <a:off x="15658863" y="648718"/>
            <a:ext cx="1140673" cy="180314"/>
          </xdr14:xfrm>
        </xdr:contentPart>
      </mc:Choice>
      <mc:Fallback xmlns="">
        <xdr:pic>
          <xdr:nvPicPr>
            <xdr:cNvPr id="70" name="Ink 69">
              <a:extLst>
                <a:ext uri="{FF2B5EF4-FFF2-40B4-BE49-F238E27FC236}">
                  <a16:creationId xmlns:a16="http://schemas.microsoft.com/office/drawing/2014/main" id="{207C7448-BBFC-4F09-B2A7-47B32BB5B8C5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5654544" y="644163"/>
              <a:ext cx="1149312" cy="18942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561202</xdr:colOff>
      <xdr:row>10</xdr:row>
      <xdr:rowOff>466910</xdr:rowOff>
    </xdr:from>
    <xdr:to>
      <xdr:col>24</xdr:col>
      <xdr:colOff>354766</xdr:colOff>
      <xdr:row>11</xdr:row>
      <xdr:rowOff>185292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F3C53217-DC2B-49D0-9136-CFEF19CD0FD3}"/>
                </a:ext>
              </a:extLst>
            </xdr14:cNvPr>
            <xdr14:cNvContentPartPr/>
          </xdr14:nvContentPartPr>
          <xdr14:nvPr macro=""/>
          <xdr14:xfrm>
            <a:off x="15110640" y="2312380"/>
            <a:ext cx="1889064" cy="242255"/>
          </xdr14:xfrm>
        </xdr:contentPart>
      </mc:Choice>
      <mc:Fallback xmlns="">
        <xdr:pic>
          <xdr:nvPicPr>
            <xdr:cNvPr id="73" name="Ink 72">
              <a:extLst>
                <a:ext uri="{FF2B5EF4-FFF2-40B4-BE49-F238E27FC236}">
                  <a16:creationId xmlns:a16="http://schemas.microsoft.com/office/drawing/2014/main" id="{F3C53217-DC2B-49D0-9136-CFEF19CD0FD3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15106320" y="2308148"/>
              <a:ext cx="1897703" cy="25071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249765</xdr:colOff>
      <xdr:row>27</xdr:row>
      <xdr:rowOff>33084</xdr:rowOff>
    </xdr:from>
    <xdr:to>
      <xdr:col>26</xdr:col>
      <xdr:colOff>225042</xdr:colOff>
      <xdr:row>28</xdr:row>
      <xdr:rowOff>3049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79" name="Ink 78">
              <a:extLst>
                <a:ext uri="{FF2B5EF4-FFF2-40B4-BE49-F238E27FC236}">
                  <a16:creationId xmlns:a16="http://schemas.microsoft.com/office/drawing/2014/main" id="{C69ED9CD-DC5B-4033-9858-E50A020529A1}"/>
                </a:ext>
              </a:extLst>
            </xdr14:cNvPr>
            <xdr14:cNvContentPartPr/>
          </xdr14:nvContentPartPr>
          <xdr14:nvPr macro=""/>
          <xdr14:xfrm>
            <a:off x="17537640" y="5093242"/>
            <a:ext cx="618215" cy="148557"/>
          </xdr14:xfrm>
        </xdr:contentPart>
      </mc:Choice>
      <mc:Fallback xmlns="">
        <xdr:pic>
          <xdr:nvPicPr>
            <xdr:cNvPr id="79" name="Ink 78">
              <a:extLst>
                <a:ext uri="{FF2B5EF4-FFF2-40B4-BE49-F238E27FC236}">
                  <a16:creationId xmlns:a16="http://schemas.microsoft.com/office/drawing/2014/main" id="{C69ED9CD-DC5B-4033-9858-E50A020529A1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7533324" y="5088998"/>
              <a:ext cx="626846" cy="15704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434842</xdr:colOff>
      <xdr:row>26</xdr:row>
      <xdr:rowOff>116994</xdr:rowOff>
    </xdr:from>
    <xdr:to>
      <xdr:col>25</xdr:col>
      <xdr:colOff>85606</xdr:colOff>
      <xdr:row>27</xdr:row>
      <xdr:rowOff>156371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80" name="Ink 79">
              <a:extLst>
                <a:ext uri="{FF2B5EF4-FFF2-40B4-BE49-F238E27FC236}">
                  <a16:creationId xmlns:a16="http://schemas.microsoft.com/office/drawing/2014/main" id="{81539AA8-BAA8-420E-B097-D16D9DF73C5C}"/>
                </a:ext>
              </a:extLst>
            </xdr14:cNvPr>
            <xdr14:cNvContentPartPr/>
          </xdr14:nvContentPartPr>
          <xdr14:nvPr macro=""/>
          <xdr14:xfrm>
            <a:off x="14984280" y="5010464"/>
            <a:ext cx="2389201" cy="212018"/>
          </xdr14:xfrm>
        </xdr:contentPart>
      </mc:Choice>
      <mc:Fallback xmlns="">
        <xdr:pic>
          <xdr:nvPicPr>
            <xdr:cNvPr id="80" name="Ink 79">
              <a:extLst>
                <a:ext uri="{FF2B5EF4-FFF2-40B4-BE49-F238E27FC236}">
                  <a16:creationId xmlns:a16="http://schemas.microsoft.com/office/drawing/2014/main" id="{81539AA8-BAA8-420E-B097-D16D9DF73C5C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14979960" y="5006024"/>
              <a:ext cx="2397841" cy="22089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435228</xdr:colOff>
      <xdr:row>7</xdr:row>
      <xdr:rowOff>7162</xdr:rowOff>
    </xdr:from>
    <xdr:to>
      <xdr:col>24</xdr:col>
      <xdr:colOff>216753</xdr:colOff>
      <xdr:row>8</xdr:row>
      <xdr:rowOff>10227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93" name="Ink 92">
              <a:extLst>
                <a:ext uri="{FF2B5EF4-FFF2-40B4-BE49-F238E27FC236}">
                  <a16:creationId xmlns:a16="http://schemas.microsoft.com/office/drawing/2014/main" id="{5320B450-0D37-4D4A-8D4E-366323FB6BAC}"/>
                </a:ext>
              </a:extLst>
            </xdr14:cNvPr>
            <xdr14:cNvContentPartPr/>
          </xdr14:nvContentPartPr>
          <xdr14:nvPr macro=""/>
          <xdr14:xfrm>
            <a:off x="15627603" y="1352570"/>
            <a:ext cx="1067400" cy="169753"/>
          </xdr14:xfrm>
        </xdr:contentPart>
      </mc:Choice>
      <mc:Fallback xmlns="">
        <xdr:pic>
          <xdr:nvPicPr>
            <xdr:cNvPr id="93" name="Ink 92">
              <a:extLst>
                <a:ext uri="{FF2B5EF4-FFF2-40B4-BE49-F238E27FC236}">
                  <a16:creationId xmlns:a16="http://schemas.microsoft.com/office/drawing/2014/main" id="{5320B450-0D37-4D4A-8D4E-366323FB6BAC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15623283" y="1348132"/>
              <a:ext cx="1076040" cy="1786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461853</xdr:colOff>
      <xdr:row>15</xdr:row>
      <xdr:rowOff>133562</xdr:rowOff>
    </xdr:from>
    <xdr:to>
      <xdr:col>24</xdr:col>
      <xdr:colOff>315753</xdr:colOff>
      <xdr:row>17</xdr:row>
      <xdr:rowOff>33133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103" name="Ink 102">
              <a:extLst>
                <a:ext uri="{FF2B5EF4-FFF2-40B4-BE49-F238E27FC236}">
                  <a16:creationId xmlns:a16="http://schemas.microsoft.com/office/drawing/2014/main" id="{7A22B491-0322-408E-986E-A534E8D38F23}"/>
                </a:ext>
              </a:extLst>
            </xdr14:cNvPr>
            <xdr14:cNvContentPartPr/>
          </xdr14:nvContentPartPr>
          <xdr14:nvPr macro=""/>
          <xdr14:xfrm>
            <a:off x="15011291" y="3193470"/>
            <a:ext cx="1949400" cy="232946"/>
          </xdr14:xfrm>
        </xdr:contentPart>
      </mc:Choice>
      <mc:Fallback xmlns="">
        <xdr:pic>
          <xdr:nvPicPr>
            <xdr:cNvPr id="103" name="Ink 102">
              <a:extLst>
                <a:ext uri="{FF2B5EF4-FFF2-40B4-BE49-F238E27FC236}">
                  <a16:creationId xmlns:a16="http://schemas.microsoft.com/office/drawing/2014/main" id="{7A22B491-0322-408E-986E-A534E8D38F23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15006971" y="3188969"/>
              <a:ext cx="1958040" cy="2419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335624</xdr:colOff>
      <xdr:row>34</xdr:row>
      <xdr:rowOff>15440</xdr:rowOff>
    </xdr:from>
    <xdr:to>
      <xdr:col>26</xdr:col>
      <xdr:colOff>239242</xdr:colOff>
      <xdr:row>34</xdr:row>
      <xdr:rowOff>151160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108" name="Ink 107">
              <a:extLst>
                <a:ext uri="{FF2B5EF4-FFF2-40B4-BE49-F238E27FC236}">
                  <a16:creationId xmlns:a16="http://schemas.microsoft.com/office/drawing/2014/main" id="{166D1F7B-C4E0-4D50-A1E3-323F4078BB02}"/>
                </a:ext>
              </a:extLst>
            </xdr14:cNvPr>
            <xdr14:cNvContentPartPr/>
          </xdr14:nvContentPartPr>
          <xdr14:nvPr macro=""/>
          <xdr14:xfrm>
            <a:off x="17623499" y="6254315"/>
            <a:ext cx="546556" cy="135720"/>
          </xdr14:xfrm>
        </xdr:contentPart>
      </mc:Choice>
      <mc:Fallback xmlns="">
        <xdr:pic>
          <xdr:nvPicPr>
            <xdr:cNvPr id="108" name="Ink 107">
              <a:extLst>
                <a:ext uri="{FF2B5EF4-FFF2-40B4-BE49-F238E27FC236}">
                  <a16:creationId xmlns:a16="http://schemas.microsoft.com/office/drawing/2014/main" id="{166D1F7B-C4E0-4D50-A1E3-323F4078BB02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17619181" y="6249995"/>
              <a:ext cx="555192" cy="144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522787</xdr:colOff>
      <xdr:row>19</xdr:row>
      <xdr:rowOff>133087</xdr:rowOff>
    </xdr:from>
    <xdr:to>
      <xdr:col>24</xdr:col>
      <xdr:colOff>204967</xdr:colOff>
      <xdr:row>21</xdr:row>
      <xdr:rowOff>29003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114" name="Ink 113">
              <a:extLst>
                <a:ext uri="{FF2B5EF4-FFF2-40B4-BE49-F238E27FC236}">
                  <a16:creationId xmlns:a16="http://schemas.microsoft.com/office/drawing/2014/main" id="{69C9A82B-0359-4A50-84E4-9B48E50355F6}"/>
                </a:ext>
              </a:extLst>
            </xdr14:cNvPr>
            <xdr14:cNvContentPartPr/>
          </xdr14:nvContentPartPr>
          <xdr14:nvPr macro=""/>
          <xdr14:xfrm>
            <a:off x="15072225" y="3804975"/>
            <a:ext cx="1777680" cy="225720"/>
          </xdr14:xfrm>
        </xdr:contentPart>
      </mc:Choice>
      <mc:Fallback xmlns="">
        <xdr:pic>
          <xdr:nvPicPr>
            <xdr:cNvPr id="114" name="Ink 113">
              <a:extLst>
                <a:ext uri="{FF2B5EF4-FFF2-40B4-BE49-F238E27FC236}">
                  <a16:creationId xmlns:a16="http://schemas.microsoft.com/office/drawing/2014/main" id="{69C9A82B-0359-4A50-84E4-9B48E50355F6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15067905" y="3800655"/>
              <a:ext cx="1786320" cy="2343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1461897</xdr:colOff>
      <xdr:row>10</xdr:row>
      <xdr:rowOff>41413</xdr:rowOff>
    </xdr:from>
    <xdr:to>
      <xdr:col>3</xdr:col>
      <xdr:colOff>258536</xdr:colOff>
      <xdr:row>11</xdr:row>
      <xdr:rowOff>17184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61A280F-FDA0-491A-8899-7B9772063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7940" y="1764196"/>
          <a:ext cx="567342" cy="463826"/>
        </a:xfrm>
        <a:prstGeom prst="rect">
          <a:avLst/>
        </a:prstGeom>
      </xdr:spPr>
    </xdr:pic>
    <xdr:clientData/>
  </xdr:twoCellAnchor>
  <xdr:twoCellAnchor editAs="oneCell">
    <xdr:from>
      <xdr:col>1</xdr:col>
      <xdr:colOff>1354207</xdr:colOff>
      <xdr:row>2</xdr:row>
      <xdr:rowOff>20705</xdr:rowOff>
    </xdr:from>
    <xdr:to>
      <xdr:col>3</xdr:col>
      <xdr:colOff>465137</xdr:colOff>
      <xdr:row>2</xdr:row>
      <xdr:rowOff>399934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7D58062-9E90-481D-8741-786529DAC95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339" r="8100"/>
        <a:stretch/>
      </xdr:blipFill>
      <xdr:spPr>
        <a:xfrm>
          <a:off x="2000250" y="629477"/>
          <a:ext cx="857250" cy="370947"/>
        </a:xfrm>
        <a:prstGeom prst="rect">
          <a:avLst/>
        </a:prstGeom>
      </xdr:spPr>
    </xdr:pic>
    <xdr:clientData/>
  </xdr:twoCellAnchor>
  <xdr:oneCellAnchor>
    <xdr:from>
      <xdr:col>1</xdr:col>
      <xdr:colOff>1461897</xdr:colOff>
      <xdr:row>13</xdr:row>
      <xdr:rowOff>41413</xdr:rowOff>
    </xdr:from>
    <xdr:ext cx="701639" cy="487400"/>
    <xdr:pic>
      <xdr:nvPicPr>
        <xdr:cNvPr id="4" name="Picture 3">
          <a:extLst>
            <a:ext uri="{FF2B5EF4-FFF2-40B4-BE49-F238E27FC236}">
              <a16:creationId xmlns:a16="http://schemas.microsoft.com/office/drawing/2014/main" id="{44C4ADF1-9AEC-4B71-9153-C4095DDCFF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2383" y="4243299"/>
          <a:ext cx="701639" cy="487400"/>
        </a:xfrm>
        <a:prstGeom prst="rect">
          <a:avLst/>
        </a:prstGeom>
      </xdr:spPr>
    </xdr:pic>
    <xdr:clientData/>
  </xdr:oneCellAnchor>
  <xdr:oneCellAnchor>
    <xdr:from>
      <xdr:col>1</xdr:col>
      <xdr:colOff>1461897</xdr:colOff>
      <xdr:row>14</xdr:row>
      <xdr:rowOff>41413</xdr:rowOff>
    </xdr:from>
    <xdr:ext cx="701639" cy="487400"/>
    <xdr:pic>
      <xdr:nvPicPr>
        <xdr:cNvPr id="6" name="Picture 5">
          <a:extLst>
            <a:ext uri="{FF2B5EF4-FFF2-40B4-BE49-F238E27FC236}">
              <a16:creationId xmlns:a16="http://schemas.microsoft.com/office/drawing/2014/main" id="{16E01479-FBBE-40FF-9BCC-928CB9F38E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4835" y="4716601"/>
          <a:ext cx="701639" cy="487400"/>
        </a:xfrm>
        <a:prstGeom prst="rect">
          <a:avLst/>
        </a:prstGeom>
      </xdr:spPr>
    </xdr:pic>
    <xdr:clientData/>
  </xdr:oneCellAnchor>
  <xdr:oneCellAnchor>
    <xdr:from>
      <xdr:col>1</xdr:col>
      <xdr:colOff>1461897</xdr:colOff>
      <xdr:row>11</xdr:row>
      <xdr:rowOff>41413</xdr:rowOff>
    </xdr:from>
    <xdr:ext cx="701639" cy="483772"/>
    <xdr:pic>
      <xdr:nvPicPr>
        <xdr:cNvPr id="7" name="Picture 6">
          <a:extLst>
            <a:ext uri="{FF2B5EF4-FFF2-40B4-BE49-F238E27FC236}">
              <a16:creationId xmlns:a16="http://schemas.microsoft.com/office/drawing/2014/main" id="{917069DD-09F5-4C09-94B4-ADECCB8C55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4835" y="4208601"/>
          <a:ext cx="701639" cy="483772"/>
        </a:xfrm>
        <a:prstGeom prst="rect">
          <a:avLst/>
        </a:prstGeom>
      </xdr:spPr>
    </xdr:pic>
    <xdr:clientData/>
  </xdr:oneCellAnchor>
  <xdr:oneCellAnchor>
    <xdr:from>
      <xdr:col>1</xdr:col>
      <xdr:colOff>1461897</xdr:colOff>
      <xdr:row>11</xdr:row>
      <xdr:rowOff>41413</xdr:rowOff>
    </xdr:from>
    <xdr:ext cx="701639" cy="483772"/>
    <xdr:pic>
      <xdr:nvPicPr>
        <xdr:cNvPr id="8" name="Picture 7">
          <a:extLst>
            <a:ext uri="{FF2B5EF4-FFF2-40B4-BE49-F238E27FC236}">
              <a16:creationId xmlns:a16="http://schemas.microsoft.com/office/drawing/2014/main" id="{A0EBF8F5-B63D-4BC0-AF83-76C49B0C64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4835" y="4208601"/>
          <a:ext cx="701639" cy="483772"/>
        </a:xfrm>
        <a:prstGeom prst="rect">
          <a:avLst/>
        </a:prstGeom>
      </xdr:spPr>
    </xdr:pic>
    <xdr:clientData/>
  </xdr:oneCellAnchor>
  <xdr:oneCellAnchor>
    <xdr:from>
      <xdr:col>1</xdr:col>
      <xdr:colOff>1461897</xdr:colOff>
      <xdr:row>12</xdr:row>
      <xdr:rowOff>41413</xdr:rowOff>
    </xdr:from>
    <xdr:ext cx="701639" cy="483772"/>
    <xdr:pic>
      <xdr:nvPicPr>
        <xdr:cNvPr id="9" name="Picture 8">
          <a:extLst>
            <a:ext uri="{FF2B5EF4-FFF2-40B4-BE49-F238E27FC236}">
              <a16:creationId xmlns:a16="http://schemas.microsoft.com/office/drawing/2014/main" id="{508B4E6D-75B3-4DD7-AE77-3CC3537F67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4835" y="4716601"/>
          <a:ext cx="701639" cy="483772"/>
        </a:xfrm>
        <a:prstGeom prst="rect">
          <a:avLst/>
        </a:prstGeom>
      </xdr:spPr>
    </xdr:pic>
    <xdr:clientData/>
  </xdr:oneCellAnchor>
  <xdr:oneCellAnchor>
    <xdr:from>
      <xdr:col>1</xdr:col>
      <xdr:colOff>1461897</xdr:colOff>
      <xdr:row>15</xdr:row>
      <xdr:rowOff>41413</xdr:rowOff>
    </xdr:from>
    <xdr:ext cx="701639" cy="487400"/>
    <xdr:pic>
      <xdr:nvPicPr>
        <xdr:cNvPr id="10" name="Picture 9">
          <a:extLst>
            <a:ext uri="{FF2B5EF4-FFF2-40B4-BE49-F238E27FC236}">
              <a16:creationId xmlns:a16="http://schemas.microsoft.com/office/drawing/2014/main" id="{F8B8EDEB-E574-41BF-802F-500675CDD9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4835" y="6240601"/>
          <a:ext cx="701639" cy="48740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2056748</xdr:colOff>
      <xdr:row>2</xdr:row>
      <xdr:rowOff>62458</xdr:rowOff>
    </xdr:from>
    <xdr:to>
      <xdr:col>1</xdr:col>
      <xdr:colOff>2447481</xdr:colOff>
      <xdr:row>3</xdr:row>
      <xdr:rowOff>122715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CACF584-91FE-4E5D-B5F3-4BA46C3F2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4641" y="593137"/>
          <a:ext cx="390733" cy="554197"/>
        </a:xfrm>
        <a:prstGeom prst="rect">
          <a:avLst/>
        </a:prstGeom>
      </xdr:spPr>
    </xdr:pic>
    <xdr:clientData/>
  </xdr:twoCellAnchor>
  <xdr:twoCellAnchor editAs="oneCell">
    <xdr:from>
      <xdr:col>1</xdr:col>
      <xdr:colOff>1984803</xdr:colOff>
      <xdr:row>10</xdr:row>
      <xdr:rowOff>317186</xdr:rowOff>
    </xdr:from>
    <xdr:to>
      <xdr:col>1</xdr:col>
      <xdr:colOff>2450030</xdr:colOff>
      <xdr:row>11</xdr:row>
      <xdr:rowOff>247796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5493EE8-46E1-4F70-8540-9798D0FB5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2696" y="3895865"/>
          <a:ext cx="465227" cy="429312"/>
        </a:xfrm>
        <a:prstGeom prst="rect">
          <a:avLst/>
        </a:prstGeom>
      </xdr:spPr>
    </xdr:pic>
    <xdr:clientData/>
  </xdr:twoCellAnchor>
  <xdr:twoCellAnchor editAs="oneCell">
    <xdr:from>
      <xdr:col>16</xdr:col>
      <xdr:colOff>11557</xdr:colOff>
      <xdr:row>33</xdr:row>
      <xdr:rowOff>56415</xdr:rowOff>
    </xdr:from>
    <xdr:to>
      <xdr:col>16</xdr:col>
      <xdr:colOff>16957</xdr:colOff>
      <xdr:row>33</xdr:row>
      <xdr:rowOff>64417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8D2A0748-DB02-4BB0-B8AA-B6E153974712}"/>
                </a:ext>
              </a:extLst>
            </xdr14:cNvPr>
            <xdr14:cNvContentPartPr/>
          </xdr14:nvContentPartPr>
          <xdr14:nvPr macro=""/>
          <xdr14:xfrm>
            <a:off x="17147033" y="10562491"/>
            <a:ext cx="5400" cy="8002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9954D4E3-AC3A-4F63-B1A1-3D34F75A2083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860225" y="5776620"/>
              <a:ext cx="14040" cy="118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1370658</xdr:colOff>
      <xdr:row>1</xdr:row>
      <xdr:rowOff>166653</xdr:rowOff>
    </xdr:from>
    <xdr:to>
      <xdr:col>3</xdr:col>
      <xdr:colOff>105794</xdr:colOff>
      <xdr:row>3</xdr:row>
      <xdr:rowOff>258140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D4C377-E027-470B-B5B9-BE5FA33CB8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0676" y="636468"/>
          <a:ext cx="590550" cy="587969"/>
        </a:xfrm>
        <a:prstGeom prst="rect">
          <a:avLst/>
        </a:prstGeom>
      </xdr:spPr>
    </xdr:pic>
    <xdr:clientData/>
  </xdr:twoCellAnchor>
  <xdr:twoCellAnchor editAs="oneCell">
    <xdr:from>
      <xdr:col>1</xdr:col>
      <xdr:colOff>1283722</xdr:colOff>
      <xdr:row>18</xdr:row>
      <xdr:rowOff>57155</xdr:rowOff>
    </xdr:from>
    <xdr:to>
      <xdr:col>3</xdr:col>
      <xdr:colOff>192195</xdr:colOff>
      <xdr:row>20</xdr:row>
      <xdr:rowOff>173808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CFFB348-E7D9-443C-BE5D-3B11A72B97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8061" y="5811376"/>
          <a:ext cx="763887" cy="755388"/>
        </a:xfrm>
        <a:prstGeom prst="rect">
          <a:avLst/>
        </a:prstGeom>
      </xdr:spPr>
    </xdr:pic>
    <xdr:clientData/>
  </xdr:twoCellAnchor>
  <xdr:twoCellAnchor editAs="oneCell">
    <xdr:from>
      <xdr:col>1</xdr:col>
      <xdr:colOff>1409443</xdr:colOff>
      <xdr:row>33</xdr:row>
      <xdr:rowOff>6436</xdr:rowOff>
    </xdr:from>
    <xdr:to>
      <xdr:col>3</xdr:col>
      <xdr:colOff>116004</xdr:colOff>
      <xdr:row>34</xdr:row>
      <xdr:rowOff>249040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8C05E5E-8461-4E92-A9B8-F48B769CCB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9461" y="5219443"/>
          <a:ext cx="561975" cy="558886"/>
        </a:xfrm>
        <a:prstGeom prst="rect">
          <a:avLst/>
        </a:prstGeom>
      </xdr:spPr>
    </xdr:pic>
    <xdr:clientData/>
  </xdr:twoCellAnchor>
  <xdr:twoCellAnchor editAs="oneCell">
    <xdr:from>
      <xdr:col>1</xdr:col>
      <xdr:colOff>1391165</xdr:colOff>
      <xdr:row>39</xdr:row>
      <xdr:rowOff>9267</xdr:rowOff>
    </xdr:from>
    <xdr:to>
      <xdr:col>1</xdr:col>
      <xdr:colOff>1731620</xdr:colOff>
      <xdr:row>40</xdr:row>
      <xdr:rowOff>104516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371D894-79B1-43CB-8E47-296C5852F4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1183" y="6026751"/>
          <a:ext cx="421418" cy="417040"/>
        </a:xfrm>
        <a:prstGeom prst="rect">
          <a:avLst/>
        </a:prstGeom>
      </xdr:spPr>
    </xdr:pic>
    <xdr:clientData/>
  </xdr:twoCellAnchor>
  <xdr:twoCellAnchor editAs="oneCell">
    <xdr:from>
      <xdr:col>12</xdr:col>
      <xdr:colOff>11557</xdr:colOff>
      <xdr:row>36</xdr:row>
      <xdr:rowOff>56415</xdr:rowOff>
    </xdr:from>
    <xdr:to>
      <xdr:col>12</xdr:col>
      <xdr:colOff>16957</xdr:colOff>
      <xdr:row>36</xdr:row>
      <xdr:rowOff>64417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9954D4E3-AC3A-4F63-B1A1-3D34F75A2083}"/>
                </a:ext>
              </a:extLst>
            </xdr14:cNvPr>
            <xdr14:cNvContentPartPr/>
          </xdr14:nvContentPartPr>
          <xdr14:nvPr macro=""/>
          <xdr14:xfrm>
            <a:off x="4864545" y="5780940"/>
            <a:ext cx="5400" cy="324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9954D4E3-AC3A-4F63-B1A1-3D34F75A2083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860225" y="5776620"/>
              <a:ext cx="14040" cy="118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1245054</xdr:colOff>
      <xdr:row>1</xdr:row>
      <xdr:rowOff>6803</xdr:rowOff>
    </xdr:from>
    <xdr:to>
      <xdr:col>1</xdr:col>
      <xdr:colOff>2049933</xdr:colOff>
      <xdr:row>2</xdr:row>
      <xdr:rowOff>140834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A7D5BFB-9EB7-4DB4-8874-A07AAD030C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5323" y="605517"/>
          <a:ext cx="800117" cy="510269"/>
        </a:xfrm>
        <a:prstGeom prst="rect">
          <a:avLst/>
        </a:prstGeom>
      </xdr:spPr>
    </xdr:pic>
    <xdr:clientData/>
  </xdr:twoCellAnchor>
  <xdr:twoCellAnchor editAs="oneCell">
    <xdr:from>
      <xdr:col>1</xdr:col>
      <xdr:colOff>1265465</xdr:colOff>
      <xdr:row>50</xdr:row>
      <xdr:rowOff>170089</xdr:rowOff>
    </xdr:from>
    <xdr:to>
      <xdr:col>1</xdr:col>
      <xdr:colOff>2065582</xdr:colOff>
      <xdr:row>52</xdr:row>
      <xdr:rowOff>46391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66A68BF-66A6-425F-A471-44482CC19B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5734" y="8490858"/>
          <a:ext cx="800117" cy="51026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480392</xdr:colOff>
      <xdr:row>1</xdr:row>
      <xdr:rowOff>63362</xdr:rowOff>
    </xdr:from>
    <xdr:to>
      <xdr:col>3</xdr:col>
      <xdr:colOff>112784</xdr:colOff>
      <xdr:row>1</xdr:row>
      <xdr:rowOff>200645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E3CBEF5-5489-424D-8C8A-961EAB9CF7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2099" y="502340"/>
          <a:ext cx="584892" cy="13252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121439</xdr:colOff>
      <xdr:row>0</xdr:row>
      <xdr:rowOff>299345</xdr:rowOff>
    </xdr:from>
    <xdr:to>
      <xdr:col>2</xdr:col>
      <xdr:colOff>439469</xdr:colOff>
      <xdr:row>1</xdr:row>
      <xdr:rowOff>172298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30222-D3DF-413A-AE03-649C6C3B57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9189" y="299345"/>
          <a:ext cx="313268" cy="303620"/>
        </a:xfrm>
        <a:prstGeom prst="rect">
          <a:avLst/>
        </a:prstGeom>
      </xdr:spPr>
    </xdr:pic>
    <xdr:clientData/>
  </xdr:twoCellAnchor>
  <xdr:twoCellAnchor editAs="oneCell">
    <xdr:from>
      <xdr:col>1</xdr:col>
      <xdr:colOff>1146856</xdr:colOff>
      <xdr:row>33</xdr:row>
      <xdr:rowOff>88134</xdr:rowOff>
    </xdr:from>
    <xdr:to>
      <xdr:col>2</xdr:col>
      <xdr:colOff>693010</xdr:colOff>
      <xdr:row>35</xdr:row>
      <xdr:rowOff>219845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5029F7B-3A50-45C9-BC16-B5283FF4A0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5174" y="11665339"/>
          <a:ext cx="684392" cy="75516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1796143</xdr:colOff>
      <xdr:row>1</xdr:row>
      <xdr:rowOff>176893</xdr:rowOff>
    </xdr:from>
    <xdr:to>
      <xdr:col>2</xdr:col>
      <xdr:colOff>401888</xdr:colOff>
      <xdr:row>3</xdr:row>
      <xdr:rowOff>153524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01AF2F0-3C9C-4B20-BADD-6A57447757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4126" y="693964"/>
          <a:ext cx="479064" cy="470572"/>
        </a:xfrm>
        <a:prstGeom prst="rect">
          <a:avLst/>
        </a:prstGeom>
      </xdr:spPr>
    </xdr:pic>
    <xdr:clientData/>
  </xdr:twoCellAnchor>
  <xdr:twoCellAnchor editAs="oneCell">
    <xdr:from>
      <xdr:col>1</xdr:col>
      <xdr:colOff>1843767</xdr:colOff>
      <xdr:row>37</xdr:row>
      <xdr:rowOff>34018</xdr:rowOff>
    </xdr:from>
    <xdr:to>
      <xdr:col>2</xdr:col>
      <xdr:colOff>556987</xdr:colOff>
      <xdr:row>38</xdr:row>
      <xdr:rowOff>265258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E47842B-2832-484B-9D79-2B4B40CEB9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0" y="6973661"/>
          <a:ext cx="542524" cy="539443"/>
        </a:xfrm>
        <a:prstGeom prst="rect">
          <a:avLst/>
        </a:prstGeom>
      </xdr:spPr>
    </xdr:pic>
    <xdr:clientData/>
  </xdr:twoCellAnchor>
  <xdr:twoCellAnchor editAs="oneCell">
    <xdr:from>
      <xdr:col>4</xdr:col>
      <xdr:colOff>121599</xdr:colOff>
      <xdr:row>45</xdr:row>
      <xdr:rowOff>81024</xdr:rowOff>
    </xdr:from>
    <xdr:to>
      <xdr:col>4</xdr:col>
      <xdr:colOff>576811</xdr:colOff>
      <xdr:row>47</xdr:row>
      <xdr:rowOff>4052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D7D90C5-41A0-4994-BB35-2AD4699D33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17644" y="14559024"/>
          <a:ext cx="455212" cy="557740"/>
        </a:xfrm>
        <a:prstGeom prst="rect">
          <a:avLst/>
        </a:prstGeom>
      </xdr:spPr>
    </xdr:pic>
    <xdr:clientData/>
  </xdr:twoCellAnchor>
  <xdr:twoCellAnchor editAs="oneCell">
    <xdr:from>
      <xdr:col>1</xdr:col>
      <xdr:colOff>809625</xdr:colOff>
      <xdr:row>75</xdr:row>
      <xdr:rowOff>84803</xdr:rowOff>
    </xdr:from>
    <xdr:to>
      <xdr:col>1</xdr:col>
      <xdr:colOff>1544541</xdr:colOff>
      <xdr:row>77</xdr:row>
      <xdr:rowOff>221873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50690F3-DFDA-4B4C-8F42-D2A479DB27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0804" y="24135429"/>
          <a:ext cx="734916" cy="77660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877661</xdr:colOff>
      <xdr:row>0</xdr:row>
      <xdr:rowOff>462642</xdr:rowOff>
    </xdr:from>
    <xdr:to>
      <xdr:col>1</xdr:col>
      <xdr:colOff>1333204</xdr:colOff>
      <xdr:row>0</xdr:row>
      <xdr:rowOff>933664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145C687-B97D-440C-B677-9D7ADEFCF6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0715" y="462642"/>
          <a:ext cx="455543" cy="453458"/>
        </a:xfrm>
        <a:prstGeom prst="rect">
          <a:avLst/>
        </a:prstGeom>
      </xdr:spPr>
    </xdr:pic>
    <xdr:clientData/>
  </xdr:twoCellAnchor>
  <xdr:twoCellAnchor editAs="oneCell">
    <xdr:from>
      <xdr:col>1</xdr:col>
      <xdr:colOff>1730379</xdr:colOff>
      <xdr:row>45</xdr:row>
      <xdr:rowOff>198156</xdr:rowOff>
    </xdr:from>
    <xdr:to>
      <xdr:col>2</xdr:col>
      <xdr:colOff>1187</xdr:colOff>
      <xdr:row>47</xdr:row>
      <xdr:rowOff>190854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A2834BD-D8E1-4F0A-ACAD-51FC963B9C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1942" y="14830939"/>
          <a:ext cx="352021" cy="63087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eili\Dropbox\Bus%20Stuff\Gormleys%20Eng%20Misc\3184%20Stock\GEng_Stock_2020-08-31%20Final%20Locked%20Value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s"/>
      <sheetName val="SemiFinish Jobbng"/>
      <sheetName val="Roller Barr_Frms"/>
      <sheetName val="Int WIP &amp; Stock"/>
      <sheetName val="OEM_Stock"/>
      <sheetName val="Finish_Prods"/>
      <sheetName val="PLT &amp; SHEET"/>
      <sheetName val="Alum"/>
      <sheetName val="Msh &amp; Exp.Metal"/>
      <sheetName val="Chan &amp; Bms"/>
      <sheetName val="Angles+T"/>
      <sheetName val="FLTS"/>
      <sheetName val="RHS"/>
      <sheetName val="Tube_CHS"/>
      <sheetName val="Rnds_Sqrs_HolBar"/>
      <sheetName val="Densit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6">
          <cell r="D6">
            <v>7850</v>
          </cell>
        </row>
      </sheetData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8-24T09:21:08.430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15 9 2759 0 0,'0'0'272'0'0,"-7"-5"-272"0"0,0 1 536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2-20T09:31:48.568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0 867 5063 0 0,'0'0'390'0'0,"9"-18"3468"0"0,7-4-3228 0 0,1 2 0 0 0,1 1 0 0 0,22-19 0 0 0,-31 31-424 0 0,0 1 1 0 0,0 0-1 0 0,0 0 0 0 0,1 1 0 0 0,13-6 0 0 0,55-15 561 0 0,-50 18-320 0 0,35-16 0 0 0,18-14 705 0 0,107-34 1 0 0,-27 19-577 0 0,146-40-51 0 0,-8 24-509 0 0,496-88 798 0 0,-610 124-684 0 0,-32 5-30 0 0,-8 9-85 0 0,32-7-18 0 0,-66 9 3 0 0,118-2 0 0 0,-75 6-2 0 0,37 0 15 0 0,60 13 30 0 0,-109 1-33 0 0,48 7-10 0 0,49-1 0 0 0,46 2 0 0 0,-166-2 0 0 0,-36-8 0 0 0,9 1 0 0 0,46 19 0 0 0,-55-5 0 0 0,-42-7 0 0 0,-20-3 0 0 0,26 2 0 0 0,-33-5 20 0 0,24 6-1 0 0,1 0 6 0 0,-20-3-25 0 0,67 16 41 0 0,-10-3-18 0 0,8 3-23 0 0,-58-11 0 0 0,9 3 0 0 0,39 8 0 0 0,15-1 0 0 0,-62-12 0 0 0,0 2 0 0 0,0 1 0 0 0,-2 1 0 0 0,28 15 0 0 0,-47-23 0 0 0,28 13 0 0 0,-21-10 0 0 0,1 1 0 0 0,23 17 0 0 0,-12-10 0 0 0,-9-3 0 0 0,0-2 0 0 0,1 0 0 0 0,24 9 0 0 0,11 6 0 0 0,-42-20 0 0 0,-1 0 0 0 0,19 5 0 0 0,-20-7 0 0 0,0 1 0 0 0,-1-1 0 0 0,1 1 0 0 0,0 1 0 0 0,-1-1 0 0 0,9 7 0 0 0,-9-6 0 0 0,-1 0 0 0 0,1 0 0 0 0,12 4 0 0 0,7 5 0 0 0,2 1 0 0 0,-16-8 0 0 0,0 0 0 0 0,17 13 0 0 0,-6-3 0 0 0,-14-10 0 0 0,0 1 0 0 0,-1 0 0 0 0,0 0 0 0 0,0 0 0 0 0,0 1 0 0 0,-1 1 0 0 0,8 10 0 0 0,-2-4-60 0 0,-11-12 47 0 0,11 9 14 0 0,-5-7-1 0 0,0 0 0 0 0,1 0 0 0 0,0-1 0 0 0,0 0 0 0 0,0 0 0 0 0,12 2 0 0 0,-6-2 0 0 0,1 2 0 0 0,-1 0 0 0 0,0 1 0 0 0,21 12 0 0 0,-28-14-10 0 0,-2 0-45 0 0,-4-3-4 0 0,4 4 35 0 0,21 20-100 0 0,-15-16 124 0 0,-10-8 0 0 0,9 3 0 0 0,-8-4 0 0 0,9 7 0 0 0,-7-3-12 0 0,-4-4-57 0 0,-5-1-1461 0 0,0 0 1250 0 0,0-1 1 0 0,-1 1 0 0 0,1-1-1 0 0,0 0 1 0 0,-8-3-1 0 0,11 4 27 0 0,-2 7-1034 0 0,2-6 379 0 0</inkml:trace>
  <inkml:trace contextRef="#ctx0" brushRef="#br0" timeOffset="680.53">6615 469 6623 0 0,'0'0'594'0'0,"0"-1"-488"0"0,-1-4-24 0 0,1 4 87 0 0,0 0 1 0 0,-1 0-1 0 0,1 1 0 0 0,0-1 1 0 0,0 0-1 0 0,0 0 1 0 0,0 0-1 0 0,0 0 0 0 0,0 0 1 0 0,0 0-1 0 0,0 0 1 0 0,0 0-1 0 0,0 0 1 0 0,1 0-1 0 0,-1 0 0 0 0,0 0 1 0 0,1 0-1 0 0,-1 0 1 0 0,1 0-1 0 0,0-1 0 0 0,-1 2-86 0 0,1 0-1 0 0,0 1 0 0 0,-1-1 0 0 0,1 0 0 0 0,-1 0 0 0 0,1 0 0 0 0,-1 0 1 0 0,1 0-1 0 0,-1 1 0 0 0,1-1 0 0 0,0 0 0 0 0,-1 1 0 0 0,0-1 0 0 0,1 0 0 0 0,-1 1 1 0 0,1-1-1 0 0,-1 0 0 0 0,1 1 0 0 0,-1-1 0 0 0,0 1 0 0 0,1-1 0 0 0,-1 1 1 0 0,0-1-1 0 0,1 1 0 0 0,-1-1 0 0 0,0 1 0 0 0,0-1 0 0 0,1 1 0 0 0,-1-1 0 0 0,0 2 1 0 0,16 32 388 0 0,-13-26-384 0 0,0 0 1 0 0,1 0-1 0 0,0 0 0 0 0,0-1 1 0 0,1 0-1 0 0,10 13 0 0 0,4 0 133 0 0,1-1 0 0 0,1 0 0 0 0,40 26 0 0 0,-41-32-44 0 0,0 1 0 0 0,-1 1 0 0 0,0 1 0 0 0,-2 0-1 0 0,0 1 1 0 0,0 1 0 0 0,18 27 0 0 0,28 41 29 0 0,-61-85-1733 0 0,-2-4 517 0 0,-4-13 4 0 0,3 12 761 0 0,-1 0-1 0 0,0-1 1 0 0,1 1 0 0 0,-2 0-1 0 0,1 0 1 0 0,-5-7 0 0 0,-10-4-3438 0 0</inkml:trace>
  <inkml:trace contextRef="#ctx0" brushRef="#br0" timeOffset="1028.53">7009 884 919 0 0,'12'3'67'0'0,"-1"-1"10378"0"0,-36 11-9971 0 0,17-12-223 0 0,1 0 0 0 0,0-1 0 0 0,0 0 1 0 0,-1 0-1 0 0,1-1 0 0 0,-9-1 0 0 0,-44-14 230 0 0,47 12-434 0 0,-236-78 201 0 0,121 44-220 0 0,93 28-200 0 0,27 8 34 0 0,1 1 1 0 0,-1-1-1 0 0,1 1 0 0 0,-9 0 0 0 0,14 1-181 0 0,-2 3-260 0 0,4-3 554 0 0,0 0 0 0 0,-1 0 0 0 0,1 0 0 0 0,0 0 1 0 0,0 0-1 0 0,0 0 0 0 0,-1 0 0 0 0,1 1 0 0 0,0-1 1 0 0,0 0-1 0 0,0 0 0 0 0,-1 0 0 0 0,1 0 1 0 0,0 0-1 0 0,0 0 0 0 0,0 1 0 0 0,0-1 0 0 0,0 0 1 0 0,-1 0-1 0 0,1 0 0 0 0,0 0 0 0 0,0 1 0 0 0,0-1 1 0 0,0 0-1 0 0,0 0 0 0 0,0 1 0 0 0,0-1 0 0 0,0 0 1 0 0,0 0-1 0 0,-1 0 0 0 0,1 1 0 0 0,0-1 0 0 0,0 0 1 0 0,0 0-1 0 0,0 0 0 0 0,0 1 0 0 0,0-1 0 0 0,1 0 1 0 0,1 12-630 0 0</inkml:trace>
  <inkml:trace contextRef="#ctx0" brushRef="#br0" timeOffset="3481.41">6975 849 7743 0 0,'0'0'2631'0'0,"8"-16"-2496"0"0,-2 6 117 0 0,1 0 1 0 0,0 1-1 0 0,0 0 1 0 0,1 0 0 0 0,0 1-1 0 0,1 0 1 0 0,0 0-1 0 0,0 1 1 0 0,0 0 0 0 0,1 1-1 0 0,0 0 1 0 0,1 0-1 0 0,-1 1 1 0 0,1 0 0 0 0,0 1-1 0 0,0 1 1 0 0,23-5-1 0 0,39-7 800 0 0,124-42-1 0 0,-39 3-90 0 0,-102 40-812 0 0,62-8-1 0 0,-22 6-29 0 0,-67 12-95 0 0,1 1 0 0 0,41 1 0 0 0,-10 7 17 0 0,-11 0-10 0 0,-36-3-31 0 0,1 0 0 0 0,-1 1 0 0 0,26 9 0 0 0,8 2 0 0 0,-39-12 0 0 0,33 6 0 0 0,-1 2 0 0 0,0 2 0 0 0,57 25 0 0 0,91 58 0 0 0,-105-51 0 0 0,71 41 0 0 0,-149-80 0 0 0,-3-2 0 0 0,-1 0 0 0 0,1-1 0 0 0,-1 0 0 0 0,1 1 0 0 0,0-1 0 0 0,0 0 0 0 0,5 2 0 0 0,-2 1 11 0 0,-3-4 32 0 0,3 2-19 0 0,3-1 40 0 0,-6-1-8 0 0,4 2-46 0 0,2 3-10 0 0,8 1 0 0 0,10 7 0 0 0,-19-9 0 0 0,-3 2-16 0 0,-4-6-61 0 0,-13-1-5790 0 0,0-1 307 0 0</inkml:trace>
  <inkml:trace contextRef="#ctx0" brushRef="#br0" timeOffset="4183.72">8726 632 1375 0 0,'0'0'3922'0'0,"11"2"-2546"0"0,0 2-538 0 0,1 0 1 0 0,-1 1-1 0 0,0 0 1 0 0,19 13 0 0 0,40 32 22 0 0,12 10 136 0 0,47 39 469 0 0,-117-89-1413 0 0,-1 1-1 0 0,0 0 1 0 0,-1 0-1 0 0,0 1 1 0 0,-1 1 0 0 0,-1-1-1 0 0,0 1 1 0 0,8 19-1 0 0,-14-30-50 0 0,3 15-16 0 0,-4-16-51 0 0,-16-13-1868 0 0,-10-13-666 0 0,23 23 2232 0 0,-6-3-886 0 0,1 1 714 0 0</inkml:trace>
  <inkml:trace contextRef="#ctx0" brushRef="#br0" timeOffset="4686.26">9060 1026 7743 0 0,'0'0'356'0'0,"1"-1"-8"0"0,32-7-1338 0 0,10-3-3204 0 0,-15 6 4350 0 0,-26 5 484 0 0,5 0 349 0 0,0 1 0 0 0,0 0 0 0 0,10 2 0 0 0,-15-3-177 0 0,6 3 1695 0 0,-20-5-2273 0 0,-1 0-1 0 0,1 0 1 0 0,0-1 0 0 0,0-1-1 0 0,0 0 1 0 0,-20-11 0 0 0,-11-2 227 0 0,-2 2 273 0 0,0 3-1 0 0,-56-9 1 0 0,-95 2 71 0 0,172 19-1149 0 0,0 0 1 0 0,0 2 0 0 0,-32 6-1 0 0,38 0-406 0 0,15-4-2258 0 0,7 2-1090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2-20T09:53:02.194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1901 287 1375 0 0,'0'0'6850'0'0,"4"-8"-5340"0"0,-4 3-1411 0 0,0 1-1 0 0,-1-1 1 0 0,1 0-1 0 0,-1 1 1 0 0,-1-1-1 0 0,1 1 1 0 0,0-1-1 0 0,-1 1 1 0 0,0 0-1 0 0,0 0 0 0 0,-1 0 1 0 0,1 0-1 0 0,-1 0 1 0 0,1 0-1 0 0,-1 0 1 0 0,-1 1-1 0 0,1 0 1 0 0,-5-4-1 0 0,-1-1 47 0 0,-1 2 1 0 0,0-1-1 0 0,0 1 0 0 0,0 1 1 0 0,-1 0-1 0 0,-13-5 0 0 0,-209-62 1263 0 0,176 59-546 0 0,1 3 0 0 0,-73-4 1 0 0,-162 11 1614 0 0,-19 17-253 0 0,275-14-1995 0 0,-1 1-19 0 0,0 0 0 0 0,1 3 0 0 0,-48 10 1 0 0,65-10-157 0 0,1 2 1 0 0,0 0-1 0 0,-17 9 1 0 0,-6 5 13 0 0,-68 23 0 0 0,87-35-10 0 0,0 1 0 0 0,1 0 0 0 0,-32 20 0 0 0,48-25-58 0 0,0 0 0 0 0,0 0 0 0 0,0 0 0 0 0,0 0 0 0 0,0 1 0 0 0,1 0 0 0 0,-5 7 0 0 0,-4 7 0 0 0,-3 3 0 0 0,10-14 0 0 0,0-1 0 0 0,0 1 0 0 0,0-1 0 0 0,-1-1 0 0 0,-9 9 0 0 0,8-10 0 0 0,1 1 11 0 0,-1-2 31 0 0,0-1-20 0 0,6-2 31 0 0,1-3 0 0 0,0-3-31 0 0,0 4-19 0 0,0-1 10 0 0,0-1 1 0 0,0 1-1 0 0,0 0 0 0 0,0 0 1 0 0,1 0-1 0 0,-1 0 0 0 0,1 0 1 0 0,0 0-1 0 0,-1 0 0 0 0,1 0 0 0 0,0 0 1 0 0,0 0-1 0 0,0 0 0 0 0,0 0 1 0 0,1 0-1 0 0,-1 0 0 0 0,0 1 1 0 0,1-1-1 0 0,2-1 0 0 0,1-3-29 0 0,3-1-36 0 0,10-16 24 0 0,-10 15 28 0 0,-7 7 0 0 0,8-19 0 0 0,8-17 11 0 0,-3 11 97 0 0,-6 13-139 0 0,8-22-1 0 0,-11 24 32 0 0,-2 0 0 0 0,0 0 0 0 0,0 0 0 0 0,-1-1 0 0 0,0 1 0 0 0,-1-13 0 0 0,-1 14 0 0 0,-1-9 0 0 0,-2 6 0 0 0,1 6 0 0 0,0 0-11 0 0,1 6-42 0 0,7 21-222 0 0,-3-6 263 0 0,0-1 0 0 0,-1 1 0 0 0,1 28 0 0 0,-4-36 10 0 0,1-1 0 0 0,-1 0 0 0 0,0 1 0 0 0,0-1 0 0 0,-1 0 0 0 0,1 0-1 0 0,-1 0 1 0 0,0 0 0 0 0,-1 0 0 0 0,1 0 0 0 0,-1 0 0 0 0,0-1 0 0 0,-5 7 0 0 0,-28 27 2 0 0,31-31 0 0 0,-2 3 0 0 0,5-6 0 0 0,-1 10 0 0 0,1-5 0 0 0,2-3 0 0 0,-1 2 0 0 0,4 7 0 0 0,0 1 0 0 0,-2-2 0 0 0,-2-4 0 0 0,-1-1 0 0 0,-2-2 0 0 0,-1-3 15 0 0,4-4 405 0 0,32-9-351 0 0,-2 6-107 0 0,0 1 0 0 0,1 1 1 0 0,29 4-1 0 0,-15-2-46 0 0,45-1-122 0 0,-83 1 732 0 0,-4-1-1695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2-20T09:53:06.466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1825 430 4919 0 0,'0'0'2432'0'0,"-3"-9"-1632"0"0,-2-2-121 0 0,-1 1-1 0 0,-1 0 0 0 0,1 0 0 0 0,-2 0 1 0 0,-8-9-1 0 0,4 6-261 0 0,3 4-156 0 0,0 1 0 0 0,0 0-1 0 0,-20-12 1 0 0,4 2-23 0 0,-11-10 4 0 0,-1 2-1 0 0,-2 1 1 0 0,0 2 0 0 0,-55-23-1 0 0,55 31 131 0 0,0 1 0 0 0,-2 2 0 0 0,-46-8 0 0 0,17 12 67 0 0,0 4 0 0 0,-90 5 0 0 0,-8 0 828 0 0,38-2-279 0 0,99 2-746 0 0,0 2 0 0 0,-37 8 1 0 0,44-4-172 0 0,-1 1 0 0 0,-28 13 0 0 0,-5 3 100 0 0,39-16-66 0 0,0 1 0 0 0,0 1-1 0 0,1 1 1 0 0,-20 14 0 0 0,11-6-85 0 0,26-18-11 0 0,-1 0-1 0 0,0 0 1 0 0,0 1 0 0 0,1-1 0 0 0,-1 1 0 0 0,1-1 0 0 0,-1 1-1 0 0,1-1 1 0 0,-1 1 0 0 0,-1 3 0 0 0,-1 2 11 0 0,0 0-11 0 0,3-5-5 0 0,0 0-1 0 0,0 0 0 0 0,0 0 1 0 0,-1-1-1 0 0,1 1 1 0 0,-1 0-1 0 0,1-1 0 0 0,-1 1 1 0 0,1-1-1 0 0,-1 1 1 0 0,0-1-1 0 0,-2 2 0 0 0,0 0 29 0 0,-1 1-1 0 0,1-1 0 0 0,-1 0 0 0 0,1 0 0 0 0,-1-1 0 0 0,0 1 0 0 0,0-1 0 0 0,0 0 0 0 0,0-1 1 0 0,-1 1-1 0 0,-5 0 0 0 0,9-1 27 0 0,-2 2-36 0 0,2-1 20 0 0,-2 2-31 0 0,-1 2-11 0 0,0 1 0 0 0,-1-2 0 0 0,0 1 0 0 0,0-2 0 0 0,-1 0 12 0 0,1-2 48 0 0,4-2 0 0 0,-3 1-48 0 0,-1-4-12 0 0,3-2 0 0 0,0-1 0 0 0,1-1 0 0 0,1-1 0 0 0,3-1-12 0 0,1 1-36 0 0,1 0 36 0 0,-1 2 12 0 0,0-1 0 0 0,-1 0 0 0 0,3-9 0 0 0,-4 12 0 0 0,8-23 0 0 0,23-61 0 0 0,-6 15-93 0 0,-12 28 47 0 0,-14 43 4 0 0,1-4 31 0 0,0 0 0 0 0,-1 5-42 0 0,-1 20-147 0 0,0 1 140 0 0,1-11 55 0 0,-1 0-1 0 0,0 0 1 0 0,-1 0-1 0 0,0 0 1 0 0,0-1 0 0 0,-1 1-1 0 0,0-1 1 0 0,0 1-1 0 0,-1-1 1 0 0,0 0-1 0 0,-1 0 1 0 0,1-1 0 0 0,-8 9-1 0 0,0 0 6 0 0,1 0 0 0 0,-12 22 0 0 0,22-35 0 0 0,0 0 0 0 0,0 0 0 0 0,0 0 0 0 0,0 0 0 0 0,0 0 0 0 0,1 0 0 0 0,0 0 0 0 0,-1 0 0 0 0,1 6 0 0 0,0-9 0 0 0,0 4 0 0 0,1 0 0 0 0,-1 0 0 0 0,0 0 0 0 0,1 0 0 0 0,0 0 0 0 0,0 0 0 0 0,0 0 0 0 0,3 5 0 0 0,-4-8 0 0 0,3 9 0 0 0,-1 0 0 0 0,-2 0 0 0 0,-1-2 11 0 0,0-6 31 0 0,-4 5-28 0 0,4-6-12 0 0,1-1-1 0 0,0 0 0 0 0,0 1 0 0 0,-1-1 1 0 0,1 0-1 0 0,0 1 0 0 0,-1-1 0 0 0,1 0 0 0 0,0 0 1 0 0,-1 1-1 0 0,1-1 0 0 0,0 0 0 0 0,-1 0 1 0 0,1 1-1 0 0,-1-1 0 0 0,1 0 0 0 0,0 0 0 0 0,-1 0 1 0 0,1 0-1 0 0,-1 0 0 0 0,1 0 0 0 0,-1 0 1 0 0,1 0-1 0 0,-1 0 0 0 0,-5 1 43 0 0,-5 0 53 0 0,14-5 93 0 0,18-5 77 0 0,28 6-408 0 0,-44 4 134 0 0,-1-1 0 0 0,1 0 0 0 0,-1 0 1 0 0,1-1-1 0 0,-1 1 0 0 0,1-1 0 0 0,-1 0 1 0 0,8-3-1 0 0,2 0-7 0 0,51-7-156 0 0,106-3 0 0 0,-169 14 162 0 0,1 0-1 0 0,0 0 0 0 0,-1 0 1 0 0,1 0-1 0 0,0 1 0 0 0,-1-1 1 0 0,1 1-1 0 0,0 0 0 0 0,3 1 1 0 0,-5-1-67 0 0,1 6-1150 0 0,-2-6 1165 0 0,0-1 0 0 0,0 0 1 0 0,0 1-1 0 0,1-1 0 0 0,-1 1 1 0 0,0-1-1 0 0,0 0 0 0 0,0 1 0 0 0,0-1 1 0 0,0 1-1 0 0,0-1 0 0 0,0 1 0 0 0,0-1 1 0 0,0 0-1 0 0,0 1 0 0 0,-1-1 1 0 0,1 1-1 0 0,0-1 0 0 0,0 1 0 0 0,0-1 1 0 0,0 0-1 0 0,-1 1 0 0 0,0 1-350 0 0,1-1 0 0 0,-1 0 1 0 0,0 0-1 0 0,0 1 0 0 0,0-1 0 0 0,0 0 0 0 0,0 0 0 0 0,0 0 0 0 0,0 0 1 0 0,0 0-1 0 0,0 0 0 0 0,0 0 0 0 0,-1-1 0 0 0,-1 2 0 0 0,-10 2-5310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2-20T09:53:11.330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3126 464 6271 0 0,'0'0'571'0'0,"2"0"-472"0"0,13 1-51 0 0,-14-1 142 0 0,9 3 626 0 0,-9-3-793 0 0,0 0-1 0 0,0-1 1 0 0,0 1-1 0 0,-1-1 1 0 0,1 1-1 0 0,0-1 1 0 0,0 1-1 0 0,-1-1 1 0 0,1 1-1 0 0,0-1 1 0 0,-1 0-1 0 0,1 1 1 0 0,-1 0-1 0 0,1-2 0 0 0,-1 2 1 0 0,1-1-1 0 0,-1 0 1 0 0,1 0-1 0 0,-1 0 1 0 0,0 1-1 0 0,1-1 1 0 0,-1 0-1 0 0,0 0 1 0 0,0 0-1 0 0,1-1 1 0 0,-1 0 51 0 0,-1 1 0 0 0,1-1 1 0 0,0-1-1 0 0,-1 1 0 0 0,1 0 1 0 0,-1 0-1 0 0,0 0 0 0 0,0 1 1 0 0,1-1-1 0 0,-1 0 0 0 0,-2-2 1 0 0,0-2 277 0 0,-1 2 1 0 0,0-1-1 0 0,0 0 1 0 0,-1 1-1 0 0,1-1 1 0 0,-10-6-1 0 0,-15-5-166 0 0,-1 1 0 0 0,0 3 0 0 0,-47-16 0 0 0,11 6-166 0 0,-140-49 139 0 0,152 57 646 0 0,-106-15-1 0 0,60 13-281 0 0,-115-33 1 0 0,209 47-515 0 0,-236-54 287 0 0,-5 22 1056 0 0,-43 18-962 0 0,256 13-211 0 0,-1 2 1 0 0,-48 4-1 0 0,-18 15-24 0 0,53-14 3 0 0,-51 5 137 0 0,-20 2 198 0 0,52-3-186 0 0,44-5-249 0 0,1 1 0 0 0,0 1 0 0 0,0 1 0 0 0,1 1 0 0 0,0 1 0 0 0,0-1 0 0 0,-38 25 0 0 0,33-18-27 0 0,-1 0 0 0 0,0-2 0 0 0,-1-1 0 0 0,-40 9 0 0 0,44-13 275 0 0,-48 10 434 0 0,64-14-695 0 0,0 0 0 0 0,0 0 1 0 0,1 1-1 0 0,0 0 0 0 0,-1 1 0 0 0,-10 8 1 0 0,-46 44-36 0 0,55-48-12 0 0,-1-1 0 0 0,-13 10 1 0 0,20-16 8 0 0,-1 0-1 0 0,0 1 1 0 0,0 0 0 0 0,0-1 0 0 0,0-1 0 0 0,0 1 0 0 0,-1-2 0 0 0,1 2 0 0 0,-8 0 0 0 0,-5 1 27 0 0,12-2 38 0 0,0 0-1 0 0,0 0 1 0 0,0-1 0 0 0,-9 0-1 0 0,13 2-18 0 0,-4 0-31 0 0,4 0 20 0 0,3 6-31 0 0,0-1 0 0 0,-1-6 106 0 0,0-2-64 0 0,6-3-42 0 0,0 0 0 0 0,-4 2 31 0 0,4-1-31 0 0,1 0-11 0 0,0-2 0 0 0,0 1 0 0 0,-7 3 0 0 0,-1 1 0 0 0,1 0 0 0 0,0-1 0 0 0,-1 1 0 0 0,1-1 0 0 0,0 1 0 0 0,-1-1 0 0 0,1 1 0 0 0,0-1 0 0 0,-1 1 0 0 0,1-1 0 0 0,-1 1 0 0 0,1 0 0 0 0,-1-1 0 0 0,0 1 0 0 0,1-1 0 0 0,-1 0 0 0 0,1 0 0 0 0,5-14 0 0 0,4 1 0 0 0,19-23 0 0 0,-2 5 0 0 0,-21 22-12 0 0,-1 2 0 0 0,-1-2 0 0 0,1 0 0 0 0,-1 1 0 0 0,4-19 0 0 0,-7-22 15 0 0,-1 40-14 0 0,-1 1-1 0 0,2-2 1 0 0,0 0 0 0 0,3-15 0 0 0,2-4-11 0 0,-6 28-34 0 0,-4 22-758 0 0,-5 2 782 0 0,0-1 0 0 0,-1 0-1 0 0,-1-1 1 0 0,-15 20 0 0 0,22-33 34 0 0,-111 157-66 0 0,113-162 64 0 0,-6 11 0 0 0,5-3 0 0 0,2-9 0 0 0,1 0 0 0 0,-1 1 0 0 0,0 0 0 0 0,1 0 0 0 0,0-1 0 0 0,-1 1 0 0 0,1 0 0 0 0,0 0 0 0 0,0 0 0 0 0,0 0 0 0 0,0-1 0 0 0,1 4 0 0 0,0-1 0 0 0,0 7 0 0 0,1-1 11 0 0,1-2 32 0 0,1 1-43 0 0,-3-7 101 0 0,0-3-68 0 0,1 0-1 0 0,0-1 1 0 0,-1 1 0 0 0,1 0-1 0 0,-1-1 1 0 0,1 1 0 0 0,-1 0-1 0 0,1-1 1 0 0,-1 2 0 0 0,0-2 0 0 0,0 1-1 0 0,1-3 1 0 0,6-5 65 0 0,-1 3-74 0 0,-1-1 0 0 0,2 2 0 0 0,-1 0 1 0 0,0 0-1 0 0,1 1 0 0 0,0 0 0 0 0,0 0 1 0 0,1 1-1 0 0,11-4 0 0 0,5 0-24 0 0,-14 3-43 0 0,1-1-1 0 0,0 2 1 0 0,17-1 0 0 0,4 1-123 0 0,42 2 1 0 0,-35 1 128 0 0,-25-1 23 0 0,26 2 1 0 0,36-1-313 0 0,-75 1 227 0 0,-14 6-1476 0 0,9-5 1321 0 0,0 0 0 0 0,1-1-1 0 0,-1 2 1 0 0,0-2 0 0 0,-1 0 0 0 0,-4 2-1 0 0,-9-2-1197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2-20T09:53:15.653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5226 657 919 0 0,'0'0'7378'0'0,"5"-14"-6556"0"0,-11 3-519 0 0,0 0-1 0 0,-1 1 0 0 0,0 0 0 0 0,0-1 0 0 0,-1 3 1 0 0,-1-2-1 0 0,1 2 0 0 0,-16-13 0 0 0,-55-33-23 0 0,63 44-259 0 0,-10-4-12 0 0,-1 0 0 0 0,0 3 0 0 0,-51-17 1 0 0,43 18 83 0 0,2-3 0 0 0,-33-16 0 0 0,2-2 749 0 0,-99-34 0 0 0,-72-9 937 0 0,165 53-1478 0 0,-23-6 18 0 0,-2 4-1 0 0,-102-13 0 0 0,112 21 10 0 0,-3 1 76 0 0,40 8-157 0 0,-202-26 554 0 0,207 25-484 0 0,-64-1 0 0 0,-7 10 333 0 0,102-1-578 0 0,-113 11 374 0 0,7 0-294 0 0,80-7 15 0 0,-62 13-1 0 0,7 1 404 0 0,73-15-469 0 0,-1 1 0 0 0,0 0 0 0 0,0 1 0 0 0,-25 13 0 0 0,-74 46 328 0 0,-25 14 64 0 0,110-60-407 0 0,31-17-54 0 0,-15 9 253 0 0,-35 24 0 0 0,3 2-137 0 0,23-18 8 0 0,-46 44-1 0 0,51-42-62 0 0,0-2 0 0 0,-36 22 1 0 0,42-29-66 0 0,-2 2 184 0 0,1 2-1 0 0,-18 16 1 0 0,28-23-195 0 0,5-6 3 0 0,1 0 1 0 0,-1-1 0 0 0,0 2-1 0 0,1-1 1 0 0,-4 8 0 0 0,-4 6-7 0 0,6-12 40 0 0,3-3 0 0 0,-2 2-31 0 0,0-2 38 0 0,5-3 231 0 0,4-3 155 0 0,-2 0-925 0 0,1-1 418 0 0,-4 5 61 0 0,-1-1-1 0 0,1 1 1 0 0,-1 0-1 0 0,1-1 0 0 0,-1 1 1 0 0,1-1-1 0 0,-1 1 1 0 0,1-1-1 0 0,-1 1 1 0 0,0-2-1 0 0,1 2 1 0 0,-1-1-1 0 0,0 1 1 0 0,0-1-1 0 0,1 0 1 0 0,-1 1-1 0 0,0-1 0 0 0,0 1 1 0 0,0-1-1 0 0,0 1 1 0 0,0 0-1 0 0,0-1 1 0 0,0 0-1 0 0,0 0 1 0 0,0-1 1 0 0,1-12 22 0 0,0 1 1 0 0,-2-26-1 0 0,0 28-4 0 0,1 1 1 0 0,2-20-1 0 0,2 3-53 0 0,2 1 1 0 0,1-2-1 0 0,1 2 0 0 0,2 1 1 0 0,0-1-1 0 0,28-46 0 0 0,-32 62-27 0 0,-5 8 62 0 0,4-18-1 0 0,-4 13-11 0 0,-1 6-45 0 0,-9 21-197 0 0,-9 21 206 0 0,5-10-9 0 0,-21 38-1 0 0,19-45 57 0 0,8-10 0 0 0,-1-1 0 0 0,0 0 0 0 0,-1 0 0 0 0,0-1 0 0 0,-15 15 0 0 0,16-19 0 0 0,0 0 0 0 0,0 0 0 0 0,1 1 0 0 0,-9 13 0 0 0,3 1 0 0 0,-13 28 0 0 0,23-43 0 0 0,-2 2 16 0 0,4-5 24 0 0,3 5-21 0 0,-2-10-14 0 0,0 1-1 0 0,0-1 1 0 0,0 0 0 0 0,0 1 0 0 0,0-1-1 0 0,0 1 1 0 0,1-1 0 0 0,-1 1 0 0 0,0-1-1 0 0,0 0 1 0 0,0 1 0 0 0,1-1 0 0 0,-1 0-1 0 0,0 1 1 0 0,0-1 0 0 0,1 0 0 0 0,-1 1-1 0 0,0-1 1 0 0,1 0 0 0 0,-1 0 0 0 0,0 1-1 0 0,1-1 1 0 0,-1 0 0 0 0,0 0 0 0 0,1 1-1 0 0,-1-1 1 0 0,1 0 0 0 0,-1 0 0 0 0,0 0-1 0 0,1 0 1 0 0,-1 0 0 0 0,1 0 0 0 0,-1 0-1 0 0,1 0 1 0 0,-1 0 0 0 0,0 0 0 0 0,1 0-1 0 0,-1 0 1 0 0,1 0 0 0 0,9-3 34 0 0,59-19 42 0 0,-29 8-82 0 0,88-18 1 0 0,-103 28-6 0 0,8-1-95 0 0,64-2 0 0 0,-97 7-59 0 0,-11 0-560 0 0,-1 1 0 0 0,0 0-1 0 0,1 1 1 0 0,-1 0 0 0 0,-12 3 0 0 0,-17 18-3413 0 0,31-16 2483 0 0</inkml:trace>
  <inkml:trace contextRef="#ctx0" brushRef="#br0" timeOffset="2280.34">1453 661 6247 0 0,'0'0'5730'0'0,"-3"-9"-5038"0"0,-3-5-141 0 0,0 2 0 0 0,-1-1 0 0 0,-9-12 0 0 0,12 20-404 0 0,1-1-1 0 0,-1 2 1 0 0,-1-1-1 0 0,1 2 0 0 0,0-1 1 0 0,-1-1-1 0 0,1 2 0 0 0,-1-1 1 0 0,0 1-1 0 0,-7-2 0 0 0,-19-9 157 0 0,-1 2 0 0 0,0 2 0 0 0,-63-12 0 0 0,52 13 561 0 0,-60-18-1 0 0,81 20-616 0 0,1 1 0 0 0,-1 1 0 0 0,-25 0 0 0 0,-68 0 442 0 0,74 2-313 0 0,-147-14 1276 0 0,174 14-1621 0 0,0 2-1 0 0,0 0 1 0 0,0 1-1 0 0,0 0 1 0 0,0 1-1 0 0,0 2 1 0 0,1-1 0 0 0,-1 1-1 0 0,1-1 1 0 0,-22 11-1 0 0,-45 25 87 0 0,31-15-20 0 0,15-9 20 0 0,9-4-18 0 0,19-8-71 0 0,0 0 1 0 0,1 0-1 0 0,-1 1 1 0 0,1 0-1 0 0,-1 0 1 0 0,-4 4-1 0 0,0 1-14 0 0,3-3-4 0 0,1 1 1 0 0,0 0-1 0 0,0-1 0 0 0,0 3 0 0 0,-6 7 0 0 0,-15 18 286 0 0,23-30-215 0 0,-7 14 299 0 0,4-9-294 0 0,8-6-44 0 0,7-4-31 0 0,1-1-11 0 0,0-1 0 0 0,-3-3 0 0 0,-3 4 0 0 0,0-2-1 0 0,0 2 1 0 0,-1 0-1 0 0,0 0 1 0 0,1-1-1 0 0,-1-1 1 0 0,0 1 0 0 0,-1 0-1 0 0,1 1 1 0 0,-1-1-1 0 0,1-7 1 0 0,0 3-1 0 0,0 1 0 0 0,0 0 1 0 0,5-8-1 0 0,25-61 1 0 0,-29 68-1 0 0,6-10-13 0 0,-1-1-1 0 0,0 0 0 0 0,-2 1 0 0 0,6-27 0 0 0,-12 42-27 0 0,0-3 20 0 0,0 4-31 0 0,0 4-83 0 0,1 1 128 0 0,-1 0-1 0 0,0 0 1 0 0,0 1 0 0 0,-1-1 0 0 0,1 0-1 0 0,-1 0 1 0 0,1 0 0 0 0,-1 1-1 0 0,0-1 1 0 0,0 0 0 0 0,0 0-1 0 0,-1 0 1 0 0,1 0 0 0 0,-1-1-1 0 0,-3 7 1 0 0,2-5 5 0 0,-4 5-7 0 0,0 1 1 0 0,0-2-1 0 0,-14 14 0 0 0,-14 15-15 0 0,-3 21 25 0 0,22-22 0 0 0,11-24 0 0 0,-1 1 0 0 0,0-2 0 0 0,-13 21 0 0 0,18-30 12 0 0,0-1 0 0 0,-1 0 0 0 0,1 1 1 0 0,-1-1-1 0 0,1 2 0 0 0,-1-2 0 0 0,1 1 0 0 0,-1-1 0 0 0,0 0 0 0 0,-4 2 0 0 0,3-1 23 0 0,2-1 238 0 0,2-1-214 0 0,5-3-47 0 0,2-1-12 0 0,-1 1 0 0 0,0-3 0 0 0,-3 4 11 0 0,0-3 0 0 0,0 1 0 0 0,0 0 0 0 0,5-9 0 0 0,-6 9-2 0 0,2-2-16 0 0,1 2-1 0 0,-1-1 1 0 0,1 2 0 0 0,0-1-1 0 0,0 0 1 0 0,1 0-1 0 0,-1 1 1 0 0,1 1 0 0 0,0-1-1 0 0,0 2 1 0 0,-1-1 0 0 0,15-3-1 0 0,6 2-56 0 0,53 0 0 0 0,-15 5-1140 0 0,-64-3 1132 0 0,0 1 0 0 0,1-1 0 0 0,-1 1-1 0 0,0-1 1 0 0,0 0 0 0 0,0 1 0 0 0,0-1 0 0 0,1 0 0 0 0,-1 0 0 0 0,1-1-1 0 0,-1 1-268 0 0,0 0 0 0 0,0 0 0 0 0,0 1-1 0 0,0-1 1 0 0,0 1 0 0 0,1-1-1 0 0,-1-1 1 0 0,0 2 0 0 0,1-1 0 0 0,1 0-1 0 0,-2 1 124 0 0,0 1 0 0 0,-1-1 1 0 0,1 1-1 0 0,0 1 0 0 0,0-2 0 0 0,-1 1 0 0 0,1 0 0 0 0,0-1 0 0 0,-1 0 0 0 0,1 1 0 0 0,-1 0 1 0 0,1-1-1 0 0,-1 1 0 0 0,1 0 0 0 0,-1 0 0 0 0,0 0 0 0 0,1 0 0 0 0,-1 1 0 0 0,0 7-5298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2-20T09:53:36.463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1695 250 2303 0 0,'0'0'5354'0'0,"14"-10"-4509"0"0,-13 9-802 0 0,0-1-1 0 0,0 0 1 0 0,0 0-1 0 0,0 1 1 0 0,0-1-1 0 0,-1 0 1 0 0,1 0-1 0 0,-1 0 1 0 0,1 0-1 0 0,-1 0 1 0 0,0 0 0 0 0,1 0-1 0 0,-1 0 1 0 0,0 0-1 0 0,-1 0 1 0 0,1 0-1 0 0,0 0 1 0 0,-1-2-1 0 0,0 1 128 0 0,0-1 0 0 0,-1 1 0 0 0,1 0-1 0 0,-1 0 1 0 0,0 0 0 0 0,0 0 0 0 0,0 0-1 0 0,0 0 1 0 0,-4-3 0 0 0,-5-4 452 0 0,0 0-1 0 0,-1 1 1 0 0,-22-13 0 0 0,33 21-622 0 0,-17-9 75 0 0,0 1 0 0 0,0 1 1 0 0,-1 1-1 0 0,-28-8 0 0 0,-82-12 509 0 0,84 19-480 0 0,-38-6 474 0 0,0 4 0 0 0,0 3 0 0 0,-118 6 0 0 0,156 5-450 0 0,1 1 0 0 0,0 3 0 0 0,-71 21 0 0 0,-199 74 642 0 0,298-97-667 0 0,1 1 1 0 0,-1 0 0 0 0,-23 16 0 0 0,32-18-46 0 0,-1 1 0 0 0,1 0 1 0 0,0 1-1 0 0,0 0 0 0 0,0 0 0 0 0,1 0 1 0 0,-10 17-1 0 0,-2 11-33 0 0,-9 14 70 0 0,25-45-77 0 0,-1 0-1 0 0,0 0 1 0 0,-1 0-1 0 0,1 0 0 0 0,-1-1 1 0 0,1 1-1 0 0,-1-1 1 0 0,-6 4-1 0 0,8-6-15 0 0,0 0 4 0 0,0 0 1 0 0,0 0-1 0 0,0 0 1 0 0,0 0-1 0 0,0-1 1 0 0,0 1-1 0 0,0-1 0 0 0,0 0 1 0 0,0 1-1 0 0,0-1 1 0 0,-1 0-1 0 0,-2-1 1 0 0,2 1 87 0 0,0 0 0 0 0,0 0 0 0 0,0 0 1 0 0,0-1-1 0 0,1 0 0 0 0,-5-1 1 0 0,6 2 97 0 0,-5-7 566 0 0,5 5-673 0 0,1 3-143 0 0,-5-21 901 0 0,2 13-833 0 0,-1 1-10 0 0,1 0 11 0 0,2-2 31 0 0,1-1-31 0 0,0 1-11 0 0,1-4 25 0 0,-1 11-7 0 0,9-17 3 0 0,3-3-21 0 0,-9 17 0 0 0,-1 0 0 0 0,1 0 0 0 0,-1-1 0 0 0,0 1 0 0 0,2-6 0 0 0,-2 3-3 0 0,0 1 0 0 0,0 0 0 0 0,-1-1 0 0 0,0 0 0 0 0,-1 1 0 0 0,1-1 0 0 0,-1 1 0 0 0,-1-1 0 0 0,1 0 0 0 0,-3-7 0 0 0,2 7 0 0 0,0 1 0 0 0,1-1 0 0 0,-1 0 0 0 0,1 0 0 0 0,1 0 0 0 0,-1 0 0 0 0,1 1-1 0 0,0-1 1 0 0,3-9 0 0 0,-1 8 3 0 0,1 2 0 0 0,0 2 0 0 0,2 0 0 0 0,2 4 0 0 0,-1 6-11 0 0,-6-3 5 0 0,1 0-1 0 0,-1 1 0 0 0,0-1 0 0 0,0 0 1 0 0,0 1-1 0 0,0-1 0 0 0,-1 1 0 0 0,1-1 1 0 0,-1 1-1 0 0,0 0 0 0 0,0-1 0 0 0,0 1 1 0 0,-1-1-1 0 0,0 4 0 0 0,-2 10-7 0 0,-8 25 0 0 0,10-38 16 0 0,-27 73-61 0 0,12-37 62 0 0,-10 44-1 0 0,24-75-2 0 0,0 0 0 0 0,-1 1 0 0 0,1-3 11 0 0,2-5 42 0 0,30 5 71 0 0,-11-9-49 0 0,0-1 0 0 0,22-6 0 0 0,16-3-21 0 0,-36 9-35 0 0,82-9 129 0 0,-92 12-167 0 0,-1 0 0 0 0,0 1-1 0 0,0-1 1 0 0,0 2 0 0 0,0 0 0 0 0,0 0-1 0 0,18 6 1 0 0,-27-7-69 0 0,-2 0-430 0 0,-1 0 400 0 0,0 0-1 0 0,0-1 1 0 0,0 1 0 0 0,1 0 0 0 0,-1-1-1 0 0,0 1 1 0 0,0-1 0 0 0,-3 1 0 0 0,-8-1-1338 0 0,0 1 0 0 0,0-2 1 0 0,-15-1-1 0 0,16 0-1101 0 0,-12 0-2729 0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2-20T09:53:39.600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6637 572 2559 0 0,'0'0'116'0'0,"-13"-10"16"0"0,0-2 341 0 0,-2 0 0 0 0,-25-15-1 0 0,-5-5 254 0 0,18 14-589 0 0,0 1 0 0 0,-1 1-1 0 0,-1 2 1 0 0,-36-14-1 0 0,20 9 53 0 0,-4 0 898 0 0,-62-15 0 0 0,19 8-39 0 0,-190-40 1172 0 0,54 16-1580 0 0,166 34-289 0 0,-76-10 0 0 0,-54-8 430 0 0,-49-6 462 0 0,80 18-1042 0 0,-18-2 302 0 0,-91 17 197 0 0,67 4-478 0 0,-86 9 1047 0 0,141 1-262 0 0,131-6-948 0 0,-30 6 0 0 0,-3 1 137 0 0,-14 2 105 0 0,45-6-186 0 0,1-1 0 0 0,-1 0-1 0 0,-21-1 1 0 0,-116-3 477 0 0,122 1-313 0 0,-50 5-1 0 0,25 0 5 0 0,-12 3-149 0 0,46-4-62 0 0,-48 0 0 0 0,-10-7 116 0 0,-134 3 346 0 0,28 0-198 0 0,83-2-208 0 0,102 2-128 0 0,-24 0 32 0 0,-47 5 0 0 0,-70 14 32 0 0,120-17-43 0 0,0-1-1 0 0,-31-3 0 0 0,-26 0 36 0 0,9 2 110 0 0,-19 0 63 0 0,-124 10 111 0 0,11-4-216 0 0,110 4 8 0 0,68-7-79 0 0,-38 0 0 0 0,-10 0 105 0 0,64-2-133 0 0,-14 2 18 0 0,-1 0 0 0 0,1 1-1 0 0,-32 11 1 0 0,-111 44-43 0 0,134-47 8 0 0,16-7 20 0 0,0 1 0 0 0,1 1-1 0 0,0 0 1 0 0,-17 11 0 0 0,4 2 25 0 0,0-2-1 0 0,-1-1 1 0 0,-1-2 0 0 0,-67 23 0 0 0,2-7 117 0 0,85-26-147 0 0,0 0-1 0 0,1 1 0 0 0,0 0 0 0 0,1 1 0 0 0,-1 0 0 0 0,-10 9 0 0 0,13-8-15 0 0,0-2 1 0 0,0 1-1 0 0,-16 9 0 0 0,2-5 16 0 0,-27 9 0 0 0,42-18 30 0 0,5-2 35 0 0,7-5-49 0 0,17-14-81 0 0,1-1-152 0 0,5-5-316 0 0,-22 19 493 0 0,-1-1-1 0 0,1 0 1 0 0,-2 0-1 0 0,8-14 1 0 0,-9 15 6 0 0,0 1 0 0 0,0-1 1 0 0,1 1-1 0 0,6-8 0 0 0,17-17 11 0 0,-9 9 0 0 0,39-34 0 0 0,-42 41-28 0 0,-10 9 13 0 0,0 0 0 0 0,0 0 0 0 0,1 0 0 0 0,-1 1 1 0 0,11-6-1 0 0,-9 5 4 0 0,0 0 22 0 0,-1 0 31 0 0,-1 0-42 0 0,-5 4-53 0 0,0 3-151 0 0,0 2 200 0 0,0-1 0 0 0,-1 1 0 0 0,1 0 0 0 0,-1 0 0 0 0,0 0 0 0 0,-1-1 0 0 0,1 1 0 0 0,0-1 0 0 0,-1 1 0 0 0,0-1 1 0 0,0 1-1 0 0,0-1 0 0 0,0 0 0 0 0,-1 0 0 0 0,1 0 0 0 0,-1 0 0 0 0,0-1 0 0 0,-4 4 0 0 0,-7 9-5 0 0,-47 56 84 0 0,-52 63-22 0 0,107-128-53 0 0,0 0 0 0 0,0 0 84 0 0,2-1 189 0 0,22-9-110 0 0,21-5-163 0 0,19-2-51 0 0,0 2 0 0 0,0 3 0 0 0,92 2 0 0 0,-119 5-42 0 0,-8-1-9 0 0,1 1-1 0 0,-1 1 1 0 0,0 1-1 0 0,25 7 1 0 0,-46-10 31 0 0,1 1-30 0 0,-3-1 88 0 0,0 0 0 0 0,0 0-1 0 0,1 0 1 0 0,-1 0 0 0 0,0 0-1 0 0,0 0 1 0 0,0 0 0 0 0,1 0 0 0 0,-1 1-1 0 0,0-1 1 0 0,0 0 0 0 0,0 0-1 0 0,1 0 1 0 0,-1 0 0 0 0,0 0-1 0 0,0 0 1 0 0,0 0 0 0 0,0 0-1 0 0,1 1 1 0 0,-1-1 0 0 0,0 0 0 0 0,0 0-1 0 0,0 0 1 0 0,0 0 0 0 0,0 1-1 0 0,1-1 1 0 0,-1 0 0 0 0,0 0-1 0 0,0 0 1 0 0,0 1 0 0 0,0-1-1 0 0,-2 3-110 0 0,-1 0 0 0 0,1 0-1 0 0,-1 0 1 0 0,0-1 0 0 0,0 1-1 0 0,0-1 1 0 0,0 0-1 0 0,0 1 1 0 0,-1-2 0 0 0,1 1-1 0 0,0 0 1 0 0,-6 1 0 0 0,-13 5-3178 0 0,20-8 1089 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2-20T09:56:58.025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0 314 919 0 0,'2'0'67'0'0,"6"-2"1031"0"0,-1 1 0 0 0,1-2 0 0 0,-1 1 0 0 0,8-5-1 0 0,4-2 332 0 0,27-18 0 0 0,-3-5-310 0 0,11-6-186 0 0,-36 28-405 0 0,0 0 1 0 0,1 1 0 0 0,37-11-1 0 0,62-9 293 0 0,-25 7-496 0 0,-62 14-323 0 0,-1 2 1 0 0,1 1 0 0 0,32-1-1 0 0,15-5-2 0 0,-47 6 0 0 0,-6 1 0 0 0,0 0 0 0 0,27-2 0 0 0,138-11 0 0 0,-78 9 54 0 0,-87 7-15 0 0,-19 2-30 0 0,0-1-1 0 0,0 0 1 0 0,0-1 0 0 0,8-1-1 0 0,7-2-8 0 0,0 1 0 0 0,1 1 0 0 0,21 1 0 0 0,39 10 0 0 0,-70-9 0 0 0,0 1 0 0 0,13 4 0 0 0,19 1 0 0 0,30 0 0 0 0,-41-2 0 0 0,40-2 0 0 0,58-1 0 0 0,-111 0 0 0 0,20 3 0 0 0,-22-1 0 0 0,13 3 0 0 0,-24-4 0 0 0,1 0 0 0 0,0-1 0 0 0,12 1 0 0 0,0-1-10 0 0,0 2-1 0 0,0 0 0 0 0,0 1 1 0 0,0 1-1 0 0,20 8 0 0 0,32 8-13 0 0,-37-12 24 0 0,-14-3 0 0 0,29 3 0 0 0,-13-2-13 0 0,0 0 0 0 0,-1 3-1 0 0,58 22 1 0 0,-90-30 56 0 0,5 2-40 0 0,0 1 0 0 0,0 0 0 0 0,16 11 1 0 0,25 21-7 0 0,-37-28 8 0 0,60 37 54 0 0,-7-11 461 0 0,-56-30-437 0 0,-4-3-2 0 0,20 16 166 0 0,-23-16-204 0 0,4 2-22 0 0,-5-3 7 0 0,-14-7-1291 0 0,-1 1 63 0 0</inkml:trace>
  <inkml:trace contextRef="#ctx0" brushRef="#br0" timeOffset="695.55">2797 79 1375 0 0,'-113'-26'1234'0'0,"75"19"-680"0"0,24 5 6869 0 0,14 4-7066 0 0,3 6-5 0 0,-3-6 536 0 0,1 0-632 0 0,1 3-195 0 0,-1-1 0 0 0,0 1-1 0 0,-1-1 1 0 0,1 1 0 0 0,-1-1-1 0 0,1 1 1 0 0,-1-1 0 0 0,-1 1-1 0 0,1-1 1 0 0,-1 1 0 0 0,1-1-1 0 0,-1 1 1 0 0,-2 3 0 0 0,2-5 17 0 0,1 4-1 0 0,-1-1-1 0 0,0 1 1 0 0,-4 12-1 0 0,4-13-4 0 0,-1 1 0 0 0,1 0 0 0 0,-2 13 0 0 0,4-12-4 0 0,0 0 1 0 0,0 0-1 0 0,0 0 1 0 0,1 0-1 0 0,0 0 1 0 0,0-1-1 0 0,1 1 1 0 0,0-1-1 0 0,1 1 1 0 0,0-1-1 0 0,0 0 1 0 0,0-1-1 0 0,1 1 1 0 0,-1-1-1 0 0,2 1 1 0 0,8 7-1 0 0,-5-5 49 0 0,1-1 0 0 0,0 0-1 0 0,0-1 1 0 0,1 0 0 0 0,0-1 0 0 0,0 0-1 0 0,0-1 1 0 0,1 0 0 0 0,20 5 0 0 0,-24-6-53 0 0,-5-2-62 0 0,15-2 142 0 0,-5 0-144 0 0,-3-1-24 0 0,-7 0-109 0 0</inkml:trace>
  <inkml:trace contextRef="#ctx0" brushRef="#br0" timeOffset="1394.16">2444 52 1375 0 0,'-2'0'107'0'0,"-12"-3"253"0"0,9-2 5293 0 0,7 4-4873 0 0,1-1-528 0 0,1 0-1 0 0,-1 1 0 0 0,1-1 0 0 0,-1 1 1 0 0,1 0-1 0 0,0 0 0 0 0,-1 0 1 0 0,1 1-1 0 0,0 0 0 0 0,5-1 0 0 0,2 2 406 0 0,0 0 1 0 0,13 3-1 0 0,-1 1 58 0 0,-20-5-646 0 0,0 1-1 0 0,-1 0 1 0 0,1 1-1 0 0,-1-1 1 0 0,1 0-1 0 0,-1 1 1 0 0,0-1-1 0 0,0 1 1 0 0,3 2-1 0 0,9 7 112 0 0,16 9 119 0 0,0 2-1 0 0,-2 1 0 0 0,46 47 1 0 0,-2 0-2 0 0,2 1 140 0 0,-7 1-137 0 0,-59-63-240 0 0,-6-7 103 0 0,-18-21-226 0 0,9 11-305 0 0,-1 2 0 0 0,1-1 1 0 0,-1 1-1 0 0,0 0 0 0 0,0 1 0 0 0,-1 0 0 0 0,0 0 0 0 0,0 0 0 0 0,0 2 1 0 0,-12-5-1 0 0,5 3-446 0 0</inkml:trace>
  <inkml:trace contextRef="#ctx0" brushRef="#br0" timeOffset="1953.15">2930 437 1375 0 0,'0'0'10238'0'0,"0"-2"-9884"0"0,0 1-283 0 0,0-1-1 0 0,-1 1 0 0 0,1-1 1 0 0,0 0-1 0 0,0 1 0 0 0,-1-1 0 0 0,1 1 1 0 0,-1 0-1 0 0,0-1 0 0 0,1 1 1 0 0,-1-1-1 0 0,0 1 0 0 0,0 0 1 0 0,0-1-1 0 0,1 1 0 0 0,-2 0 0 0 0,1 0 1 0 0,-1-1-1 0 0,-2-1 8 0 0,0 0-1 0 0,0 0 1 0 0,-1 0 0 0 0,-8-3-1 0 0,-3-1-11 0 0,-1 1 0 0 0,0 1 0 0 0,0 1 0 0 0,-20-3 0 0 0,-74-4 18 0 0,63 7 10 0 0,-57-4 53 0 0,-153 9 0 0 0,252 0-145 0 0,-78 7 7 0 0,74-7-9 0 0,-1 1 0 0 0,1 1 0 0 0,0 0 0 0 0,0 0-1 0 0,-17 10 1 0 0,25-13-1 0 0,1 1-1 0 0,0 0 0 0 0,0-1 1 0 0,0 1-1 0 0,-1 0 1 0 0,1 0-1 0 0,0 0 0 0 0,0 0 1 0 0,0 0-1 0 0,1 1 1 0 0,-1-1-1 0 0,0 0 0 0 0,0 0 1 0 0,1 1-1 0 0,-1-1 1 0 0,0 0-1 0 0,1 0 0 0 0,0 1 1 0 0,-1-1-1 0 0,1 1 1 0 0,0-1-1 0 0,-1 1 0 0 0,1-1 1 0 0,0 0-1 0 0,0 3 1 0 0,1-1-355 0 0,-1 0 0 0 0,1 0-1 0 0,0 0 1 0 0,0 0 0 0 0,0 0 0 0 0,0-1 0 0 0,0 1 0 0 0,1 0 0 0 0,-1-1 0 0 0,1 1 0 0 0,3 4 0 0 0,10 8-4034 0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2-20T09:57:06.816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139 356 7135 0 0,'0'0'4728'0'0,"2"-2"-4397"0"0,47-38 1842 0 0,-39 34-1936 0 0,-1 0 0 0 0,1 0 1 0 0,0 1-1 0 0,1 1 0 0 0,13-4 0 0 0,82-17 175 0 0,2-1-415 0 0,-31-1 2 0 0,-45 14 28 0 0,63-16 1 0 0,-41 17-17 0 0,34-6-12 0 0,-28 9 1 0 0,77-9 0 0 0,-95 16 6 0 0,-24 1-44 0 0,0 0 1 0 0,0 1 0 0 0,0 0-1 0 0,1 1 1 0 0,19 5 0 0 0,156 34-153 0 0,-159-33 190 0 0,-2 2 0 0 0,2 1 0 0 0,54 23 0 0 0,-73-25 0 0 0,-1 1 0 0 0,0 1 0 0 0,0 0 0 0 0,0 1 0 0 0,-1 1 0 0 0,13 13 0 0 0,12 13-7 0 0,41 44-47 0 0,-70-70 54 0 0,-1-1-1 0 0,0 2 1 0 0,0 0-1 0 0,-2 1 1 0 0,8 18-1 0 0,-8-19 1 0 0,4 12-113 0 0,-11-14-4 0 0,-1-6 43 0 0,1-2-731 0 0</inkml:trace>
  <inkml:trace contextRef="#ctx0" brushRef="#br0" timeOffset="884.11">346 22 7687 0 0,'0'0'696'0'0,"-2"-1"-525"0"0,-13-13 762 0 0,14 13-601 0 0,-3-3-214 0 0,4 4-37 0 0,0 0 0 0 0,0 0 0 0 0,0 0 0 0 0,0 0 1 0 0,-1 0-1 0 0,1 0 0 0 0,0 0 0 0 0,0 0 1 0 0,0 0-1 0 0,0-1 0 0 0,0 1 0 0 0,0 0 1 0 0,0 0-1 0 0,0 0 0 0 0,-1 0 0 0 0,1 0 0 0 0,0 0 1 0 0,0 0-1 0 0,0 0 0 0 0,0 0 0 0 0,0 0 1 0 0,0 0-1 0 0,0 0 0 0 0,-1 0 0 0 0,1 0 0 0 0,0 0 1 0 0,0 0-1 0 0,0 0 0 0 0,0 0 0 0 0,0 0 1 0 0,0 0-1 0 0,0 0 0 0 0,-1 0 0 0 0,1 0 1 0 0,0 0-1 0 0,0 0 0 0 0,0 1 0 0 0,0-1 0 0 0,0 0 1 0 0,0 0-1 0 0,0 0 0 0 0,0 0 0 0 0,0 0 1 0 0,-1 0-1 0 0,1 0 0 0 0,0 0 0 0 0,0 0 1 0 0,0 0-1 0 0,0 1 0 0 0,-1 12 284 0 0,-2 1 1 0 0,1-1-1 0 0,-10 24 1 0 0,10-32-221 0 0,0 1 1 0 0,-1-1-1 0 0,0-1 1 0 0,0 2-1 0 0,0-1 1 0 0,-1-1-1 0 0,1 1 1 0 0,-1 0-1 0 0,0-2 1 0 0,-1 1-1 0 0,1 1 1 0 0,-5 1-1 0 0,-24 15 572 0 0,19-12-512 0 0,0-1-1 0 0,0 2 1 0 0,0 2-1 0 0,1-2 1 0 0,-15 18-1 0 0,21-21-162 0 0,4-5-39 0 0,0 1 1 0 0,1-1 0 0 0,-1 0 0 0 0,1 1 0 0 0,0 1 0 0 0,0-1-1 0 0,-2 2 1 0 0,-29 57-159 0 0,27-49 102 0 0,5-12-240 0 0</inkml:trace>
  <inkml:trace contextRef="#ctx0" brushRef="#br0" timeOffset="1544.7">0 373 2759 0 0,'2'0'207'0'0,"1"0"389"0"0,-1 0 1 0 0,1 0-1 0 0,-1-1 0 0 0,0 1 1 0 0,1-2-1 0 0,-1 1 0 0 0,3-1 1 0 0,-3 1 921 0 0,2 0-1113 0 0,-3 1-235 0 0,0-1-1 0 0,1 1 1 0 0,-1 0-1 0 0,1-1 1 0 0,-1 1-1 0 0,0-1 1 0 0,0 1-1 0 0,1-1 0 0 0,-1 0 1 0 0,0 1-1 0 0,0 0 1 0 0,1-2-1 0 0,0 0 814 0 0,3 4-890 0 0,0 0 1 0 0,0 0-1 0 0,0 0 1 0 0,0 1-1 0 0,-1 0 0 0 0,6 4 1 0 0,3 1 77 0 0,22 14 175 0 0,-22-15-275 0 0,0 2 1 0 0,0-2-1 0 0,1 1 1 0 0,-1-3-1 0 0,19 7 1 0 0,37 3 98 0 0,13 3-123 0 0,-67-15-47 0 0,-1 0 0 0 0,1-1 0 0 0,0 0 0 0 0,25-1 0 0 0,-13 2-132 0 0,-25-3-184 0 0</inkml:trace>
  <inkml:trace contextRef="#ctx0" brushRef="#br0" timeOffset="3233.04">1967 554 1375 0 0,'0'0'2720'0'0,"1"-2"-2430"0"0,52-99 6820 0 0,-50 96-6926 0 0,0 2-1 0 0,0-1 0 0 0,0 2 0 0 0,0-2 1 0 0,0 1-1 0 0,0 0 0 0 0,1 2 0 0 0,6-6 1 0 0,7-5 1 0 0,-6 3-143 0 0,0 1 1 0 0,0 0-1 0 0,1 1 1 0 0,0 0-1 0 0,0 1 1 0 0,15-5-1 0 0,82-21 301 0 0,-67 20-298 0 0,115-27-45 0 0,-87 22 0 0 0,84-32 165 0 0,-78 23-90 0 0,-59 21-48 0 0,61-21 84 0 0,128-24-1 0 0,-105 30-110 0 0,-47 9 0 0 0,65-6 0 0 0,124 13 72 0 0,-112 12-72 0 0,-82-6 0 0 0,62 0 0 0 0,-5 0 108 0 0,-70 0-88 0 0,28 2-41 0 0,-1 3 0 0 0,108 28-1 0 0,-121-24 15 0 0,7 3-21 0 0,76 29-1 0 0,-81-26 29 0 0,63 15 0 0 0,-91-26 0 0 0,153 40 0 0 0,-160-40 0 0 0,-3-4 0 0 0,-1 2 0 0 0,0 0 0 0 0,0 2 0 0 0,-1-1 0 0 0,0 1 0 0 0,1 1 0 0 0,-2 0 0 0 0,14 10 0 0 0,-21-12 0 0 0,8 5 0 0 0,6 20 0 0 0,-17-28 0 0 0,21 30 0 0 0,-14-21 0 0 0,-7-9 0 0 0,0 0 0 0 0,0 1 0 0 0,0-1 0 0 0,1-1 0 0 0,-1 0 0 0 0,1 0 0 0 0,0 1 0 0 0,-1-1 0 0 0,1 1 0 0 0,0-1 0 0 0,2 1 0 0 0,2 2 0 0 0,8 6 0 0 0,-1 0 0 0 0,2-2 0 0 0,0 1 0 0 0,0-2 0 0 0,21 8 0 0 0,-34-15 0 0 0,4 4 2 0 0,0-2 0 0 0,0 0 0 0 0,-1 1-1 0 0,0 0 1 0 0,10 8 0 0 0,-13-10 30 0 0,-39-8-1573 0 0,33 5 903 0 0</inkml:trace>
  <inkml:trace contextRef="#ctx0" brushRef="#br0" timeOffset="3767.62">5087 150 5263 0 0,'0'0'5759'0'0,"1"2"-5326"0"0,23 31 1365 0 0,55 84-837 0 0,-15-23-424 0 0,14 16-145 0 0,-63-91-363 0 0,14 19 25 0 0,-27-33-32 0 0,13 14 9 0 0,-15-19-33 0 0,1 0 0 0 0,-1 0 0 0 0,0 0-1 0 0,0 0 1 0 0,0 1 0 0 0,1-1 0 0 0,-1 0-1 0 0,0 0 1 0 0,0 0 0 0 0,0 0 0 0 0,0 0-1 0 0,1 1 1 0 0,-1-1 0 0 0,0 0 0 0 0,0 0-1 0 0,0 0 1 0 0,0 1 0 0 0,0-1 0 0 0,0 0-1 0 0,0 0 1 0 0,1 1 0 0 0,-1-1 0 0 0,0 0-1 0 0,0 0 1 0 0,0 2 0 0 0,0-2 0 0 0,0 0-1 0 0,0 0 1 0 0,0 0 0 0 0,0 1 0 0 0,0-1-1 0 0,0 0 1 0 0,-1 0 0 0 0,1 1 0 0 0,0-1-1 0 0,0 0 1 0 0,0 0 0 0 0,0 0 0 0 0,0 0-1 0 0,0 0 1 0 0,0 0 0 0 0,0 0 0 0 0,-1 0-1 0 0,1 1 1 0 0,0-1 0 0 0,0 0 0 0 0,0 0-1 0 0,0 0 1 0 0,-1 1 0 0 0,-16-1-267 0 0,-25-10-335 0 0,36 8 291 0 0,0 0-1 0 0,-1 1 1 0 0,1-2 0 0 0,0-1-1 0 0,0 1 1 0 0,0 0 0 0 0,-5-5-1 0 0,-6-6-1434 0 0</inkml:trace>
  <inkml:trace contextRef="#ctx0" brushRef="#br0" timeOffset="4164.62">5352 601 6679 0 0,'0'0'600'0'0,"2"1"-492"0"0,5 4-12 0 0,-5-4 2098 0 0,-15 3-1297 0 0,7-4-716 0 0,0 1 1 0 0,0-1-1 0 0,0 1 1 0 0,0-2-1 0 0,0 1 0 0 0,0-1 1 0 0,0 0-1 0 0,1 0 0 0 0,-1 0 1 0 0,-8-4-1 0 0,-17-3 461 0 0,8 3-288 0 0,1 0 1 0 0,1-1-1 0 0,-1-2 0 0 0,-28-13 0 0 0,22 7-120 0 0,0 2-1 0 0,-1 2 1 0 0,0-1-1 0 0,-38-5 1 0 0,7 3 1 0 0,26 5-104 0 0,-40-5 0 0 0,30 5-61 0 0,34 5-317 0 0,0 1 1 0 0,0 0 0 0 0,-14 1-1 0 0,9 2-3579 0 0,1 6-1288 0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2-20T09:58:49.813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0 377 5983 0 0,'0'0'2978'0'0,"6"-16"-853"0"0,-4 7-1620 0 0,1 1-1 0 0,-1 0 1 0 0,1 0 0 0 0,1 0-1 0 0,5-9 1 0 0,-7 13-293 0 0,1 0 0 0 0,0 0 0 0 0,0 1 0 0 0,0-1 1 0 0,0 1-1 0 0,1 0 0 0 0,-1 0 0 0 0,1 0 0 0 0,0 1 0 0 0,0-1 0 0 0,6-2 0 0 0,43-19 330 0 0,-27 14-466 0 0,-1-2 0 0 0,0-1 0 0 0,-1-1 0 0 0,28-21 0 0 0,-35 21 159 0 0,1 1 1 0 0,0 1 0 0 0,0 0-1 0 0,1 2 1 0 0,1 0 0 0 0,-1 1-1 0 0,27-8 1 0 0,9 1-241 0 0,0 3 1 0 0,1 3 0 0 0,0 2-1 0 0,1 2 1 0 0,74 2-1 0 0,-115 6 0 0 0,0-1 0 0 0,0 2-1 0 0,0 0 1 0 0,0 1 0 0 0,20 8-1 0 0,-12-2-4 0 0,-1 0-1 0 0,37 23 0 0 0,39 39-295 0 0,-10-9 291 0 0,-22-17 16 0 0,-57-39-73 0 0,21 18 211 0 0,-28-23-240 0 0,-1 0 1 0 0,0 0-1 0 0,0 1 1 0 0,-1-1-1 0 0,1 1 0 0 0,0-1 1 0 0,-1 1-1 0 0,0 0 0 0 0,1 0 1 0 0,0 4-1 0 0,-1-6-252 0 0</inkml:trace>
  <inkml:trace contextRef="#ctx0" brushRef="#br0" timeOffset="691.61">1344 122 919 0 0,'0'0'9763'0'0,"-4"5"-7802"0"0,4 0-1823 0 0,0 0 0 0 0,0 0 0 0 0,1 0 0 0 0,0 0-1 0 0,0 0 1 0 0,0 0 0 0 0,1-1 0 0 0,-1 1 0 0 0,1 0-1 0 0,0-1 1 0 0,0 1 0 0 0,1-1 0 0 0,-1 0 0 0 0,1 0-1 0 0,6 7 1 0 0,2 1-39 0 0,0 0 0 0 0,0-1 1 0 0,23 17-1 0 0,-22-19-46 0 0,-5-4 85 0 0,0 0 0 0 0,0 0 0 0 0,-1 1 0 0 0,1 0 0 0 0,-1 0 1 0 0,-1 1-1 0 0,1-1 0 0 0,-1 1 0 0 0,8 15 0 0 0,-13-21-232 0 0,-23-14-7260 0 0,19 11 6690 0 0,3 2 0 0 0</inkml:trace>
  <inkml:trace contextRef="#ctx0" brushRef="#br0" timeOffset="1033.58">1493 356 7367 0 0,'0'0'800'0'0</inkml:trace>
  <inkml:trace contextRef="#ctx0" brushRef="#br0" timeOffset="1372.2">1515 344 7855 0 0,'0'0'1976'0'0,"-10"15"400"0"0,6-13-2202 0 0,0 0 0 0 0,0 0 1 0 0,0 0-1 0 0,0-1 0 0 0,0 0 0 0 0,0 0 0 0 0,0 0 0 0 0,0 0 0 0 0,0-1 0 0 0,-5 0 0 0 0,-45-2 922 0 0,21-1-539 0 0,-131 1 1547 0 0,163 2-2342 0 0,17 1-1100 0 0,4 2-192 0 0,-6-1-2261 0 0,-1-1-944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8-11T13:39:17.820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15 9 2759 0 0,'0'0'272'0'0,"-7"-5"-272"0"0,0 1 536 0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2-20T10:05:18.070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4936 399 2303 0 0,'0'0'8840'0'0,"2"-11"-8402"0"0,-4 5-311 0 0,-1 1-1 0 0,1-1 1 0 0,-1 1 0 0 0,0 0 0 0 0,-1-1 0 0 0,1 1 0 0 0,-1 1 0 0 0,0-1 0 0 0,0 0 0 0 0,-1 1-1 0 0,1 0 1 0 0,-1 0 0 0 0,0 0 0 0 0,-10-5 0 0 0,-9-4 132 0 0,1 1 1 0 0,-30-10-1 0 0,31 14-87 0 0,-80-31 503 0 0,-27-11 47 0 0,63 23-276 0 0,0 3 1 0 0,-2 3-1 0 0,-1 3 0 0 0,-72-9 0 0 0,33 5-16 0 0,63 12-296 0 0,-71-7-1 0 0,-101 20 317 0 0,41 1-12 0 0,156-4-372 0 0,-463 7 1652 0 0,415 0-1380 0 0,0 3 1 0 0,-105 30-1 0 0,100-17 187 0 0,-1-4 0 0 0,-109 14 1 0 0,149-30-350 0 0,0 2 1 0 0,1 0-1 0 0,-1 3 1 0 0,-38 13-1 0 0,58-15-160 0 0,0 0 0 0 0,-1 1 0 0 0,2 1 0 0 0,-1 0 0 0 0,1 1 0 0 0,1 0-1 0 0,0 1 1 0 0,-17 17 0 0 0,19-17 37 0 0,-1-1-1 0 0,0 0 1 0 0,-22 13 0 0 0,4-3 19 0 0,6-3 55 0 0,1 0-49 0 0,-1 1 0 0 0,2 1 0 0 0,-20 21 1 0 0,18-22 113 0 0,22-16 645 0 0,-14-11-4617 0 0,14 10 3191 0 0,-3 0 232 0 0,0-2-5929 0 0,-2-1-534 0 0</inkml:trace>
  <inkml:trace contextRef="#ctx0" brushRef="#br0" timeOffset="1531.16">1672 471 3223 0 0,'0'0'2332'0'0,"11"-6"779"0"0,2-1-2282 0 0,-9 5-602 0 0,-1-1 0 0 0,1 1 0 0 0,0 0 1 0 0,-1-1-1 0 0,1 0 0 0 0,-1 0 0 0 0,0 0 0 0 0,0 0 1 0 0,0-1-1 0 0,4-4 0 0 0,-7 6-129 0 0,0 0 1 0 0,0 0-1 0 0,0-1 0 0 0,0 1 1 0 0,-1 0-1 0 0,1 0 0 0 0,0 0 1 0 0,-1 0-1 0 0,0 0 0 0 0,1 0 1 0 0,-1 0-1 0 0,0 1 0 0 0,0-1 1 0 0,0 0-1 0 0,-1-2 0 0 0,-9-6 149 0 0,1 0-1 0 0,-1 0 1 0 0,0 1-1 0 0,-1 0 1 0 0,0 1-1 0 0,-1 1 1 0 0,1 0-1 0 0,-17-6 1 0 0,-116-37 659 0 0,129 45-855 0 0,-65-14 381 0 0,-162-18 0 0 0,198 32-181 0 0,21 2-36 0 0,0 1 1 0 0,0 1 0 0 0,-1 1-1 0 0,1 2 1 0 0,-33 5-1 0 0,-203 37 1411 0 0,227-37-1496 0 0,0-1 199 0 0,-40 12-1 0 0,63-14-267 0 0,0-1 0 0 0,1 2-1 0 0,-1-1 1 0 0,1 1 0 0 0,0 1 0 0 0,0 0 0 0 0,0 0-1 0 0,-8 8 1 0 0,-110 103 715 0 0,108-102-564 0 0,0 0 0 0 0,-2-2-1 0 0,1 0 1 0 0,-1-2 0 0 0,-40 16 0 0 0,55-25-91 0 0,6-2-126 0 0,-20 13 357 0 0,18-10-299 0 0,-3 4 0 0 0,0 1-42 0 0,1-2-22 0 0,4-5-43 0 0,-26 8-4622 0 0,24-9 4295 0 0,1 0 0 0 0,-1-1 0 0 0,0 1 0 0 0,0 0 1 0 0,0-1-1 0 0,1 1 0 0 0,-1-1 0 0 0,0 0 0 0 0,0 0 0 0 0,-1-1 1 0 0,1 1-1778 0 0</inkml:trace>
  <inkml:trace contextRef="#ctx0" brushRef="#br0" timeOffset="2463.73">91 430 4199 0 0,'0'0'191'0'0,"-1"-1"-11"0"0,-12-5-61 0 0,12 4-85 0 0,0 1 65 0 0,-6-3 7293 0 0,11 3-7920 0 0,1 3 8751 0 0,-5 0-8220 0 0,1 1 1 0 0,-1-1 0 0 0,1 1 0 0 0,-1 0 0 0 0,0-1 0 0 0,0 1 0 0 0,0-1 0 0 0,0 1 0 0 0,0 0 0 0 0,-1-1 0 0 0,1 1 0 0 0,-1-1 0 0 0,0 1 0 0 0,0-1 0 0 0,-1 4 0 0 0,-2 4-1 0 0,0 4 24 0 0,-1 1 0 0 0,-1-1-1 0 0,0 0 1 0 0,-1-1 0 0 0,-13 21-1 0 0,16-28 3 0 0,1 0-1 0 0,0 0 1 0 0,1 1-1 0 0,-1-1 0 0 0,-2 13 1 0 0,5-17 1272 0 0,4-4-1205 0 0,-3 1-91 0 0,0 0-1 0 0,0-1 0 0 0,0 1 1 0 0,0 0-1 0 0,1 0 1 0 0,-1 0-1 0 0,0 0 0 0 0,0 0 1 0 0,3-1-1 0 0,4-2 27 0 0,-7 3-28 0 0,0 0-1 0 0,1 0 1 0 0,-1 0 0 0 0,1 0 0 0 0,-1 0-1 0 0,1 0 1 0 0,0 1 0 0 0,-1-1 0 0 0,4 0-1 0 0,12-3 0 0 0,-13 2-2 0 0,-3 2 0 0 0,0-1 0 0 0,0 1 0 0 0,0-1 0 0 0,0 1 0 0 0,0 0 0 0 0,1 0 0 0 0,-1 0 0 0 0,0-1 0 0 0,0 1 0 0 0,0 0 0 0 0,1 0 0 0 0,-1 0 0 0 0,0 1 0 0 0,2-1 0 0 0,34 3 0 0 0,-28-4 0 0 0,31 2 0 0 0,2-1-216 0 0,64-9 0 0 0,-104 9-12 0 0,-10-9-3414 0 0,-4 2 2178 0 0,-1 1-58 0 0</inkml:trace>
  <inkml:trace contextRef="#ctx0" brushRef="#br0" timeOffset="3864.8">1787 225 1375 0 0,'0'0'332'0'0,"2"1"858"0"0,2 2-831 0 0,3 4 7350 0 0,-7-3-4193 0 0,-3-1-3940 0 0,2-3 2066 0 0,-7 1-955 0 0,6 2 2182 0 0,0 7-2802 0 0,-1 2-54 0 0,2-8-9 0 0,0 0 1 0 0,0 1-1 0 0,-1-1 0 0 0,1 0 0 0 0,-1 0 0 0 0,-1 0 0 0 0,1 0 0 0 0,0 0 1 0 0,-1-1-1 0 0,0 1 0 0 0,0-1 0 0 0,0 1 0 0 0,0-1 0 0 0,0 0 0 0 0,-6 4 1 0 0,0 0 72 0 0,-11 9 102 0 0,6-4-55 0 0,0 0 1 0 0,1 0-1 0 0,0 1 0 0 0,-15 21 0 0 0,27-31-60 0 0,-1 3-32 0 0,1-4 50 0 0,2 0 20 0 0,0 0-49 0 0,5 10 128 0 0,-3-9-145 0 0,0-1 1 0 0,-1 0 0 0 0,1 0 0 0 0,0 0 0 0 0,0 0 0 0 0,4 2 0 0 0,5 0-14 0 0,-3 0 32 0 0,-7-4 223 0 0,-1-1-224 0 0,5-5-44 0 0,5 0-10 0 0,1-1 0 0 0,-7 6 0 0 0,12-1 0 0 0,-5 1 0 0 0,24 0 0 0 0,-1 3-53 0 0,3-1 42 0 0,100 2-2 0 0,-129-3-51 0 0,-7 0-8 0 0,-5-2-2875 0 0,0 0 2245 0 0,0 0 0 0 0,0 1-1 0 0,-1-1 1 0 0,1 1-1 0 0,-5-2 1 0 0,6 2 507 0 0,-7-2-1252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2-20T09:25:20.667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1632 344 2303 0 0,'0'0'15584'0'0,"-12"-20"-14120"0"0,7 11-1282 0 0,4 7-171 0 0,0-1 0 0 0,0 1 0 0 0,0 0 0 0 0,0 1 0 0 0,0-1 0 0 0,-1 0 0 0 0,1 0 0 0 0,-1 0 0 0 0,0 1 0 0 0,1-1 0 0 0,-1 1 0 0 0,0-1 0 0 0,-3-1 0 0 0,-16-16 795 0 0,-23-25 0 0 0,1 0 474 0 0,7 18-1132 0 0,0 0 524 0 0,29 23-405 0 0,1-1 1 0 0,0 0-1 0 0,0-1 0 0 0,-9-9 0 0 0,5 8-163 0 0,-1 0 0 0 0,1 0 0 0 0,-20-6 0 0 0,-28-8 619 0 0,-4 4-467 0 0,36 9 3 0 0,0 2 1 0 0,-43-4-1 0 0,14 2 152 0 0,29 4-275 0 0,0 2-1 0 0,-30 1 1 0 0,21 0-26 0 0,-80 3 392 0 0,36 2-260 0 0,6 2-92 0 0,-46 10 501 0 0,93-13-521 0 0,-46 9-82 0 0,59-11 36 0 0,9-2-44 0 0,0 1 0 0 0,0-1 0 0 0,0 1 0 0 0,0 0 0 0 0,1 0 1 0 0,-1 1-1 0 0,0-1 0 0 0,1 1 0 0 0,-6 2 0 0 0,-8 7-29 0 0,11-8 0 0 0,-42 25 181 0 0,42-24-115 0 0,0-1 3 0 0,1 1-1 0 0,2-3-7 0 0,3-2-77 0 0,-16 19 150 0 0,-37 32 423 0 0,51-49-532 0 0,0 2 43 0 0,-5 15-37 0 0,-3 7-42 0 0,-14 7 188 0 0,23-31-178 0 0,-1 0-10 0 0,-4 14 77 0 0,5-8-35 0 0,0 5-29 0 0,0-7-13 0 0,-8 10-2 0 0,5-9 2 0 0,2-2 11 0 0,0-3 31 0 0,-2 3-20 0 0,3-4 31 0 0,1 2 0 0 0,-1 3-53 0 0,0-4-54 0 0,1-2-17 0 0,-3-1 53 0 0,0-1 1 0 0,0 0-1 0 0,1-1 1 0 0,-1 1-1 0 0,1 0 1 0 0,0-1-1 0 0,0 1 1 0 0,0-1-1 0 0,0 0 0 0 0,1 0 1 0 0,-2-6-1 0 0,-3-8-90 0 0,1-2-19 0 0,-1 0 0 0 0,-13-29 0 0 0,13 40-2 0 0,3 5 103 0 0,0-1 1 0 0,0 1 0 0 0,1-1 0 0 0,0 0 0 0 0,0 0 0 0 0,-1-5 0 0 0,0 1-61 0 0,3 8 33 0 0,1 1-64 0 0,5 0 106 0 0,0 3 11 0 0,0 3 0 0 0,2 2 0 0 0,-8-7 0 0 0,11 18 0 0 0,-9-17 0 0 0,8 19 0 0 0,-2 2 0 0 0,-6-12 0 0 0,-2-11 0 0 0,0-1 0 0 0,-1 4 0 0 0,5 30 0 0 0,-5-29 0 0 0,10 28 128 0 0,-6-24-117 0 0,7 18 106 0 0,-9-25 146 0 0,0-2-209 0 0,3-1-43 0 0,2-2-11 0 0,2-2 0 0 0,-6 5 0 0 0,13-6 0 0 0,2 0-8 0 0,0 2 1 0 0,1 0-1 0 0,-1 1 1 0 0,1 1-1 0 0,0 1 0 0 0,26-1 1 0 0,20 3-129 0 0,-58 0 114 0 0,-5 0-31 0 0,-3-1-1554 0 0,0 0 1209 0 0,-1 1-1 0 0,1-1 0 0 0,0 0 0 0 0,0 0 1 0 0,0 0-1 0 0,0-1 0 0 0,0 1 0 0 0,-2-2 1 0 0,-4-4-6352 0 0,0 0-1417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2-20T09:31:01.132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1 369 1375 0 0,'0'0'630'0'0,"11"0"1451"0"0,-8-1-1796 0 0,1 0 0 0 0,-1 0-1 0 0,0 0 1 0 0,0 0 0 0 0,0-1 0 0 0,0 1 0 0 0,0-1-1 0 0,-1 0 1 0 0,1 0 0 0 0,0 0 0 0 0,-1 0 0 0 0,1 0-1 0 0,-1 0 1 0 0,0-1 0 0 0,3-2 0 0 0,19-17 1175 0 0,-19 18-1438 0 0,108-64 804 0 0,-77 49-51 0 0,2 1 0 0 0,-1 2-1 0 0,2 2 1 0 0,64-16 0 0 0,-83 25-765 0 0,127-31 18 0 0,-110 24 32 0 0,73-23 315 0 0,12 10-306 0 0,-113 23-69 0 0,1 2 0 0 0,0-1 0 0 0,0 1 0 0 0,12 2 0 0 0,-3-1 0 0 0,27-1 0 0 0,-33 0 0 0 0,0 0 0 0 0,16 3 0 0 0,17 1 0 0 0,-27-2 0 0 0,2 3 0 0 0,32 6 0 0 0,-32-6 0 0 0,-1 2 0 0 0,20 7 0 0 0,-1 2 0 0 0,-18-8 0 0 0,126 42 0 0 0,-120-35 0 0 0,-18-11 0 0 0,19 14 0 0 0,-10-4 0 0 0,8 6 0 0 0,-19-13 0 0 0,0 1 0 0 0,2 0 0 0 0,-2 2 0 0 0,0-1 0 0 0,26 34 206 0 0,3 7-68 0 0,-17-27 14 0 0,-6-11-60 0 0,-12-11 202 0 0,1-1-201 0 0,4 0-5 0 0,-4 0-9 0 0,-2-2-79 0 0,-3-4-1730 0 0,-4 2-3602 0 0</inkml:trace>
  <inkml:trace contextRef="#ctx0" brushRef="#br0" timeOffset="733.59">1685 225 8663 0 0,'0'0'955'0'0,"7"-7"-328"0"0,-1 3 2983 0 0,-2 16-3122 0 0,7 22 78 0 0,-1-2 215 0 0,23 49 0 0 0,3-14-157 0 0,-31-59-640 0 0,-4-7-64 0 0,-3-1-2045 0 0,-5-4 1050 0 0</inkml:trace>
  <inkml:trace contextRef="#ctx0" brushRef="#br0" timeOffset="1148.08">1714 438 2759 0 0,'0'0'1604'0'0,"1"0"-872"0"0,7 0 6308 0 0,-24-2-5948 0 0,-155-18 265 0 0,45 6-2244 0 0,95 8-101 0 0,20 3 430 0 0</inkml:trace>
  <inkml:trace contextRef="#ctx0" brushRef="#br0" timeOffset="3124.27">1822 443 2759 0 0,'0'0'7576'0'0,"2"-10"-6730"0"0,-2 9-807 0 0,8-13 238 0 0,-2 8-199 0 0,0 0 5 0 0,1-1 10 0 0,2 0 23 0 0,-1 0 0 0 0,2 1 0 0 0,-1 0 0 0 0,1 0 0 0 0,0 1 0 0 0,0 0 0 0 0,0 1 0 0 0,1 0 0 0 0,0 1-1 0 0,14-3 1 0 0,26-9 433 0 0,101-50 1299 0 0,-125 53-1644 0 0,0 1 1 0 0,0 1-1 0 0,47-10 0 0 0,87-6-213 0 0,41-8 9 0 0,-152 20-24 0 0,-10 3 316 0 0,80-10 0 0 0,25 1-148 0 0,-71 8-144 0 0,-6 3 0 0 0,0 2 0 0 0,73 3 0 0 0,-102 3 32 0 0,0 0 0 0 0,0-3 0 0 0,50-11 0 0 0,38-8 59 0 0,-104 21-22 0 0,0 0 1 0 0,0 1-1 0 0,36 4 0 0 0,227 19 307 0 0,-250-20-319 0 0,50 8 1 0 0,-46-4-45 0 0,63 15 37 0 0,-59-11 55 0 0,52 16 30 0 0,8 1-81 0 0,-74-19-35 0 0,0 1 0 0 0,0 1-1 0 0,49 25 1 0 0,-43-13 45 0 0,-33-20-21 0 0,5 2-33 0 0,18 12 54 0 0,-7-7-4 0 0,-5-4-14 0 0,6 3 155 0 0,37 7 0 0 0,-51-13-178 0 0,-4-2 286 0 0,-1 1-410 0 0,5 2 90 0 0,0 4 11 0 0,2 5 0 0 0,0-6 4 0 0,2 0 4 0 0,-9-5 51 0 0,7 1-67 0 0,-2-3 4 0 0,1-1 47 0 0,0-2-33 0 0,4-6-20 0 0,-10 10-65 0 0</inkml:trace>
  <inkml:trace contextRef="#ctx0" brushRef="#br0" timeOffset="3768">4893 121 6623 0 0,'0'0'594'0'0,"-2"0"-488"0"0,-5-2-94 0 0,-6-1 844 0 0,13 3-825 0 0,0 0 0 0 0,0 0 0 0 0,0 0 0 0 0,0 0 0 0 0,0 0 0 0 0,0 0-1 0 0,0 0 1 0 0,0 0 0 0 0,0 0 0 0 0,0 0 0 0 0,0 0 0 0 0,0 0 0 0 0,0 0 0 0 0,0 0 0 0 0,0 0 0 0 0,0 0 0 0 0,0 0 0 0 0,0 0 0 0 0,0 1 0 0 0,0-1 0 0 0,0 0 0 0 0,0 0 0 0 0,0 0 0 0 0,0 0 0 0 0,0 0 0 0 0,0 0 0 0 0,0 0 0 0 0,0 0 0 0 0,1 0 0 0 0,-1 0 0 0 0,0 0 0 0 0,0 0 0 0 0,0 0 0 0 0,-1 0 0 0 0,1 0 0 0 0,0 0 0 0 0,0 0 0 0 0,0 0 0 0 0,0 1 0 0 0,0-1 0 0 0,0 0 0 0 0,0 0 0 0 0,0 0 0 0 0,0 0 0 0 0,0 0 0 0 0,0 0 0 0 0,0 0 0 0 0,0 0 0 0 0,0 0 0 0 0,0 0 0 0 0,0 0 0 0 0,0 0 0 0 0,0 0 0 0 0,0 0 0 0 0,0 0 0 0 0,0 0 0 0 0,0 0 0 0 0,0 0 0 0 0,0 0 0 0 0,0 0 0 0 0,0 0 0 0 0,0 0 0 0 0,-1 0 0 0 0,16 9 3824 0 0,-13-8-3549 0 0,40 27 609 0 0,195 134 1337 0 0,-189-129-1667 0 0,-46-32-457 0 0,3 1-64 0 0,-3-2-311 0 0,-7-6-156 0 0,-20-13-3129 0 0,24 19 2920 0 0,-7-3-4107 0 0,1 1 928 0 0</inkml:trace>
  <inkml:trace contextRef="#ctx0" brushRef="#br0" timeOffset="4101.54">5160 347 8751 0 0,'4'-3'139'0'0,"-3"2"-68"0"0,0 1-1 0 0,0-1 1 0 0,0 1-1 0 0,0-1 1 0 0,0 1 0 0 0,0-1-1 0 0,0 1 1 0 0,0-1-1 0 0,0 1 1 0 0,0 0-1 0 0,1 0 1 0 0,-1 0 0 0 0,0 0-1 0 0,3-1 2981 0 0,2-2 837 0 0,-11 1-3818 0 0,-1 1 1 0 0,1 0-1 0 0,0 0 1 0 0,-1 0-1 0 0,1 0 1 0 0,-1 1 0 0 0,1 0-1 0 0,-1 0 1 0 0,1 0-1 0 0,-9 2 1 0 0,-14 0 55 0 0,-23-2-583 0 0,0-3 0 0 0,1-2 0 0 0,-1-2 0 0 0,-84-24 0 0 0,107 23-611 0 0,1 1-11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2-20T09:31:08.822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0 341 6047 0 0,'0'0'779'0'0,"16"-10"-99"0"0,-2 3-45 0 0,-1 0 1 0 0,1-1-1 0 0,-2 0 0 0 0,1-1 1 0 0,11-11-1 0 0,-6 6 291 0 0,2 1 0 0 0,36-18 1 0 0,-28 16-121 0 0,-13 8-550 0 0,1 0-1 0 0,0 2 1 0 0,24-6-1 0 0,-10 3-109 0 0,82-31-17 0 0,-34 11-76 0 0,-55 20 3 0 0,1 0 17 0 0,38-8 0 0 0,1 2-8 0 0,44-5-66 0 0,-38 10 23 0 0,40-4 20 0 0,14 6-42 0 0,-49 9 0 0 0,-45 0 0 0 0,-16-1-8 0 0,0 1 0 0 0,0 0 0 0 0,-1 1 0 0 0,1 0 0 0 0,-1 1 0 0 0,1 1 0 0 0,-1 0 0 0 0,16 9 0 0 0,-18-9 8 0 0,-1 0 0 0 0,19 12 72 0 0,-12-7 113 0 0,1-2 0 0 0,27 11 0 0 0,-28-12-145 0 0,-11-5-5 0 0,14 9 62 0 0,-15-9-73 0 0,2 1 24 0 0,0 0-26 0 0,15 16 107 0 0,-5-3-65 0 0,6 12 168 0 0,-15-21-95 0 0,0-1 1 0 0,0 1 0 0 0,0-1 0 0 0,1-1 0 0 0,0 0 0 0 0,0 0-1 0 0,10 5 1 0 0,-12-9-79 0 0,-3-1-61 0 0,7 10 160 0 0,-3-1-115 0 0,-3-2-22 0 0,-2-4 22 0 0,2 5-33 0 0,2 0-10 0 0,1-1 0 0 0,3-3 0 0 0,-2-2-10 0 0,-7-1-45 0 0</inkml:trace>
  <inkml:trace contextRef="#ctx0" brushRef="#br0" timeOffset="635.54">1585 77 3223 0 0,'0'0'2470'0'0,"3"-6"-325"0"0,-3 6-2049 0 0,0 0 1 0 0,0-1 0 0 0,0 1 0 0 0,0 0 0 0 0,0 0 0 0 0,0 0 0 0 0,0 0 0 0 0,0 0 0 0 0,0-1 0 0 0,0 1 0 0 0,0 0 0 0 0,0 0 0 0 0,0 0 0 0 0,0 0 0 0 0,0 0 0 0 0,0-1 0 0 0,0 1-1 0 0,0 0 1 0 0,0 0 0 0 0,0 0 0 0 0,1 0 0 0 0,-1 0 0 0 0,0 0 0 0 0,0 0 0 0 0,0 0 0 0 0,0-1 0 0 0,0 1 0 0 0,0 0 0 0 0,1 0 0 0 0,-1 0 0 0 0,0 0 0 0 0,0 0 0 0 0,0 0 0 0 0,0 0-1 0 0,0 0 1 0 0,1 0 0 0 0,-1 0 0 0 0,0 0 0 0 0,0 0 0 0 0,0 0 0 0 0,0 0 0 0 0,1 0 0 0 0,16 39 1658 0 0,8 18 233 0 0,45 76 0 0 0,-59-115-1907 0 0,0-2 15 0 0,-10-14-64 0 0,-5-13-5884 0 0,1 6 4181 0 0</inkml:trace>
  <inkml:trace contextRef="#ctx0" brushRef="#br0" timeOffset="965.54">1716 332 5527 0 0,'0'0'2120'0'0,"4"-15"5846"0"0,-6 13-7928 0 0,0 0 0 0 0,0 0-1 0 0,0 0 1 0 0,0 0 0 0 0,-1 1 0 0 0,1-1 0 0 0,0 1 0 0 0,-1-1 0 0 0,0 1 0 0 0,1 0 0 0 0,-5-2 0 0 0,-34-10-193 0 0,37 12 140 0 0,-115-27-864 0 0,96 24 586 0 0,-1 1 0 0 0,0 1 0 0 0,-26 2 0 0 0,30 3-3733 0 0</inkml:trace>
  <inkml:trace contextRef="#ctx0" brushRef="#br0" timeOffset="2265.11">1853 304 4607 0 0,'0'0'354'0'0,"-10"0"555"0"0,10 0-760 0 0,0 0 0 0 0,-1 0-1 0 0,1 0 1 0 0,0 0 0 0 0,-1 0 0 0 0,1-1 0 0 0,0 1-1 0 0,0 0 1 0 0,-1 0 0 0 0,1 0 0 0 0,0 0-1 0 0,0 0 1 0 0,-1 0 0 0 0,1-1 0 0 0,0 1 0 0 0,0 0-1 0 0,-1 0 1 0 0,1 0 0 0 0,0 0 0 0 0,0-1-1 0 0,0 1 1 0 0,0 0 0 0 0,-1 0 0 0 0,1-1-1 0 0,0 1 1 0 0,0 0 0 0 0,0 0 0 0 0,0-1 0 0 0,0 1-1 0 0,0 0 1 0 0,0-1 0 0 0,0 1 0 0 0,0 0-1 0 0,-1 0 1 0 0,1-1 0 0 0,1 1 0 0 0,4-14 1498 0 0,-3 11-1554 0 0,1-1 0 0 0,0 1-1 0 0,-1 0 1 0 0,1 0-1 0 0,6-5 1 0 0,12-5 396 0 0,0 0 0 0 0,1 1 0 0 0,40-15 0 0 0,-32 16-449 0 0,0 2 0 0 0,0 0 1 0 0,0 2-1 0 0,1 2 0 0 0,33-3 0 0 0,31 2-40 0 0,111-22 0 0 0,-133 14-17 0 0,212-33 602 0 0,-50 29-353 0 0,-235 18-232 0 0,36-1 0 0 0,69 6 0 0 0,-67-2 72 0 0,69-3 0 0 0,-17-1 208 0 0,-41 1-180 0 0,-30-1-69 0 0,0 1 0 0 0,22 3-1 0 0,-12 1-30 0 0,146 23 0 0 0,-35-12 214 0 0,-131-14-212 0 0,237 26 358 0 0,-104 6-224 0 0,-87-22 100 0 0,103 33 0 0 0,-140-36-236 0 0,-14-7 0 0 0,8 3 0 0 0,3-1 11 0 0,-12-2-2 0 0,-1-1 0 0 0,1 1 1 0 0,-1-1-1 0 0,0 1 0 0 0,1 0 1 0 0,-1 0-1 0 0,0 0 0 0 0,0 1 1 0 0,5 2-1 0 0,5 3 107 0 0,-1-2 37 0 0,-1 0 0 0 0,1 1 0 0 0,16 12 0 0 0,-10-6-14 0 0,-10-6-96 0 0,2-1-22 0 0,0-1 22 0 0,1-1-33 0 0,0 1-10 0 0,-2-1 11 0 0,-5-2 32 0 0,3 0-54 0 0,-5-1-106 0 0,-2-10-510 0 0,-10-12-841 0 0,4 13-3264 0 0,1 4-679 0 0</inkml:trace>
  <inkml:trace contextRef="#ctx0" brushRef="#br0" timeOffset="2820.65">4573 79 2303 0 0,'0'0'102'0'0,"-2"-1"-1"0"0,0-1 109 0 0,-1 0-1 0 0,1 1 1 0 0,-1-1-1 0 0,1 1 1 0 0,-1 0-1 0 0,0 0 1 0 0,-5-2-1 0 0,3 2 5774 0 0,7 12-4545 0 0,2 0-1013 0 0,1 0 0 0 0,1-1 0 0 0,-1 0-1 0 0,2 0 1 0 0,0-1 0 0 0,0 0 0 0 0,10 10-1 0 0,-1-3 34 0 0,1-1-1 0 0,33 23 1 0 0,-30-24-382 0 0,52 33 249 0 0,-64-42-325 0 0,-4-3 0 0 0,-1 0 0 0 0,1 0 0 0 0,0 0 0 0 0,0-1 0 0 0,0 1 0 0 0,4 0 0 0 0,0 0-22 0 0,-6-1-89 0 0,-23-17-3090 0 0,20 15 1911 0 0</inkml:trace>
  <inkml:trace contextRef="#ctx0" brushRef="#br0" timeOffset="3155.65">4785 323 11519 0 0,'3'-2'178'0'0,"13"-5"805"0"0,-15 7-917 0 0,0 0 80 0 0,-1-1 1 0 0,1 1-1 0 0,-1 0 0 0 0,1 0 1 0 0,0 0-1 0 0,-1 0 0 0 0,1-1 1 0 0,-1 1-1 0 0,1 0 0 0 0,-1-1 1 0 0,1 1-1 0 0,-1 0 0 0 0,1-1 1 0 0,-1 1-1 0 0,1-1 0 0 0,-1 1 1 0 0,1 0-1 0 0,-1-1 0 0 0,0 1 1 0 0,1-2-1 0 0,-10-1 1711 0 0,-22 4-1414 0 0,14-1-521 0 0,-1-1 1 0 0,0 0-1 0 0,0-1 0 0 0,1-1 0 0 0,0-1 0 0 0,-20-7 0 0 0,-5 0-349 0 0,-54-9-3066 0 0,61 14 2190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2-20T09:31:17.574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1 508 3223 0 0,'0'0'3946'0'0,"12"-15"-1628"0"0,10-8-926 0 0,-21 22-1198 0 0,1-2-65 0 0,1 1 1 0 0,-1-1 0 0 0,1 1-1 0 0,-1 0 1 0 0,1 0 0 0 0,5-3-1 0 0,-2 1 338 0 0,6-5-128 0 0,1 1 0 0 0,0 1 0 0 0,0 0 0 0 0,1 1-1 0 0,0 0 1 0 0,0 1 0 0 0,26-6 0 0 0,-18 5-218 0 0,0-2-1 0 0,41-19 1 0 0,-8 2-111 0 0,-5 6 8 0 0,1 2-1 0 0,62-11 1 0 0,-99 26 8 0 0,1 1 0 0 0,-1 1 0 0 0,1 0 0 0 0,-1 1 0 0 0,1 1 0 0 0,-1 0 0 0 0,22 6 0 0 0,-10 1-18 0 0,0 1 0 0 0,0 1-1 0 0,-1 1 1 0 0,43 29 0 0 0,-38-23 87 0 0,95 71 707 0 0,-108-76-690 0 0,-2 0 22 0 0,-7-7-52 0 0,-6-5-67 0 0,0 0 0 0 0,-1 1-1 0 0,1-1 1 0 0,0 1-1 0 0,-1-1 1 0 0,1 1-1 0 0,-1-1 1 0 0,1 1-1 0 0,-1 0 1 0 0,0 0-1 0 0,0 0 1 0 0,2 3 0 0 0,15 24 59 0 0,-9-16-64 0 0,-7-9-5 0 0,0-1 0 0 0,1 0 0 0 0,-1 1 0 0 0,1-1 0 0 0,0 0-1 0 0,0 0 1 0 0,0-1 0 0 0,1 1 0 0 0,-1-1 0 0 0,6 4 0 0 0,-7-4-3 0 0,0 0-5 0 0,0-1-1 0 0,0 1 0 0 0,1-1 1 0 0,-1 1-1 0 0,0-1 0 0 0,0 0 1 0 0,1 1-1 0 0,-1-1 0 0 0,1 0 1 0 0,-1-1-1 0 0,1 1 0 0 0,-1 0 1 0 0,1-1-1 0 0,0 1 0 0 0,-1-1 1 0 0,1 0-1 0 0,4 0 0 0 0,-6-1-220 0 0,-1 1 0 0 0,1 0-1 0 0,0-1 1 0 0,-1 1 0 0 0,1 0-1 0 0,-1-1 1 0 0,1 1 0 0 0,-1-1 0 0 0,1 1-1 0 0,-1-1 1 0 0,1 1 0 0 0,-1-1-1 0 0,1 1 1 0 0,-1-1 0 0 0,1 0-1 0 0,-1 1 1 0 0,0-1 0 0 0,1 1 0 0 0,-1-1-1 0 0,0 0 1 0 0,0 0 0 0 0,1 0-1 0 0,-1 0-300 0 0,1-7-4495 0 0</inkml:trace>
  <inkml:trace contextRef="#ctx0" brushRef="#br0" timeOffset="542">1155 275 2759 0 0,'0'0'5646'0'0,"-1"1"-5213"0"0,-1 3-302 0 0,0-1 0 0 0,0 0 0 0 0,1 1 0 0 0,-1-1 0 0 0,1 1 0 0 0,0-1 0 0 0,0 1-1 0 0,0 0 1 0 0,0 0 0 0 0,1-1 0 0 0,0 1 0 0 0,-1 0 0 0 0,1 0 0 0 0,1-1 0 0 0,-1 1 0 0 0,0 0 0 0 0,2 4 0 0 0,2 6 259 0 0,0 1 1 0 0,1 0-1 0 0,7 13 1 0 0,-3-6-37 0 0,-6-16-217 0 0,1 0-1 0 0,-1 0 0 0 0,6 7 1 0 0,5 8 244 0 0,59 89 1450 0 0,-55-86-1661 0 0,0 0-131 0 0,-14-17 20 0 0,-13-1-7389 0 0</inkml:trace>
  <inkml:trace contextRef="#ctx0" brushRef="#br0" timeOffset="868.59">1273 629 9671 0 0,'10'-2'1013'0'0,"-3"1"415"0"0,1 0 1 0 0,15 1 0 0 0,-46 6-1348 0 0,-15-5 58 0 0,0-3-1 0 0,0 0 1 0 0,-67-15 0 0 0,53 8-71 0 0,-127-26-55 0 0,123 22-2077 0 0</inkml:trace>
  <inkml:trace contextRef="#ctx0" brushRef="#br0" timeOffset="3487.39">1363 548 5063 0 0,'0'0'232'0'0,"1"-2"-13"0"0,10-13 254 0 0,0 1 0 0 0,2 0-1 0 0,0 0 1 0 0,0 1 0 0 0,1 1-1 0 0,17-11 1 0 0,-11 7 411 0 0,-1 2-65 0 0,1 1 0 0 0,0 1 0 0 0,29-14 0 0 0,69-20 741 0 0,-7 1-1109 0 0,-44 18-448 0 0,1 4 1 0 0,1 2-1 0 0,109-19 0 0 0,23-1 142 0 0,146-24 182 0 0,-243 50-371 0 0,-14 1-50 0 0,96-3 0 0 0,-105 15 93 0 0,0-1-2 0 0,1 3 0 0 0,82 11 0 0 0,-37 3-54 0 0,-60-7 65 0 0,102 22 1 0 0,-86-4 293 0 0,89 41 0 0 0,-73-26-296 0 0,-53-22 156 0 0,0 1-1 0 0,78 48 0 0 0,-107-56-106 0 0,-3-2 16 0 0,0 0 0 0 0,-1 0-1 0 0,0 1 1 0 0,0 1 0 0 0,20 23 0 0 0,12 17 139 0 0,-39-45-156 0 0,1 0-1 0 0,0-1 1 0 0,0 0 0 0 0,0 0 0 0 0,14 6-1 0 0,-9-5-22 0 0,0-1 0 0 0,0-1 0 0 0,1 0 0 0 0,0 0 0 0 0,0-1 0 0 0,0-1 0 0 0,0-1 0 0 0,0 1-1 0 0,0-2 1 0 0,21-1 0 0 0,-26-1 17 0 0,-1 1-25 0 0,-4 0 20 0 0,1-2-22 0 0,-3 2 7 0 0,-15-8-1393 0 0,-10 4-350 0 0,10 5-3620 0 0</inkml:trace>
  <inkml:trace contextRef="#ctx0" brushRef="#br0" timeOffset="4093.98">4644 298 1839 0 0,'-13'-11'160'0'0,"10"8"316"0"0,-1 0 0 0 0,0 1 0 0 0,1-1 0 0 0,-10-3-1 0 0,-19-13 1554 0 0,26 15 3035 0 0,23 22-3681 0 0,10 16-513 0 0,-14-18-355 0 0,0-1 0 0 0,31 28 0 0 0,154 92 1277 0 0,-170-118-1766 0 0,-10-4-15 0 0,13 16 42 0 0,-24-24-66 0 0,-6-4-62 0 0,-1-1-546 0 0,0-1 581 0 0,1 1 0 0 0,-1-1 0 0 0,0 1-1 0 0,0 0 1 0 0,1-1 0 0 0,-1 1 0 0 0,0-1 0 0 0,0 1 0 0 0,0-1 0 0 0,0 1 0 0 0,0-1 0 0 0,0 1-1 0 0,1-1 1 0 0,-1 1 0 0 0,0 0 0 0 0,0-1 0 0 0,0 1 0 0 0,-1-1 0 0 0,1 1 0 0 0,0-1 0 0 0,0 1 0 0 0,0-2-1 0 0,-2-10-883 0 0,-6-2-3906 0 0,2 7 616 0 0</inkml:trace>
  <inkml:trace contextRef="#ctx0" brushRef="#br0" timeOffset="4422.96">4932 549 5527 0 0,'0'0'5024'0'0,"7"-1"232"0"0,-13-3-5195 0 0,0 0 0 0 0,-1 1-1 0 0,1 0 1 0 0,-1 0-1 0 0,0 1 1 0 0,0 0 0 0 0,-12-2-1 0 0,-56-5-76 0 0,42 6 17 0 0,-75-11-242 0 0,-80-7-233 0 0,164 22-24 0 0,7-1-3639 0 0,6 0-567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2-20T09:31:23.804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1 241 4143 0 0,'0'0'319'0'0,"8"-19"2378"0"0,-5 12-1849 0 0,1-1 0 0 0,0 0 0 0 0,1 1 0 0 0,0-1 0 0 0,11-12 0 0 0,-1 3-401 0 0,-9 10-217 0 0,0-1 0 0 0,1 1 0 0 0,0 0-1 0 0,0 1 1 0 0,1-1 0 0 0,0 1-1 0 0,0 1 1 0 0,0 0 0 0 0,14-7-1 0 0,22-5 77 0 0,0 2-1 0 0,1 3 1 0 0,1 2 0 0 0,70-9-1 0 0,-54 16-305 0 0,-1 3 0 0 0,1 2 0 0 0,73 12 0 0 0,-109-11 55 0 0,-1 2 0 0 0,0 1 0 0 0,0 1 0 0 0,0 0 0 0 0,-1 3-1 0 0,34 16 1 0 0,-37-13 73 0 0,0 1 1 0 0,37 36-1 0 0,-26-22 15 0 0,-15-15-34 0 0,0-1-1 0 0,1-2 0 0 0,1 1 1 0 0,-1-1-1 0 0,2-2 0 0 0,-1 0 1 0 0,25 6-1 0 0,-38-12-94 0 0,-4-2-8 0 0,-1 0-1 0 0,1 1 1 0 0,-1-1-1 0 0,1 1 1 0 0,0 0-1 0 0,-1-1 1 0 0,0 1-1 0 0,1 0 0 0 0,-1 0 1 0 0,1 0-1 0 0,-1 0 1 0 0,2 2-1 0 0,3 3-5 0 0,-5-5-10 0 0,0 0 0 0 0,0-1 0 0 0,0 1 0 0 0,-1-1 0 0 0,1 1 0 0 0,0 1 0 0 0,-1-1 0 0 0,1 0 0 0 0,-1 1 0 0 0,1-1 0 0 0,-1 0 0 0 0,1 0 0 0 0,-1 0 0 0 0,0 0 0 0 0,1-1 0 0 0,-1 2 0 0 0,0-1 0 0 0,0 3 0 0 0,0-2 8 0 0,0-1-112 0 0,0 2-2 0 0,-3 52-2676 0 0</inkml:trace>
  <inkml:trace contextRef="#ctx0" brushRef="#br0" timeOffset="575.58">1157 43 6911 0 0,'0'0'4232'0'0,"1"1"-4102"0"0,15 20 1197 0 0,0 1 1 0 0,21 44 0 0 0,-20-37-669 0 0,22 33 1 0 0,26 16 114 0 0,-63-74-721 0 0,5 1-29 0 0,0-1-20 0 0,-5-3-197 0 0</inkml:trace>
  <inkml:trace contextRef="#ctx0" brushRef="#br0" timeOffset="909.59">1350 319 5983 0 0,'0'0'3466'0'0,"-5"10"-2569"0"0,4-8-826 0 0,-1-1-1 0 0,0 1 1 0 0,0-1 0 0 0,0 1 0 0 0,0-1-1 0 0,0 2 1 0 0,0-2 0 0 0,-1 1-1 0 0,1-2 1 0 0,0 1 0 0 0,-1 0 0 0 0,1 0-1 0 0,-1-1 1 0 0,1 1 0 0 0,-1-1 0 0 0,1 1-1 0 0,-1-1 1 0 0,-4 0 0 0 0,-8 1 369 0 0,-31-3 1 0 0,35 1-285 0 0,-108-13 970 0 0,73 8-808 0 0,0 0 0 0 0,-63 3 0 0 0,88 4-972 0 0,-33 8 0 0 0,41-6-166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2-20T09:31:28.201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9 424 6559 0 0,'0'0'1304'0'0,"-2"0"-1120"0"0,-5 1 7392 0 0,9-1-7522 0 0,3-3-56 0 0,15 0-1284 0 0,-19 2 792 0 0</inkml:trace>
  <inkml:trace contextRef="#ctx0" brushRef="#br0" timeOffset="1969.57">1679 415 2303 0 0,'0'0'4259'0'0,"11"1"-775"0"0,-10-1-3300 0 0,0 0 1 0 0,0-1-1 0 0,1 1 1 0 0,-1 0-1 0 0,0 0 1 0 0,-1-1-1 0 0,1 1 1 0 0,0 0-1 0 0,0-1 0 0 0,0 1 1 0 0,0-1-1 0 0,0 0 1 0 0,0 1-1 0 0,0-1 1 0 0,-1 0-1 0 0,1 1 1 0 0,0-1-1 0 0,0 0 0 0 0,-1 0 1 0 0,2-1-1 0 0,-1 1-16 0 0,10-28 1384 0 0,1 13-1167 0 0,0 1 0 0 0,1 0-1 0 0,1 1 1 0 0,1 0 0 0 0,-1 1 0 0 0,2 1-1 0 0,0 0 1 0 0,27-15 0 0 0,-24 19-263 0 0,0 0-1 0 0,0 2 1 0 0,0 0 0 0 0,29-5-1 0 0,-5 1 11 0 0,306-61 193 0 0,-207 46-49 0 0,9-2 24 0 0,-111 23-300 0 0,241-25 0 0 0,-167 14 128 0 0,-71 8-128 0 0,0 2 0 0 0,1 2 0 0 0,-1 2 0 0 0,55 5 0 0 0,13 0 0 0 0,-37-4 0 0 0,135 21 0 0 0,-206-21 0 0 0,209 23 0 0 0,-175-18 0 0 0,-13-2 0 0 0,41 10 0 0 0,-40-8 0 0 0,-15-3 0 0 0,-2 0 0 0 0,1 1 0 0 0,0 0 0 0 0,13 6 0 0 0,35 14 0 0 0,-36-14 0 0 0,-4-2 0 0 0,1 1 0 0 0,25 16 0 0 0,-40-23 0 0 0,54 32 0 0 0,91 39 203 0 0,-135-65-141 0 0,0 1 0 0 0,0 1 0 0 0,-1 0 0 0 0,15 15 0 0 0,39 29 221 0 0,-61-50-270 0 0,15 8 50 0 0,-2-2-3 0 0,10 6-48 0 0,7 3 120 0 0,-27-14-120 0 0,-1 2-12 0 0,-1 1 0 0 0,-1 0 0 0 0,0 0 0 0 0,2-1 0 0 0,0-2-19 0 0,-6-3-70 0 0,-18-11-1941 0 0,4 5 460 0 0,-1-1-394 0 0</inkml:trace>
  <inkml:trace contextRef="#ctx0" brushRef="#br0" timeOffset="2666.48">4699 224 1839 0 0,'-10'-16'3114'0'0,"5"12"-2924"0"0,0 0 0 0 0,-1 0 0 0 0,1 0 0 0 0,-1 0 0 0 0,0 1 0 0 0,0 0 0 0 0,-1 1 0 0 0,1-1 0 0 0,-13-2 0 0 0,17 4 307 0 0,-5 0 7920 0 0,16 15-8086 0 0,2 0-1 0 0,0 0 1 0 0,0-2-1 0 0,19 17 1 0 0,23 26 6 0 0,-39-38-224 0 0,1-1 1 0 0,1 0-1 0 0,1-1 1 0 0,0-1-1 0 0,0 0 1 0 0,28 15-1 0 0,-35-25-52 0 0,15 12 66 0 0,1 0-67 0 0,-19-10-60 0 0,1 0 0 0 0,-1 1 0 0 0,0-1 0 0 0,-1-1-13 0 0,-5-4-56 0 0,-20-13-3967 0 0,9 6 2506 0 0</inkml:trace>
  <inkml:trace contextRef="#ctx0" brushRef="#br0" timeOffset="3283.03">4946 464 6679 0 0,'0'0'600'0'0,"2"1"-492"0"0,5 2-22 0 0,-6-2 292 0 0,2 1 304 0 0,-3-2-623 0 0,1 0-1 0 0,-1 0 0 0 0,0 0 1 0 0,0 0-1 0 0,0 0 1 0 0,0 0-1 0 0,1 1 1 0 0,-1-1-1 0 0,0 0 1 0 0,0 0-1 0 0,0 0 0 0 0,0 0 1 0 0,1 0-1 0 0,-1 0 1 0 0,0 0-1 0 0,0 1 1 0 0,0-1-1 0 0,0 0 0 0 0,0 0 1 0 0,0 0-1 0 0,0 0 1 0 0,0 0-1 0 0,1 1 1 0 0,-1-1-1 0 0,0 0 1 0 0,0 0-1 0 0,0 0 0 0 0,0 0 1 0 0,0 1-1 0 0,0-1 1 0 0,0 0-1 0 0,0 0 1 0 0,0 0-1 0 0,0 0 0 0 0,0 1 1 0 0,0-1-1 0 0,-1 1 9 0 0,1 1 0 0 0,-1-1 0 0 0,0 0 0 0 0,0 0 1 0 0,0 0-1 0 0,0 0 0 0 0,0 0 0 0 0,0 0 0 0 0,0 0 0 0 0,0 0 0 0 0,0 0 0 0 0,-1 0 0 0 0,1 0 0 0 0,0-1 0 0 0,0 1 0 0 0,-1 0 0 0 0,1-1 0 0 0,0 1 0 0 0,-1-1 0 0 0,1 0 0 0 0,-1 1 0 0 0,1-1 0 0 0,-1 0 0 0 0,1 0 0 0 0,-1 0 0 0 0,1 0 0 0 0,-3 0 0 0 0,-5-1 517 0 0,1 0-1 0 0,-1-1 1 0 0,-14-4-1 0 0,1 0 429 0 0,-5 3-571 0 0,0 0 0 0 0,-52 2 1 0 0,42 2-383 0 0,3-1-81 0 0,-102-4 98 0 0,115 2-109 0 0,0-1 0 0 0,0 0 0 0 0,0-2 0 0 0,-26-9 0 0 0,40 9-51 0 0,5 4-3013 0 0,11 4 1911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2-20T09:31:41.842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0 412 4607 0 0,'0'0'6354'0'0,"1"-1"-6277"0"0,2-9 387 0 0,1-1 0 0 0,1 1 0 0 0,0 0 1 0 0,1 1-1 0 0,-1-1 0 0 0,2 1 0 0 0,-1 0 0 0 0,12-11 0 0 0,-14 16-394 0 0,0 1-1 0 0,0 0 1 0 0,0 0-1 0 0,1 0 1 0 0,-1 1-1 0 0,1 0 1 0 0,-1-1-1 0 0,9-1 1 0 0,40-9 14 0 0,-20 6-66 0 0,164-35 1002 0 0,-175 38-877 0 0,32-3-61 0 0,-1 1-1 0 0,68 3 1 0 0,-110 2-82 0 0,-3 1 0 0 0,0 0 0 0 0,-1 0 0 0 0,1 1 0 0 0,0 0 0 0 0,-1 0 0 0 0,1 1 0 0 0,-1 0 0 0 0,1 0 0 0 0,9 5 0 0 0,-8-3 0 0 0,-4-2 0 0 0,-1 0 0 0 0,1 0 0 0 0,-1 1 0 0 0,0 0 0 0 0,0 0 0 0 0,0 0 0 0 0,0 0 0 0 0,-1 0 0 0 0,1 1 0 0 0,-1 0 0 0 0,0 0 0 0 0,4 6 0 0 0,10 11 0 0 0,57 65 177 0 0,-30-33-66 0 0,-31-40 41 0 0,0 0 0 0 0,1 0 0 0 0,21 14 0 0 0,-28-22-152 0 0,-4-3 0 0 0,0 0 0 0 0,0 1 0 0 0,0-1 0 0 0,0 1 0 0 0,-1 0 0 0 0,1 0 0 0 0,-1 0 0 0 0,0 0 0 0 0,3 4 0 0 0,-4-5 0 0 0,1 0 1 0 0,-1 0-1 0 0,1 0 0 0 0,-1 0 0 0 0,0 0 0 0 0,0 1 0 0 0,0-1 0 0 0,0 0 1 0 0,1 4-1 0 0,-1 0 9 0 0,1 4 34 0 0,-4-1-33 0 0,1-7-118 0 0,0 0-1 0 0,-1-1 1 0 0,1 1 0 0 0,0-1-1 0 0,-1 1 1 0 0,1-1 0 0 0,-1 0-1 0 0,1 0 1 0 0,-1 1 0 0 0,1-1-1 0 0,-1 0 1 0 0,0-1-1 0 0,0 1 1 0 0,1 0 0 0 0,-1 0-1 0 0,0-1 1 0 0,0 1 0 0 0,0-1-1 0 0,0 1 1 0 0,0-1-1 0 0,0 0 1 0 0,0 0 0 0 0,0 0-1 0 0,-3 0 1 0 0,-4-3-1063 0 0</inkml:trace>
  <inkml:trace contextRef="#ctx0" brushRef="#br0" timeOffset="601.53">1032 313 2759 0 0,'0'0'6244'0'0,"0"2"-5797"0"0,0 5-181 0 0,0 0 1 0 0,1 0-1 0 0,0 0 1 0 0,0 0-1 0 0,1 0 0 0 0,2 8 1 0 0,18 43 148 0 0,-11-33 0 0 0,1-1 0 0 0,24 37 0 0 0,-26-48-249 0 0,-1 1-1 0 0,0 0 0 0 0,-1 0 1 0 0,-1 1-1 0 0,7 20 0 0 0,-14-34-172 0 0,1 0 0 0 0,-1 0-1 0 0,0 0 1 0 0,1 0 0 0 0,-1 0 0 0 0,0 0-1 0 0,0 0 1 0 0,0 0 0 0 0,0 0-1 0 0,0 0 1 0 0,0 0 0 0 0,0 0-1 0 0,0 0 1 0 0,0 0 0 0 0,-1 0 0 0 0,0 2-1 0 0,-6 1-296 0 0,5-4 266 0 0,-8 3-248 0 0</inkml:trace>
  <inkml:trace contextRef="#ctx0" brushRef="#br0" timeOffset="1004.62">1238 606 5527 0 0,'0'0'4416'0'0,"-2"1"-4326"0"0,-2 0 70 0 0,-1 1 0 0 0,1-1 0 0 0,0 0 0 0 0,-1 0 0 0 0,1-1 0 0 0,-1 1 0 0 0,1-1 0 0 0,-8 0 0 0 0,-42-5 1234 0 0,35 3-1095 0 0,-107-15 137 0 0,-30-3 17 0 0,123 17-450 0 0,-95-4-8 0 0,103 10-414 0 0,23-2-9 0 0</inkml:trace>
  <inkml:trace contextRef="#ctx0" brushRef="#br0" timeOffset="2739.55">1298 501 919 0 0,'-1'0'67'0'0,"0"0"253"0"0,-1 0 1 0 0,1 0-1 0 0,0-1 0 0 0,-1 1 0 0 0,1 0 0 0 0,0 0 0 0 0,0-1 1 0 0,0 1-1 0 0,-1-1 0 0 0,1 1 0 0 0,0-1 0 0 0,0 1 1 0 0,0-1-1 0 0,-2-1 0 0 0,0-1 2477 0 0,2 3-2745 0 0,1 0 1 0 0,-1 0-1 0 0,1 0 0 0 0,0-1 0 0 0,-1 1 0 0 0,1 0 1 0 0,-1 0-1 0 0,1-1 0 0 0,-1 1 0 0 0,1 0 1 0 0,0-1-1 0 0,-1 1 0 0 0,1 0 0 0 0,0-1 1 0 0,-1 1-1 0 0,1 0 0 0 0,0-1 0 0 0,-1 1 0 0 0,1-1 1 0 0,0 1-1 0 0,0-1 0 0 0,0 1 0 0 0,-1-1 1 0 0,-5-14 56 0 0,5 13-77 0 0,1-1 0 0 0,0 1 0 0 0,-1-1 1 0 0,1 1-1 0 0,0 0 0 0 0,0-1 0 0 0,0 1 0 0 0,1-1 1 0 0,-1 1-1 0 0,1 0 0 0 0,-1-1 0 0 0,1 1 0 0 0,0 0 1 0 0,-1 0-1 0 0,3-4 0 0 0,1 1 189 0 0,-1 0 0 0 0,1 1 1 0 0,0-1-1 0 0,0 1 0 0 0,8-6 0 0 0,31-29 1082 0 0,-26 22-1160 0 0,0 2 0 0 0,1 0 0 0 0,1 0-1 0 0,1 2 1 0 0,33-18 0 0 0,-4 13-143 0 0,1 1 0 0 0,1 3 0 0 0,61-10 0 0 0,8-2 0 0 0,185-33 82 0 0,-183 38 204 0 0,-48 7-175 0 0,5-1 177 0 0,112-8 1 0 0,20 8-289 0 0,-133 13 0 0 0,144 15 0 0 0,-89-1 0 0 0,130 16 0 0 0,-186-16 44 0 0,245 48 368 0 0,-297-53-373 0 0,117 32-2 0 0,-51-14 219 0 0,1 1 4 0 0,-30-4-166 0 0,-1 3-1 0 0,60 33 0 0 0,-102-47-93 0 0,4 1 0 0 0,35 25 0 0 0,-23-12 79 0 0,29 24 152 0 0,-63-48-220 0 0,3 3 24 0 0,0 0 1 0 0,1-1 0 0 0,-1 1 0 0 0,1-1 0 0 0,0 0 0 0 0,0 0 0 0 0,0-1-1 0 0,0 0 1 0 0,0 1 0 0 0,6 0 0 0 0,8 3-611 0 0,-17-5-72 0 0,-4-2-116 0 0,-21-6-1624 0 0,12 5-2220 0 0</inkml:trace>
  <inkml:trace contextRef="#ctx0" brushRef="#br0" timeOffset="3385.15">4657 281 3223 0 0,'-12'-11'484'0'0,"4"4"928"0"0,-9-6 3980 0 0,17 14-5366 0 0,-1-1-1 0 0,1 0 0 0 0,0 0 0 0 0,0 0 1 0 0,-1 0-1 0 0,1 0 0 0 0,0 0 1 0 0,0 0-1 0 0,-1 1 0 0 0,1-1 0 0 0,0 0 1 0 0,0 0-1 0 0,0 0 0 0 0,-1 0 0 0 0,1 1 1 0 0,0-1-1 0 0,0 0 0 0 0,0 0 1 0 0,0 1-1 0 0,0-1 0 0 0,-1 0 0 0 0,1 0 1 0 0,0 1-1 0 0,0-1 0 0 0,0 0 1 0 0,0 0-1 0 0,0 1 0 0 0,0-1 0 0 0,0 0 1 0 0,0 0-1 0 0,0 1 0 0 0,0-1 0 0 0,0 0 1 0 0,0 1-1 0 0,-1 9 446 0 0,1-9-500 0 0,1 9 110 0 0,1 1 0 0 0,0 0 0 0 0,1-1 0 0 0,0 1 0 0 0,0-1 0 0 0,1 0 1 0 0,1 0-1 0 0,0-1 0 0 0,0 1 0 0 0,1-1 0 0 0,0 0 0 0 0,10 12 0 0 0,9 6 384 0 0,1 0 0 0 0,35 27 0 0 0,-55-49-225 0 0,-3-3-198 0 0,-1 0 0 0 0,0 0 0 0 0,1 1-1 0 0,-1-1 1 0 0,0 1 0 0 0,0-1-1 0 0,-1 1 1 0 0,1 0 0 0 0,-1 0-1 0 0,2 3 1 0 0,2 5-10 0 0,-2-2-81 0 0,-2-7-66 0 0,-2-5-3169 0 0,1 2 3146 0 0,-1 0 0 0 0,1 0-1 0 0,-1 0 1 0 0,0 0-1 0 0,1 0 1 0 0,-1 0-1 0 0,0 0 1 0 0,0 0-1 0 0,0 1 1 0 0,1-1-1 0 0,-1 0 1 0 0,0 0 0 0 0,-2-1-1 0 0,-15-8-1578 0 0,17 9 1753 0 0,-1 0-484 0 0</inkml:trace>
  <inkml:trace contextRef="#ctx0" brushRef="#br0" timeOffset="3759.14">4915 542 6447 0 0,'0'0'1279'0'0,"1"-10"638"0"0,0 4-1758 0 0,-1 5-214 0 0,1 1-320 0 0,-1-1 436 0 0,0 1 1 0 0,0 0 0 0 0,1 0-1 0 0,-1-1 1 0 0,0 1-1 0 0,0 0 1 0 0,1-1 0 0 0,-1 1-1 0 0,0-1 1 0 0,0 1-1 0 0,0 0 1 0 0,0-1 0 0 0,0 1-1 0 0,1-1 1 0 0,-1 1 0 0 0,0 0-1 0 0,0-1 1 0 0,0 1-1 0 0,0-1 1 0 0,0 1 0 0 0,0-1-1 0 0,-8-2 290 0 0,0 0-1 0 0,0 0 0 0 0,0 1 0 0 0,0 0 0 0 0,-14-2 0 0 0,-47 0 447 0 0,19 2-367 0 0,-22-6-26 0 0,-128-33 0 0 0,82 19-944 0 0,116 21 328 0 0,13 15-5492 0 0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geReportData1" displayName="SageReportData1" ref="D2:F65" totalsRowShown="0" headerRowDxfId="218">
  <autoFilter ref="D2:F65" xr:uid="{00000000-0009-0000-0100-000001000000}"/>
  <tableColumns count="3">
    <tableColumn id="2" xr3:uid="{00000000-0010-0000-0000-000002000000}" name="ProductCategory.Number"/>
    <tableColumn id="3" xr3:uid="{00000000-0010-0000-0000-000003000000}" name="ProductCategory.Name"/>
    <tableColumn id="4" xr3:uid="{00000000-0010-0000-0000-000004000000}" name="Company.EndOfReportBanner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16C8F19-08C0-4002-A9EE-DDA23D3F5014}" name="Table6" displayName="Table6" ref="A1:AD87" totalsRowShown="0" headerRowDxfId="51" tableBorderDxfId="50" headerRowCellStyle="Normal 2" dataCellStyle="Normal 2">
  <tableColumns count="30">
    <tableColumn id="1" xr3:uid="{027A4A7F-BD37-44F3-B83A-7A423B46B56F}" name="GEng_x000a_CAT" dataCellStyle="Normal 2"/>
    <tableColumn id="2" xr3:uid="{E6687F51-0FF1-42D3-B820-452E1E55A5EB}" name="ProductRecord.AccountReference" dataCellStyle="Normal 2">
      <calculatedColumnFormula>_xlfn.CONCAT(A2,"_",D2,"_",E2,"_@",(ROUND(F2,2)),"Kg/m")</calculatedColumnFormula>
    </tableColumn>
    <tableColumn id="3" xr3:uid="{D2A528CD-956D-4DC1-BCCE-F239CEAB22A9}" name="ProductRecord.Description" dataCellStyle="Normal 2">
      <calculatedColumnFormula>_xlfn.CONCAT(A2," ",D2,"ID ",E2,"OD  @ ",ROUND(F2,2),"Kg/m")</calculatedColumnFormula>
    </tableColumn>
    <tableColumn id="4" xr3:uid="{3C8C0FF3-077E-4A8F-ABDE-86F59404BB76}" name="SIZE" dataCellStyle="Normal 2"/>
    <tableColumn id="5" xr3:uid="{27B4665D-0175-4C78-9F36-0FD103B3DFFA}" name="Column1" dataDxfId="49" dataCellStyle="Normal 2"/>
    <tableColumn id="6" xr3:uid="{A7266779-A453-433B-AF94-194E06366B67}" name="KG/M" dataDxfId="48" dataCellStyle="Normal 2"/>
    <tableColumn id="7" xr3:uid="{C2C11B60-666C-4780-A9C3-A8C60D1A2E14}" name="Length (m)" dataDxfId="47" dataCellStyle="Normal 2"/>
    <tableColumn id="8" xr3:uid="{8141CDE3-97ED-4E15-B24E-9BE4BC49140C}" name="Qty." dataCellStyle="Normal 2"/>
    <tableColumn id="9" xr3:uid="{CB613578-3587-4C4A-B3C9-290D36462C46}" name="Area" dataDxfId="46" dataCellStyle="Normal 2"/>
    <tableColumn id="10" xr3:uid="{0DF14A75-995E-4AF6-8FCB-261A487119B0}" name="Length (m)2" dataDxfId="45" dataCellStyle="Normal 2"/>
    <tableColumn id="11" xr3:uid="{561FA9EB-723C-422F-B06D-0870B6879204}" name="Qty2" dataCellStyle="Normal 2"/>
    <tableColumn id="12" xr3:uid="{7B3EF39A-6E9B-4DBC-A545-5E3171A33865}" name="Area2" dataDxfId="44" dataCellStyle="Normal 2"/>
    <tableColumn id="13" xr3:uid="{5DBF7952-B97C-4FCD-A130-260FC0F55944}" name="Length (m)3" dataDxfId="43" dataCellStyle="Normal 2"/>
    <tableColumn id="14" xr3:uid="{37BF816B-197E-4777-BD7A-814113288627}" name="Qty3" dataCellStyle="Normal 2"/>
    <tableColumn id="15" xr3:uid="{57629929-BFF7-4AB4-8A76-CBF3A1813FB4}" name="Area3" dataCellStyle="Normal 2"/>
    <tableColumn id="16" xr3:uid="{D2BDF773-D581-4179-9167-63666DDCE7B8}" name="Total Metres" dataCellStyle="Normal 2">
      <calculatedColumnFormula>SUM(G2*H2)+(J2*K2)+(M2*N2)</calculatedColumnFormula>
    </tableColumn>
    <tableColumn id="17" xr3:uid="{FAA2E235-CF9C-482E-A29D-D2EE5768136D}" name="Stock Take Value" dataDxfId="42" dataCellStyle="Normal 2">
      <calculatedColumnFormula>P2*F2*S2/1000</calculatedColumnFormula>
    </tableColumn>
    <tableColumn id="18" xr3:uid="{6DE5ED25-33F5-4C85-809C-FD8D00E85AB3}" name="Blank1" dataCellStyle="Normal 2"/>
    <tableColumn id="20" xr3:uid="{2F710309-3FF7-486A-A6C8-63AD26B23F48}" name="£/Tonne" dataDxfId="41" dataCellStyle="Normal 2"/>
    <tableColumn id="21" xr3:uid="{27EE9418-50F7-4990-80FA-219A90F51637}" name="£Cost /m" dataDxfId="40" dataCellStyle="Normal 2">
      <calculatedColumnFormula>(S2/1000)*F2</calculatedColumnFormula>
    </tableColumn>
    <tableColumn id="31" xr3:uid="{4E8943C6-94C6-4C74-A74D-A476C1E4F3AA}" name="Normal Length" dataDxfId="39" dataCellStyle="Normal 2"/>
    <tableColumn id="22" xr3:uid="{19E26FBF-243E-4679-8E99-4BDA5588D257}" name="£/Length" dataDxfId="38" dataCellStyle="Normal 2">
      <calculatedColumnFormula>(S2/1000)*F2*6.2</calculatedColumnFormula>
    </tableColumn>
    <tableColumn id="23" xr3:uid="{663A1DC3-6AB0-4AFD-975D-A1DEF174C71C}" name="Blank2" dataCellStyle="Normal 2"/>
    <tableColumn id="24" xr3:uid="{A2CF302C-68E4-4783-8904-8C4B38C76D27}" name="Add 30%" dataDxfId="37" dataCellStyle="Normal 2">
      <calculatedColumnFormula>V2*1.3</calculatedColumnFormula>
    </tableColumn>
    <tableColumn id="25" xr3:uid="{D2698AC0-EE6B-4F94-853A-06EBEEBD3CB1}" name="35%" dataDxfId="36" dataCellStyle="Normal 2">
      <calculatedColumnFormula>V2*1.35</calculatedColumnFormula>
    </tableColumn>
    <tableColumn id="26" xr3:uid="{D0CA6665-EEE0-4F02-B547-776B0A06AD41}" name="40%" dataDxfId="35" dataCellStyle="Normal 2">
      <calculatedColumnFormula>V2*1.4</calculatedColumnFormula>
    </tableColumn>
    <tableColumn id="27" xr3:uid="{E457D5F0-133C-40D9-A41D-53DB404909DA}" name="50%" dataDxfId="34" dataCellStyle="Normal 2">
      <calculatedColumnFormula>V2*1.5</calculatedColumnFormula>
    </tableColumn>
    <tableColumn id="28" xr3:uid="{14F25089-D466-4C17-AB7E-CE3231CC1691}" name="60%" dataDxfId="33" dataCellStyle="Normal 2"/>
    <tableColumn id="29" xr3:uid="{568E265E-ABEF-44C9-96C5-B4C1089877AF}" name="70%" dataDxfId="32" dataCellStyle="Normal 2"/>
    <tableColumn id="30" xr3:uid="{49C3034C-83F5-4B46-A5A7-80298A7CD7E4}" name="100%" dataDxfId="31" dataCellStyle="Normal 2"/>
  </tableColumns>
  <tableStyleInfo name="TableStyleLight20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9CFC9C2-44BD-4859-B03B-002DBFEC969B}" name="Table7" displayName="Table7" ref="A1:AB64" totalsRowShown="0" headerRowDxfId="30" dataDxfId="29">
  <autoFilter ref="A1:AB64" xr:uid="{29CFC9C2-44BD-4859-B03B-002DBFEC969B}"/>
  <tableColumns count="28">
    <tableColumn id="1" xr3:uid="{A0869606-1D0E-472E-8C89-E410A5AE8FA2}" name="GEng_x000a_CAT" dataDxfId="28" dataCellStyle="Normal 2"/>
    <tableColumn id="2" xr3:uid="{0AE10CA4-FFA5-4D36-97F0-62ECB9071C28}" name="ProductRecord.AccountReference" dataDxfId="27" dataCellStyle="Normal 2">
      <calculatedColumnFormula>_xlfn.CONCAT(A2,"_",D2,"_",E2,"_",F2)</calculatedColumnFormula>
    </tableColumn>
    <tableColumn id="3" xr3:uid="{2321C931-1796-4FDF-BC04-A9E1FB7B589C}" name="ProductRecord.Description" dataDxfId="26" dataCellStyle="Normal 2">
      <calculatedColumnFormula>_xlfn.CONCAT(B2, " @ ",ROUND(G2,2),"Kg/m")</calculatedColumnFormula>
    </tableColumn>
    <tableColumn id="4" xr3:uid="{709CD8D6-798D-4326-B617-92DD07671F2C}" name="Side a" dataDxfId="25" dataCellStyle="Normal 2"/>
    <tableColumn id="5" xr3:uid="{948D3417-81D8-4232-86FA-A0ADF59CA0E6}" name="Side b" dataDxfId="24" dataCellStyle="Normal 2"/>
    <tableColumn id="6" xr3:uid="{1CD309DB-8D99-43AB-AC5C-2EA9297DB867}" name="Thk" dataDxfId="23" dataCellStyle="Normal 2"/>
    <tableColumn id="7" xr3:uid="{36C4D58C-945B-4123-84CE-045FE8739723}" name="KG/M" dataDxfId="22" dataCellStyle="Normal 2"/>
    <tableColumn id="8" xr3:uid="{377502AA-A59F-434C-B175-450212961A1D}" name="Length (m)" dataDxfId="21" dataCellStyle="Normal 2"/>
    <tableColumn id="9" xr3:uid="{450434EA-98C1-4601-9F43-D95B374F5950}" name="Qty." dataDxfId="20" dataCellStyle="Normal 2"/>
    <tableColumn id="10" xr3:uid="{24FF3E0D-A5CE-4036-A05B-9574FEAAEAF3}" name="Area" dataDxfId="19" dataCellStyle="Normal 2"/>
    <tableColumn id="11" xr3:uid="{D49DF559-C8CC-4024-8D3B-003493DF45AB}" name="Length (m)2" dataDxfId="18" dataCellStyle="Normal 2"/>
    <tableColumn id="12" xr3:uid="{2510744C-C3E6-4ED9-B704-9A41C0CAD225}" name="Qty2" dataDxfId="17" dataCellStyle="Normal 2"/>
    <tableColumn id="13" xr3:uid="{903B305D-BE6B-4779-8F9D-D22F7FA1E322}" name="Area2" dataDxfId="16" dataCellStyle="Normal 2"/>
    <tableColumn id="14" xr3:uid="{AACEAA09-54C0-40FB-921C-F7198850F4FF}" name="Length (m)3" dataDxfId="15" dataCellStyle="Normal 2"/>
    <tableColumn id="15" xr3:uid="{3E483AEC-8C5D-4DC8-91F0-32D257226377}" name="Qty3" dataDxfId="14" dataCellStyle="Normal 2"/>
    <tableColumn id="16" xr3:uid="{CA1345B6-8958-4395-A4A6-4D32DD990013}" name="Area3" dataDxfId="13" dataCellStyle="Normal 2"/>
    <tableColumn id="17" xr3:uid="{32CA6E51-F53E-4E61-8EBD-EDC25D0EDD24}" name="Total Metres" dataDxfId="12" dataCellStyle="Normal 2">
      <calculatedColumnFormula>SUM(H2*I2)+(K2*L2)+(N2*O2)</calculatedColumnFormula>
    </tableColumn>
    <tableColumn id="18" xr3:uid="{A2837EAD-9EB7-48E0-9912-6B9C224A5071}" name="Stock Take Value" dataDxfId="11" dataCellStyle="Normal 2">
      <calculatedColumnFormula>Q2*G2*T2/1000</calculatedColumnFormula>
    </tableColumn>
    <tableColumn id="19" xr3:uid="{1F0AB6B1-A8E2-446F-952A-7379CC665AC4}" name="Blank" dataDxfId="10" dataCellStyle="Normal 2"/>
    <tableColumn id="22" xr3:uid="{4E71F54C-A519-4470-B26F-6B14D1C48500}" name="£/Tonne" dataDxfId="9" dataCellStyle="Currency 2"/>
    <tableColumn id="24" xr3:uid="{8091DDC9-5166-42AE-96AD-9B5D835C92E2}" name="£Cost /m" dataDxfId="8">
      <calculatedColumnFormula>Table7[[#This Row],[KG/M]]/Table7[[#This Row],[£/Tonne]]*1000</calculatedColumnFormula>
    </tableColumn>
    <tableColumn id="20" xr3:uid="{51C966DF-071B-4C00-8169-4582E1C5AECF}" name="Normal Length" dataDxfId="7"/>
    <tableColumn id="21" xr3:uid="{D4B55283-E16D-4DF6-994F-08A624058B22}" name="Cost £/Length" dataDxfId="6" dataCellStyle="Normal 2">
      <calculatedColumnFormula>Table7[[#This Row],[£Cost /m]]*Table7[[#This Row],[£Cost /m]]</calculatedColumnFormula>
    </tableColumn>
    <tableColumn id="29" xr3:uid="{5DB12762-9F0F-49B8-90BD-AF30D798D4D6}" name="Blank2" dataDxfId="5" dataCellStyle="Normal 2"/>
    <tableColumn id="25" xr3:uid="{0B648F91-F08E-4107-A33E-1A7C95F9B496}" name="35%" dataDxfId="4" dataCellStyle="Normal 2"/>
    <tableColumn id="26" xr3:uid="{CFAAE3DB-CB95-4798-B90A-21FBFC9A5E71}" name="40%" dataDxfId="3" dataCellStyle="Normal 2"/>
    <tableColumn id="27" xr3:uid="{D2F8753B-8EFC-4807-99DD-071213482673}" name="50%" dataDxfId="2" dataCellStyle="Normal 2"/>
    <tableColumn id="28" xr3:uid="{CA9142BB-FFD9-4641-8444-F5481BEE96DF}" name="60%" dataDxfId="1" dataCellStyle="Normal 2"/>
  </tableColumns>
  <tableStyleInfo name="TableStyleLight20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AA03D83-4335-461E-8270-CC942EB94CAB}" name="AreaList" displayName="AreaList" ref="A1:B27" totalsRowShown="0" headerRowDxfId="0" headerRowCellStyle="Normal 3" dataCellStyle="Normal 3">
  <autoFilter ref="A1:B27" xr:uid="{4AA03D83-4335-461E-8270-CC942EB94CAB}"/>
  <tableColumns count="2">
    <tableColumn id="1" xr3:uid="{4EE66A2B-7783-4A2E-8BC5-16605708014B}" name="Area Shortcode" dataCellStyle="Normal 3"/>
    <tableColumn id="2" xr3:uid="{0455BCF8-A226-4FAE-BE85-9672D7BB6D1D}" name="Area Description" dataCellStyle="Normal 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1CA9283-F597-4299-901A-615EA5718576}" name="Table113" displayName="Table113" ref="A1:N165" totalsRowCount="1" headerRowDxfId="217" dataDxfId="216">
  <autoFilter ref="A1:N164" xr:uid="{D1CA9283-F597-4299-901A-615EA5718576}"/>
  <tableColumns count="14">
    <tableColumn id="2" xr3:uid="{AB38D7BB-D501-48BC-883B-A42B25DA73E1}" name="GEng Cat" dataDxfId="214" totalsRowDxfId="215" totalsRowCellStyle="Normal 2">
      <calculatedColumnFormula>'Category Setup'!L33</calculatedColumnFormula>
    </tableColumn>
    <tableColumn id="22" xr3:uid="{05A1AE79-B617-451E-8157-03DA161DD5FF}" name="ProductRecord.AccountReference" dataDxfId="212" totalsRowDxfId="213" dataCellStyle="Normal 2" totalsRowCellStyle="Normal 2">
      <calculatedColumnFormula>'Category Setup'!E33</calculatedColumnFormula>
    </tableColumn>
    <tableColumn id="16" xr3:uid="{0AA7DC72-96B7-4E89-865B-44B8D8D884A4}" name="ProductRecord.Description" totalsRowDxfId="211" dataCellStyle="Normal 2" totalsRowCellStyle="Normal 2"/>
    <tableColumn id="3" xr3:uid="{6E3D04EB-5C69-4DF9-8736-1476C593118A}" name="Metric 1" dataDxfId="209" totalsRowDxfId="210" totalsRowCellStyle="Normal 2"/>
    <tableColumn id="4" xr3:uid="{06024B0A-5511-4E47-A650-5354C2AE0545}" name="Metric 2" dataDxfId="207" totalsRowDxfId="208" totalsRowCellStyle="Normal 2"/>
    <tableColumn id="5" xr3:uid="{84707639-F31F-423C-9808-DB8900FEE982}" name="Metric 3" dataDxfId="205" totalsRowDxfId="206" totalsRowCellStyle="Normal 2"/>
    <tableColumn id="36" xr3:uid="{9745DB33-17EE-49B8-9E0D-122F2CF5E16A}" name="Metric 4" dataDxfId="203" totalsRowDxfId="204" dataCellStyle="Normal 2" totalsRowCellStyle="Normal 2"/>
    <tableColumn id="28" xr3:uid="{F1295848-D728-46A1-BA13-7884A5F7BF1E}" name="Qty 1" dataDxfId="201" totalsRowDxfId="202" dataCellStyle="Normal 2" totalsRowCellStyle="Normal 2"/>
    <tableColumn id="29" xr3:uid="{F1B141C4-A4E6-4698-937E-1F7739F510BF}" name="Area 1" dataDxfId="199" totalsRowDxfId="200" dataCellStyle="Normal 2" totalsRowCellStyle="Normal 2"/>
    <tableColumn id="31" xr3:uid="{202A5D2D-DD6A-4517-94FD-40476B092B4F}" name="Qty 2" dataDxfId="197" totalsRowDxfId="198" dataCellStyle="Normal 2" totalsRowCellStyle="Normal 2"/>
    <tableColumn id="32" xr3:uid="{90B1D3C0-45CA-4B24-AB87-29FB280AE0CD}" name="Area 2" dataDxfId="195" totalsRowDxfId="196" dataCellStyle="Normal 2" totalsRowCellStyle="Normal 2"/>
    <tableColumn id="6" xr3:uid="{9C0F73D8-458C-4D18-BFDD-7DD608D551A2}" name="Total Qty All Areas" dataDxfId="193" totalsRowDxfId="194" totalsRowCellStyle="Normal 2">
      <calculatedColumnFormula>Table113[[#This Row],[Qty 2]]+Table113[[#This Row],[Qty 1]]</calculatedColumnFormula>
    </tableColumn>
    <tableColumn id="7" xr3:uid="{B239BACF-9777-4408-90D9-F02C34A2A558}" name="Unit Cost" dataDxfId="191" totalsRowDxfId="192" totalsRowCellStyle="Normal 2"/>
    <tableColumn id="8" xr3:uid="{A19F4D23-2B84-4EFF-93E6-E0F5DB62FDA5}" name="Total Stock Take Value" totalsRowFunction="custom" dataDxfId="189" totalsRowDxfId="190" totalsRowCellStyle="Normal 2">
      <calculatedColumnFormula>Table113[[#This Row],[Unit Cost]]*Table113[[#This Row],[Total Qty All Areas]]</calculatedColumnFormula>
      <totalsRowFormula>SUM(Table113[Total Stock Take Value])</totalsRowFormula>
    </tableColumn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1A8EF4-2D85-4D1D-83D6-E2BD0ECC2F5E}" name="Table1" displayName="Table1" ref="A1:AL331" totalsRowShown="0" headerRowDxfId="188" dataDxfId="187">
  <autoFilter ref="A1:AL331" xr:uid="{00000000-0009-0000-0100-000001000000}"/>
  <tableColumns count="38">
    <tableColumn id="1" xr3:uid="{8F9DDD8B-626D-4BE9-ACDB-A46A81B78C4D}" name="Note"/>
    <tableColumn id="2" xr3:uid="{8550F9F8-2D72-462E-BFD3-B3DCBCA2E01E}" name="GEng Cat"/>
    <tableColumn id="22" xr3:uid="{F373C9D3-6356-4DAC-8C01-EDB71AED3A41}" name="ProductRecord.AccountReference" dataDxfId="186" dataCellStyle="Normal 2"/>
    <tableColumn id="16" xr3:uid="{26609AD4-C76A-4D8B-B53D-B479E7FC1B27}" name="ProductRecord.Description" dataCellStyle="Normal 2"/>
    <tableColumn id="3" xr3:uid="{1DEE05DA-2AE2-41E5-B187-940561E5A27F}" name="Length" dataDxfId="185"/>
    <tableColumn id="4" xr3:uid="{B1D0AF01-651E-4A8F-8837-DD5959DD43FB}" name="Width" dataDxfId="184"/>
    <tableColumn id="5" xr3:uid="{3EE17CA8-A525-40EF-8F2D-366906302110}" name="Thickness" dataDxfId="183"/>
    <tableColumn id="6" xr3:uid="{9B376508-5C90-4B04-BB00-A858AB422F25}" name="KG/M2" dataDxfId="182"/>
    <tableColumn id="7" xr3:uid="{C419872E-42E4-4318-93AE-41ADBAB52C64}" name="Kg/ Sheet" dataDxfId="181"/>
    <tableColumn id="27" xr3:uid="{4AA8F75C-041E-4474-A494-D8AEBB0E2C3E}" name="Dimension L1" dataDxfId="180" dataCellStyle="Normal 2"/>
    <tableColumn id="33" xr3:uid="{29DB3DF3-466E-4B6A-96B8-19AC7D8D888B}" name="Dimension W1" dataDxfId="179" dataCellStyle="Normal 2"/>
    <tableColumn id="28" xr3:uid="{2321238F-FB30-4593-85FC-DCA454DF7EC0}" name="Qty 1" dataDxfId="178" dataCellStyle="Normal 2"/>
    <tableColumn id="29" xr3:uid="{16DFF343-3C72-4115-8028-F9701F898011}" name="Area 1" dataDxfId="177" dataCellStyle="Normal 2"/>
    <tableColumn id="30" xr3:uid="{6081F1A5-8CE2-45E8-8AA6-1B010F494D41}" name="Dimension L2" dataDxfId="176" dataCellStyle="Normal 2"/>
    <tableColumn id="35" xr3:uid="{5223C509-6336-45E6-900B-D282B740B2B1}" name="Dimension W2" dataDxfId="175" dataCellStyle="Normal 2"/>
    <tableColumn id="31" xr3:uid="{87B0A2F2-0B1C-499F-B065-D0951ACF3D59}" name="Qty 2" dataDxfId="174" dataCellStyle="Normal 2"/>
    <tableColumn id="32" xr3:uid="{7E2F1AD7-9104-45E3-AFDA-12C7C8B5599D}" name="Area 2" dataDxfId="173" dataCellStyle="Normal 2"/>
    <tableColumn id="8" xr3:uid="{6B10B456-D1C9-4689-A791-34B4BC1A6125}" name="Dimension L3" dataDxfId="172"/>
    <tableColumn id="34" xr3:uid="{8303D997-D746-419E-AE7B-1127FF73DBC5}" name="Dimension W3" dataDxfId="171" dataCellStyle="Normal 2"/>
    <tableColumn id="9" xr3:uid="{D90936AC-62FB-4586-BC19-0EE94F43B861}" name="Qty 3" dataDxfId="170"/>
    <tableColumn id="10" xr3:uid="{159D3D82-28EC-4CAC-838E-72A68BD182EF}" name="Area 3" dataDxfId="169"/>
    <tableColumn id="11" xr3:uid="{F3358907-0B2C-44F9-8E46-5A73372311C8}" name="Dimension L4" dataDxfId="168" dataCellStyle="Normal 2"/>
    <tableColumn id="12" xr3:uid="{E3B611FE-1F71-4EE1-9BF2-BBC5CE110C2C}" name="Dimension W4" dataDxfId="167" dataCellStyle="Normal 2"/>
    <tableColumn id="13" xr3:uid="{57B26A59-BD4C-4E95-B99E-81B218BBE01A}" name="Qty 4" dataDxfId="166" dataCellStyle="Normal 2"/>
    <tableColumn id="36" xr3:uid="{21E43710-91A5-45A8-B626-EE705DCE0577}" name="Area 4" dataDxfId="165" dataCellStyle="Normal 2"/>
    <tableColumn id="14" xr3:uid="{F4023F8D-87C6-4F8C-8002-0C3CF8EA6904}" name="Total Weight All Areas" dataDxfId="164"/>
    <tableColumn id="15" xr3:uid="{84AA907C-6632-4D7C-A62E-D261B9C1ADF6}" name="Stock Take Value" dataDxfId="163"/>
    <tableColumn id="17" xr3:uid="{7BB25881-E43F-4F10-8CE9-A866A44985EE}" name="Blank1"/>
    <tableColumn id="20" xr3:uid="{E7349F44-BA81-44D9-941A-8BBBCE779F28}" name="£/Tonne"/>
    <tableColumn id="18" xr3:uid="{B2887E67-9621-43AC-B24B-B423AD4449D5}" name="£Cost/m2" dataCellStyle="Currency 2"/>
    <tableColumn id="21" xr3:uid="{00482D35-5251-418A-B1ED-54185510EFAE}" name="£Cost / SHEET"/>
    <tableColumn id="19" xr3:uid="{97A1A86A-4437-4FC8-9650-22F17CA1050C}" name="Blank2" dataCellStyle="Currency 2"/>
    <tableColumn id="23" xr3:uid="{E621215C-4C43-4B5B-99BD-4EA4A2518014}" name="30%" dataDxfId="162"/>
    <tableColumn id="24" xr3:uid="{DDE9F248-A841-4D2B-8CC0-CC07CE27E694}" name="35%" dataDxfId="161"/>
    <tableColumn id="25" xr3:uid="{4AC27EEB-F4E0-40E5-96A2-92E37016861C}" name="40%" dataDxfId="160"/>
    <tableColumn id="26" xr3:uid="{24103BB3-355B-4282-A6FE-4D4FAA9C837D}" name="50%" dataDxfId="159"/>
    <tableColumn id="41" xr3:uid="{E94C01BC-EF09-49E8-B4C8-2C2E2C1D6928}" name="Column5" dataDxfId="158" dataCellStyle="Normal 2">
      <calculatedColumnFormula>(Table1[[#This Row],[Qty 1]]*IF(Table1[[#This Row],[Dimension L1]]&lt;1,(Table1[[#This Row],[Length]]*Table1[[#This Row],[Width]]),(Table1[[#This Row],[Dimension L1]]*Table1[[#This Row],[Dimension W1]])))/1000000</calculatedColumnFormula>
    </tableColumn>
    <tableColumn id="37" xr3:uid="{20D566AE-9444-437B-823F-49B37750F79A}" name="Column6" dataDxfId="157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43BD603-C03C-4B53-AC74-8557E7055F2F}" name="Table11" displayName="Table11" ref="A1:W20" totalsRowShown="0" headerRowDxfId="156" headerRowCellStyle="Normal 2" dataCellStyle="Normal 2">
  <autoFilter ref="A1:W20" xr:uid="{A43BD603-C03C-4B53-AC74-8557E7055F2F}"/>
  <tableColumns count="23">
    <tableColumn id="1" xr3:uid="{4A1DF475-7192-440A-9B97-18C87F90CE8D}" name="GEng_x000a_CAT" dataDxfId="155" dataCellStyle="Normal 2"/>
    <tableColumn id="2" xr3:uid="{FF3E7E84-3BDA-44C4-A741-96A99FEE7438}" name="ProductRecord.AccountReference" dataCellStyle="Normal 2"/>
    <tableColumn id="3" xr3:uid="{AC090751-D9DA-457B-A8FE-98D6F62B844A}" name="ProductRecord.Description" dataCellStyle="Normal 2"/>
    <tableColumn id="4" xr3:uid="{AC44BD3A-8868-463A-9B17-0DD2BA70B082}" name="SIZE" dataCellStyle="Normal 2"/>
    <tableColumn id="5" xr3:uid="{D078F4AB-180B-45F7-A789-7BF69C42BB26}" name="Std Length" dataDxfId="154" dataCellStyle="Normal 2"/>
    <tableColumn id="6" xr3:uid="{A3D51F87-31E2-4B64-8357-B7BF4C2CCED3}" name="Std Width" dataDxfId="153" dataCellStyle="Normal 2"/>
    <tableColumn id="7" xr3:uid="{64288224-24AA-41DD-814D-A44F9FAE68DE}" name="Thickness" dataDxfId="152" dataCellStyle="Normal 2"/>
    <tableColumn id="8" xr3:uid="{EE4C5034-5ED9-44E3-88B7-E54BD5869C88}" name="Length 1" dataDxfId="151" dataCellStyle="Normal 2"/>
    <tableColumn id="22" xr3:uid="{38F9A7CF-9D5C-486E-AC44-9BB2657A9558}" name="Width 1" dataDxfId="150" dataCellStyle="Normal 2"/>
    <tableColumn id="9" xr3:uid="{83BABD74-1004-428F-825B-52B2781782E9}" name="Qty." dataDxfId="149" dataCellStyle="Normal 2"/>
    <tableColumn id="10" xr3:uid="{760748EB-66D1-49B1-A045-3073C07C3F9D}" name="Area" dataDxfId="148" dataCellStyle="Normal 2"/>
    <tableColumn id="11" xr3:uid="{F846CC9A-B2F7-4883-82EB-BB31A73541CE}" name="Length 2" dataDxfId="147" dataCellStyle="Normal 2"/>
    <tableColumn id="23" xr3:uid="{7EE618F3-6843-49A6-95B8-3EE22B4A080E}" name="Width 2" dataDxfId="146" dataCellStyle="Normal 2"/>
    <tableColumn id="12" xr3:uid="{0C5F15BF-9D73-4958-9499-4ACC1B7AE669}" name="Qty2" dataDxfId="145" dataCellStyle="Normal 2"/>
    <tableColumn id="13" xr3:uid="{7CEA3C76-AB49-472C-88CE-93CBC36061EA}" name="Area2" dataDxfId="144" dataCellStyle="Normal 2"/>
    <tableColumn id="14" xr3:uid="{B2CD3AF8-8FE7-4D12-A460-215BAD572413}" name="Total Sq Metres" dataDxfId="143" dataCellStyle="Normal 2"/>
    <tableColumn id="15" xr3:uid="{DFE420BF-E6C8-4B18-BE05-2731F2400040}" name="Stock Take Value" dataDxfId="142" dataCellStyle="Normal 2"/>
    <tableColumn id="16" xr3:uid="{E1E8E0C1-085F-43B1-BFFD-32A5ADC78389}" name="Cost _x000a_£ / SHEET" dataCellStyle="Currency 2"/>
    <tableColumn id="17" xr3:uid="{12076B60-9264-4A9C-9737-C7A201278053}" name="Column2" dataCellStyle="Normal 2"/>
    <tableColumn id="18" xr3:uid="{D242EC89-73C5-4D38-A17A-D50D9A81E4CE}" name="Add 30%" dataDxfId="141" dataCellStyle="Normal 2"/>
    <tableColumn id="19" xr3:uid="{175D6231-0BFA-41AA-BC59-0337F7465F68}" name="35%" dataDxfId="140" dataCellStyle="Normal 2"/>
    <tableColumn id="20" xr3:uid="{D45519F5-C513-4909-96B3-652A99B905D7}" name="40%" dataDxfId="139" dataCellStyle="Normal 2"/>
    <tableColumn id="21" xr3:uid="{6305D8AE-6C80-4E13-9CC8-6BC7D1B92852}" name="50%" dataDxfId="138" dataCellStyle="Normal 2"/>
  </tableColumns>
  <tableStyleInfo name="TableStyleLight2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B7D6FDC-B21B-433C-9A45-62854CFD9019}" name="Table10" displayName="Table10" ref="A1:AA16" totalsRowShown="0" headerRowDxfId="137" headerRowCellStyle="Normal 2" dataCellStyle="Normal 2">
  <autoFilter ref="A1:AA16" xr:uid="{3B7D6FDC-B21B-433C-9A45-62854CFD9019}"/>
  <tableColumns count="27">
    <tableColumn id="1" xr3:uid="{962622B9-E0ED-40D8-82A3-8A70A1798D9D}" name="GEng_x000a_CAT" dataCellStyle="Normal 2"/>
    <tableColumn id="2" xr3:uid="{A2368146-976B-4DA5-B214-A8663CE43313}" name="ProductRecord.AccountReference" dataCellStyle="Normal 2">
      <calculatedColumnFormula>_xlfn.CONCAT(A2,"_",D2,"_",G2,"_",H2,"")</calculatedColumnFormula>
    </tableColumn>
    <tableColumn id="3" xr3:uid="{07531D71-B406-462A-A379-3FCF12BFD0B0}" name="ProductRecord.Description" dataCellStyle="Normal 2">
      <calculatedColumnFormula>B2</calculatedColumnFormula>
    </tableColumn>
    <tableColumn id="4" xr3:uid="{B236E1A6-C6F5-4492-B8CD-D8D1DCCA7D96}" name="Product Code Short" dataCellStyle="Normal 2"/>
    <tableColumn id="5" xr3:uid="{52E8F5F7-E10D-481B-994F-FBCFB61423EB}" name="SIZE" dataDxfId="136" dataCellStyle="Normal 2"/>
    <tableColumn id="6" xr3:uid="{1B74B5FD-CA02-4521-9A6B-731A592F2F49}" name="SHEET  SIZE" dataDxfId="135" dataCellStyle="Normal 2"/>
    <tableColumn id="7" xr3:uid="{532CD2C2-594A-4D65-932C-3D2BB312FEAE}" name="Std Length" dataDxfId="134" dataCellStyle="Normal 2"/>
    <tableColumn id="8" xr3:uid="{1467E69D-050C-4E56-82E8-1EE156F852C6}" name="Std Width" dataDxfId="133" dataCellStyle="Normal 2"/>
    <tableColumn id="9" xr3:uid="{B77D402C-1957-41C5-B674-D99D83388EAE}" name="Length 1" dataDxfId="132" dataCellStyle="Normal 2"/>
    <tableColumn id="26" xr3:uid="{C901FD3A-770D-4464-88FF-DBB32DDF3A55}" name="Width 1" dataDxfId="131" dataCellStyle="Normal 2"/>
    <tableColumn id="10" xr3:uid="{0AF06521-6498-4735-9EBE-3075DB63F446}" name="Qty." dataDxfId="130" dataCellStyle="Normal 2"/>
    <tableColumn id="11" xr3:uid="{BA1D7EF4-F531-4108-81E3-ED45AA5C96C5}" name="Area" dataDxfId="129" dataCellStyle="Normal 2"/>
    <tableColumn id="12" xr3:uid="{A752F0D1-93A7-40DB-8FEA-5BA8F12A5E43}" name="Length 2" dataDxfId="128" dataCellStyle="Normal 2"/>
    <tableColumn id="27" xr3:uid="{809C0574-8FC2-4936-BABA-5D80E5165BE0}" name="Width 2" dataDxfId="127" dataCellStyle="Normal 2"/>
    <tableColumn id="13" xr3:uid="{D921334C-79AF-4032-944C-02ED5BB4B0E5}" name="Qty2" dataDxfId="126" dataCellStyle="Normal 2"/>
    <tableColumn id="14" xr3:uid="{15452564-1A25-4D19-88D1-31E808540A80}" name="Area2" dataDxfId="125" dataCellStyle="Normal 2"/>
    <tableColumn id="15" xr3:uid="{391A30AD-605E-428D-A447-90DF43F48033}" name="Total Sq Metres" dataDxfId="124" dataCellStyle="Normal 2"/>
    <tableColumn id="16" xr3:uid="{FEAA4273-8E2B-4954-927F-593166674067}" name="Stock Take Value" dataDxfId="123" dataCellStyle="Normal 2"/>
    <tableColumn id="25" xr3:uid="{14EF2E50-BCB8-415D-9681-65BD6AC29EE9}" name="Blank1" dataDxfId="122" dataCellStyle="Normal 2"/>
    <tableColumn id="18" xr3:uid="{A74C11A8-CF0A-481A-A1C1-B46F9FFE4F0C}" name="Column1" dataDxfId="121" dataCellStyle="Normal 2">
      <calculatedColumnFormula>I2*U2</calculatedColumnFormula>
    </tableColumn>
    <tableColumn id="19" xr3:uid="{BF411EC4-ED60-401E-84F1-176AFAC608D1}" name="£ / SHEET" dataCellStyle="Currency 2"/>
    <tableColumn id="28" xr3:uid="{81F1297A-19C0-45E1-942A-A85485360CFE}" name="£/m2" dataDxfId="120" dataCellStyle="Currency 2">
      <calculatedColumnFormula>Table10[[#This Row],[£ / SHEET]]/(Table10[[#This Row],[Std Length]]*Table10[[#This Row],[Std Width]]/1000000)</calculatedColumnFormula>
    </tableColumn>
    <tableColumn id="20" xr3:uid="{A52C5067-373D-4F85-A040-5DBB87F62B41}" name="Column5" dataCellStyle="Normal 2"/>
    <tableColumn id="21" xr3:uid="{0D94CC9B-5F96-49C7-A5AE-7B6066DB44F0}" name="Add 30%" dataDxfId="119" dataCellStyle="Normal 2">
      <calculatedColumnFormula>U2*1.3</calculatedColumnFormula>
    </tableColumn>
    <tableColumn id="22" xr3:uid="{F3D7ED92-3C7B-48ED-8D7B-12BA54EFDB09}" name="35%" dataDxfId="118" dataCellStyle="Normal 2">
      <calculatedColumnFormula>U2*1.35</calculatedColumnFormula>
    </tableColumn>
    <tableColumn id="23" xr3:uid="{420B274A-1F61-47AD-A27B-71FA6C38CED3}" name="40%" dataDxfId="117" dataCellStyle="Normal 2">
      <calculatedColumnFormula>U2*1.4</calculatedColumnFormula>
    </tableColumn>
    <tableColumn id="24" xr3:uid="{F1BAEC5B-1BCD-46CB-9DF2-5CFAE93B1C43}" name="50%" dataDxfId="116" dataCellStyle="Normal 2">
      <calculatedColumnFormula>U2*1.5</calculatedColumnFormula>
    </tableColumn>
  </tableColumns>
  <tableStyleInfo name="TableStyleLight2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77546A4-085A-45AD-A348-3782B4C011AB}" name="Table9" displayName="Table9" ref="A1:Z43" totalsRowShown="0">
  <autoFilter ref="A1:Z43" xr:uid="{377546A4-085A-45AD-A348-3782B4C011AB}"/>
  <tableColumns count="26">
    <tableColumn id="1" xr3:uid="{E509DA1A-0E73-40C1-A296-893F66086D00}" name="GEng_x000a_CAT" dataCellStyle="Normal 2"/>
    <tableColumn id="2" xr3:uid="{1F83E5E6-11D0-434F-9246-4515EA064AE9}" name="ProductRecord.AccountReference" dataCellStyle="Normal 2">
      <calculatedColumnFormula>_xlfn.CONCAT(A2,"_",E2,)</calculatedColumnFormula>
    </tableColumn>
    <tableColumn id="3" xr3:uid="{F9F39853-2B09-4131-AC91-329D8D228A66}" name="ProductRecord.Description" dataCellStyle="Normal 2">
      <calculatedColumnFormula>_xlfn.CONCAT(B2, " @ ",F2,"Kg/m")</calculatedColumnFormula>
    </tableColumn>
    <tableColumn id="4" xr3:uid="{CF4AD6B0-D67D-4EFB-9F75-795B43210742}" name="SIZE " dataCellStyle="Normal 2"/>
    <tableColumn id="5" xr3:uid="{E9501FA4-FF81-4B94-BD86-CC6752FC90DD}" name="Column1" dataCellStyle="Normal 2"/>
    <tableColumn id="6" xr3:uid="{6256A113-42A5-4BFD-9594-B6990A63BBA5}" name="Kg/M" dataDxfId="115" dataCellStyle="Normal 2"/>
    <tableColumn id="7" xr3:uid="{A94590D6-AB40-4D13-94D0-9ADDCFAF87AF}" name="Length (m)" dataDxfId="114" dataCellStyle="Normal 2"/>
    <tableColumn id="8" xr3:uid="{E884439C-2A6E-4B68-B030-FF3CEB4236A8}" name="Qty." dataDxfId="113" dataCellStyle="Normal 2"/>
    <tableColumn id="9" xr3:uid="{BFD92A42-67B7-43E1-ADD1-0B94A85B2DC2}" name="Area" dataDxfId="112" dataCellStyle="Normal 2"/>
    <tableColumn id="10" xr3:uid="{7C3646BA-8339-4A12-B98F-E55A2CECBF82}" name="Length 2" dataDxfId="111" dataCellStyle="Normal 2"/>
    <tableColumn id="11" xr3:uid="{FD23BE8D-91E0-42A3-9755-59AA61C5266C}" name="Qty2" dataDxfId="110" dataCellStyle="Normal 2"/>
    <tableColumn id="12" xr3:uid="{0D436BB8-C0E1-4C26-BB4D-766F67DCF56E}" name="Area2" dataDxfId="109" dataCellStyle="Normal 2"/>
    <tableColumn id="13" xr3:uid="{465C66C0-9218-4522-ACB5-6F7D448C8EBB}" name="Length 3" dataDxfId="108" dataCellStyle="Normal 2"/>
    <tableColumn id="14" xr3:uid="{84A92818-EF52-43BF-9821-E13CCE912AC0}" name="Qty3" dataDxfId="107" dataCellStyle="Normal 2"/>
    <tableColumn id="15" xr3:uid="{CAB374C5-D123-4CB3-99E6-32681390F5C6}" name="Area3" dataDxfId="106" dataCellStyle="Normal 2"/>
    <tableColumn id="16" xr3:uid="{E48DDF22-2090-4360-BC0E-8323762D1E10}" name="Total Metres" dataDxfId="105" dataCellStyle="Normal 2">
      <calculatedColumnFormula>SUM(G2*H2)+(J2*K2)+(M2*N2)</calculatedColumnFormula>
    </tableColumn>
    <tableColumn id="26" xr3:uid="{A700FD8A-3E73-4507-A4BD-521D3CFC5146}" name="Stock Take Value" dataDxfId="104" dataCellStyle="Normal 2"/>
    <tableColumn id="17" xr3:uid="{774D021C-CF9D-4893-9F62-572FFDCA53BC}" name="£/Tonne" dataCellStyle="Currency 2"/>
    <tableColumn id="18" xr3:uid="{3F26498A-D7AF-4765-A05C-456CB97893D6}" name="£Cost /m" dataDxfId="103" dataCellStyle="Currency 2">
      <calculatedColumnFormula>(R2/1000)*F2</calculatedColumnFormula>
    </tableColumn>
    <tableColumn id="19" xr3:uid="{C7B6C399-A4B5-4B6E-BAA7-ECAE09E50302}" name="Normal Length" dataCellStyle="Normal 2"/>
    <tableColumn id="20" xr3:uid="{2B3D21B2-4AB7-4ED0-8468-3B9E5F1C6614}" name="£/ Length" dataCellStyle="Normal 2"/>
    <tableColumn id="21" xr3:uid="{7C45E361-4EE1-4BC0-94FA-F19C277ECB16}" name="Blank 2" dataCellStyle="Normal 2"/>
    <tableColumn id="22" xr3:uid="{3BC3693B-BA29-481F-9C2F-2CE0722BEBF2}" name="Add 30%" dataCellStyle="Normal 2"/>
    <tableColumn id="23" xr3:uid="{0DFFB7CD-58C1-4560-814B-B20B683C6A95}" name="35%" dataCellStyle="Normal 2"/>
    <tableColumn id="24" xr3:uid="{1A45C9D9-1F52-4B02-A744-89E33484B310}" name="40%" dataCellStyle="Normal 2"/>
    <tableColumn id="25" xr3:uid="{67CBE1CD-4AB5-4DF1-B9FA-363A26C023DF}" name="50%" dataCellStyle="Normal 2"/>
  </tableColumns>
  <tableStyleInfo name="TableStyleLight2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7387192-A1D7-4D04-9022-57DD30B67CA1}" name="Table4" displayName="Table4" ref="A1:AA65" totalsRowShown="0" dataCellStyle="Currency 2">
  <autoFilter ref="A1:AA65" xr:uid="{27387192-A1D7-4D04-9022-57DD30B67CA1}"/>
  <tableColumns count="27">
    <tableColumn id="1" xr3:uid="{2E9C0F18-1A52-4F21-A660-AE88AA666BAC}" name="GEng_x000a_CAT" dataCellStyle="Normal 2"/>
    <tableColumn id="2" xr3:uid="{AF90B51D-53A3-45BA-AE27-8AC36F63D5C2}" name="ProductRecord.AccountReference" dataCellStyle="Normal 2">
      <calculatedColumnFormula>_xlfn.CONCAT(A2,"_",D2,"_",E2,"_",F2)</calculatedColumnFormula>
    </tableColumn>
    <tableColumn id="3" xr3:uid="{58D527FB-0099-4F42-8C43-769936200F6C}" name="ProductRecord.Description" dataCellStyle="Normal 2">
      <calculatedColumnFormula>_xlfn.CONCAT(A2," ",D2,"OD ",E2,"ID  ",F2,"mm Thick", " @ ",ROUND(G2,2),"Kg/m")</calculatedColumnFormula>
    </tableColumn>
    <tableColumn id="4" xr3:uid="{5B0E28D2-D321-4D25-8707-44171F65BC04}" name="CHS OD" dataDxfId="102" dataCellStyle="Normal 2"/>
    <tableColumn id="5" xr3:uid="{D4BD3589-D998-4F6C-A970-6DA0B753C8FE}" name="CHS BORE" dataDxfId="101" dataCellStyle="Normal 2"/>
    <tableColumn id="6" xr3:uid="{6BC33D00-27A0-4B46-AFA2-FDC40712BB62}" name="Wall Thickness" dataDxfId="100" dataCellStyle="Normal 2"/>
    <tableColumn id="7" xr3:uid="{CDDCAAEE-D894-4DBF-A902-0EEE49235D4B}" name="Weight   Kg/m" dataDxfId="99" dataCellStyle="Normal 2"/>
    <tableColumn id="8" xr3:uid="{95419DB5-EA77-4BA8-B914-BEC06B95FADD}" name="Length (m)" dataDxfId="98" dataCellStyle="Normal 2"/>
    <tableColumn id="9" xr3:uid="{6706CA42-0EE2-407D-BBBE-76BACAF1D549}" name="Qty." dataDxfId="97" dataCellStyle="Normal 2"/>
    <tableColumn id="10" xr3:uid="{820D1DFE-E7AD-48D0-B036-ACAA723D4405}" name="Area" dataDxfId="96" dataCellStyle="Normal 2"/>
    <tableColumn id="11" xr3:uid="{8F37E781-3920-4F29-976F-41CA5C6AD24A}" name="Length (m)2" dataDxfId="95" dataCellStyle="Normal 2"/>
    <tableColumn id="12" xr3:uid="{DB3817AC-1C3E-4052-9769-71B38B2A7DF4}" name="Qty2" dataDxfId="94" dataCellStyle="Normal 2"/>
    <tableColumn id="13" xr3:uid="{F183E4E3-0E2B-40DD-8E25-59711361099F}" name="Area2" dataDxfId="93" dataCellStyle="Normal 2"/>
    <tableColumn id="14" xr3:uid="{0876EDDA-34A9-4BB5-9331-98343208A486}" name="Length (m)3" dataDxfId="92" dataCellStyle="Normal 2"/>
    <tableColumn id="15" xr3:uid="{F71040BA-3A77-439F-BEE9-247BFF42D4F2}" name="Qty3" dataDxfId="91" dataCellStyle="Normal 2"/>
    <tableColumn id="16" xr3:uid="{B638DE1B-3F8A-4522-BE53-5AD2E9812EEC}" name="Area3" dataDxfId="90" dataCellStyle="Normal 2"/>
    <tableColumn id="17" xr3:uid="{E26E3266-78A3-46D7-A83F-738E57F8C584}" name="Total Metres" dataDxfId="89" dataCellStyle="Normal 2">
      <calculatedColumnFormula>SUM(H2*I2)+(K2*L2)+(N2*O2)</calculatedColumnFormula>
    </tableColumn>
    <tableColumn id="18" xr3:uid="{931CA87B-788E-44AF-A624-86F5BE2F5BDC}" name="Stock Take Value" dataDxfId="88" dataCellStyle="Normal 2"/>
    <tableColumn id="22" xr3:uid="{DECA91A3-5AF9-4FB5-A91A-27AB63504BCA}" name="£/Tonne" dataCellStyle="Currency 2"/>
    <tableColumn id="23" xr3:uid="{2E73F62A-3100-40BE-9233-DB1ED73CA9EC}" name="£Cost /m" dataCellStyle="Currency 2">
      <calculatedColumnFormula>S2/1000*G2</calculatedColumnFormula>
    </tableColumn>
    <tableColumn id="27" xr3:uid="{BDC058A4-0225-486B-826B-F6D48253CB07}" name="Normal Length" dataCellStyle="Currency 2"/>
    <tableColumn id="24" xr3:uid="{45322339-888B-4BBC-9122-5B08851A7274}" name="£/ Length" dataDxfId="87" dataCellStyle="Currency 2">
      <calculatedColumnFormula>Table4[[#This Row],[Normal Length]]*Table4[[#This Row],[£Cost /m]]</calculatedColumnFormula>
    </tableColumn>
    <tableColumn id="26" xr3:uid="{8463DC0B-73C3-4AF8-AEA6-772C0CD5B9BA}" name="Blank1" dataCellStyle="Currency 2"/>
    <tableColumn id="19" xr3:uid="{76911B0C-2C38-4D81-9782-EC18BDFA0A91}" name="Add 30%" dataCellStyle="Currency 2">
      <calculatedColumnFormula>V2*1.3</calculatedColumnFormula>
    </tableColumn>
    <tableColumn id="20" xr3:uid="{8BFE71A1-A2F2-4CF6-BB77-76DD62DC7FCE}" name="35%" dataCellStyle="Currency 2">
      <calculatedColumnFormula>V2*1.35</calculatedColumnFormula>
    </tableColumn>
    <tableColumn id="21" xr3:uid="{6FAEECD8-03DD-4C32-BDF4-1B579F93160D}" name="40%" dataCellStyle="Currency 2">
      <calculatedColumnFormula>V2*1.4</calculatedColumnFormula>
    </tableColumn>
    <tableColumn id="25" xr3:uid="{5E281515-FB1C-4D6C-9BAE-F319C1EBA788}" name="50%" dataCellStyle="Currency 2">
      <calculatedColumnFormula>V2*1.5</calculatedColumnFormula>
    </tableColumn>
  </tableColumns>
  <tableStyleInfo name="TableStyleLight2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6B8D6F0-75CF-45DE-9D97-5B0D43F7A5FE}" name="Table5" displayName="Table5" ref="A1:AB88" totalsRowShown="0">
  <autoFilter ref="A1:AB88" xr:uid="{56B8D6F0-75CF-45DE-9D97-5B0D43F7A5FE}"/>
  <tableColumns count="28">
    <tableColumn id="1" xr3:uid="{4F6226CC-E6DD-4BB1-B164-E4476F4A5202}" name="GEng_x000a_CAT" dataCellStyle="Normal 2"/>
    <tableColumn id="2" xr3:uid="{8EB085C9-DF3F-4208-8EF3-6185F8E2A780}" name="ProductRecord.AccountReference" dataCellStyle="Normal 2"/>
    <tableColumn id="3" xr3:uid="{46422C29-90AB-455A-8DFA-16EEAA741A7E}" name="ProductRecord.Description" dataCellStyle="Normal 2"/>
    <tableColumn id="4" xr3:uid="{A77F1A93-EB29-41CF-A3F8-6697C43E6271}" name="Width" dataDxfId="86" dataCellStyle="Normal 2"/>
    <tableColumn id="5" xr3:uid="{CBEFB5C1-C1CF-4906-B5E6-5D8D50F90629}" name="Thk" dataDxfId="85" dataCellStyle="Normal 2"/>
    <tableColumn id="6" xr3:uid="{3DBAFAEB-0659-4179-BF36-056B416D2C3D}" name="KG/M" dataDxfId="84"/>
    <tableColumn id="7" xr3:uid="{6B7F6E90-F489-4475-A4E4-FC2606645510}" name="Area/Length/Qty" dataDxfId="83" dataCellStyle="Normal 2"/>
    <tableColumn id="8" xr3:uid="{F98A02FF-D313-45F9-8001-635A98769B3D}" name="Qty." dataDxfId="82" dataCellStyle="Normal 2"/>
    <tableColumn id="9" xr3:uid="{C1CF9E9B-9B48-409D-9F8B-E8156D16B01E}" name="Area" dataDxfId="81" dataCellStyle="Normal 2"/>
    <tableColumn id="10" xr3:uid="{3FDA66F3-DB73-4C0B-BB3A-866D8A4F70AA}" name="Length (m)" dataDxfId="80" dataCellStyle="Normal 2"/>
    <tableColumn id="11" xr3:uid="{6AA8FCBF-13D4-434E-B34F-8A2A97311954}" name="Qty2" dataDxfId="79" dataCellStyle="Normal 2"/>
    <tableColumn id="12" xr3:uid="{11D441BD-8C4A-4931-B0EE-A5CDF2B23BEE}" name="Area2" dataDxfId="78" dataCellStyle="Normal 2"/>
    <tableColumn id="13" xr3:uid="{CC40A6D2-F707-4237-AB0E-750E8E203F46}" name="Length (m)2" dataDxfId="77" dataCellStyle="Normal 2"/>
    <tableColumn id="14" xr3:uid="{D4096588-6217-4084-8F79-50FC63C7AC29}" name="Qty3" dataDxfId="76" dataCellStyle="Normal 2"/>
    <tableColumn id="15" xr3:uid="{96A2EB38-5F9C-451D-95A9-2298BAC6415C}" name="Area3" dataDxfId="75" dataCellStyle="Normal 2"/>
    <tableColumn id="16" xr3:uid="{3C679971-5B1F-43F6-AC9C-45FFC4810069}" name="Total Metres" dataDxfId="74" dataCellStyle="Normal 2"/>
    <tableColumn id="17" xr3:uid="{6969B68E-A17C-4128-8D45-E6984A539D01}" name="Stock Take Value" dataDxfId="73" dataCellStyle="Normal 2"/>
    <tableColumn id="20" xr3:uid="{D981F129-BF6C-4D12-8846-BAB71BEB47AE}" name="Blank1" dataDxfId="72" dataCellStyle="Normal 2"/>
    <tableColumn id="21" xr3:uid="{7A269A79-FBC6-40FA-A11B-A4EE84F2AD7D}" name="£/Tonne" dataDxfId="71" dataCellStyle="Currency 2"/>
    <tableColumn id="22" xr3:uid="{E07C424B-B771-46DF-8196-2EF872AB5000}" name="£Cost /m" dataDxfId="70" dataCellStyle="Currency 2"/>
    <tableColumn id="18" xr3:uid="{9BD6EC2B-7E96-4B11-B714-3C128CEABFD9}" name="Normal Length" dataCellStyle="Normal 2"/>
    <tableColumn id="19" xr3:uid="{4D60BD92-CB7C-409A-BC16-9FDE095937BA}" name="£/Length" dataCellStyle="Normal 2"/>
    <tableColumn id="23" xr3:uid="{1C1B0ECE-4EC6-484D-A349-6A3C7F989E28}" name="Blank2" dataCellStyle="Normal 2"/>
    <tableColumn id="24" xr3:uid="{CEB94415-F702-4091-83CA-6C5ACECD964D}" name="Add 30%" dataCellStyle="Normal 2"/>
    <tableColumn id="25" xr3:uid="{7D3EF07B-13FD-470D-B2A2-074949ACBE1C}" name="35%" dataCellStyle="Normal 2"/>
    <tableColumn id="26" xr3:uid="{6ACB3598-1C14-459B-87C4-7B6104A9D366}" name="40%" dataCellStyle="Normal 2"/>
    <tableColumn id="27" xr3:uid="{6981AB84-CB01-475F-A3C4-84531E3FD824}" name="50%" dataCellStyle="Normal 2"/>
    <tableColumn id="28" xr3:uid="{ABB9C125-1C23-4E8E-AA3A-7A1137087E26}" name="60%" dataCellStyle="Normal 2"/>
  </tableColumns>
  <tableStyleInfo name="TableStyleLight2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6A99E6F-2480-43C5-B061-ED3E7105F86E}" name="Table8" displayName="Table8" ref="A1:AB50" totalsRowShown="0" headerRowDxfId="69">
  <autoFilter ref="A1:AB50" xr:uid="{76A99E6F-2480-43C5-B061-ED3E7105F86E}"/>
  <tableColumns count="28">
    <tableColumn id="1" xr3:uid="{242B7458-A89D-4F44-ACD4-43897771E838}" name="GEng_x000a_CAT" dataCellStyle="Normal 2"/>
    <tableColumn id="2" xr3:uid="{BB9E1FA4-1E85-475F-A011-828AD072B399}" name="ProductRecord.AccountReference" dataCellStyle="Normal 2">
      <calculatedColumnFormula>_xlfn.CONCAT(A2,"_",D2,"_",E2,"_",F2)</calculatedColumnFormula>
    </tableColumn>
    <tableColumn id="3" xr3:uid="{C9239BD9-A526-4399-B193-E3AC8A8DF22A}" name="ProductRecord.Description" dataCellStyle="Normal 2">
      <calculatedColumnFormula>_xlfn.CONCAT(B2, " @ ",ROUND(G2,2),"Kg/m")</calculatedColumnFormula>
    </tableColumn>
    <tableColumn id="4" xr3:uid="{765FD758-53E9-464E-8A25-0E2DA60A9739}" name="Side a" dataCellStyle="Normal 2"/>
    <tableColumn id="5" xr3:uid="{E0C736EA-3ED4-44A1-B55A-F05457AE26F7}" name="Side b" dataCellStyle="Normal 2"/>
    <tableColumn id="6" xr3:uid="{A566652D-9031-4A44-954E-5B0B4222BA8E}" name="Thk" dataCellStyle="Normal 2"/>
    <tableColumn id="7" xr3:uid="{18147723-36C5-4CE2-914E-3FC21619CDC0}" name="KG/M" dataCellStyle="Normal 2"/>
    <tableColumn id="8" xr3:uid="{84B15F6F-8CFF-4D97-B090-9E842B4FD24B}" name="Area/Length/Qty" dataDxfId="68" dataCellStyle="Normal 2"/>
    <tableColumn id="9" xr3:uid="{5BD81974-4382-4733-ADEC-AC8742BF9BA6}" name="Qty." dataDxfId="67" dataCellStyle="Normal 2"/>
    <tableColumn id="10" xr3:uid="{28F00FCE-E4BB-421B-B368-FE078A68927A}" name="Area" dataDxfId="66" dataCellStyle="Normal 2"/>
    <tableColumn id="11" xr3:uid="{50C31177-1A81-4D8D-8BD7-93659DE4BD7D}" name="Length (m)" dataDxfId="65" dataCellStyle="Normal 2"/>
    <tableColumn id="12" xr3:uid="{0B230CDD-CB12-409E-85F9-F9BA93574B55}" name="Qty2" dataDxfId="64" dataCellStyle="Normal 2"/>
    <tableColumn id="13" xr3:uid="{328F6703-3730-43B0-916C-0AA36143DF3E}" name="Area2" dataDxfId="63" dataCellStyle="Normal 2"/>
    <tableColumn id="14" xr3:uid="{BC373599-671D-4A49-8182-B8260227724A}" name="Length (m)2" dataDxfId="62" dataCellStyle="Normal 2"/>
    <tableColumn id="15" xr3:uid="{1C572702-FBE2-4B3E-B055-E849B6D05A3A}" name="Qty3" dataDxfId="61" dataCellStyle="Normal 2"/>
    <tableColumn id="16" xr3:uid="{3AAAE4E8-1BAB-4CAC-9768-9309700D428D}" name="Area3" dataDxfId="60" dataCellStyle="Normal 2"/>
    <tableColumn id="17" xr3:uid="{1888AC26-32E1-4418-A43A-D5214399DBFE}" name="Total Metres" dataDxfId="59" dataCellStyle="Normal 2">
      <calculatedColumnFormula>SUM(H2*I2)+(K2*L2)+(N2*O2)</calculatedColumnFormula>
    </tableColumn>
    <tableColumn id="18" xr3:uid="{1FFEF714-F591-4E16-BAE6-97E7F009BE2D}" name="Stock Take Value" dataDxfId="58" dataCellStyle="Normal 2">
      <calculatedColumnFormula>Q2*U2</calculatedColumnFormula>
    </tableColumn>
    <tableColumn id="19" xr3:uid="{7F78623C-5E17-4BE2-93A8-2A61AB3B65DA}" name="Blank1" dataCellStyle="Normal 2"/>
    <tableColumn id="23" xr3:uid="{E80777F6-5B5A-47D6-BE55-01B4A4CDA83F}" name="£/Tonne" dataCellStyle="Normal 2"/>
    <tableColumn id="24" xr3:uid="{F1711FB7-F14C-43F8-9071-2E3221C92BB5}" name="£Cost /m" dataDxfId="57" dataCellStyle="Currency 2">
      <calculatedColumnFormula>(T2/1000)*G2</calculatedColumnFormula>
    </tableColumn>
    <tableColumn id="20" xr3:uid="{B3FE7C2D-34B0-4CA2-87B0-343E2B02A171}" name="Normal Length" dataDxfId="56" dataCellStyle="Currency 2"/>
    <tableColumn id="25" xr3:uid="{9477BCE4-A425-466F-A4C4-1CAB6826BA9A}" name="£/ Length" dataCellStyle="Currency 2">
      <calculatedColumnFormula>(T2/1000)*G2*6.2</calculatedColumnFormula>
    </tableColumn>
    <tableColumn id="21" xr3:uid="{A0EC4106-31FF-4824-8BB4-8B1EE204C37F}" name="Blank 2" dataCellStyle="Normal 2"/>
    <tableColumn id="22" xr3:uid="{02982AFB-B909-434F-AF38-F543541E4E78}" name="Add 30%" dataDxfId="55" dataCellStyle="Normal 2">
      <calculatedColumnFormula>Table8[[#This Row],[£/ Length]]*(1+Y$2)</calculatedColumnFormula>
    </tableColumn>
    <tableColumn id="26" xr3:uid="{69636574-49DF-4E63-9039-1FB001B982F8}" name="35%" dataDxfId="54" dataCellStyle="Normal 2">
      <calculatedColumnFormula>Table8[[#This Row],[£/ Length]]*(1+Z$2)</calculatedColumnFormula>
    </tableColumn>
    <tableColumn id="27" xr3:uid="{7C790988-DD83-4038-944A-24D950C9EC9F}" name="40%" dataDxfId="53" dataCellStyle="Normal 2">
      <calculatedColumnFormula>Table8[[#This Row],[£/ Length]]*(1+AA$2)</calculatedColumnFormula>
    </tableColumn>
    <tableColumn id="28" xr3:uid="{C2384ACF-72B1-4DB1-B445-9291FADCE5DE}" name="50%" dataDxfId="52" dataCellStyle="Normal 2">
      <calculatedColumnFormula>Table8[[#This Row],[£/ Length]]*(1+AB$2)</calculatedColumnFormula>
    </tableColumn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5" Type="http://schemas.openxmlformats.org/officeDocument/2006/relationships/comments" Target="../comments4.xml"/><Relationship Id="rId4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5" Type="http://schemas.openxmlformats.org/officeDocument/2006/relationships/comments" Target="../comments5.xml"/><Relationship Id="rId4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5" Type="http://schemas.openxmlformats.org/officeDocument/2006/relationships/comments" Target="../comments2.xml"/><Relationship Id="rId4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3.xml"/><Relationship Id="rId4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398A0-0A27-4136-B5FB-555733D95CBE}">
  <dimension ref="C2:D11"/>
  <sheetViews>
    <sheetView zoomScale="130" zoomScaleNormal="130" workbookViewId="0">
      <selection activeCell="C20" sqref="C20"/>
    </sheetView>
  </sheetViews>
  <sheetFormatPr defaultRowHeight="14.25"/>
  <cols>
    <col min="3" max="3" width="15" bestFit="1" customWidth="1"/>
    <col min="4" max="4" width="16.42578125" customWidth="1"/>
  </cols>
  <sheetData>
    <row r="2" spans="3:4">
      <c r="C2" t="s">
        <v>0</v>
      </c>
      <c r="D2" s="273">
        <f>Table113[[#Totals],[Total Stock Take Value]]</f>
        <v>94777</v>
      </c>
    </row>
    <row r="3" spans="3:4">
      <c r="C3" t="s">
        <v>1</v>
      </c>
      <c r="D3" s="273">
        <f>'PLT &amp; SHEET'!AA329</f>
        <v>214457.93389724504</v>
      </c>
    </row>
    <row r="4" spans="3:4">
      <c r="C4" t="s">
        <v>2</v>
      </c>
      <c r="D4" s="273">
        <f>Alum!Q22</f>
        <v>2260.0785599999999</v>
      </c>
    </row>
    <row r="5" spans="3:4">
      <c r="C5" t="s">
        <v>3</v>
      </c>
      <c r="D5" s="273">
        <f>'Msh &amp; Exp.Metal'!R17</f>
        <v>1509.6</v>
      </c>
    </row>
    <row r="6" spans="3:4">
      <c r="C6" t="s">
        <v>4</v>
      </c>
      <c r="D6" s="273">
        <f>'Chan &amp; Bms'!Q45</f>
        <v>12606.270605999998</v>
      </c>
    </row>
    <row r="7" spans="3:4">
      <c r="C7" t="s">
        <v>5</v>
      </c>
      <c r="D7" s="273">
        <f>'Angles+T'!R51</f>
        <v>9626.8484104999989</v>
      </c>
    </row>
    <row r="8" spans="3:4">
      <c r="C8" t="s">
        <v>6</v>
      </c>
      <c r="D8" s="273">
        <f>Tube_CHS!R66</f>
        <v>8902.8166514999957</v>
      </c>
    </row>
    <row r="9" spans="3:4">
      <c r="C9" t="s">
        <v>7</v>
      </c>
      <c r="D9" s="273">
        <f>FLTS!Q88</f>
        <v>10725.596653249999</v>
      </c>
    </row>
    <row r="10" spans="3:4">
      <c r="C10" t="s">
        <v>8</v>
      </c>
      <c r="D10" s="273">
        <f>Rnds_Sqrs_HolBar!Q88</f>
        <v>12060.877510650933</v>
      </c>
    </row>
    <row r="11" spans="3:4">
      <c r="C11" t="s">
        <v>9</v>
      </c>
      <c r="D11" s="273">
        <f>RHS!R67</f>
        <v>24054.2628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44A26-EC8A-4503-B1CC-6719C70FD378}">
  <sheetPr>
    <pageSetUpPr fitToPage="1"/>
  </sheetPr>
  <dimension ref="A1:AB81"/>
  <sheetViews>
    <sheetView zoomScale="60" zoomScaleNormal="60" workbookViewId="0">
      <selection activeCell="Y13" sqref="Y13"/>
    </sheetView>
  </sheetViews>
  <sheetFormatPr defaultRowHeight="12.75"/>
  <cols>
    <col min="1" max="1" width="5.5703125" style="7" bestFit="1" customWidth="1"/>
    <col min="2" max="2" width="9.140625" style="7" customWidth="1"/>
    <col min="3" max="3" width="25" style="7" customWidth="1"/>
    <col min="4" max="4" width="9.140625" style="7" customWidth="1"/>
    <col min="5" max="5" width="7" style="7" customWidth="1"/>
    <col min="6" max="6" width="5.140625" style="7" customWidth="1"/>
    <col min="7" max="7" width="8.140625" style="7" customWidth="1"/>
    <col min="8" max="8" width="16.42578125" style="141" customWidth="1"/>
    <col min="9" max="9" width="9.5703125" style="7" customWidth="1"/>
    <col min="10" max="10" width="9.5703125" style="142" customWidth="1"/>
    <col min="11" max="11" width="16.5703125" style="141" customWidth="1"/>
    <col min="12" max="12" width="9.5703125" style="7" customWidth="1"/>
    <col min="13" max="13" width="9.5703125" style="142" customWidth="1"/>
    <col min="14" max="14" width="16.5703125" style="141" customWidth="1"/>
    <col min="15" max="15" width="9.5703125" style="7" customWidth="1"/>
    <col min="16" max="16" width="9.5703125" style="142" customWidth="1"/>
    <col min="17" max="17" width="13.5703125" style="7" customWidth="1"/>
    <col min="18" max="18" width="17.42578125" style="7" customWidth="1"/>
    <col min="19" max="19" width="10.140625" style="7" customWidth="1"/>
    <col min="20" max="20" width="11.140625" style="7" customWidth="1"/>
    <col min="21" max="22" width="8.85546875" style="7" customWidth="1"/>
    <col min="23" max="23" width="15" style="7" customWidth="1"/>
    <col min="24" max="24" width="6" style="7" customWidth="1"/>
    <col min="25" max="28" width="9" style="7" customWidth="1"/>
    <col min="29" max="260" width="9" style="7"/>
    <col min="261" max="261" width="16" style="7" customWidth="1"/>
    <col min="262" max="262" width="8.140625" style="7" customWidth="1"/>
    <col min="263" max="263" width="3.5703125" style="7" customWidth="1"/>
    <col min="264" max="264" width="10.5703125" style="7" customWidth="1"/>
    <col min="265" max="265" width="7" style="7" customWidth="1"/>
    <col min="266" max="266" width="10.140625" style="7" customWidth="1"/>
    <col min="267" max="267" width="5.5703125" style="7" customWidth="1"/>
    <col min="268" max="268" width="10.5703125" style="7" customWidth="1"/>
    <col min="269" max="269" width="5.140625" style="7" customWidth="1"/>
    <col min="270" max="270" width="5" style="7" customWidth="1"/>
    <col min="271" max="271" width="8.140625" style="7" customWidth="1"/>
    <col min="272" max="272" width="10.140625" style="7" customWidth="1"/>
    <col min="273" max="273" width="8.140625" style="7" customWidth="1"/>
    <col min="274" max="274" width="6.140625" style="7" customWidth="1"/>
    <col min="275" max="275" width="10.5703125" style="7" customWidth="1"/>
    <col min="276" max="276" width="6.85546875" style="7" customWidth="1"/>
    <col min="277" max="277" width="11.140625" style="7" customWidth="1"/>
    <col min="278" max="279" width="8.85546875" style="7" customWidth="1"/>
    <col min="280" max="280" width="6" style="7" customWidth="1"/>
    <col min="281" max="281" width="8" style="7" customWidth="1"/>
    <col min="282" max="282" width="8.140625" style="7" customWidth="1"/>
    <col min="283" max="283" width="7.85546875" style="7" customWidth="1"/>
    <col min="284" max="284" width="8.5703125" style="7" customWidth="1"/>
    <col min="285" max="516" width="9" style="7"/>
    <col min="517" max="517" width="16" style="7" customWidth="1"/>
    <col min="518" max="518" width="8.140625" style="7" customWidth="1"/>
    <col min="519" max="519" width="3.5703125" style="7" customWidth="1"/>
    <col min="520" max="520" width="10.5703125" style="7" customWidth="1"/>
    <col min="521" max="521" width="7" style="7" customWidth="1"/>
    <col min="522" max="522" width="10.140625" style="7" customWidth="1"/>
    <col min="523" max="523" width="5.5703125" style="7" customWidth="1"/>
    <col min="524" max="524" width="10.5703125" style="7" customWidth="1"/>
    <col min="525" max="525" width="5.140625" style="7" customWidth="1"/>
    <col min="526" max="526" width="5" style="7" customWidth="1"/>
    <col min="527" max="527" width="8.140625" style="7" customWidth="1"/>
    <col min="528" max="528" width="10.140625" style="7" customWidth="1"/>
    <col min="529" max="529" width="8.140625" style="7" customWidth="1"/>
    <col min="530" max="530" width="6.140625" style="7" customWidth="1"/>
    <col min="531" max="531" width="10.5703125" style="7" customWidth="1"/>
    <col min="532" max="532" width="6.85546875" style="7" customWidth="1"/>
    <col min="533" max="533" width="11.140625" style="7" customWidth="1"/>
    <col min="534" max="535" width="8.85546875" style="7" customWidth="1"/>
    <col min="536" max="536" width="6" style="7" customWidth="1"/>
    <col min="537" max="537" width="8" style="7" customWidth="1"/>
    <col min="538" max="538" width="8.140625" style="7" customWidth="1"/>
    <col min="539" max="539" width="7.85546875" style="7" customWidth="1"/>
    <col min="540" max="540" width="8.5703125" style="7" customWidth="1"/>
    <col min="541" max="772" width="9" style="7"/>
    <col min="773" max="773" width="16" style="7" customWidth="1"/>
    <col min="774" max="774" width="8.140625" style="7" customWidth="1"/>
    <col min="775" max="775" width="3.5703125" style="7" customWidth="1"/>
    <col min="776" max="776" width="10.5703125" style="7" customWidth="1"/>
    <col min="777" max="777" width="7" style="7" customWidth="1"/>
    <col min="778" max="778" width="10.140625" style="7" customWidth="1"/>
    <col min="779" max="779" width="5.5703125" style="7" customWidth="1"/>
    <col min="780" max="780" width="10.5703125" style="7" customWidth="1"/>
    <col min="781" max="781" width="5.140625" style="7" customWidth="1"/>
    <col min="782" max="782" width="5" style="7" customWidth="1"/>
    <col min="783" max="783" width="8.140625" style="7" customWidth="1"/>
    <col min="784" max="784" width="10.140625" style="7" customWidth="1"/>
    <col min="785" max="785" width="8.140625" style="7" customWidth="1"/>
    <col min="786" max="786" width="6.140625" style="7" customWidth="1"/>
    <col min="787" max="787" width="10.5703125" style="7" customWidth="1"/>
    <col min="788" max="788" width="6.85546875" style="7" customWidth="1"/>
    <col min="789" max="789" width="11.140625" style="7" customWidth="1"/>
    <col min="790" max="791" width="8.85546875" style="7" customWidth="1"/>
    <col min="792" max="792" width="6" style="7" customWidth="1"/>
    <col min="793" max="793" width="8" style="7" customWidth="1"/>
    <col min="794" max="794" width="8.140625" style="7" customWidth="1"/>
    <col min="795" max="795" width="7.85546875" style="7" customWidth="1"/>
    <col min="796" max="796" width="8.5703125" style="7" customWidth="1"/>
    <col min="797" max="1028" width="9" style="7"/>
    <col min="1029" max="1029" width="16" style="7" customWidth="1"/>
    <col min="1030" max="1030" width="8.140625" style="7" customWidth="1"/>
    <col min="1031" max="1031" width="3.5703125" style="7" customWidth="1"/>
    <col min="1032" max="1032" width="10.5703125" style="7" customWidth="1"/>
    <col min="1033" max="1033" width="7" style="7" customWidth="1"/>
    <col min="1034" max="1034" width="10.140625" style="7" customWidth="1"/>
    <col min="1035" max="1035" width="5.5703125" style="7" customWidth="1"/>
    <col min="1036" max="1036" width="10.5703125" style="7" customWidth="1"/>
    <col min="1037" max="1037" width="5.140625" style="7" customWidth="1"/>
    <col min="1038" max="1038" width="5" style="7" customWidth="1"/>
    <col min="1039" max="1039" width="8.140625" style="7" customWidth="1"/>
    <col min="1040" max="1040" width="10.140625" style="7" customWidth="1"/>
    <col min="1041" max="1041" width="8.140625" style="7" customWidth="1"/>
    <col min="1042" max="1042" width="6.140625" style="7" customWidth="1"/>
    <col min="1043" max="1043" width="10.5703125" style="7" customWidth="1"/>
    <col min="1044" max="1044" width="6.85546875" style="7" customWidth="1"/>
    <col min="1045" max="1045" width="11.140625" style="7" customWidth="1"/>
    <col min="1046" max="1047" width="8.85546875" style="7" customWidth="1"/>
    <col min="1048" max="1048" width="6" style="7" customWidth="1"/>
    <col min="1049" max="1049" width="8" style="7" customWidth="1"/>
    <col min="1050" max="1050" width="8.140625" style="7" customWidth="1"/>
    <col min="1051" max="1051" width="7.85546875" style="7" customWidth="1"/>
    <col min="1052" max="1052" width="8.5703125" style="7" customWidth="1"/>
    <col min="1053" max="1284" width="9" style="7"/>
    <col min="1285" max="1285" width="16" style="7" customWidth="1"/>
    <col min="1286" max="1286" width="8.140625" style="7" customWidth="1"/>
    <col min="1287" max="1287" width="3.5703125" style="7" customWidth="1"/>
    <col min="1288" max="1288" width="10.5703125" style="7" customWidth="1"/>
    <col min="1289" max="1289" width="7" style="7" customWidth="1"/>
    <col min="1290" max="1290" width="10.140625" style="7" customWidth="1"/>
    <col min="1291" max="1291" width="5.5703125" style="7" customWidth="1"/>
    <col min="1292" max="1292" width="10.5703125" style="7" customWidth="1"/>
    <col min="1293" max="1293" width="5.140625" style="7" customWidth="1"/>
    <col min="1294" max="1294" width="5" style="7" customWidth="1"/>
    <col min="1295" max="1295" width="8.140625" style="7" customWidth="1"/>
    <col min="1296" max="1296" width="10.140625" style="7" customWidth="1"/>
    <col min="1297" max="1297" width="8.140625" style="7" customWidth="1"/>
    <col min="1298" max="1298" width="6.140625" style="7" customWidth="1"/>
    <col min="1299" max="1299" width="10.5703125" style="7" customWidth="1"/>
    <col min="1300" max="1300" width="6.85546875" style="7" customWidth="1"/>
    <col min="1301" max="1301" width="11.140625" style="7" customWidth="1"/>
    <col min="1302" max="1303" width="8.85546875" style="7" customWidth="1"/>
    <col min="1304" max="1304" width="6" style="7" customWidth="1"/>
    <col min="1305" max="1305" width="8" style="7" customWidth="1"/>
    <col min="1306" max="1306" width="8.140625" style="7" customWidth="1"/>
    <col min="1307" max="1307" width="7.85546875" style="7" customWidth="1"/>
    <col min="1308" max="1308" width="8.5703125" style="7" customWidth="1"/>
    <col min="1309" max="1540" width="9" style="7"/>
    <col min="1541" max="1541" width="16" style="7" customWidth="1"/>
    <col min="1542" max="1542" width="8.140625" style="7" customWidth="1"/>
    <col min="1543" max="1543" width="3.5703125" style="7" customWidth="1"/>
    <col min="1544" max="1544" width="10.5703125" style="7" customWidth="1"/>
    <col min="1545" max="1545" width="7" style="7" customWidth="1"/>
    <col min="1546" max="1546" width="10.140625" style="7" customWidth="1"/>
    <col min="1547" max="1547" width="5.5703125" style="7" customWidth="1"/>
    <col min="1548" max="1548" width="10.5703125" style="7" customWidth="1"/>
    <col min="1549" max="1549" width="5.140625" style="7" customWidth="1"/>
    <col min="1550" max="1550" width="5" style="7" customWidth="1"/>
    <col min="1551" max="1551" width="8.140625" style="7" customWidth="1"/>
    <col min="1552" max="1552" width="10.140625" style="7" customWidth="1"/>
    <col min="1553" max="1553" width="8.140625" style="7" customWidth="1"/>
    <col min="1554" max="1554" width="6.140625" style="7" customWidth="1"/>
    <col min="1555" max="1555" width="10.5703125" style="7" customWidth="1"/>
    <col min="1556" max="1556" width="6.85546875" style="7" customWidth="1"/>
    <col min="1557" max="1557" width="11.140625" style="7" customWidth="1"/>
    <col min="1558" max="1559" width="8.85546875" style="7" customWidth="1"/>
    <col min="1560" max="1560" width="6" style="7" customWidth="1"/>
    <col min="1561" max="1561" width="8" style="7" customWidth="1"/>
    <col min="1562" max="1562" width="8.140625" style="7" customWidth="1"/>
    <col min="1563" max="1563" width="7.85546875" style="7" customWidth="1"/>
    <col min="1564" max="1564" width="8.5703125" style="7" customWidth="1"/>
    <col min="1565" max="1796" width="9" style="7"/>
    <col min="1797" max="1797" width="16" style="7" customWidth="1"/>
    <col min="1798" max="1798" width="8.140625" style="7" customWidth="1"/>
    <col min="1799" max="1799" width="3.5703125" style="7" customWidth="1"/>
    <col min="1800" max="1800" width="10.5703125" style="7" customWidth="1"/>
    <col min="1801" max="1801" width="7" style="7" customWidth="1"/>
    <col min="1802" max="1802" width="10.140625" style="7" customWidth="1"/>
    <col min="1803" max="1803" width="5.5703125" style="7" customWidth="1"/>
    <col min="1804" max="1804" width="10.5703125" style="7" customWidth="1"/>
    <col min="1805" max="1805" width="5.140625" style="7" customWidth="1"/>
    <col min="1806" max="1806" width="5" style="7" customWidth="1"/>
    <col min="1807" max="1807" width="8.140625" style="7" customWidth="1"/>
    <col min="1808" max="1808" width="10.140625" style="7" customWidth="1"/>
    <col min="1809" max="1809" width="8.140625" style="7" customWidth="1"/>
    <col min="1810" max="1810" width="6.140625" style="7" customWidth="1"/>
    <col min="1811" max="1811" width="10.5703125" style="7" customWidth="1"/>
    <col min="1812" max="1812" width="6.85546875" style="7" customWidth="1"/>
    <col min="1813" max="1813" width="11.140625" style="7" customWidth="1"/>
    <col min="1814" max="1815" width="8.85546875" style="7" customWidth="1"/>
    <col min="1816" max="1816" width="6" style="7" customWidth="1"/>
    <col min="1817" max="1817" width="8" style="7" customWidth="1"/>
    <col min="1818" max="1818" width="8.140625" style="7" customWidth="1"/>
    <col min="1819" max="1819" width="7.85546875" style="7" customWidth="1"/>
    <col min="1820" max="1820" width="8.5703125" style="7" customWidth="1"/>
    <col min="1821" max="2052" width="9" style="7"/>
    <col min="2053" max="2053" width="16" style="7" customWidth="1"/>
    <col min="2054" max="2054" width="8.140625" style="7" customWidth="1"/>
    <col min="2055" max="2055" width="3.5703125" style="7" customWidth="1"/>
    <col min="2056" max="2056" width="10.5703125" style="7" customWidth="1"/>
    <col min="2057" max="2057" width="7" style="7" customWidth="1"/>
    <col min="2058" max="2058" width="10.140625" style="7" customWidth="1"/>
    <col min="2059" max="2059" width="5.5703125" style="7" customWidth="1"/>
    <col min="2060" max="2060" width="10.5703125" style="7" customWidth="1"/>
    <col min="2061" max="2061" width="5.140625" style="7" customWidth="1"/>
    <col min="2062" max="2062" width="5" style="7" customWidth="1"/>
    <col min="2063" max="2063" width="8.140625" style="7" customWidth="1"/>
    <col min="2064" max="2064" width="10.140625" style="7" customWidth="1"/>
    <col min="2065" max="2065" width="8.140625" style="7" customWidth="1"/>
    <col min="2066" max="2066" width="6.140625" style="7" customWidth="1"/>
    <col min="2067" max="2067" width="10.5703125" style="7" customWidth="1"/>
    <col min="2068" max="2068" width="6.85546875" style="7" customWidth="1"/>
    <col min="2069" max="2069" width="11.140625" style="7" customWidth="1"/>
    <col min="2070" max="2071" width="8.85546875" style="7" customWidth="1"/>
    <col min="2072" max="2072" width="6" style="7" customWidth="1"/>
    <col min="2073" max="2073" width="8" style="7" customWidth="1"/>
    <col min="2074" max="2074" width="8.140625" style="7" customWidth="1"/>
    <col min="2075" max="2075" width="7.85546875" style="7" customWidth="1"/>
    <col min="2076" max="2076" width="8.5703125" style="7" customWidth="1"/>
    <col min="2077" max="2308" width="9" style="7"/>
    <col min="2309" max="2309" width="16" style="7" customWidth="1"/>
    <col min="2310" max="2310" width="8.140625" style="7" customWidth="1"/>
    <col min="2311" max="2311" width="3.5703125" style="7" customWidth="1"/>
    <col min="2312" max="2312" width="10.5703125" style="7" customWidth="1"/>
    <col min="2313" max="2313" width="7" style="7" customWidth="1"/>
    <col min="2314" max="2314" width="10.140625" style="7" customWidth="1"/>
    <col min="2315" max="2315" width="5.5703125" style="7" customWidth="1"/>
    <col min="2316" max="2316" width="10.5703125" style="7" customWidth="1"/>
    <col min="2317" max="2317" width="5.140625" style="7" customWidth="1"/>
    <col min="2318" max="2318" width="5" style="7" customWidth="1"/>
    <col min="2319" max="2319" width="8.140625" style="7" customWidth="1"/>
    <col min="2320" max="2320" width="10.140625" style="7" customWidth="1"/>
    <col min="2321" max="2321" width="8.140625" style="7" customWidth="1"/>
    <col min="2322" max="2322" width="6.140625" style="7" customWidth="1"/>
    <col min="2323" max="2323" width="10.5703125" style="7" customWidth="1"/>
    <col min="2324" max="2324" width="6.85546875" style="7" customWidth="1"/>
    <col min="2325" max="2325" width="11.140625" style="7" customWidth="1"/>
    <col min="2326" max="2327" width="8.85546875" style="7" customWidth="1"/>
    <col min="2328" max="2328" width="6" style="7" customWidth="1"/>
    <col min="2329" max="2329" width="8" style="7" customWidth="1"/>
    <col min="2330" max="2330" width="8.140625" style="7" customWidth="1"/>
    <col min="2331" max="2331" width="7.85546875" style="7" customWidth="1"/>
    <col min="2332" max="2332" width="8.5703125" style="7" customWidth="1"/>
    <col min="2333" max="2564" width="9" style="7"/>
    <col min="2565" max="2565" width="16" style="7" customWidth="1"/>
    <col min="2566" max="2566" width="8.140625" style="7" customWidth="1"/>
    <col min="2567" max="2567" width="3.5703125" style="7" customWidth="1"/>
    <col min="2568" max="2568" width="10.5703125" style="7" customWidth="1"/>
    <col min="2569" max="2569" width="7" style="7" customWidth="1"/>
    <col min="2570" max="2570" width="10.140625" style="7" customWidth="1"/>
    <col min="2571" max="2571" width="5.5703125" style="7" customWidth="1"/>
    <col min="2572" max="2572" width="10.5703125" style="7" customWidth="1"/>
    <col min="2573" max="2573" width="5.140625" style="7" customWidth="1"/>
    <col min="2574" max="2574" width="5" style="7" customWidth="1"/>
    <col min="2575" max="2575" width="8.140625" style="7" customWidth="1"/>
    <col min="2576" max="2576" width="10.140625" style="7" customWidth="1"/>
    <col min="2577" max="2577" width="8.140625" style="7" customWidth="1"/>
    <col min="2578" max="2578" width="6.140625" style="7" customWidth="1"/>
    <col min="2579" max="2579" width="10.5703125" style="7" customWidth="1"/>
    <col min="2580" max="2580" width="6.85546875" style="7" customWidth="1"/>
    <col min="2581" max="2581" width="11.140625" style="7" customWidth="1"/>
    <col min="2582" max="2583" width="8.85546875" style="7" customWidth="1"/>
    <col min="2584" max="2584" width="6" style="7" customWidth="1"/>
    <col min="2585" max="2585" width="8" style="7" customWidth="1"/>
    <col min="2586" max="2586" width="8.140625" style="7" customWidth="1"/>
    <col min="2587" max="2587" width="7.85546875" style="7" customWidth="1"/>
    <col min="2588" max="2588" width="8.5703125" style="7" customWidth="1"/>
    <col min="2589" max="2820" width="9" style="7"/>
    <col min="2821" max="2821" width="16" style="7" customWidth="1"/>
    <col min="2822" max="2822" width="8.140625" style="7" customWidth="1"/>
    <col min="2823" max="2823" width="3.5703125" style="7" customWidth="1"/>
    <col min="2824" max="2824" width="10.5703125" style="7" customWidth="1"/>
    <col min="2825" max="2825" width="7" style="7" customWidth="1"/>
    <col min="2826" max="2826" width="10.140625" style="7" customWidth="1"/>
    <col min="2827" max="2827" width="5.5703125" style="7" customWidth="1"/>
    <col min="2828" max="2828" width="10.5703125" style="7" customWidth="1"/>
    <col min="2829" max="2829" width="5.140625" style="7" customWidth="1"/>
    <col min="2830" max="2830" width="5" style="7" customWidth="1"/>
    <col min="2831" max="2831" width="8.140625" style="7" customWidth="1"/>
    <col min="2832" max="2832" width="10.140625" style="7" customWidth="1"/>
    <col min="2833" max="2833" width="8.140625" style="7" customWidth="1"/>
    <col min="2834" max="2834" width="6.140625" style="7" customWidth="1"/>
    <col min="2835" max="2835" width="10.5703125" style="7" customWidth="1"/>
    <col min="2836" max="2836" width="6.85546875" style="7" customWidth="1"/>
    <col min="2837" max="2837" width="11.140625" style="7" customWidth="1"/>
    <col min="2838" max="2839" width="8.85546875" style="7" customWidth="1"/>
    <col min="2840" max="2840" width="6" style="7" customWidth="1"/>
    <col min="2841" max="2841" width="8" style="7" customWidth="1"/>
    <col min="2842" max="2842" width="8.140625" style="7" customWidth="1"/>
    <col min="2843" max="2843" width="7.85546875" style="7" customWidth="1"/>
    <col min="2844" max="2844" width="8.5703125" style="7" customWidth="1"/>
    <col min="2845" max="3076" width="9" style="7"/>
    <col min="3077" max="3077" width="16" style="7" customWidth="1"/>
    <col min="3078" max="3078" width="8.140625" style="7" customWidth="1"/>
    <col min="3079" max="3079" width="3.5703125" style="7" customWidth="1"/>
    <col min="3080" max="3080" width="10.5703125" style="7" customWidth="1"/>
    <col min="3081" max="3081" width="7" style="7" customWidth="1"/>
    <col min="3082" max="3082" width="10.140625" style="7" customWidth="1"/>
    <col min="3083" max="3083" width="5.5703125" style="7" customWidth="1"/>
    <col min="3084" max="3084" width="10.5703125" style="7" customWidth="1"/>
    <col min="3085" max="3085" width="5.140625" style="7" customWidth="1"/>
    <col min="3086" max="3086" width="5" style="7" customWidth="1"/>
    <col min="3087" max="3087" width="8.140625" style="7" customWidth="1"/>
    <col min="3088" max="3088" width="10.140625" style="7" customWidth="1"/>
    <col min="3089" max="3089" width="8.140625" style="7" customWidth="1"/>
    <col min="3090" max="3090" width="6.140625" style="7" customWidth="1"/>
    <col min="3091" max="3091" width="10.5703125" style="7" customWidth="1"/>
    <col min="3092" max="3092" width="6.85546875" style="7" customWidth="1"/>
    <col min="3093" max="3093" width="11.140625" style="7" customWidth="1"/>
    <col min="3094" max="3095" width="8.85546875" style="7" customWidth="1"/>
    <col min="3096" max="3096" width="6" style="7" customWidth="1"/>
    <col min="3097" max="3097" width="8" style="7" customWidth="1"/>
    <col min="3098" max="3098" width="8.140625" style="7" customWidth="1"/>
    <col min="3099" max="3099" width="7.85546875" style="7" customWidth="1"/>
    <col min="3100" max="3100" width="8.5703125" style="7" customWidth="1"/>
    <col min="3101" max="3332" width="9" style="7"/>
    <col min="3333" max="3333" width="16" style="7" customWidth="1"/>
    <col min="3334" max="3334" width="8.140625" style="7" customWidth="1"/>
    <col min="3335" max="3335" width="3.5703125" style="7" customWidth="1"/>
    <col min="3336" max="3336" width="10.5703125" style="7" customWidth="1"/>
    <col min="3337" max="3337" width="7" style="7" customWidth="1"/>
    <col min="3338" max="3338" width="10.140625" style="7" customWidth="1"/>
    <col min="3339" max="3339" width="5.5703125" style="7" customWidth="1"/>
    <col min="3340" max="3340" width="10.5703125" style="7" customWidth="1"/>
    <col min="3341" max="3341" width="5.140625" style="7" customWidth="1"/>
    <col min="3342" max="3342" width="5" style="7" customWidth="1"/>
    <col min="3343" max="3343" width="8.140625" style="7" customWidth="1"/>
    <col min="3344" max="3344" width="10.140625" style="7" customWidth="1"/>
    <col min="3345" max="3345" width="8.140625" style="7" customWidth="1"/>
    <col min="3346" max="3346" width="6.140625" style="7" customWidth="1"/>
    <col min="3347" max="3347" width="10.5703125" style="7" customWidth="1"/>
    <col min="3348" max="3348" width="6.85546875" style="7" customWidth="1"/>
    <col min="3349" max="3349" width="11.140625" style="7" customWidth="1"/>
    <col min="3350" max="3351" width="8.85546875" style="7" customWidth="1"/>
    <col min="3352" max="3352" width="6" style="7" customWidth="1"/>
    <col min="3353" max="3353" width="8" style="7" customWidth="1"/>
    <col min="3354" max="3354" width="8.140625" style="7" customWidth="1"/>
    <col min="3355" max="3355" width="7.85546875" style="7" customWidth="1"/>
    <col min="3356" max="3356" width="8.5703125" style="7" customWidth="1"/>
    <col min="3357" max="3588" width="9" style="7"/>
    <col min="3589" max="3589" width="16" style="7" customWidth="1"/>
    <col min="3590" max="3590" width="8.140625" style="7" customWidth="1"/>
    <col min="3591" max="3591" width="3.5703125" style="7" customWidth="1"/>
    <col min="3592" max="3592" width="10.5703125" style="7" customWidth="1"/>
    <col min="3593" max="3593" width="7" style="7" customWidth="1"/>
    <col min="3594" max="3594" width="10.140625" style="7" customWidth="1"/>
    <col min="3595" max="3595" width="5.5703125" style="7" customWidth="1"/>
    <col min="3596" max="3596" width="10.5703125" style="7" customWidth="1"/>
    <col min="3597" max="3597" width="5.140625" style="7" customWidth="1"/>
    <col min="3598" max="3598" width="5" style="7" customWidth="1"/>
    <col min="3599" max="3599" width="8.140625" style="7" customWidth="1"/>
    <col min="3600" max="3600" width="10.140625" style="7" customWidth="1"/>
    <col min="3601" max="3601" width="8.140625" style="7" customWidth="1"/>
    <col min="3602" max="3602" width="6.140625" style="7" customWidth="1"/>
    <col min="3603" max="3603" width="10.5703125" style="7" customWidth="1"/>
    <col min="3604" max="3604" width="6.85546875" style="7" customWidth="1"/>
    <col min="3605" max="3605" width="11.140625" style="7" customWidth="1"/>
    <col min="3606" max="3607" width="8.85546875" style="7" customWidth="1"/>
    <col min="3608" max="3608" width="6" style="7" customWidth="1"/>
    <col min="3609" max="3609" width="8" style="7" customWidth="1"/>
    <col min="3610" max="3610" width="8.140625" style="7" customWidth="1"/>
    <col min="3611" max="3611" width="7.85546875" style="7" customWidth="1"/>
    <col min="3612" max="3612" width="8.5703125" style="7" customWidth="1"/>
    <col min="3613" max="3844" width="9" style="7"/>
    <col min="3845" max="3845" width="16" style="7" customWidth="1"/>
    <col min="3846" max="3846" width="8.140625" style="7" customWidth="1"/>
    <col min="3847" max="3847" width="3.5703125" style="7" customWidth="1"/>
    <col min="3848" max="3848" width="10.5703125" style="7" customWidth="1"/>
    <col min="3849" max="3849" width="7" style="7" customWidth="1"/>
    <col min="3850" max="3850" width="10.140625" style="7" customWidth="1"/>
    <col min="3851" max="3851" width="5.5703125" style="7" customWidth="1"/>
    <col min="3852" max="3852" width="10.5703125" style="7" customWidth="1"/>
    <col min="3853" max="3853" width="5.140625" style="7" customWidth="1"/>
    <col min="3854" max="3854" width="5" style="7" customWidth="1"/>
    <col min="3855" max="3855" width="8.140625" style="7" customWidth="1"/>
    <col min="3856" max="3856" width="10.140625" style="7" customWidth="1"/>
    <col min="3857" max="3857" width="8.140625" style="7" customWidth="1"/>
    <col min="3858" max="3858" width="6.140625" style="7" customWidth="1"/>
    <col min="3859" max="3859" width="10.5703125" style="7" customWidth="1"/>
    <col min="3860" max="3860" width="6.85546875" style="7" customWidth="1"/>
    <col min="3861" max="3861" width="11.140625" style="7" customWidth="1"/>
    <col min="3862" max="3863" width="8.85546875" style="7" customWidth="1"/>
    <col min="3864" max="3864" width="6" style="7" customWidth="1"/>
    <col min="3865" max="3865" width="8" style="7" customWidth="1"/>
    <col min="3866" max="3866" width="8.140625" style="7" customWidth="1"/>
    <col min="3867" max="3867" width="7.85546875" style="7" customWidth="1"/>
    <col min="3868" max="3868" width="8.5703125" style="7" customWidth="1"/>
    <col min="3869" max="4100" width="9" style="7"/>
    <col min="4101" max="4101" width="16" style="7" customWidth="1"/>
    <col min="4102" max="4102" width="8.140625" style="7" customWidth="1"/>
    <col min="4103" max="4103" width="3.5703125" style="7" customWidth="1"/>
    <col min="4104" max="4104" width="10.5703125" style="7" customWidth="1"/>
    <col min="4105" max="4105" width="7" style="7" customWidth="1"/>
    <col min="4106" max="4106" width="10.140625" style="7" customWidth="1"/>
    <col min="4107" max="4107" width="5.5703125" style="7" customWidth="1"/>
    <col min="4108" max="4108" width="10.5703125" style="7" customWidth="1"/>
    <col min="4109" max="4109" width="5.140625" style="7" customWidth="1"/>
    <col min="4110" max="4110" width="5" style="7" customWidth="1"/>
    <col min="4111" max="4111" width="8.140625" style="7" customWidth="1"/>
    <col min="4112" max="4112" width="10.140625" style="7" customWidth="1"/>
    <col min="4113" max="4113" width="8.140625" style="7" customWidth="1"/>
    <col min="4114" max="4114" width="6.140625" style="7" customWidth="1"/>
    <col min="4115" max="4115" width="10.5703125" style="7" customWidth="1"/>
    <col min="4116" max="4116" width="6.85546875" style="7" customWidth="1"/>
    <col min="4117" max="4117" width="11.140625" style="7" customWidth="1"/>
    <col min="4118" max="4119" width="8.85546875" style="7" customWidth="1"/>
    <col min="4120" max="4120" width="6" style="7" customWidth="1"/>
    <col min="4121" max="4121" width="8" style="7" customWidth="1"/>
    <col min="4122" max="4122" width="8.140625" style="7" customWidth="1"/>
    <col min="4123" max="4123" width="7.85546875" style="7" customWidth="1"/>
    <col min="4124" max="4124" width="8.5703125" style="7" customWidth="1"/>
    <col min="4125" max="4356" width="9" style="7"/>
    <col min="4357" max="4357" width="16" style="7" customWidth="1"/>
    <col min="4358" max="4358" width="8.140625" style="7" customWidth="1"/>
    <col min="4359" max="4359" width="3.5703125" style="7" customWidth="1"/>
    <col min="4360" max="4360" width="10.5703125" style="7" customWidth="1"/>
    <col min="4361" max="4361" width="7" style="7" customWidth="1"/>
    <col min="4362" max="4362" width="10.140625" style="7" customWidth="1"/>
    <col min="4363" max="4363" width="5.5703125" style="7" customWidth="1"/>
    <col min="4364" max="4364" width="10.5703125" style="7" customWidth="1"/>
    <col min="4365" max="4365" width="5.140625" style="7" customWidth="1"/>
    <col min="4366" max="4366" width="5" style="7" customWidth="1"/>
    <col min="4367" max="4367" width="8.140625" style="7" customWidth="1"/>
    <col min="4368" max="4368" width="10.140625" style="7" customWidth="1"/>
    <col min="4369" max="4369" width="8.140625" style="7" customWidth="1"/>
    <col min="4370" max="4370" width="6.140625" style="7" customWidth="1"/>
    <col min="4371" max="4371" width="10.5703125" style="7" customWidth="1"/>
    <col min="4372" max="4372" width="6.85546875" style="7" customWidth="1"/>
    <col min="4373" max="4373" width="11.140625" style="7" customWidth="1"/>
    <col min="4374" max="4375" width="8.85546875" style="7" customWidth="1"/>
    <col min="4376" max="4376" width="6" style="7" customWidth="1"/>
    <col min="4377" max="4377" width="8" style="7" customWidth="1"/>
    <col min="4378" max="4378" width="8.140625" style="7" customWidth="1"/>
    <col min="4379" max="4379" width="7.85546875" style="7" customWidth="1"/>
    <col min="4380" max="4380" width="8.5703125" style="7" customWidth="1"/>
    <col min="4381" max="4612" width="9" style="7"/>
    <col min="4613" max="4613" width="16" style="7" customWidth="1"/>
    <col min="4614" max="4614" width="8.140625" style="7" customWidth="1"/>
    <col min="4615" max="4615" width="3.5703125" style="7" customWidth="1"/>
    <col min="4616" max="4616" width="10.5703125" style="7" customWidth="1"/>
    <col min="4617" max="4617" width="7" style="7" customWidth="1"/>
    <col min="4618" max="4618" width="10.140625" style="7" customWidth="1"/>
    <col min="4619" max="4619" width="5.5703125" style="7" customWidth="1"/>
    <col min="4620" max="4620" width="10.5703125" style="7" customWidth="1"/>
    <col min="4621" max="4621" width="5.140625" style="7" customWidth="1"/>
    <col min="4622" max="4622" width="5" style="7" customWidth="1"/>
    <col min="4623" max="4623" width="8.140625" style="7" customWidth="1"/>
    <col min="4624" max="4624" width="10.140625" style="7" customWidth="1"/>
    <col min="4625" max="4625" width="8.140625" style="7" customWidth="1"/>
    <col min="4626" max="4626" width="6.140625" style="7" customWidth="1"/>
    <col min="4627" max="4627" width="10.5703125" style="7" customWidth="1"/>
    <col min="4628" max="4628" width="6.85546875" style="7" customWidth="1"/>
    <col min="4629" max="4629" width="11.140625" style="7" customWidth="1"/>
    <col min="4630" max="4631" width="8.85546875" style="7" customWidth="1"/>
    <col min="4632" max="4632" width="6" style="7" customWidth="1"/>
    <col min="4633" max="4633" width="8" style="7" customWidth="1"/>
    <col min="4634" max="4634" width="8.140625" style="7" customWidth="1"/>
    <col min="4635" max="4635" width="7.85546875" style="7" customWidth="1"/>
    <col min="4636" max="4636" width="8.5703125" style="7" customWidth="1"/>
    <col min="4637" max="4868" width="9" style="7"/>
    <col min="4869" max="4869" width="16" style="7" customWidth="1"/>
    <col min="4870" max="4870" width="8.140625" style="7" customWidth="1"/>
    <col min="4871" max="4871" width="3.5703125" style="7" customWidth="1"/>
    <col min="4872" max="4872" width="10.5703125" style="7" customWidth="1"/>
    <col min="4873" max="4873" width="7" style="7" customWidth="1"/>
    <col min="4874" max="4874" width="10.140625" style="7" customWidth="1"/>
    <col min="4875" max="4875" width="5.5703125" style="7" customWidth="1"/>
    <col min="4876" max="4876" width="10.5703125" style="7" customWidth="1"/>
    <col min="4877" max="4877" width="5.140625" style="7" customWidth="1"/>
    <col min="4878" max="4878" width="5" style="7" customWidth="1"/>
    <col min="4879" max="4879" width="8.140625" style="7" customWidth="1"/>
    <col min="4880" max="4880" width="10.140625" style="7" customWidth="1"/>
    <col min="4881" max="4881" width="8.140625" style="7" customWidth="1"/>
    <col min="4882" max="4882" width="6.140625" style="7" customWidth="1"/>
    <col min="4883" max="4883" width="10.5703125" style="7" customWidth="1"/>
    <col min="4884" max="4884" width="6.85546875" style="7" customWidth="1"/>
    <col min="4885" max="4885" width="11.140625" style="7" customWidth="1"/>
    <col min="4886" max="4887" width="8.85546875" style="7" customWidth="1"/>
    <col min="4888" max="4888" width="6" style="7" customWidth="1"/>
    <col min="4889" max="4889" width="8" style="7" customWidth="1"/>
    <col min="4890" max="4890" width="8.140625" style="7" customWidth="1"/>
    <col min="4891" max="4891" width="7.85546875" style="7" customWidth="1"/>
    <col min="4892" max="4892" width="8.5703125" style="7" customWidth="1"/>
    <col min="4893" max="5124" width="9" style="7"/>
    <col min="5125" max="5125" width="16" style="7" customWidth="1"/>
    <col min="5126" max="5126" width="8.140625" style="7" customWidth="1"/>
    <col min="5127" max="5127" width="3.5703125" style="7" customWidth="1"/>
    <col min="5128" max="5128" width="10.5703125" style="7" customWidth="1"/>
    <col min="5129" max="5129" width="7" style="7" customWidth="1"/>
    <col min="5130" max="5130" width="10.140625" style="7" customWidth="1"/>
    <col min="5131" max="5131" width="5.5703125" style="7" customWidth="1"/>
    <col min="5132" max="5132" width="10.5703125" style="7" customWidth="1"/>
    <col min="5133" max="5133" width="5.140625" style="7" customWidth="1"/>
    <col min="5134" max="5134" width="5" style="7" customWidth="1"/>
    <col min="5135" max="5135" width="8.140625" style="7" customWidth="1"/>
    <col min="5136" max="5136" width="10.140625" style="7" customWidth="1"/>
    <col min="5137" max="5137" width="8.140625" style="7" customWidth="1"/>
    <col min="5138" max="5138" width="6.140625" style="7" customWidth="1"/>
    <col min="5139" max="5139" width="10.5703125" style="7" customWidth="1"/>
    <col min="5140" max="5140" width="6.85546875" style="7" customWidth="1"/>
    <col min="5141" max="5141" width="11.140625" style="7" customWidth="1"/>
    <col min="5142" max="5143" width="8.85546875" style="7" customWidth="1"/>
    <col min="5144" max="5144" width="6" style="7" customWidth="1"/>
    <col min="5145" max="5145" width="8" style="7" customWidth="1"/>
    <col min="5146" max="5146" width="8.140625" style="7" customWidth="1"/>
    <col min="5147" max="5147" width="7.85546875" style="7" customWidth="1"/>
    <col min="5148" max="5148" width="8.5703125" style="7" customWidth="1"/>
    <col min="5149" max="5380" width="9" style="7"/>
    <col min="5381" max="5381" width="16" style="7" customWidth="1"/>
    <col min="5382" max="5382" width="8.140625" style="7" customWidth="1"/>
    <col min="5383" max="5383" width="3.5703125" style="7" customWidth="1"/>
    <col min="5384" max="5384" width="10.5703125" style="7" customWidth="1"/>
    <col min="5385" max="5385" width="7" style="7" customWidth="1"/>
    <col min="5386" max="5386" width="10.140625" style="7" customWidth="1"/>
    <col min="5387" max="5387" width="5.5703125" style="7" customWidth="1"/>
    <col min="5388" max="5388" width="10.5703125" style="7" customWidth="1"/>
    <col min="5389" max="5389" width="5.140625" style="7" customWidth="1"/>
    <col min="5390" max="5390" width="5" style="7" customWidth="1"/>
    <col min="5391" max="5391" width="8.140625" style="7" customWidth="1"/>
    <col min="5392" max="5392" width="10.140625" style="7" customWidth="1"/>
    <col min="5393" max="5393" width="8.140625" style="7" customWidth="1"/>
    <col min="5394" max="5394" width="6.140625" style="7" customWidth="1"/>
    <col min="5395" max="5395" width="10.5703125" style="7" customWidth="1"/>
    <col min="5396" max="5396" width="6.85546875" style="7" customWidth="1"/>
    <col min="5397" max="5397" width="11.140625" style="7" customWidth="1"/>
    <col min="5398" max="5399" width="8.85546875" style="7" customWidth="1"/>
    <col min="5400" max="5400" width="6" style="7" customWidth="1"/>
    <col min="5401" max="5401" width="8" style="7" customWidth="1"/>
    <col min="5402" max="5402" width="8.140625" style="7" customWidth="1"/>
    <col min="5403" max="5403" width="7.85546875" style="7" customWidth="1"/>
    <col min="5404" max="5404" width="8.5703125" style="7" customWidth="1"/>
    <col min="5405" max="5636" width="9" style="7"/>
    <col min="5637" max="5637" width="16" style="7" customWidth="1"/>
    <col min="5638" max="5638" width="8.140625" style="7" customWidth="1"/>
    <col min="5639" max="5639" width="3.5703125" style="7" customWidth="1"/>
    <col min="5640" max="5640" width="10.5703125" style="7" customWidth="1"/>
    <col min="5641" max="5641" width="7" style="7" customWidth="1"/>
    <col min="5642" max="5642" width="10.140625" style="7" customWidth="1"/>
    <col min="5643" max="5643" width="5.5703125" style="7" customWidth="1"/>
    <col min="5644" max="5644" width="10.5703125" style="7" customWidth="1"/>
    <col min="5645" max="5645" width="5.140625" style="7" customWidth="1"/>
    <col min="5646" max="5646" width="5" style="7" customWidth="1"/>
    <col min="5647" max="5647" width="8.140625" style="7" customWidth="1"/>
    <col min="5648" max="5648" width="10.140625" style="7" customWidth="1"/>
    <col min="5649" max="5649" width="8.140625" style="7" customWidth="1"/>
    <col min="5650" max="5650" width="6.140625" style="7" customWidth="1"/>
    <col min="5651" max="5651" width="10.5703125" style="7" customWidth="1"/>
    <col min="5652" max="5652" width="6.85546875" style="7" customWidth="1"/>
    <col min="5653" max="5653" width="11.140625" style="7" customWidth="1"/>
    <col min="5654" max="5655" width="8.85546875" style="7" customWidth="1"/>
    <col min="5656" max="5656" width="6" style="7" customWidth="1"/>
    <col min="5657" max="5657" width="8" style="7" customWidth="1"/>
    <col min="5658" max="5658" width="8.140625" style="7" customWidth="1"/>
    <col min="5659" max="5659" width="7.85546875" style="7" customWidth="1"/>
    <col min="5660" max="5660" width="8.5703125" style="7" customWidth="1"/>
    <col min="5661" max="5892" width="9" style="7"/>
    <col min="5893" max="5893" width="16" style="7" customWidth="1"/>
    <col min="5894" max="5894" width="8.140625" style="7" customWidth="1"/>
    <col min="5895" max="5895" width="3.5703125" style="7" customWidth="1"/>
    <col min="5896" max="5896" width="10.5703125" style="7" customWidth="1"/>
    <col min="5897" max="5897" width="7" style="7" customWidth="1"/>
    <col min="5898" max="5898" width="10.140625" style="7" customWidth="1"/>
    <col min="5899" max="5899" width="5.5703125" style="7" customWidth="1"/>
    <col min="5900" max="5900" width="10.5703125" style="7" customWidth="1"/>
    <col min="5901" max="5901" width="5.140625" style="7" customWidth="1"/>
    <col min="5902" max="5902" width="5" style="7" customWidth="1"/>
    <col min="5903" max="5903" width="8.140625" style="7" customWidth="1"/>
    <col min="5904" max="5904" width="10.140625" style="7" customWidth="1"/>
    <col min="5905" max="5905" width="8.140625" style="7" customWidth="1"/>
    <col min="5906" max="5906" width="6.140625" style="7" customWidth="1"/>
    <col min="5907" max="5907" width="10.5703125" style="7" customWidth="1"/>
    <col min="5908" max="5908" width="6.85546875" style="7" customWidth="1"/>
    <col min="5909" max="5909" width="11.140625" style="7" customWidth="1"/>
    <col min="5910" max="5911" width="8.85546875" style="7" customWidth="1"/>
    <col min="5912" max="5912" width="6" style="7" customWidth="1"/>
    <col min="5913" max="5913" width="8" style="7" customWidth="1"/>
    <col min="5914" max="5914" width="8.140625" style="7" customWidth="1"/>
    <col min="5915" max="5915" width="7.85546875" style="7" customWidth="1"/>
    <col min="5916" max="5916" width="8.5703125" style="7" customWidth="1"/>
    <col min="5917" max="6148" width="9" style="7"/>
    <col min="6149" max="6149" width="16" style="7" customWidth="1"/>
    <col min="6150" max="6150" width="8.140625" style="7" customWidth="1"/>
    <col min="6151" max="6151" width="3.5703125" style="7" customWidth="1"/>
    <col min="6152" max="6152" width="10.5703125" style="7" customWidth="1"/>
    <col min="6153" max="6153" width="7" style="7" customWidth="1"/>
    <col min="6154" max="6154" width="10.140625" style="7" customWidth="1"/>
    <col min="6155" max="6155" width="5.5703125" style="7" customWidth="1"/>
    <col min="6156" max="6156" width="10.5703125" style="7" customWidth="1"/>
    <col min="6157" max="6157" width="5.140625" style="7" customWidth="1"/>
    <col min="6158" max="6158" width="5" style="7" customWidth="1"/>
    <col min="6159" max="6159" width="8.140625" style="7" customWidth="1"/>
    <col min="6160" max="6160" width="10.140625" style="7" customWidth="1"/>
    <col min="6161" max="6161" width="8.140625" style="7" customWidth="1"/>
    <col min="6162" max="6162" width="6.140625" style="7" customWidth="1"/>
    <col min="6163" max="6163" width="10.5703125" style="7" customWidth="1"/>
    <col min="6164" max="6164" width="6.85546875" style="7" customWidth="1"/>
    <col min="6165" max="6165" width="11.140625" style="7" customWidth="1"/>
    <col min="6166" max="6167" width="8.85546875" style="7" customWidth="1"/>
    <col min="6168" max="6168" width="6" style="7" customWidth="1"/>
    <col min="6169" max="6169" width="8" style="7" customWidth="1"/>
    <col min="6170" max="6170" width="8.140625" style="7" customWidth="1"/>
    <col min="6171" max="6171" width="7.85546875" style="7" customWidth="1"/>
    <col min="6172" max="6172" width="8.5703125" style="7" customWidth="1"/>
    <col min="6173" max="6404" width="9" style="7"/>
    <col min="6405" max="6405" width="16" style="7" customWidth="1"/>
    <col min="6406" max="6406" width="8.140625" style="7" customWidth="1"/>
    <col min="6407" max="6407" width="3.5703125" style="7" customWidth="1"/>
    <col min="6408" max="6408" width="10.5703125" style="7" customWidth="1"/>
    <col min="6409" max="6409" width="7" style="7" customWidth="1"/>
    <col min="6410" max="6410" width="10.140625" style="7" customWidth="1"/>
    <col min="6411" max="6411" width="5.5703125" style="7" customWidth="1"/>
    <col min="6412" max="6412" width="10.5703125" style="7" customWidth="1"/>
    <col min="6413" max="6413" width="5.140625" style="7" customWidth="1"/>
    <col min="6414" max="6414" width="5" style="7" customWidth="1"/>
    <col min="6415" max="6415" width="8.140625" style="7" customWidth="1"/>
    <col min="6416" max="6416" width="10.140625" style="7" customWidth="1"/>
    <col min="6417" max="6417" width="8.140625" style="7" customWidth="1"/>
    <col min="6418" max="6418" width="6.140625" style="7" customWidth="1"/>
    <col min="6419" max="6419" width="10.5703125" style="7" customWidth="1"/>
    <col min="6420" max="6420" width="6.85546875" style="7" customWidth="1"/>
    <col min="6421" max="6421" width="11.140625" style="7" customWidth="1"/>
    <col min="6422" max="6423" width="8.85546875" style="7" customWidth="1"/>
    <col min="6424" max="6424" width="6" style="7" customWidth="1"/>
    <col min="6425" max="6425" width="8" style="7" customWidth="1"/>
    <col min="6426" max="6426" width="8.140625" style="7" customWidth="1"/>
    <col min="6427" max="6427" width="7.85546875" style="7" customWidth="1"/>
    <col min="6428" max="6428" width="8.5703125" style="7" customWidth="1"/>
    <col min="6429" max="6660" width="9" style="7"/>
    <col min="6661" max="6661" width="16" style="7" customWidth="1"/>
    <col min="6662" max="6662" width="8.140625" style="7" customWidth="1"/>
    <col min="6663" max="6663" width="3.5703125" style="7" customWidth="1"/>
    <col min="6664" max="6664" width="10.5703125" style="7" customWidth="1"/>
    <col min="6665" max="6665" width="7" style="7" customWidth="1"/>
    <col min="6666" max="6666" width="10.140625" style="7" customWidth="1"/>
    <col min="6667" max="6667" width="5.5703125" style="7" customWidth="1"/>
    <col min="6668" max="6668" width="10.5703125" style="7" customWidth="1"/>
    <col min="6669" max="6669" width="5.140625" style="7" customWidth="1"/>
    <col min="6670" max="6670" width="5" style="7" customWidth="1"/>
    <col min="6671" max="6671" width="8.140625" style="7" customWidth="1"/>
    <col min="6672" max="6672" width="10.140625" style="7" customWidth="1"/>
    <col min="6673" max="6673" width="8.140625" style="7" customWidth="1"/>
    <col min="6674" max="6674" width="6.140625" style="7" customWidth="1"/>
    <col min="6675" max="6675" width="10.5703125" style="7" customWidth="1"/>
    <col min="6676" max="6676" width="6.85546875" style="7" customWidth="1"/>
    <col min="6677" max="6677" width="11.140625" style="7" customWidth="1"/>
    <col min="6678" max="6679" width="8.85546875" style="7" customWidth="1"/>
    <col min="6680" max="6680" width="6" style="7" customWidth="1"/>
    <col min="6681" max="6681" width="8" style="7" customWidth="1"/>
    <col min="6682" max="6682" width="8.140625" style="7" customWidth="1"/>
    <col min="6683" max="6683" width="7.85546875" style="7" customWidth="1"/>
    <col min="6684" max="6684" width="8.5703125" style="7" customWidth="1"/>
    <col min="6685" max="6916" width="9" style="7"/>
    <col min="6917" max="6917" width="16" style="7" customWidth="1"/>
    <col min="6918" max="6918" width="8.140625" style="7" customWidth="1"/>
    <col min="6919" max="6919" width="3.5703125" style="7" customWidth="1"/>
    <col min="6920" max="6920" width="10.5703125" style="7" customWidth="1"/>
    <col min="6921" max="6921" width="7" style="7" customWidth="1"/>
    <col min="6922" max="6922" width="10.140625" style="7" customWidth="1"/>
    <col min="6923" max="6923" width="5.5703125" style="7" customWidth="1"/>
    <col min="6924" max="6924" width="10.5703125" style="7" customWidth="1"/>
    <col min="6925" max="6925" width="5.140625" style="7" customWidth="1"/>
    <col min="6926" max="6926" width="5" style="7" customWidth="1"/>
    <col min="6927" max="6927" width="8.140625" style="7" customWidth="1"/>
    <col min="6928" max="6928" width="10.140625" style="7" customWidth="1"/>
    <col min="6929" max="6929" width="8.140625" style="7" customWidth="1"/>
    <col min="6930" max="6930" width="6.140625" style="7" customWidth="1"/>
    <col min="6931" max="6931" width="10.5703125" style="7" customWidth="1"/>
    <col min="6932" max="6932" width="6.85546875" style="7" customWidth="1"/>
    <col min="6933" max="6933" width="11.140625" style="7" customWidth="1"/>
    <col min="6934" max="6935" width="8.85546875" style="7" customWidth="1"/>
    <col min="6936" max="6936" width="6" style="7" customWidth="1"/>
    <col min="6937" max="6937" width="8" style="7" customWidth="1"/>
    <col min="6938" max="6938" width="8.140625" style="7" customWidth="1"/>
    <col min="6939" max="6939" width="7.85546875" style="7" customWidth="1"/>
    <col min="6940" max="6940" width="8.5703125" style="7" customWidth="1"/>
    <col min="6941" max="7172" width="9" style="7"/>
    <col min="7173" max="7173" width="16" style="7" customWidth="1"/>
    <col min="7174" max="7174" width="8.140625" style="7" customWidth="1"/>
    <col min="7175" max="7175" width="3.5703125" style="7" customWidth="1"/>
    <col min="7176" max="7176" width="10.5703125" style="7" customWidth="1"/>
    <col min="7177" max="7177" width="7" style="7" customWidth="1"/>
    <col min="7178" max="7178" width="10.140625" style="7" customWidth="1"/>
    <col min="7179" max="7179" width="5.5703125" style="7" customWidth="1"/>
    <col min="7180" max="7180" width="10.5703125" style="7" customWidth="1"/>
    <col min="7181" max="7181" width="5.140625" style="7" customWidth="1"/>
    <col min="7182" max="7182" width="5" style="7" customWidth="1"/>
    <col min="7183" max="7183" width="8.140625" style="7" customWidth="1"/>
    <col min="7184" max="7184" width="10.140625" style="7" customWidth="1"/>
    <col min="7185" max="7185" width="8.140625" style="7" customWidth="1"/>
    <col min="7186" max="7186" width="6.140625" style="7" customWidth="1"/>
    <col min="7187" max="7187" width="10.5703125" style="7" customWidth="1"/>
    <col min="7188" max="7188" width="6.85546875" style="7" customWidth="1"/>
    <col min="7189" max="7189" width="11.140625" style="7" customWidth="1"/>
    <col min="7190" max="7191" width="8.85546875" style="7" customWidth="1"/>
    <col min="7192" max="7192" width="6" style="7" customWidth="1"/>
    <col min="7193" max="7193" width="8" style="7" customWidth="1"/>
    <col min="7194" max="7194" width="8.140625" style="7" customWidth="1"/>
    <col min="7195" max="7195" width="7.85546875" style="7" customWidth="1"/>
    <col min="7196" max="7196" width="8.5703125" style="7" customWidth="1"/>
    <col min="7197" max="7428" width="9" style="7"/>
    <col min="7429" max="7429" width="16" style="7" customWidth="1"/>
    <col min="7430" max="7430" width="8.140625" style="7" customWidth="1"/>
    <col min="7431" max="7431" width="3.5703125" style="7" customWidth="1"/>
    <col min="7432" max="7432" width="10.5703125" style="7" customWidth="1"/>
    <col min="7433" max="7433" width="7" style="7" customWidth="1"/>
    <col min="7434" max="7434" width="10.140625" style="7" customWidth="1"/>
    <col min="7435" max="7435" width="5.5703125" style="7" customWidth="1"/>
    <col min="7436" max="7436" width="10.5703125" style="7" customWidth="1"/>
    <col min="7437" max="7437" width="5.140625" style="7" customWidth="1"/>
    <col min="7438" max="7438" width="5" style="7" customWidth="1"/>
    <col min="7439" max="7439" width="8.140625" style="7" customWidth="1"/>
    <col min="7440" max="7440" width="10.140625" style="7" customWidth="1"/>
    <col min="7441" max="7441" width="8.140625" style="7" customWidth="1"/>
    <col min="7442" max="7442" width="6.140625" style="7" customWidth="1"/>
    <col min="7443" max="7443" width="10.5703125" style="7" customWidth="1"/>
    <col min="7444" max="7444" width="6.85546875" style="7" customWidth="1"/>
    <col min="7445" max="7445" width="11.140625" style="7" customWidth="1"/>
    <col min="7446" max="7447" width="8.85546875" style="7" customWidth="1"/>
    <col min="7448" max="7448" width="6" style="7" customWidth="1"/>
    <col min="7449" max="7449" width="8" style="7" customWidth="1"/>
    <col min="7450" max="7450" width="8.140625" style="7" customWidth="1"/>
    <col min="7451" max="7451" width="7.85546875" style="7" customWidth="1"/>
    <col min="7452" max="7452" width="8.5703125" style="7" customWidth="1"/>
    <col min="7453" max="7684" width="9" style="7"/>
    <col min="7685" max="7685" width="16" style="7" customWidth="1"/>
    <col min="7686" max="7686" width="8.140625" style="7" customWidth="1"/>
    <col min="7687" max="7687" width="3.5703125" style="7" customWidth="1"/>
    <col min="7688" max="7688" width="10.5703125" style="7" customWidth="1"/>
    <col min="7689" max="7689" width="7" style="7" customWidth="1"/>
    <col min="7690" max="7690" width="10.140625" style="7" customWidth="1"/>
    <col min="7691" max="7691" width="5.5703125" style="7" customWidth="1"/>
    <col min="7692" max="7692" width="10.5703125" style="7" customWidth="1"/>
    <col min="7693" max="7693" width="5.140625" style="7" customWidth="1"/>
    <col min="7694" max="7694" width="5" style="7" customWidth="1"/>
    <col min="7695" max="7695" width="8.140625" style="7" customWidth="1"/>
    <col min="7696" max="7696" width="10.140625" style="7" customWidth="1"/>
    <col min="7697" max="7697" width="8.140625" style="7" customWidth="1"/>
    <col min="7698" max="7698" width="6.140625" style="7" customWidth="1"/>
    <col min="7699" max="7699" width="10.5703125" style="7" customWidth="1"/>
    <col min="7700" max="7700" width="6.85546875" style="7" customWidth="1"/>
    <col min="7701" max="7701" width="11.140625" style="7" customWidth="1"/>
    <col min="7702" max="7703" width="8.85546875" style="7" customWidth="1"/>
    <col min="7704" max="7704" width="6" style="7" customWidth="1"/>
    <col min="7705" max="7705" width="8" style="7" customWidth="1"/>
    <col min="7706" max="7706" width="8.140625" style="7" customWidth="1"/>
    <col min="7707" max="7707" width="7.85546875" style="7" customWidth="1"/>
    <col min="7708" max="7708" width="8.5703125" style="7" customWidth="1"/>
    <col min="7709" max="7940" width="9" style="7"/>
    <col min="7941" max="7941" width="16" style="7" customWidth="1"/>
    <col min="7942" max="7942" width="8.140625" style="7" customWidth="1"/>
    <col min="7943" max="7943" width="3.5703125" style="7" customWidth="1"/>
    <col min="7944" max="7944" width="10.5703125" style="7" customWidth="1"/>
    <col min="7945" max="7945" width="7" style="7" customWidth="1"/>
    <col min="7946" max="7946" width="10.140625" style="7" customWidth="1"/>
    <col min="7947" max="7947" width="5.5703125" style="7" customWidth="1"/>
    <col min="7948" max="7948" width="10.5703125" style="7" customWidth="1"/>
    <col min="7949" max="7949" width="5.140625" style="7" customWidth="1"/>
    <col min="7950" max="7950" width="5" style="7" customWidth="1"/>
    <col min="7951" max="7951" width="8.140625" style="7" customWidth="1"/>
    <col min="7952" max="7952" width="10.140625" style="7" customWidth="1"/>
    <col min="7953" max="7953" width="8.140625" style="7" customWidth="1"/>
    <col min="7954" max="7954" width="6.140625" style="7" customWidth="1"/>
    <col min="7955" max="7955" width="10.5703125" style="7" customWidth="1"/>
    <col min="7956" max="7956" width="6.85546875" style="7" customWidth="1"/>
    <col min="7957" max="7957" width="11.140625" style="7" customWidth="1"/>
    <col min="7958" max="7959" width="8.85546875" style="7" customWidth="1"/>
    <col min="7960" max="7960" width="6" style="7" customWidth="1"/>
    <col min="7961" max="7961" width="8" style="7" customWidth="1"/>
    <col min="7962" max="7962" width="8.140625" style="7" customWidth="1"/>
    <col min="7963" max="7963" width="7.85546875" style="7" customWidth="1"/>
    <col min="7964" max="7964" width="8.5703125" style="7" customWidth="1"/>
    <col min="7965" max="8196" width="9" style="7"/>
    <col min="8197" max="8197" width="16" style="7" customWidth="1"/>
    <col min="8198" max="8198" width="8.140625" style="7" customWidth="1"/>
    <col min="8199" max="8199" width="3.5703125" style="7" customWidth="1"/>
    <col min="8200" max="8200" width="10.5703125" style="7" customWidth="1"/>
    <col min="8201" max="8201" width="7" style="7" customWidth="1"/>
    <col min="8202" max="8202" width="10.140625" style="7" customWidth="1"/>
    <col min="8203" max="8203" width="5.5703125" style="7" customWidth="1"/>
    <col min="8204" max="8204" width="10.5703125" style="7" customWidth="1"/>
    <col min="8205" max="8205" width="5.140625" style="7" customWidth="1"/>
    <col min="8206" max="8206" width="5" style="7" customWidth="1"/>
    <col min="8207" max="8207" width="8.140625" style="7" customWidth="1"/>
    <col min="8208" max="8208" width="10.140625" style="7" customWidth="1"/>
    <col min="8209" max="8209" width="8.140625" style="7" customWidth="1"/>
    <col min="8210" max="8210" width="6.140625" style="7" customWidth="1"/>
    <col min="8211" max="8211" width="10.5703125" style="7" customWidth="1"/>
    <col min="8212" max="8212" width="6.85546875" style="7" customWidth="1"/>
    <col min="8213" max="8213" width="11.140625" style="7" customWidth="1"/>
    <col min="8214" max="8215" width="8.85546875" style="7" customWidth="1"/>
    <col min="8216" max="8216" width="6" style="7" customWidth="1"/>
    <col min="8217" max="8217" width="8" style="7" customWidth="1"/>
    <col min="8218" max="8218" width="8.140625" style="7" customWidth="1"/>
    <col min="8219" max="8219" width="7.85546875" style="7" customWidth="1"/>
    <col min="8220" max="8220" width="8.5703125" style="7" customWidth="1"/>
    <col min="8221" max="8452" width="9" style="7"/>
    <col min="8453" max="8453" width="16" style="7" customWidth="1"/>
    <col min="8454" max="8454" width="8.140625" style="7" customWidth="1"/>
    <col min="8455" max="8455" width="3.5703125" style="7" customWidth="1"/>
    <col min="8456" max="8456" width="10.5703125" style="7" customWidth="1"/>
    <col min="8457" max="8457" width="7" style="7" customWidth="1"/>
    <col min="8458" max="8458" width="10.140625" style="7" customWidth="1"/>
    <col min="8459" max="8459" width="5.5703125" style="7" customWidth="1"/>
    <col min="8460" max="8460" width="10.5703125" style="7" customWidth="1"/>
    <col min="8461" max="8461" width="5.140625" style="7" customWidth="1"/>
    <col min="8462" max="8462" width="5" style="7" customWidth="1"/>
    <col min="8463" max="8463" width="8.140625" style="7" customWidth="1"/>
    <col min="8464" max="8464" width="10.140625" style="7" customWidth="1"/>
    <col min="8465" max="8465" width="8.140625" style="7" customWidth="1"/>
    <col min="8466" max="8466" width="6.140625" style="7" customWidth="1"/>
    <col min="8467" max="8467" width="10.5703125" style="7" customWidth="1"/>
    <col min="8468" max="8468" width="6.85546875" style="7" customWidth="1"/>
    <col min="8469" max="8469" width="11.140625" style="7" customWidth="1"/>
    <col min="8470" max="8471" width="8.85546875" style="7" customWidth="1"/>
    <col min="8472" max="8472" width="6" style="7" customWidth="1"/>
    <col min="8473" max="8473" width="8" style="7" customWidth="1"/>
    <col min="8474" max="8474" width="8.140625" style="7" customWidth="1"/>
    <col min="8475" max="8475" width="7.85546875" style="7" customWidth="1"/>
    <col min="8476" max="8476" width="8.5703125" style="7" customWidth="1"/>
    <col min="8477" max="8708" width="9" style="7"/>
    <col min="8709" max="8709" width="16" style="7" customWidth="1"/>
    <col min="8710" max="8710" width="8.140625" style="7" customWidth="1"/>
    <col min="8711" max="8711" width="3.5703125" style="7" customWidth="1"/>
    <col min="8712" max="8712" width="10.5703125" style="7" customWidth="1"/>
    <col min="8713" max="8713" width="7" style="7" customWidth="1"/>
    <col min="8714" max="8714" width="10.140625" style="7" customWidth="1"/>
    <col min="8715" max="8715" width="5.5703125" style="7" customWidth="1"/>
    <col min="8716" max="8716" width="10.5703125" style="7" customWidth="1"/>
    <col min="8717" max="8717" width="5.140625" style="7" customWidth="1"/>
    <col min="8718" max="8718" width="5" style="7" customWidth="1"/>
    <col min="8719" max="8719" width="8.140625" style="7" customWidth="1"/>
    <col min="8720" max="8720" width="10.140625" style="7" customWidth="1"/>
    <col min="8721" max="8721" width="8.140625" style="7" customWidth="1"/>
    <col min="8722" max="8722" width="6.140625" style="7" customWidth="1"/>
    <col min="8723" max="8723" width="10.5703125" style="7" customWidth="1"/>
    <col min="8724" max="8724" width="6.85546875" style="7" customWidth="1"/>
    <col min="8725" max="8725" width="11.140625" style="7" customWidth="1"/>
    <col min="8726" max="8727" width="8.85546875" style="7" customWidth="1"/>
    <col min="8728" max="8728" width="6" style="7" customWidth="1"/>
    <col min="8729" max="8729" width="8" style="7" customWidth="1"/>
    <col min="8730" max="8730" width="8.140625" style="7" customWidth="1"/>
    <col min="8731" max="8731" width="7.85546875" style="7" customWidth="1"/>
    <col min="8732" max="8732" width="8.5703125" style="7" customWidth="1"/>
    <col min="8733" max="8964" width="9" style="7"/>
    <col min="8965" max="8965" width="16" style="7" customWidth="1"/>
    <col min="8966" max="8966" width="8.140625" style="7" customWidth="1"/>
    <col min="8967" max="8967" width="3.5703125" style="7" customWidth="1"/>
    <col min="8968" max="8968" width="10.5703125" style="7" customWidth="1"/>
    <col min="8969" max="8969" width="7" style="7" customWidth="1"/>
    <col min="8970" max="8970" width="10.140625" style="7" customWidth="1"/>
    <col min="8971" max="8971" width="5.5703125" style="7" customWidth="1"/>
    <col min="8972" max="8972" width="10.5703125" style="7" customWidth="1"/>
    <col min="8973" max="8973" width="5.140625" style="7" customWidth="1"/>
    <col min="8974" max="8974" width="5" style="7" customWidth="1"/>
    <col min="8975" max="8975" width="8.140625" style="7" customWidth="1"/>
    <col min="8976" max="8976" width="10.140625" style="7" customWidth="1"/>
    <col min="8977" max="8977" width="8.140625" style="7" customWidth="1"/>
    <col min="8978" max="8978" width="6.140625" style="7" customWidth="1"/>
    <col min="8979" max="8979" width="10.5703125" style="7" customWidth="1"/>
    <col min="8980" max="8980" width="6.85546875" style="7" customWidth="1"/>
    <col min="8981" max="8981" width="11.140625" style="7" customWidth="1"/>
    <col min="8982" max="8983" width="8.85546875" style="7" customWidth="1"/>
    <col min="8984" max="8984" width="6" style="7" customWidth="1"/>
    <col min="8985" max="8985" width="8" style="7" customWidth="1"/>
    <col min="8986" max="8986" width="8.140625" style="7" customWidth="1"/>
    <col min="8987" max="8987" width="7.85546875" style="7" customWidth="1"/>
    <col min="8988" max="8988" width="8.5703125" style="7" customWidth="1"/>
    <col min="8989" max="9220" width="9" style="7"/>
    <col min="9221" max="9221" width="16" style="7" customWidth="1"/>
    <col min="9222" max="9222" width="8.140625" style="7" customWidth="1"/>
    <col min="9223" max="9223" width="3.5703125" style="7" customWidth="1"/>
    <col min="9224" max="9224" width="10.5703125" style="7" customWidth="1"/>
    <col min="9225" max="9225" width="7" style="7" customWidth="1"/>
    <col min="9226" max="9226" width="10.140625" style="7" customWidth="1"/>
    <col min="9227" max="9227" width="5.5703125" style="7" customWidth="1"/>
    <col min="9228" max="9228" width="10.5703125" style="7" customWidth="1"/>
    <col min="9229" max="9229" width="5.140625" style="7" customWidth="1"/>
    <col min="9230" max="9230" width="5" style="7" customWidth="1"/>
    <col min="9231" max="9231" width="8.140625" style="7" customWidth="1"/>
    <col min="9232" max="9232" width="10.140625" style="7" customWidth="1"/>
    <col min="9233" max="9233" width="8.140625" style="7" customWidth="1"/>
    <col min="9234" max="9234" width="6.140625" style="7" customWidth="1"/>
    <col min="9235" max="9235" width="10.5703125" style="7" customWidth="1"/>
    <col min="9236" max="9236" width="6.85546875" style="7" customWidth="1"/>
    <col min="9237" max="9237" width="11.140625" style="7" customWidth="1"/>
    <col min="9238" max="9239" width="8.85546875" style="7" customWidth="1"/>
    <col min="9240" max="9240" width="6" style="7" customWidth="1"/>
    <col min="9241" max="9241" width="8" style="7" customWidth="1"/>
    <col min="9242" max="9242" width="8.140625" style="7" customWidth="1"/>
    <col min="9243" max="9243" width="7.85546875" style="7" customWidth="1"/>
    <col min="9244" max="9244" width="8.5703125" style="7" customWidth="1"/>
    <col min="9245" max="9476" width="9" style="7"/>
    <col min="9477" max="9477" width="16" style="7" customWidth="1"/>
    <col min="9478" max="9478" width="8.140625" style="7" customWidth="1"/>
    <col min="9479" max="9479" width="3.5703125" style="7" customWidth="1"/>
    <col min="9480" max="9480" width="10.5703125" style="7" customWidth="1"/>
    <col min="9481" max="9481" width="7" style="7" customWidth="1"/>
    <col min="9482" max="9482" width="10.140625" style="7" customWidth="1"/>
    <col min="9483" max="9483" width="5.5703125" style="7" customWidth="1"/>
    <col min="9484" max="9484" width="10.5703125" style="7" customWidth="1"/>
    <col min="9485" max="9485" width="5.140625" style="7" customWidth="1"/>
    <col min="9486" max="9486" width="5" style="7" customWidth="1"/>
    <col min="9487" max="9487" width="8.140625" style="7" customWidth="1"/>
    <col min="9488" max="9488" width="10.140625" style="7" customWidth="1"/>
    <col min="9489" max="9489" width="8.140625" style="7" customWidth="1"/>
    <col min="9490" max="9490" width="6.140625" style="7" customWidth="1"/>
    <col min="9491" max="9491" width="10.5703125" style="7" customWidth="1"/>
    <col min="9492" max="9492" width="6.85546875" style="7" customWidth="1"/>
    <col min="9493" max="9493" width="11.140625" style="7" customWidth="1"/>
    <col min="9494" max="9495" width="8.85546875" style="7" customWidth="1"/>
    <col min="9496" max="9496" width="6" style="7" customWidth="1"/>
    <col min="9497" max="9497" width="8" style="7" customWidth="1"/>
    <col min="9498" max="9498" width="8.140625" style="7" customWidth="1"/>
    <col min="9499" max="9499" width="7.85546875" style="7" customWidth="1"/>
    <col min="9500" max="9500" width="8.5703125" style="7" customWidth="1"/>
    <col min="9501" max="9732" width="9" style="7"/>
    <col min="9733" max="9733" width="16" style="7" customWidth="1"/>
    <col min="9734" max="9734" width="8.140625" style="7" customWidth="1"/>
    <col min="9735" max="9735" width="3.5703125" style="7" customWidth="1"/>
    <col min="9736" max="9736" width="10.5703125" style="7" customWidth="1"/>
    <col min="9737" max="9737" width="7" style="7" customWidth="1"/>
    <col min="9738" max="9738" width="10.140625" style="7" customWidth="1"/>
    <col min="9739" max="9739" width="5.5703125" style="7" customWidth="1"/>
    <col min="9740" max="9740" width="10.5703125" style="7" customWidth="1"/>
    <col min="9741" max="9741" width="5.140625" style="7" customWidth="1"/>
    <col min="9742" max="9742" width="5" style="7" customWidth="1"/>
    <col min="9743" max="9743" width="8.140625" style="7" customWidth="1"/>
    <col min="9744" max="9744" width="10.140625" style="7" customWidth="1"/>
    <col min="9745" max="9745" width="8.140625" style="7" customWidth="1"/>
    <col min="9746" max="9746" width="6.140625" style="7" customWidth="1"/>
    <col min="9747" max="9747" width="10.5703125" style="7" customWidth="1"/>
    <col min="9748" max="9748" width="6.85546875" style="7" customWidth="1"/>
    <col min="9749" max="9749" width="11.140625" style="7" customWidth="1"/>
    <col min="9750" max="9751" width="8.85546875" style="7" customWidth="1"/>
    <col min="9752" max="9752" width="6" style="7" customWidth="1"/>
    <col min="9753" max="9753" width="8" style="7" customWidth="1"/>
    <col min="9754" max="9754" width="8.140625" style="7" customWidth="1"/>
    <col min="9755" max="9755" width="7.85546875" style="7" customWidth="1"/>
    <col min="9756" max="9756" width="8.5703125" style="7" customWidth="1"/>
    <col min="9757" max="9988" width="9" style="7"/>
    <col min="9989" max="9989" width="16" style="7" customWidth="1"/>
    <col min="9990" max="9990" width="8.140625" style="7" customWidth="1"/>
    <col min="9991" max="9991" width="3.5703125" style="7" customWidth="1"/>
    <col min="9992" max="9992" width="10.5703125" style="7" customWidth="1"/>
    <col min="9993" max="9993" width="7" style="7" customWidth="1"/>
    <col min="9994" max="9994" width="10.140625" style="7" customWidth="1"/>
    <col min="9995" max="9995" width="5.5703125" style="7" customWidth="1"/>
    <col min="9996" max="9996" width="10.5703125" style="7" customWidth="1"/>
    <col min="9997" max="9997" width="5.140625" style="7" customWidth="1"/>
    <col min="9998" max="9998" width="5" style="7" customWidth="1"/>
    <col min="9999" max="9999" width="8.140625" style="7" customWidth="1"/>
    <col min="10000" max="10000" width="10.140625" style="7" customWidth="1"/>
    <col min="10001" max="10001" width="8.140625" style="7" customWidth="1"/>
    <col min="10002" max="10002" width="6.140625" style="7" customWidth="1"/>
    <col min="10003" max="10003" width="10.5703125" style="7" customWidth="1"/>
    <col min="10004" max="10004" width="6.85546875" style="7" customWidth="1"/>
    <col min="10005" max="10005" width="11.140625" style="7" customWidth="1"/>
    <col min="10006" max="10007" width="8.85546875" style="7" customWidth="1"/>
    <col min="10008" max="10008" width="6" style="7" customWidth="1"/>
    <col min="10009" max="10009" width="8" style="7" customWidth="1"/>
    <col min="10010" max="10010" width="8.140625" style="7" customWidth="1"/>
    <col min="10011" max="10011" width="7.85546875" style="7" customWidth="1"/>
    <col min="10012" max="10012" width="8.5703125" style="7" customWidth="1"/>
    <col min="10013" max="10244" width="9" style="7"/>
    <col min="10245" max="10245" width="16" style="7" customWidth="1"/>
    <col min="10246" max="10246" width="8.140625" style="7" customWidth="1"/>
    <col min="10247" max="10247" width="3.5703125" style="7" customWidth="1"/>
    <col min="10248" max="10248" width="10.5703125" style="7" customWidth="1"/>
    <col min="10249" max="10249" width="7" style="7" customWidth="1"/>
    <col min="10250" max="10250" width="10.140625" style="7" customWidth="1"/>
    <col min="10251" max="10251" width="5.5703125" style="7" customWidth="1"/>
    <col min="10252" max="10252" width="10.5703125" style="7" customWidth="1"/>
    <col min="10253" max="10253" width="5.140625" style="7" customWidth="1"/>
    <col min="10254" max="10254" width="5" style="7" customWidth="1"/>
    <col min="10255" max="10255" width="8.140625" style="7" customWidth="1"/>
    <col min="10256" max="10256" width="10.140625" style="7" customWidth="1"/>
    <col min="10257" max="10257" width="8.140625" style="7" customWidth="1"/>
    <col min="10258" max="10258" width="6.140625" style="7" customWidth="1"/>
    <col min="10259" max="10259" width="10.5703125" style="7" customWidth="1"/>
    <col min="10260" max="10260" width="6.85546875" style="7" customWidth="1"/>
    <col min="10261" max="10261" width="11.140625" style="7" customWidth="1"/>
    <col min="10262" max="10263" width="8.85546875" style="7" customWidth="1"/>
    <col min="10264" max="10264" width="6" style="7" customWidth="1"/>
    <col min="10265" max="10265" width="8" style="7" customWidth="1"/>
    <col min="10266" max="10266" width="8.140625" style="7" customWidth="1"/>
    <col min="10267" max="10267" width="7.85546875" style="7" customWidth="1"/>
    <col min="10268" max="10268" width="8.5703125" style="7" customWidth="1"/>
    <col min="10269" max="10500" width="9" style="7"/>
    <col min="10501" max="10501" width="16" style="7" customWidth="1"/>
    <col min="10502" max="10502" width="8.140625" style="7" customWidth="1"/>
    <col min="10503" max="10503" width="3.5703125" style="7" customWidth="1"/>
    <col min="10504" max="10504" width="10.5703125" style="7" customWidth="1"/>
    <col min="10505" max="10505" width="7" style="7" customWidth="1"/>
    <col min="10506" max="10506" width="10.140625" style="7" customWidth="1"/>
    <col min="10507" max="10507" width="5.5703125" style="7" customWidth="1"/>
    <col min="10508" max="10508" width="10.5703125" style="7" customWidth="1"/>
    <col min="10509" max="10509" width="5.140625" style="7" customWidth="1"/>
    <col min="10510" max="10510" width="5" style="7" customWidth="1"/>
    <col min="10511" max="10511" width="8.140625" style="7" customWidth="1"/>
    <col min="10512" max="10512" width="10.140625" style="7" customWidth="1"/>
    <col min="10513" max="10513" width="8.140625" style="7" customWidth="1"/>
    <col min="10514" max="10514" width="6.140625" style="7" customWidth="1"/>
    <col min="10515" max="10515" width="10.5703125" style="7" customWidth="1"/>
    <col min="10516" max="10516" width="6.85546875" style="7" customWidth="1"/>
    <col min="10517" max="10517" width="11.140625" style="7" customWidth="1"/>
    <col min="10518" max="10519" width="8.85546875" style="7" customWidth="1"/>
    <col min="10520" max="10520" width="6" style="7" customWidth="1"/>
    <col min="10521" max="10521" width="8" style="7" customWidth="1"/>
    <col min="10522" max="10522" width="8.140625" style="7" customWidth="1"/>
    <col min="10523" max="10523" width="7.85546875" style="7" customWidth="1"/>
    <col min="10524" max="10524" width="8.5703125" style="7" customWidth="1"/>
    <col min="10525" max="10756" width="9" style="7"/>
    <col min="10757" max="10757" width="16" style="7" customWidth="1"/>
    <col min="10758" max="10758" width="8.140625" style="7" customWidth="1"/>
    <col min="10759" max="10759" width="3.5703125" style="7" customWidth="1"/>
    <col min="10760" max="10760" width="10.5703125" style="7" customWidth="1"/>
    <col min="10761" max="10761" width="7" style="7" customWidth="1"/>
    <col min="10762" max="10762" width="10.140625" style="7" customWidth="1"/>
    <col min="10763" max="10763" width="5.5703125" style="7" customWidth="1"/>
    <col min="10764" max="10764" width="10.5703125" style="7" customWidth="1"/>
    <col min="10765" max="10765" width="5.140625" style="7" customWidth="1"/>
    <col min="10766" max="10766" width="5" style="7" customWidth="1"/>
    <col min="10767" max="10767" width="8.140625" style="7" customWidth="1"/>
    <col min="10768" max="10768" width="10.140625" style="7" customWidth="1"/>
    <col min="10769" max="10769" width="8.140625" style="7" customWidth="1"/>
    <col min="10770" max="10770" width="6.140625" style="7" customWidth="1"/>
    <col min="10771" max="10771" width="10.5703125" style="7" customWidth="1"/>
    <col min="10772" max="10772" width="6.85546875" style="7" customWidth="1"/>
    <col min="10773" max="10773" width="11.140625" style="7" customWidth="1"/>
    <col min="10774" max="10775" width="8.85546875" style="7" customWidth="1"/>
    <col min="10776" max="10776" width="6" style="7" customWidth="1"/>
    <col min="10777" max="10777" width="8" style="7" customWidth="1"/>
    <col min="10778" max="10778" width="8.140625" style="7" customWidth="1"/>
    <col min="10779" max="10779" width="7.85546875" style="7" customWidth="1"/>
    <col min="10780" max="10780" width="8.5703125" style="7" customWidth="1"/>
    <col min="10781" max="11012" width="9" style="7"/>
    <col min="11013" max="11013" width="16" style="7" customWidth="1"/>
    <col min="11014" max="11014" width="8.140625" style="7" customWidth="1"/>
    <col min="11015" max="11015" width="3.5703125" style="7" customWidth="1"/>
    <col min="11016" max="11016" width="10.5703125" style="7" customWidth="1"/>
    <col min="11017" max="11017" width="7" style="7" customWidth="1"/>
    <col min="11018" max="11018" width="10.140625" style="7" customWidth="1"/>
    <col min="11019" max="11019" width="5.5703125" style="7" customWidth="1"/>
    <col min="11020" max="11020" width="10.5703125" style="7" customWidth="1"/>
    <col min="11021" max="11021" width="5.140625" style="7" customWidth="1"/>
    <col min="11022" max="11022" width="5" style="7" customWidth="1"/>
    <col min="11023" max="11023" width="8.140625" style="7" customWidth="1"/>
    <col min="11024" max="11024" width="10.140625" style="7" customWidth="1"/>
    <col min="11025" max="11025" width="8.140625" style="7" customWidth="1"/>
    <col min="11026" max="11026" width="6.140625" style="7" customWidth="1"/>
    <col min="11027" max="11027" width="10.5703125" style="7" customWidth="1"/>
    <col min="11028" max="11028" width="6.85546875" style="7" customWidth="1"/>
    <col min="11029" max="11029" width="11.140625" style="7" customWidth="1"/>
    <col min="11030" max="11031" width="8.85546875" style="7" customWidth="1"/>
    <col min="11032" max="11032" width="6" style="7" customWidth="1"/>
    <col min="11033" max="11033" width="8" style="7" customWidth="1"/>
    <col min="11034" max="11034" width="8.140625" style="7" customWidth="1"/>
    <col min="11035" max="11035" width="7.85546875" style="7" customWidth="1"/>
    <col min="11036" max="11036" width="8.5703125" style="7" customWidth="1"/>
    <col min="11037" max="11268" width="9" style="7"/>
    <col min="11269" max="11269" width="16" style="7" customWidth="1"/>
    <col min="11270" max="11270" width="8.140625" style="7" customWidth="1"/>
    <col min="11271" max="11271" width="3.5703125" style="7" customWidth="1"/>
    <col min="11272" max="11272" width="10.5703125" style="7" customWidth="1"/>
    <col min="11273" max="11273" width="7" style="7" customWidth="1"/>
    <col min="11274" max="11274" width="10.140625" style="7" customWidth="1"/>
    <col min="11275" max="11275" width="5.5703125" style="7" customWidth="1"/>
    <col min="11276" max="11276" width="10.5703125" style="7" customWidth="1"/>
    <col min="11277" max="11277" width="5.140625" style="7" customWidth="1"/>
    <col min="11278" max="11278" width="5" style="7" customWidth="1"/>
    <col min="11279" max="11279" width="8.140625" style="7" customWidth="1"/>
    <col min="11280" max="11280" width="10.140625" style="7" customWidth="1"/>
    <col min="11281" max="11281" width="8.140625" style="7" customWidth="1"/>
    <col min="11282" max="11282" width="6.140625" style="7" customWidth="1"/>
    <col min="11283" max="11283" width="10.5703125" style="7" customWidth="1"/>
    <col min="11284" max="11284" width="6.85546875" style="7" customWidth="1"/>
    <col min="11285" max="11285" width="11.140625" style="7" customWidth="1"/>
    <col min="11286" max="11287" width="8.85546875" style="7" customWidth="1"/>
    <col min="11288" max="11288" width="6" style="7" customWidth="1"/>
    <col min="11289" max="11289" width="8" style="7" customWidth="1"/>
    <col min="11290" max="11290" width="8.140625" style="7" customWidth="1"/>
    <col min="11291" max="11291" width="7.85546875" style="7" customWidth="1"/>
    <col min="11292" max="11292" width="8.5703125" style="7" customWidth="1"/>
    <col min="11293" max="11524" width="9" style="7"/>
    <col min="11525" max="11525" width="16" style="7" customWidth="1"/>
    <col min="11526" max="11526" width="8.140625" style="7" customWidth="1"/>
    <col min="11527" max="11527" width="3.5703125" style="7" customWidth="1"/>
    <col min="11528" max="11528" width="10.5703125" style="7" customWidth="1"/>
    <col min="11529" max="11529" width="7" style="7" customWidth="1"/>
    <col min="11530" max="11530" width="10.140625" style="7" customWidth="1"/>
    <col min="11531" max="11531" width="5.5703125" style="7" customWidth="1"/>
    <col min="11532" max="11532" width="10.5703125" style="7" customWidth="1"/>
    <col min="11533" max="11533" width="5.140625" style="7" customWidth="1"/>
    <col min="11534" max="11534" width="5" style="7" customWidth="1"/>
    <col min="11535" max="11535" width="8.140625" style="7" customWidth="1"/>
    <col min="11536" max="11536" width="10.140625" style="7" customWidth="1"/>
    <col min="11537" max="11537" width="8.140625" style="7" customWidth="1"/>
    <col min="11538" max="11538" width="6.140625" style="7" customWidth="1"/>
    <col min="11539" max="11539" width="10.5703125" style="7" customWidth="1"/>
    <col min="11540" max="11540" width="6.85546875" style="7" customWidth="1"/>
    <col min="11541" max="11541" width="11.140625" style="7" customWidth="1"/>
    <col min="11542" max="11543" width="8.85546875" style="7" customWidth="1"/>
    <col min="11544" max="11544" width="6" style="7" customWidth="1"/>
    <col min="11545" max="11545" width="8" style="7" customWidth="1"/>
    <col min="11546" max="11546" width="8.140625" style="7" customWidth="1"/>
    <col min="11547" max="11547" width="7.85546875" style="7" customWidth="1"/>
    <col min="11548" max="11548" width="8.5703125" style="7" customWidth="1"/>
    <col min="11549" max="11780" width="9" style="7"/>
    <col min="11781" max="11781" width="16" style="7" customWidth="1"/>
    <col min="11782" max="11782" width="8.140625" style="7" customWidth="1"/>
    <col min="11783" max="11783" width="3.5703125" style="7" customWidth="1"/>
    <col min="11784" max="11784" width="10.5703125" style="7" customWidth="1"/>
    <col min="11785" max="11785" width="7" style="7" customWidth="1"/>
    <col min="11786" max="11786" width="10.140625" style="7" customWidth="1"/>
    <col min="11787" max="11787" width="5.5703125" style="7" customWidth="1"/>
    <col min="11788" max="11788" width="10.5703125" style="7" customWidth="1"/>
    <col min="11789" max="11789" width="5.140625" style="7" customWidth="1"/>
    <col min="11790" max="11790" width="5" style="7" customWidth="1"/>
    <col min="11791" max="11791" width="8.140625" style="7" customWidth="1"/>
    <col min="11792" max="11792" width="10.140625" style="7" customWidth="1"/>
    <col min="11793" max="11793" width="8.140625" style="7" customWidth="1"/>
    <col min="11794" max="11794" width="6.140625" style="7" customWidth="1"/>
    <col min="11795" max="11795" width="10.5703125" style="7" customWidth="1"/>
    <col min="11796" max="11796" width="6.85546875" style="7" customWidth="1"/>
    <col min="11797" max="11797" width="11.140625" style="7" customWidth="1"/>
    <col min="11798" max="11799" width="8.85546875" style="7" customWidth="1"/>
    <col min="11800" max="11800" width="6" style="7" customWidth="1"/>
    <col min="11801" max="11801" width="8" style="7" customWidth="1"/>
    <col min="11802" max="11802" width="8.140625" style="7" customWidth="1"/>
    <col min="11803" max="11803" width="7.85546875" style="7" customWidth="1"/>
    <col min="11804" max="11804" width="8.5703125" style="7" customWidth="1"/>
    <col min="11805" max="12036" width="9" style="7"/>
    <col min="12037" max="12037" width="16" style="7" customWidth="1"/>
    <col min="12038" max="12038" width="8.140625" style="7" customWidth="1"/>
    <col min="12039" max="12039" width="3.5703125" style="7" customWidth="1"/>
    <col min="12040" max="12040" width="10.5703125" style="7" customWidth="1"/>
    <col min="12041" max="12041" width="7" style="7" customWidth="1"/>
    <col min="12042" max="12042" width="10.140625" style="7" customWidth="1"/>
    <col min="12043" max="12043" width="5.5703125" style="7" customWidth="1"/>
    <col min="12044" max="12044" width="10.5703125" style="7" customWidth="1"/>
    <col min="12045" max="12045" width="5.140625" style="7" customWidth="1"/>
    <col min="12046" max="12046" width="5" style="7" customWidth="1"/>
    <col min="12047" max="12047" width="8.140625" style="7" customWidth="1"/>
    <col min="12048" max="12048" width="10.140625" style="7" customWidth="1"/>
    <col min="12049" max="12049" width="8.140625" style="7" customWidth="1"/>
    <col min="12050" max="12050" width="6.140625" style="7" customWidth="1"/>
    <col min="12051" max="12051" width="10.5703125" style="7" customWidth="1"/>
    <col min="12052" max="12052" width="6.85546875" style="7" customWidth="1"/>
    <col min="12053" max="12053" width="11.140625" style="7" customWidth="1"/>
    <col min="12054" max="12055" width="8.85546875" style="7" customWidth="1"/>
    <col min="12056" max="12056" width="6" style="7" customWidth="1"/>
    <col min="12057" max="12057" width="8" style="7" customWidth="1"/>
    <col min="12058" max="12058" width="8.140625" style="7" customWidth="1"/>
    <col min="12059" max="12059" width="7.85546875" style="7" customWidth="1"/>
    <col min="12060" max="12060" width="8.5703125" style="7" customWidth="1"/>
    <col min="12061" max="12292" width="9" style="7"/>
    <col min="12293" max="12293" width="16" style="7" customWidth="1"/>
    <col min="12294" max="12294" width="8.140625" style="7" customWidth="1"/>
    <col min="12295" max="12295" width="3.5703125" style="7" customWidth="1"/>
    <col min="12296" max="12296" width="10.5703125" style="7" customWidth="1"/>
    <col min="12297" max="12297" width="7" style="7" customWidth="1"/>
    <col min="12298" max="12298" width="10.140625" style="7" customWidth="1"/>
    <col min="12299" max="12299" width="5.5703125" style="7" customWidth="1"/>
    <col min="12300" max="12300" width="10.5703125" style="7" customWidth="1"/>
    <col min="12301" max="12301" width="5.140625" style="7" customWidth="1"/>
    <col min="12302" max="12302" width="5" style="7" customWidth="1"/>
    <col min="12303" max="12303" width="8.140625" style="7" customWidth="1"/>
    <col min="12304" max="12304" width="10.140625" style="7" customWidth="1"/>
    <col min="12305" max="12305" width="8.140625" style="7" customWidth="1"/>
    <col min="12306" max="12306" width="6.140625" style="7" customWidth="1"/>
    <col min="12307" max="12307" width="10.5703125" style="7" customWidth="1"/>
    <col min="12308" max="12308" width="6.85546875" style="7" customWidth="1"/>
    <col min="12309" max="12309" width="11.140625" style="7" customWidth="1"/>
    <col min="12310" max="12311" width="8.85546875" style="7" customWidth="1"/>
    <col min="12312" max="12312" width="6" style="7" customWidth="1"/>
    <col min="12313" max="12313" width="8" style="7" customWidth="1"/>
    <col min="12314" max="12314" width="8.140625" style="7" customWidth="1"/>
    <col min="12315" max="12315" width="7.85546875" style="7" customWidth="1"/>
    <col min="12316" max="12316" width="8.5703125" style="7" customWidth="1"/>
    <col min="12317" max="12548" width="9" style="7"/>
    <col min="12549" max="12549" width="16" style="7" customWidth="1"/>
    <col min="12550" max="12550" width="8.140625" style="7" customWidth="1"/>
    <col min="12551" max="12551" width="3.5703125" style="7" customWidth="1"/>
    <col min="12552" max="12552" width="10.5703125" style="7" customWidth="1"/>
    <col min="12553" max="12553" width="7" style="7" customWidth="1"/>
    <col min="12554" max="12554" width="10.140625" style="7" customWidth="1"/>
    <col min="12555" max="12555" width="5.5703125" style="7" customWidth="1"/>
    <col min="12556" max="12556" width="10.5703125" style="7" customWidth="1"/>
    <col min="12557" max="12557" width="5.140625" style="7" customWidth="1"/>
    <col min="12558" max="12558" width="5" style="7" customWidth="1"/>
    <col min="12559" max="12559" width="8.140625" style="7" customWidth="1"/>
    <col min="12560" max="12560" width="10.140625" style="7" customWidth="1"/>
    <col min="12561" max="12561" width="8.140625" style="7" customWidth="1"/>
    <col min="12562" max="12562" width="6.140625" style="7" customWidth="1"/>
    <col min="12563" max="12563" width="10.5703125" style="7" customWidth="1"/>
    <col min="12564" max="12564" width="6.85546875" style="7" customWidth="1"/>
    <col min="12565" max="12565" width="11.140625" style="7" customWidth="1"/>
    <col min="12566" max="12567" width="8.85546875" style="7" customWidth="1"/>
    <col min="12568" max="12568" width="6" style="7" customWidth="1"/>
    <col min="12569" max="12569" width="8" style="7" customWidth="1"/>
    <col min="12570" max="12570" width="8.140625" style="7" customWidth="1"/>
    <col min="12571" max="12571" width="7.85546875" style="7" customWidth="1"/>
    <col min="12572" max="12572" width="8.5703125" style="7" customWidth="1"/>
    <col min="12573" max="12804" width="9" style="7"/>
    <col min="12805" max="12805" width="16" style="7" customWidth="1"/>
    <col min="12806" max="12806" width="8.140625" style="7" customWidth="1"/>
    <col min="12807" max="12807" width="3.5703125" style="7" customWidth="1"/>
    <col min="12808" max="12808" width="10.5703125" style="7" customWidth="1"/>
    <col min="12809" max="12809" width="7" style="7" customWidth="1"/>
    <col min="12810" max="12810" width="10.140625" style="7" customWidth="1"/>
    <col min="12811" max="12811" width="5.5703125" style="7" customWidth="1"/>
    <col min="12812" max="12812" width="10.5703125" style="7" customWidth="1"/>
    <col min="12813" max="12813" width="5.140625" style="7" customWidth="1"/>
    <col min="12814" max="12814" width="5" style="7" customWidth="1"/>
    <col min="12815" max="12815" width="8.140625" style="7" customWidth="1"/>
    <col min="12816" max="12816" width="10.140625" style="7" customWidth="1"/>
    <col min="12817" max="12817" width="8.140625" style="7" customWidth="1"/>
    <col min="12818" max="12818" width="6.140625" style="7" customWidth="1"/>
    <col min="12819" max="12819" width="10.5703125" style="7" customWidth="1"/>
    <col min="12820" max="12820" width="6.85546875" style="7" customWidth="1"/>
    <col min="12821" max="12821" width="11.140625" style="7" customWidth="1"/>
    <col min="12822" max="12823" width="8.85546875" style="7" customWidth="1"/>
    <col min="12824" max="12824" width="6" style="7" customWidth="1"/>
    <col min="12825" max="12825" width="8" style="7" customWidth="1"/>
    <col min="12826" max="12826" width="8.140625" style="7" customWidth="1"/>
    <col min="12827" max="12827" width="7.85546875" style="7" customWidth="1"/>
    <col min="12828" max="12828" width="8.5703125" style="7" customWidth="1"/>
    <col min="12829" max="13060" width="9" style="7"/>
    <col min="13061" max="13061" width="16" style="7" customWidth="1"/>
    <col min="13062" max="13062" width="8.140625" style="7" customWidth="1"/>
    <col min="13063" max="13063" width="3.5703125" style="7" customWidth="1"/>
    <col min="13064" max="13064" width="10.5703125" style="7" customWidth="1"/>
    <col min="13065" max="13065" width="7" style="7" customWidth="1"/>
    <col min="13066" max="13066" width="10.140625" style="7" customWidth="1"/>
    <col min="13067" max="13067" width="5.5703125" style="7" customWidth="1"/>
    <col min="13068" max="13068" width="10.5703125" style="7" customWidth="1"/>
    <col min="13069" max="13069" width="5.140625" style="7" customWidth="1"/>
    <col min="13070" max="13070" width="5" style="7" customWidth="1"/>
    <col min="13071" max="13071" width="8.140625" style="7" customWidth="1"/>
    <col min="13072" max="13072" width="10.140625" style="7" customWidth="1"/>
    <col min="13073" max="13073" width="8.140625" style="7" customWidth="1"/>
    <col min="13074" max="13074" width="6.140625" style="7" customWidth="1"/>
    <col min="13075" max="13075" width="10.5703125" style="7" customWidth="1"/>
    <col min="13076" max="13076" width="6.85546875" style="7" customWidth="1"/>
    <col min="13077" max="13077" width="11.140625" style="7" customWidth="1"/>
    <col min="13078" max="13079" width="8.85546875" style="7" customWidth="1"/>
    <col min="13080" max="13080" width="6" style="7" customWidth="1"/>
    <col min="13081" max="13081" width="8" style="7" customWidth="1"/>
    <col min="13082" max="13082" width="8.140625" style="7" customWidth="1"/>
    <col min="13083" max="13083" width="7.85546875" style="7" customWidth="1"/>
    <col min="13084" max="13084" width="8.5703125" style="7" customWidth="1"/>
    <col min="13085" max="13316" width="9" style="7"/>
    <col min="13317" max="13317" width="16" style="7" customWidth="1"/>
    <col min="13318" max="13318" width="8.140625" style="7" customWidth="1"/>
    <col min="13319" max="13319" width="3.5703125" style="7" customWidth="1"/>
    <col min="13320" max="13320" width="10.5703125" style="7" customWidth="1"/>
    <col min="13321" max="13321" width="7" style="7" customWidth="1"/>
    <col min="13322" max="13322" width="10.140625" style="7" customWidth="1"/>
    <col min="13323" max="13323" width="5.5703125" style="7" customWidth="1"/>
    <col min="13324" max="13324" width="10.5703125" style="7" customWidth="1"/>
    <col min="13325" max="13325" width="5.140625" style="7" customWidth="1"/>
    <col min="13326" max="13326" width="5" style="7" customWidth="1"/>
    <col min="13327" max="13327" width="8.140625" style="7" customWidth="1"/>
    <col min="13328" max="13328" width="10.140625" style="7" customWidth="1"/>
    <col min="13329" max="13329" width="8.140625" style="7" customWidth="1"/>
    <col min="13330" max="13330" width="6.140625" style="7" customWidth="1"/>
    <col min="13331" max="13331" width="10.5703125" style="7" customWidth="1"/>
    <col min="13332" max="13332" width="6.85546875" style="7" customWidth="1"/>
    <col min="13333" max="13333" width="11.140625" style="7" customWidth="1"/>
    <col min="13334" max="13335" width="8.85546875" style="7" customWidth="1"/>
    <col min="13336" max="13336" width="6" style="7" customWidth="1"/>
    <col min="13337" max="13337" width="8" style="7" customWidth="1"/>
    <col min="13338" max="13338" width="8.140625" style="7" customWidth="1"/>
    <col min="13339" max="13339" width="7.85546875" style="7" customWidth="1"/>
    <col min="13340" max="13340" width="8.5703125" style="7" customWidth="1"/>
    <col min="13341" max="13572" width="9" style="7"/>
    <col min="13573" max="13573" width="16" style="7" customWidth="1"/>
    <col min="13574" max="13574" width="8.140625" style="7" customWidth="1"/>
    <col min="13575" max="13575" width="3.5703125" style="7" customWidth="1"/>
    <col min="13576" max="13576" width="10.5703125" style="7" customWidth="1"/>
    <col min="13577" max="13577" width="7" style="7" customWidth="1"/>
    <col min="13578" max="13578" width="10.140625" style="7" customWidth="1"/>
    <col min="13579" max="13579" width="5.5703125" style="7" customWidth="1"/>
    <col min="13580" max="13580" width="10.5703125" style="7" customWidth="1"/>
    <col min="13581" max="13581" width="5.140625" style="7" customWidth="1"/>
    <col min="13582" max="13582" width="5" style="7" customWidth="1"/>
    <col min="13583" max="13583" width="8.140625" style="7" customWidth="1"/>
    <col min="13584" max="13584" width="10.140625" style="7" customWidth="1"/>
    <col min="13585" max="13585" width="8.140625" style="7" customWidth="1"/>
    <col min="13586" max="13586" width="6.140625" style="7" customWidth="1"/>
    <col min="13587" max="13587" width="10.5703125" style="7" customWidth="1"/>
    <col min="13588" max="13588" width="6.85546875" style="7" customWidth="1"/>
    <col min="13589" max="13589" width="11.140625" style="7" customWidth="1"/>
    <col min="13590" max="13591" width="8.85546875" style="7" customWidth="1"/>
    <col min="13592" max="13592" width="6" style="7" customWidth="1"/>
    <col min="13593" max="13593" width="8" style="7" customWidth="1"/>
    <col min="13594" max="13594" width="8.140625" style="7" customWidth="1"/>
    <col min="13595" max="13595" width="7.85546875" style="7" customWidth="1"/>
    <col min="13596" max="13596" width="8.5703125" style="7" customWidth="1"/>
    <col min="13597" max="13828" width="9" style="7"/>
    <col min="13829" max="13829" width="16" style="7" customWidth="1"/>
    <col min="13830" max="13830" width="8.140625" style="7" customWidth="1"/>
    <col min="13831" max="13831" width="3.5703125" style="7" customWidth="1"/>
    <col min="13832" max="13832" width="10.5703125" style="7" customWidth="1"/>
    <col min="13833" max="13833" width="7" style="7" customWidth="1"/>
    <col min="13834" max="13834" width="10.140625" style="7" customWidth="1"/>
    <col min="13835" max="13835" width="5.5703125" style="7" customWidth="1"/>
    <col min="13836" max="13836" width="10.5703125" style="7" customWidth="1"/>
    <col min="13837" max="13837" width="5.140625" style="7" customWidth="1"/>
    <col min="13838" max="13838" width="5" style="7" customWidth="1"/>
    <col min="13839" max="13839" width="8.140625" style="7" customWidth="1"/>
    <col min="13840" max="13840" width="10.140625" style="7" customWidth="1"/>
    <col min="13841" max="13841" width="8.140625" style="7" customWidth="1"/>
    <col min="13842" max="13842" width="6.140625" style="7" customWidth="1"/>
    <col min="13843" max="13843" width="10.5703125" style="7" customWidth="1"/>
    <col min="13844" max="13844" width="6.85546875" style="7" customWidth="1"/>
    <col min="13845" max="13845" width="11.140625" style="7" customWidth="1"/>
    <col min="13846" max="13847" width="8.85546875" style="7" customWidth="1"/>
    <col min="13848" max="13848" width="6" style="7" customWidth="1"/>
    <col min="13849" max="13849" width="8" style="7" customWidth="1"/>
    <col min="13850" max="13850" width="8.140625" style="7" customWidth="1"/>
    <col min="13851" max="13851" width="7.85546875" style="7" customWidth="1"/>
    <col min="13852" max="13852" width="8.5703125" style="7" customWidth="1"/>
    <col min="13853" max="14084" width="9" style="7"/>
    <col min="14085" max="14085" width="16" style="7" customWidth="1"/>
    <col min="14086" max="14086" width="8.140625" style="7" customWidth="1"/>
    <col min="14087" max="14087" width="3.5703125" style="7" customWidth="1"/>
    <col min="14088" max="14088" width="10.5703125" style="7" customWidth="1"/>
    <col min="14089" max="14089" width="7" style="7" customWidth="1"/>
    <col min="14090" max="14090" width="10.140625" style="7" customWidth="1"/>
    <col min="14091" max="14091" width="5.5703125" style="7" customWidth="1"/>
    <col min="14092" max="14092" width="10.5703125" style="7" customWidth="1"/>
    <col min="14093" max="14093" width="5.140625" style="7" customWidth="1"/>
    <col min="14094" max="14094" width="5" style="7" customWidth="1"/>
    <col min="14095" max="14095" width="8.140625" style="7" customWidth="1"/>
    <col min="14096" max="14096" width="10.140625" style="7" customWidth="1"/>
    <col min="14097" max="14097" width="8.140625" style="7" customWidth="1"/>
    <col min="14098" max="14098" width="6.140625" style="7" customWidth="1"/>
    <col min="14099" max="14099" width="10.5703125" style="7" customWidth="1"/>
    <col min="14100" max="14100" width="6.85546875" style="7" customWidth="1"/>
    <col min="14101" max="14101" width="11.140625" style="7" customWidth="1"/>
    <col min="14102" max="14103" width="8.85546875" style="7" customWidth="1"/>
    <col min="14104" max="14104" width="6" style="7" customWidth="1"/>
    <col min="14105" max="14105" width="8" style="7" customWidth="1"/>
    <col min="14106" max="14106" width="8.140625" style="7" customWidth="1"/>
    <col min="14107" max="14107" width="7.85546875" style="7" customWidth="1"/>
    <col min="14108" max="14108" width="8.5703125" style="7" customWidth="1"/>
    <col min="14109" max="14340" width="9" style="7"/>
    <col min="14341" max="14341" width="16" style="7" customWidth="1"/>
    <col min="14342" max="14342" width="8.140625" style="7" customWidth="1"/>
    <col min="14343" max="14343" width="3.5703125" style="7" customWidth="1"/>
    <col min="14344" max="14344" width="10.5703125" style="7" customWidth="1"/>
    <col min="14345" max="14345" width="7" style="7" customWidth="1"/>
    <col min="14346" max="14346" width="10.140625" style="7" customWidth="1"/>
    <col min="14347" max="14347" width="5.5703125" style="7" customWidth="1"/>
    <col min="14348" max="14348" width="10.5703125" style="7" customWidth="1"/>
    <col min="14349" max="14349" width="5.140625" style="7" customWidth="1"/>
    <col min="14350" max="14350" width="5" style="7" customWidth="1"/>
    <col min="14351" max="14351" width="8.140625" style="7" customWidth="1"/>
    <col min="14352" max="14352" width="10.140625" style="7" customWidth="1"/>
    <col min="14353" max="14353" width="8.140625" style="7" customWidth="1"/>
    <col min="14354" max="14354" width="6.140625" style="7" customWidth="1"/>
    <col min="14355" max="14355" width="10.5703125" style="7" customWidth="1"/>
    <col min="14356" max="14356" width="6.85546875" style="7" customWidth="1"/>
    <col min="14357" max="14357" width="11.140625" style="7" customWidth="1"/>
    <col min="14358" max="14359" width="8.85546875" style="7" customWidth="1"/>
    <col min="14360" max="14360" width="6" style="7" customWidth="1"/>
    <col min="14361" max="14361" width="8" style="7" customWidth="1"/>
    <col min="14362" max="14362" width="8.140625" style="7" customWidth="1"/>
    <col min="14363" max="14363" width="7.85546875" style="7" customWidth="1"/>
    <col min="14364" max="14364" width="8.5703125" style="7" customWidth="1"/>
    <col min="14365" max="14596" width="9" style="7"/>
    <col min="14597" max="14597" width="16" style="7" customWidth="1"/>
    <col min="14598" max="14598" width="8.140625" style="7" customWidth="1"/>
    <col min="14599" max="14599" width="3.5703125" style="7" customWidth="1"/>
    <col min="14600" max="14600" width="10.5703125" style="7" customWidth="1"/>
    <col min="14601" max="14601" width="7" style="7" customWidth="1"/>
    <col min="14602" max="14602" width="10.140625" style="7" customWidth="1"/>
    <col min="14603" max="14603" width="5.5703125" style="7" customWidth="1"/>
    <col min="14604" max="14604" width="10.5703125" style="7" customWidth="1"/>
    <col min="14605" max="14605" width="5.140625" style="7" customWidth="1"/>
    <col min="14606" max="14606" width="5" style="7" customWidth="1"/>
    <col min="14607" max="14607" width="8.140625" style="7" customWidth="1"/>
    <col min="14608" max="14608" width="10.140625" style="7" customWidth="1"/>
    <col min="14609" max="14609" width="8.140625" style="7" customWidth="1"/>
    <col min="14610" max="14610" width="6.140625" style="7" customWidth="1"/>
    <col min="14611" max="14611" width="10.5703125" style="7" customWidth="1"/>
    <col min="14612" max="14612" width="6.85546875" style="7" customWidth="1"/>
    <col min="14613" max="14613" width="11.140625" style="7" customWidth="1"/>
    <col min="14614" max="14615" width="8.85546875" style="7" customWidth="1"/>
    <col min="14616" max="14616" width="6" style="7" customWidth="1"/>
    <col min="14617" max="14617" width="8" style="7" customWidth="1"/>
    <col min="14618" max="14618" width="8.140625" style="7" customWidth="1"/>
    <col min="14619" max="14619" width="7.85546875" style="7" customWidth="1"/>
    <col min="14620" max="14620" width="8.5703125" style="7" customWidth="1"/>
    <col min="14621" max="14852" width="9" style="7"/>
    <col min="14853" max="14853" width="16" style="7" customWidth="1"/>
    <col min="14854" max="14854" width="8.140625" style="7" customWidth="1"/>
    <col min="14855" max="14855" width="3.5703125" style="7" customWidth="1"/>
    <col min="14856" max="14856" width="10.5703125" style="7" customWidth="1"/>
    <col min="14857" max="14857" width="7" style="7" customWidth="1"/>
    <col min="14858" max="14858" width="10.140625" style="7" customWidth="1"/>
    <col min="14859" max="14859" width="5.5703125" style="7" customWidth="1"/>
    <col min="14860" max="14860" width="10.5703125" style="7" customWidth="1"/>
    <col min="14861" max="14861" width="5.140625" style="7" customWidth="1"/>
    <col min="14862" max="14862" width="5" style="7" customWidth="1"/>
    <col min="14863" max="14863" width="8.140625" style="7" customWidth="1"/>
    <col min="14864" max="14864" width="10.140625" style="7" customWidth="1"/>
    <col min="14865" max="14865" width="8.140625" style="7" customWidth="1"/>
    <col min="14866" max="14866" width="6.140625" style="7" customWidth="1"/>
    <col min="14867" max="14867" width="10.5703125" style="7" customWidth="1"/>
    <col min="14868" max="14868" width="6.85546875" style="7" customWidth="1"/>
    <col min="14869" max="14869" width="11.140625" style="7" customWidth="1"/>
    <col min="14870" max="14871" width="8.85546875" style="7" customWidth="1"/>
    <col min="14872" max="14872" width="6" style="7" customWidth="1"/>
    <col min="14873" max="14873" width="8" style="7" customWidth="1"/>
    <col min="14874" max="14874" width="8.140625" style="7" customWidth="1"/>
    <col min="14875" max="14875" width="7.85546875" style="7" customWidth="1"/>
    <col min="14876" max="14876" width="8.5703125" style="7" customWidth="1"/>
    <col min="14877" max="15108" width="9" style="7"/>
    <col min="15109" max="15109" width="16" style="7" customWidth="1"/>
    <col min="15110" max="15110" width="8.140625" style="7" customWidth="1"/>
    <col min="15111" max="15111" width="3.5703125" style="7" customWidth="1"/>
    <col min="15112" max="15112" width="10.5703125" style="7" customWidth="1"/>
    <col min="15113" max="15113" width="7" style="7" customWidth="1"/>
    <col min="15114" max="15114" width="10.140625" style="7" customWidth="1"/>
    <col min="15115" max="15115" width="5.5703125" style="7" customWidth="1"/>
    <col min="15116" max="15116" width="10.5703125" style="7" customWidth="1"/>
    <col min="15117" max="15117" width="5.140625" style="7" customWidth="1"/>
    <col min="15118" max="15118" width="5" style="7" customWidth="1"/>
    <col min="15119" max="15119" width="8.140625" style="7" customWidth="1"/>
    <col min="15120" max="15120" width="10.140625" style="7" customWidth="1"/>
    <col min="15121" max="15121" width="8.140625" style="7" customWidth="1"/>
    <col min="15122" max="15122" width="6.140625" style="7" customWidth="1"/>
    <col min="15123" max="15123" width="10.5703125" style="7" customWidth="1"/>
    <col min="15124" max="15124" width="6.85546875" style="7" customWidth="1"/>
    <col min="15125" max="15125" width="11.140625" style="7" customWidth="1"/>
    <col min="15126" max="15127" width="8.85546875" style="7" customWidth="1"/>
    <col min="15128" max="15128" width="6" style="7" customWidth="1"/>
    <col min="15129" max="15129" width="8" style="7" customWidth="1"/>
    <col min="15130" max="15130" width="8.140625" style="7" customWidth="1"/>
    <col min="15131" max="15131" width="7.85546875" style="7" customWidth="1"/>
    <col min="15132" max="15132" width="8.5703125" style="7" customWidth="1"/>
    <col min="15133" max="15364" width="9" style="7"/>
    <col min="15365" max="15365" width="16" style="7" customWidth="1"/>
    <col min="15366" max="15366" width="8.140625" style="7" customWidth="1"/>
    <col min="15367" max="15367" width="3.5703125" style="7" customWidth="1"/>
    <col min="15368" max="15368" width="10.5703125" style="7" customWidth="1"/>
    <col min="15369" max="15369" width="7" style="7" customWidth="1"/>
    <col min="15370" max="15370" width="10.140625" style="7" customWidth="1"/>
    <col min="15371" max="15371" width="5.5703125" style="7" customWidth="1"/>
    <col min="15372" max="15372" width="10.5703125" style="7" customWidth="1"/>
    <col min="15373" max="15373" width="5.140625" style="7" customWidth="1"/>
    <col min="15374" max="15374" width="5" style="7" customWidth="1"/>
    <col min="15375" max="15375" width="8.140625" style="7" customWidth="1"/>
    <col min="15376" max="15376" width="10.140625" style="7" customWidth="1"/>
    <col min="15377" max="15377" width="8.140625" style="7" customWidth="1"/>
    <col min="15378" max="15378" width="6.140625" style="7" customWidth="1"/>
    <col min="15379" max="15379" width="10.5703125" style="7" customWidth="1"/>
    <col min="15380" max="15380" width="6.85546875" style="7" customWidth="1"/>
    <col min="15381" max="15381" width="11.140625" style="7" customWidth="1"/>
    <col min="15382" max="15383" width="8.85546875" style="7" customWidth="1"/>
    <col min="15384" max="15384" width="6" style="7" customWidth="1"/>
    <col min="15385" max="15385" width="8" style="7" customWidth="1"/>
    <col min="15386" max="15386" width="8.140625" style="7" customWidth="1"/>
    <col min="15387" max="15387" width="7.85546875" style="7" customWidth="1"/>
    <col min="15388" max="15388" width="8.5703125" style="7" customWidth="1"/>
    <col min="15389" max="15620" width="9" style="7"/>
    <col min="15621" max="15621" width="16" style="7" customWidth="1"/>
    <col min="15622" max="15622" width="8.140625" style="7" customWidth="1"/>
    <col min="15623" max="15623" width="3.5703125" style="7" customWidth="1"/>
    <col min="15624" max="15624" width="10.5703125" style="7" customWidth="1"/>
    <col min="15625" max="15625" width="7" style="7" customWidth="1"/>
    <col min="15626" max="15626" width="10.140625" style="7" customWidth="1"/>
    <col min="15627" max="15627" width="5.5703125" style="7" customWidth="1"/>
    <col min="15628" max="15628" width="10.5703125" style="7" customWidth="1"/>
    <col min="15629" max="15629" width="5.140625" style="7" customWidth="1"/>
    <col min="15630" max="15630" width="5" style="7" customWidth="1"/>
    <col min="15631" max="15631" width="8.140625" style="7" customWidth="1"/>
    <col min="15632" max="15632" width="10.140625" style="7" customWidth="1"/>
    <col min="15633" max="15633" width="8.140625" style="7" customWidth="1"/>
    <col min="15634" max="15634" width="6.140625" style="7" customWidth="1"/>
    <col min="15635" max="15635" width="10.5703125" style="7" customWidth="1"/>
    <col min="15636" max="15636" width="6.85546875" style="7" customWidth="1"/>
    <col min="15637" max="15637" width="11.140625" style="7" customWidth="1"/>
    <col min="15638" max="15639" width="8.85546875" style="7" customWidth="1"/>
    <col min="15640" max="15640" width="6" style="7" customWidth="1"/>
    <col min="15641" max="15641" width="8" style="7" customWidth="1"/>
    <col min="15642" max="15642" width="8.140625" style="7" customWidth="1"/>
    <col min="15643" max="15643" width="7.85546875" style="7" customWidth="1"/>
    <col min="15644" max="15644" width="8.5703125" style="7" customWidth="1"/>
    <col min="15645" max="15876" width="9" style="7"/>
    <col min="15877" max="15877" width="16" style="7" customWidth="1"/>
    <col min="15878" max="15878" width="8.140625" style="7" customWidth="1"/>
    <col min="15879" max="15879" width="3.5703125" style="7" customWidth="1"/>
    <col min="15880" max="15880" width="10.5703125" style="7" customWidth="1"/>
    <col min="15881" max="15881" width="7" style="7" customWidth="1"/>
    <col min="15882" max="15882" width="10.140625" style="7" customWidth="1"/>
    <col min="15883" max="15883" width="5.5703125" style="7" customWidth="1"/>
    <col min="15884" max="15884" width="10.5703125" style="7" customWidth="1"/>
    <col min="15885" max="15885" width="5.140625" style="7" customWidth="1"/>
    <col min="15886" max="15886" width="5" style="7" customWidth="1"/>
    <col min="15887" max="15887" width="8.140625" style="7" customWidth="1"/>
    <col min="15888" max="15888" width="10.140625" style="7" customWidth="1"/>
    <col min="15889" max="15889" width="8.140625" style="7" customWidth="1"/>
    <col min="15890" max="15890" width="6.140625" style="7" customWidth="1"/>
    <col min="15891" max="15891" width="10.5703125" style="7" customWidth="1"/>
    <col min="15892" max="15892" width="6.85546875" style="7" customWidth="1"/>
    <col min="15893" max="15893" width="11.140625" style="7" customWidth="1"/>
    <col min="15894" max="15895" width="8.85546875" style="7" customWidth="1"/>
    <col min="15896" max="15896" width="6" style="7" customWidth="1"/>
    <col min="15897" max="15897" width="8" style="7" customWidth="1"/>
    <col min="15898" max="15898" width="8.140625" style="7" customWidth="1"/>
    <col min="15899" max="15899" width="7.85546875" style="7" customWidth="1"/>
    <col min="15900" max="15900" width="8.5703125" style="7" customWidth="1"/>
    <col min="15901" max="16132" width="9" style="7"/>
    <col min="16133" max="16133" width="16" style="7" customWidth="1"/>
    <col min="16134" max="16134" width="8.140625" style="7" customWidth="1"/>
    <col min="16135" max="16135" width="3.5703125" style="7" customWidth="1"/>
    <col min="16136" max="16136" width="10.5703125" style="7" customWidth="1"/>
    <col min="16137" max="16137" width="7" style="7" customWidth="1"/>
    <col min="16138" max="16138" width="10.140625" style="7" customWidth="1"/>
    <col min="16139" max="16139" width="5.5703125" style="7" customWidth="1"/>
    <col min="16140" max="16140" width="10.5703125" style="7" customWidth="1"/>
    <col min="16141" max="16141" width="5.140625" style="7" customWidth="1"/>
    <col min="16142" max="16142" width="5" style="7" customWidth="1"/>
    <col min="16143" max="16143" width="8.140625" style="7" customWidth="1"/>
    <col min="16144" max="16144" width="10.140625" style="7" customWidth="1"/>
    <col min="16145" max="16145" width="8.140625" style="7" customWidth="1"/>
    <col min="16146" max="16146" width="6.140625" style="7" customWidth="1"/>
    <col min="16147" max="16147" width="10.5703125" style="7" customWidth="1"/>
    <col min="16148" max="16148" width="6.85546875" style="7" customWidth="1"/>
    <col min="16149" max="16149" width="11.140625" style="7" customWidth="1"/>
    <col min="16150" max="16151" width="8.85546875" style="7" customWidth="1"/>
    <col min="16152" max="16152" width="6" style="7" customWidth="1"/>
    <col min="16153" max="16153" width="8" style="7" customWidth="1"/>
    <col min="16154" max="16154" width="8.140625" style="7" customWidth="1"/>
    <col min="16155" max="16155" width="7.85546875" style="7" customWidth="1"/>
    <col min="16156" max="16156" width="8.5703125" style="7" customWidth="1"/>
    <col min="16157" max="16382" width="9" style="7"/>
    <col min="16383" max="16384" width="9" style="7" customWidth="1"/>
  </cols>
  <sheetData>
    <row r="1" spans="1:28" s="42" customFormat="1" ht="34.5" customHeight="1">
      <c r="A1" s="42" t="s">
        <v>337</v>
      </c>
      <c r="B1" s="3" t="s">
        <v>14</v>
      </c>
      <c r="C1" s="4" t="s">
        <v>15</v>
      </c>
      <c r="D1" s="123" t="s">
        <v>527</v>
      </c>
      <c r="E1" s="123" t="s">
        <v>528</v>
      </c>
      <c r="F1" s="123" t="s">
        <v>488</v>
      </c>
      <c r="G1" s="264" t="s">
        <v>489</v>
      </c>
      <c r="H1" s="265" t="s">
        <v>490</v>
      </c>
      <c r="I1" s="266" t="s">
        <v>341</v>
      </c>
      <c r="J1" s="267" t="s">
        <v>342</v>
      </c>
      <c r="K1" s="265" t="s">
        <v>401</v>
      </c>
      <c r="L1" s="266" t="s">
        <v>343</v>
      </c>
      <c r="M1" s="267" t="s">
        <v>344</v>
      </c>
      <c r="N1" s="265" t="s">
        <v>479</v>
      </c>
      <c r="O1" s="266" t="s">
        <v>402</v>
      </c>
      <c r="P1" s="267" t="s">
        <v>403</v>
      </c>
      <c r="Q1" s="129" t="s">
        <v>404</v>
      </c>
      <c r="R1" s="126" t="s">
        <v>275</v>
      </c>
      <c r="S1" s="126" t="s">
        <v>276</v>
      </c>
      <c r="T1" s="41" t="s">
        <v>277</v>
      </c>
      <c r="U1" s="41" t="s">
        <v>405</v>
      </c>
      <c r="V1" s="41" t="s">
        <v>406</v>
      </c>
      <c r="W1" s="41" t="s">
        <v>407</v>
      </c>
      <c r="X1" s="268" t="s">
        <v>408</v>
      </c>
      <c r="Y1" s="269" t="s">
        <v>348</v>
      </c>
      <c r="Z1" s="269" t="s">
        <v>282</v>
      </c>
      <c r="AA1" s="269" t="s">
        <v>283</v>
      </c>
      <c r="AB1" s="269" t="s">
        <v>284</v>
      </c>
    </row>
    <row r="2" spans="1:28" s="6" customFormat="1" ht="18" customHeight="1">
      <c r="B2" s="6" t="s">
        <v>529</v>
      </c>
      <c r="D2" s="27" t="s">
        <v>137</v>
      </c>
      <c r="E2" s="27" t="s">
        <v>137</v>
      </c>
      <c r="F2" s="27" t="s">
        <v>137</v>
      </c>
      <c r="G2" s="34"/>
      <c r="H2" s="137" t="s">
        <v>401</v>
      </c>
      <c r="I2" s="16" t="s">
        <v>341</v>
      </c>
      <c r="J2" s="138" t="s">
        <v>342</v>
      </c>
      <c r="K2" s="137" t="s">
        <v>401</v>
      </c>
      <c r="L2" s="16" t="s">
        <v>341</v>
      </c>
      <c r="M2" s="138" t="s">
        <v>342</v>
      </c>
      <c r="N2" s="137" t="s">
        <v>401</v>
      </c>
      <c r="O2" s="16" t="s">
        <v>341</v>
      </c>
      <c r="P2" s="138" t="s">
        <v>342</v>
      </c>
      <c r="Q2" s="35" t="s">
        <v>495</v>
      </c>
      <c r="R2" s="35" t="s">
        <v>296</v>
      </c>
      <c r="S2" s="16"/>
      <c r="T2" s="6" t="s">
        <v>530</v>
      </c>
      <c r="U2" s="6" t="s">
        <v>411</v>
      </c>
      <c r="V2" s="6" t="s">
        <v>412</v>
      </c>
      <c r="W2" s="6" t="s">
        <v>413</v>
      </c>
      <c r="Y2" s="258">
        <v>0.3</v>
      </c>
      <c r="Z2" s="258">
        <v>0.35</v>
      </c>
      <c r="AA2" s="258">
        <v>0.4</v>
      </c>
      <c r="AB2" s="258">
        <v>0.5</v>
      </c>
    </row>
    <row r="3" spans="1:28" ht="25.35" customHeight="1">
      <c r="A3" s="7" t="s">
        <v>66</v>
      </c>
      <c r="B3" s="7" t="str">
        <f t="shared" ref="B3:B30" si="0">_xlfn.CONCAT(A3,"_",D3,"_",E3,"_",F3)</f>
        <v>EA_20_20_3</v>
      </c>
      <c r="C3" s="7" t="str">
        <f t="shared" ref="C3:C14" si="1">_xlfn.CONCAT(B3, " @ ",ROUND(G3,2),"Kg/m")</f>
        <v>EA_20_20_3 @ 0.9Kg/m</v>
      </c>
      <c r="D3" s="7" t="s">
        <v>497</v>
      </c>
      <c r="E3" s="7" t="s">
        <v>497</v>
      </c>
      <c r="F3" s="7" t="s">
        <v>498</v>
      </c>
      <c r="G3" s="36">
        <v>0.9</v>
      </c>
      <c r="H3" s="139"/>
      <c r="I3" s="9"/>
      <c r="J3" s="140"/>
      <c r="K3" s="139"/>
      <c r="L3" s="9"/>
      <c r="M3" s="140"/>
      <c r="N3" s="139"/>
      <c r="O3" s="9"/>
      <c r="P3" s="140"/>
      <c r="Q3" s="37">
        <f>SUM(H3*I3)+(K3*L3)+(N3*O3)</f>
        <v>0</v>
      </c>
      <c r="R3" s="38">
        <f>Table8[[#This Row],[Total Metres]]*Table8[[#This Row],[£Cost /m]]</f>
        <v>0</v>
      </c>
      <c r="S3" s="9"/>
      <c r="T3" s="10"/>
      <c r="U3" s="39">
        <f>(Table8[[#This Row],[£/Tonne]]/1000)*Table8[[#This Row],[KG/M]]</f>
        <v>0</v>
      </c>
      <c r="V3" s="262">
        <v>6.1</v>
      </c>
      <c r="W3" s="10">
        <f>(Table8[[#This Row],[£/Tonne]]/1000)*Table8[[#This Row],[KG/M]]*Table8[[#This Row],[Normal Length]]</f>
        <v>0</v>
      </c>
      <c r="Y3" s="18">
        <f>Table8[[#This Row],[£/ Length]]*(1+Y$2)</f>
        <v>0</v>
      </c>
      <c r="Z3" s="18">
        <f>Table8[[#This Row],[£/ Length]]*(1+Z$2)</f>
        <v>0</v>
      </c>
      <c r="AA3" s="18">
        <f>Table8[[#This Row],[£/ Length]]*(1+AA$2)</f>
        <v>0</v>
      </c>
      <c r="AB3" s="18">
        <f>Table8[[#This Row],[£/ Length]]*(1+AB$2)</f>
        <v>0</v>
      </c>
    </row>
    <row r="4" spans="1:28" ht="25.35" customHeight="1">
      <c r="A4" s="7" t="s">
        <v>66</v>
      </c>
      <c r="B4" s="7" t="str">
        <f t="shared" si="0"/>
        <v>EA_25_25_3</v>
      </c>
      <c r="C4" s="7" t="str">
        <f t="shared" si="1"/>
        <v>EA_25_25_3 @ 1.12Kg/m</v>
      </c>
      <c r="D4" s="7" t="s">
        <v>499</v>
      </c>
      <c r="E4" s="7" t="s">
        <v>499</v>
      </c>
      <c r="F4" s="7" t="s">
        <v>498</v>
      </c>
      <c r="G4" s="36">
        <v>1.1200000000000001</v>
      </c>
      <c r="H4" s="139"/>
      <c r="I4" s="9"/>
      <c r="J4" s="140"/>
      <c r="K4" s="139"/>
      <c r="L4" s="9"/>
      <c r="M4" s="140"/>
      <c r="N4" s="139"/>
      <c r="O4" s="9"/>
      <c r="P4" s="140"/>
      <c r="Q4" s="37">
        <f t="shared" ref="Q4:Q50" si="2">SUM(H4*I4)+(K4*L4)+(N4*O4)</f>
        <v>0</v>
      </c>
      <c r="R4" s="38">
        <f>Table8[[#This Row],[Total Metres]]*Table8[[#This Row],[£Cost /m]]</f>
        <v>0</v>
      </c>
      <c r="S4" s="9"/>
      <c r="T4" s="10"/>
      <c r="U4" s="39">
        <f>(Table8[[#This Row],[£/Tonne]]/1000)*Table8[[#This Row],[KG/M]]</f>
        <v>0</v>
      </c>
      <c r="V4" s="262">
        <v>6.1</v>
      </c>
      <c r="W4" s="10">
        <f>(Table8[[#This Row],[£/Tonne]]/1000)*Table8[[#This Row],[KG/M]]*Table8[[#This Row],[Normal Length]]</f>
        <v>0</v>
      </c>
      <c r="Y4" s="18">
        <f>Table8[[#This Row],[£/ Length]]*(1+Y$2)</f>
        <v>0</v>
      </c>
      <c r="Z4" s="18">
        <f>Table8[[#This Row],[£/ Length]]*(1+Z$2)</f>
        <v>0</v>
      </c>
      <c r="AA4" s="18">
        <f>Table8[[#This Row],[£/ Length]]*(1+AA$2)</f>
        <v>0</v>
      </c>
      <c r="AB4" s="18">
        <f>Table8[[#This Row],[£/ Length]]*(1+AB$2)</f>
        <v>0</v>
      </c>
    </row>
    <row r="5" spans="1:28" ht="25.35" customHeight="1">
      <c r="A5" s="7" t="s">
        <v>66</v>
      </c>
      <c r="B5" s="7" t="str">
        <f t="shared" si="0"/>
        <v>EA_25_25_5</v>
      </c>
      <c r="C5" s="7" t="str">
        <f t="shared" si="1"/>
        <v>EA_25_25_5 @ 1.78Kg/m</v>
      </c>
      <c r="D5" s="7" t="s">
        <v>499</v>
      </c>
      <c r="E5" s="7" t="s">
        <v>499</v>
      </c>
      <c r="F5" s="7" t="s">
        <v>503</v>
      </c>
      <c r="G5" s="36">
        <v>1.78</v>
      </c>
      <c r="H5" s="139">
        <v>6.1</v>
      </c>
      <c r="I5" s="9">
        <v>175</v>
      </c>
      <c r="J5" s="140" t="s">
        <v>422</v>
      </c>
      <c r="K5" s="139"/>
      <c r="L5" s="9"/>
      <c r="M5" s="140"/>
      <c r="N5" s="139"/>
      <c r="O5" s="9"/>
      <c r="P5" s="140"/>
      <c r="Q5" s="37">
        <f t="shared" si="2"/>
        <v>1067.5</v>
      </c>
      <c r="R5" s="38">
        <f>Table8[[#This Row],[Total Metres]]*Table8[[#This Row],[£Cost /m]]</f>
        <v>1045.0825000000002</v>
      </c>
      <c r="S5" s="9"/>
      <c r="T5" s="10">
        <v>550</v>
      </c>
      <c r="U5" s="39">
        <f>(Table8[[#This Row],[£/Tonne]]/1000)*Table8[[#This Row],[KG/M]]</f>
        <v>0.97900000000000009</v>
      </c>
      <c r="V5" s="262">
        <v>6.1</v>
      </c>
      <c r="W5" s="10">
        <f>(Table8[[#This Row],[£/Tonne]]/1000)*Table8[[#This Row],[KG/M]]*Table8[[#This Row],[Normal Length]]</f>
        <v>5.9719000000000007</v>
      </c>
      <c r="Y5" s="18">
        <f>Table8[[#This Row],[£/ Length]]*(1+Y$2)</f>
        <v>7.7634700000000008</v>
      </c>
      <c r="Z5" s="18">
        <f>Table8[[#This Row],[£/ Length]]*(1+Z$2)</f>
        <v>8.0620650000000023</v>
      </c>
      <c r="AA5" s="18">
        <f>Table8[[#This Row],[£/ Length]]*(1+AA$2)</f>
        <v>8.3606600000000011</v>
      </c>
      <c r="AB5" s="18">
        <f>Table8[[#This Row],[£/ Length]]*(1+AB$2)</f>
        <v>8.9578500000000005</v>
      </c>
    </row>
    <row r="6" spans="1:28" ht="25.35" customHeight="1">
      <c r="A6" s="7" t="s">
        <v>66</v>
      </c>
      <c r="B6" s="7" t="str">
        <f t="shared" si="0"/>
        <v>EA_30_30_3</v>
      </c>
      <c r="C6" s="7" t="str">
        <f t="shared" si="1"/>
        <v>EA_30_30_3 @ 1.36Kg/m</v>
      </c>
      <c r="D6" s="7" t="s">
        <v>500</v>
      </c>
      <c r="E6" s="7" t="s">
        <v>500</v>
      </c>
      <c r="F6" s="7" t="s">
        <v>498</v>
      </c>
      <c r="G6" s="36">
        <v>1.36</v>
      </c>
      <c r="H6" s="139">
        <v>6.1</v>
      </c>
      <c r="I6" s="9">
        <v>172</v>
      </c>
      <c r="J6" s="140" t="s">
        <v>422</v>
      </c>
      <c r="K6" s="139">
        <v>6.1</v>
      </c>
      <c r="L6" s="9">
        <v>56</v>
      </c>
      <c r="M6" s="140" t="s">
        <v>422</v>
      </c>
      <c r="N6" s="139"/>
      <c r="O6" s="9"/>
      <c r="P6" s="140"/>
      <c r="Q6" s="37">
        <f t="shared" si="2"/>
        <v>1390.8</v>
      </c>
      <c r="R6" s="38">
        <f>Table8[[#This Row],[Total Metres]]*Table8[[#This Row],[£Cost /m]]</f>
        <v>1683.4243200000001</v>
      </c>
      <c r="S6" s="9"/>
      <c r="T6" s="10">
        <v>890</v>
      </c>
      <c r="U6" s="39">
        <f>(Table8[[#This Row],[£/Tonne]]/1000)*Table8[[#This Row],[KG/M]]</f>
        <v>1.2104000000000001</v>
      </c>
      <c r="V6" s="262">
        <v>6.1</v>
      </c>
      <c r="W6" s="10">
        <f>(Table8[[#This Row],[£/Tonne]]/1000)*Table8[[#This Row],[KG/M]]*Table8[[#This Row],[Normal Length]]</f>
        <v>7.3834400000000002</v>
      </c>
      <c r="Y6" s="18">
        <f>Table8[[#This Row],[£/ Length]]*(1+Y$2)</f>
        <v>9.598472000000001</v>
      </c>
      <c r="Z6" s="18">
        <f>Table8[[#This Row],[£/ Length]]*(1+Z$2)</f>
        <v>9.9676440000000017</v>
      </c>
      <c r="AA6" s="18">
        <f>Table8[[#This Row],[£/ Length]]*(1+AA$2)</f>
        <v>10.336815999999999</v>
      </c>
      <c r="AB6" s="18">
        <f>Table8[[#This Row],[£/ Length]]*(1+AB$2)</f>
        <v>11.07516</v>
      </c>
    </row>
    <row r="7" spans="1:28" ht="25.35" customHeight="1">
      <c r="A7" s="7" t="s">
        <v>66</v>
      </c>
      <c r="B7" s="7" t="str">
        <f t="shared" si="0"/>
        <v>EA_30_30_5</v>
      </c>
      <c r="C7" s="7" t="str">
        <f t="shared" si="1"/>
        <v>EA_30_30_5 @ 2.18Kg/m</v>
      </c>
      <c r="D7" s="7" t="s">
        <v>500</v>
      </c>
      <c r="E7" s="7" t="s">
        <v>500</v>
      </c>
      <c r="F7" s="7" t="s">
        <v>503</v>
      </c>
      <c r="G7" s="36">
        <v>2.1800000000000002</v>
      </c>
      <c r="H7" s="139">
        <v>6.1</v>
      </c>
      <c r="I7" s="9">
        <v>26</v>
      </c>
      <c r="J7" s="140" t="s">
        <v>422</v>
      </c>
      <c r="K7" s="139"/>
      <c r="L7" s="9"/>
      <c r="M7" s="140"/>
      <c r="N7" s="139"/>
      <c r="O7" s="9"/>
      <c r="P7" s="140"/>
      <c r="Q7" s="37">
        <f t="shared" si="2"/>
        <v>158.6</v>
      </c>
      <c r="R7" s="38">
        <f>Table8[[#This Row],[Total Metres]]*Table8[[#This Row],[£Cost /m]]</f>
        <v>191.89014000000003</v>
      </c>
      <c r="S7" s="9"/>
      <c r="T7" s="10">
        <v>555</v>
      </c>
      <c r="U7" s="39">
        <f>(Table8[[#This Row],[£/Tonne]]/1000)*Table8[[#This Row],[KG/M]]</f>
        <v>1.2099000000000002</v>
      </c>
      <c r="V7" s="262">
        <v>6.1</v>
      </c>
      <c r="W7" s="10">
        <f>(Table8[[#This Row],[£/Tonne]]/1000)*Table8[[#This Row],[KG/M]]*Table8[[#This Row],[Normal Length]]</f>
        <v>7.3803900000000011</v>
      </c>
      <c r="Y7" s="18">
        <f>Table8[[#This Row],[£/ Length]]*(1+Y$2)</f>
        <v>9.5945070000000019</v>
      </c>
      <c r="Z7" s="18">
        <f>Table8[[#This Row],[£/ Length]]*(1+Z$2)</f>
        <v>9.9635265000000022</v>
      </c>
      <c r="AA7" s="18">
        <f>Table8[[#This Row],[£/ Length]]*(1+AA$2)</f>
        <v>10.332546000000001</v>
      </c>
      <c r="AB7" s="18">
        <f>Table8[[#This Row],[£/ Length]]*(1+AB$2)</f>
        <v>11.070585000000001</v>
      </c>
    </row>
    <row r="8" spans="1:28" ht="25.35" customHeight="1">
      <c r="A8" s="7" t="s">
        <v>66</v>
      </c>
      <c r="B8" s="7" t="str">
        <f t="shared" si="0"/>
        <v>EA_40_40_3</v>
      </c>
      <c r="C8" s="7" t="str">
        <f t="shared" si="1"/>
        <v>EA_40_40_3 @ 1.84Kg/m</v>
      </c>
      <c r="D8" s="7" t="s">
        <v>501</v>
      </c>
      <c r="E8" s="7" t="s">
        <v>501</v>
      </c>
      <c r="F8" s="7" t="s">
        <v>498</v>
      </c>
      <c r="G8" s="36">
        <v>1.84</v>
      </c>
      <c r="H8" s="139">
        <v>6.1</v>
      </c>
      <c r="I8" s="9">
        <v>8</v>
      </c>
      <c r="J8" s="140" t="s">
        <v>422</v>
      </c>
      <c r="K8" s="139">
        <v>6.1</v>
      </c>
      <c r="L8" s="9">
        <v>5.5</v>
      </c>
      <c r="M8" s="140" t="s">
        <v>422</v>
      </c>
      <c r="N8" s="139"/>
      <c r="O8" s="9"/>
      <c r="P8" s="140"/>
      <c r="Q8" s="37">
        <f t="shared" si="2"/>
        <v>82.35</v>
      </c>
      <c r="R8" s="38">
        <f>Table8[[#This Row],[Total Metres]]*Table8[[#This Row],[£Cost /m]]</f>
        <v>78.792479999999998</v>
      </c>
      <c r="S8" s="25"/>
      <c r="T8" s="10">
        <v>520</v>
      </c>
      <c r="U8" s="39">
        <f>(Table8[[#This Row],[£/Tonne]]/1000)*Table8[[#This Row],[KG/M]]</f>
        <v>0.95680000000000009</v>
      </c>
      <c r="V8" s="262">
        <v>6.1</v>
      </c>
      <c r="W8" s="10">
        <f>(Table8[[#This Row],[£/Tonne]]/1000)*Table8[[#This Row],[KG/M]]*Table8[[#This Row],[Normal Length]]</f>
        <v>5.8364799999999999</v>
      </c>
      <c r="Y8" s="18">
        <f>Table8[[#This Row],[£/ Length]]*(1+Y$2)</f>
        <v>7.5874240000000004</v>
      </c>
      <c r="Z8" s="18">
        <f>Table8[[#This Row],[£/ Length]]*(1+Z$2)</f>
        <v>7.8792480000000005</v>
      </c>
      <c r="AA8" s="18">
        <f>Table8[[#This Row],[£/ Length]]*(1+AA$2)</f>
        <v>8.1710719999999988</v>
      </c>
      <c r="AB8" s="18">
        <f>Table8[[#This Row],[£/ Length]]*(1+AB$2)</f>
        <v>8.7547199999999989</v>
      </c>
    </row>
    <row r="9" spans="1:28" ht="25.35" customHeight="1">
      <c r="A9" s="7" t="s">
        <v>66</v>
      </c>
      <c r="B9" s="7" t="str">
        <f t="shared" si="0"/>
        <v>EA_40_40_5</v>
      </c>
      <c r="C9" s="7" t="str">
        <f t="shared" si="1"/>
        <v>EA_40_40_5 @ 2.97Kg/m</v>
      </c>
      <c r="D9" s="7" t="s">
        <v>501</v>
      </c>
      <c r="E9" s="7" t="s">
        <v>501</v>
      </c>
      <c r="F9" s="7" t="s">
        <v>503</v>
      </c>
      <c r="G9" s="36">
        <v>2.97</v>
      </c>
      <c r="H9" s="139">
        <v>6.1</v>
      </c>
      <c r="I9" s="9">
        <v>7</v>
      </c>
      <c r="J9" s="140" t="s">
        <v>422</v>
      </c>
      <c r="K9" s="139"/>
      <c r="L9" s="9"/>
      <c r="M9" s="140"/>
      <c r="N9" s="139"/>
      <c r="O9" s="9"/>
      <c r="P9" s="140"/>
      <c r="Q9" s="37">
        <f t="shared" si="2"/>
        <v>42.699999999999996</v>
      </c>
      <c r="R9" s="38">
        <f>Table8[[#This Row],[Total Metres]]*Table8[[#This Row],[£Cost /m]]</f>
        <v>78.627780000000001</v>
      </c>
      <c r="S9" s="25"/>
      <c r="T9" s="10">
        <v>620</v>
      </c>
      <c r="U9" s="39">
        <f>(Table8[[#This Row],[£/Tonne]]/1000)*Table8[[#This Row],[KG/M]]</f>
        <v>1.8414000000000001</v>
      </c>
      <c r="V9" s="262">
        <v>6.1</v>
      </c>
      <c r="W9" s="10">
        <f>(Table8[[#This Row],[£/Tonne]]/1000)*Table8[[#This Row],[KG/M]]*Table8[[#This Row],[Normal Length]]</f>
        <v>11.23254</v>
      </c>
      <c r="Y9" s="18">
        <f>Table8[[#This Row],[£/ Length]]*(1+Y$2)</f>
        <v>14.602302</v>
      </c>
      <c r="Z9" s="18">
        <f>Table8[[#This Row],[£/ Length]]*(1+Z$2)</f>
        <v>15.163929000000001</v>
      </c>
      <c r="AA9" s="18">
        <f>Table8[[#This Row],[£/ Length]]*(1+AA$2)</f>
        <v>15.725555999999999</v>
      </c>
      <c r="AB9" s="18">
        <f>Table8[[#This Row],[£/ Length]]*(1+AB$2)</f>
        <v>16.84881</v>
      </c>
    </row>
    <row r="10" spans="1:28" ht="25.35" customHeight="1">
      <c r="A10" s="7" t="s">
        <v>66</v>
      </c>
      <c r="B10" s="7" t="str">
        <f t="shared" si="0"/>
        <v>EA_40_40_6</v>
      </c>
      <c r="C10" s="7" t="str">
        <f t="shared" si="1"/>
        <v>EA_40_40_6 @ 3.52Kg/m</v>
      </c>
      <c r="D10" s="7" t="s">
        <v>501</v>
      </c>
      <c r="E10" s="7" t="s">
        <v>501</v>
      </c>
      <c r="F10" s="7" t="s">
        <v>505</v>
      </c>
      <c r="G10" s="36">
        <v>3.52</v>
      </c>
      <c r="H10" s="139">
        <v>6.1</v>
      </c>
      <c r="I10" s="9">
        <v>11.5</v>
      </c>
      <c r="J10" s="140" t="s">
        <v>422</v>
      </c>
      <c r="K10" s="139"/>
      <c r="L10" s="9"/>
      <c r="M10" s="140"/>
      <c r="N10" s="139"/>
      <c r="O10" s="9"/>
      <c r="P10" s="140"/>
      <c r="Q10" s="37">
        <f t="shared" si="2"/>
        <v>70.149999999999991</v>
      </c>
      <c r="R10" s="38">
        <f>Table8[[#This Row],[Total Metres]]*Table8[[#This Row],[£Cost /m]]</f>
        <v>129.63719999999998</v>
      </c>
      <c r="S10" s="9"/>
      <c r="T10" s="10">
        <v>525</v>
      </c>
      <c r="U10" s="39">
        <f>(Table8[[#This Row],[£/Tonne]]/1000)*Table8[[#This Row],[KG/M]]</f>
        <v>1.8480000000000001</v>
      </c>
      <c r="V10" s="262">
        <v>6.1</v>
      </c>
      <c r="W10" s="10">
        <f>(Table8[[#This Row],[£/Tonne]]/1000)*Table8[[#This Row],[KG/M]]*Table8[[#This Row],[Normal Length]]</f>
        <v>11.2728</v>
      </c>
      <c r="Y10" s="18">
        <f>Table8[[#This Row],[£/ Length]]*(1+Y$2)</f>
        <v>14.654640000000001</v>
      </c>
      <c r="Z10" s="18">
        <f>Table8[[#This Row],[£/ Length]]*(1+Z$2)</f>
        <v>15.218280000000002</v>
      </c>
      <c r="AA10" s="18">
        <f>Table8[[#This Row],[£/ Length]]*(1+AA$2)</f>
        <v>15.78192</v>
      </c>
      <c r="AB10" s="18">
        <f>Table8[[#This Row],[£/ Length]]*(1+AB$2)</f>
        <v>16.909199999999998</v>
      </c>
    </row>
    <row r="11" spans="1:28" ht="25.35" customHeight="1">
      <c r="A11" s="7" t="s">
        <v>66</v>
      </c>
      <c r="B11" s="7" t="str">
        <f t="shared" si="0"/>
        <v>EA_50_50_3</v>
      </c>
      <c r="C11" s="7" t="str">
        <f t="shared" si="1"/>
        <v>EA_50_50_3 @ 2.26Kg/m</v>
      </c>
      <c r="D11" s="7" t="s">
        <v>506</v>
      </c>
      <c r="E11" s="7" t="s">
        <v>506</v>
      </c>
      <c r="F11" s="7" t="s">
        <v>498</v>
      </c>
      <c r="G11" s="36">
        <f>G12*(3/5)</f>
        <v>2.262</v>
      </c>
      <c r="H11" s="139">
        <v>6.1</v>
      </c>
      <c r="I11" s="9">
        <v>5.5</v>
      </c>
      <c r="J11" s="140" t="s">
        <v>422</v>
      </c>
      <c r="K11" s="139"/>
      <c r="L11" s="9"/>
      <c r="M11" s="140"/>
      <c r="N11" s="139"/>
      <c r="O11" s="9"/>
      <c r="P11" s="140"/>
      <c r="Q11" s="37">
        <f t="shared" si="2"/>
        <v>33.549999999999997</v>
      </c>
      <c r="R11" s="38">
        <f>Table8[[#This Row],[Total Metres]]*Table8[[#This Row],[£Cost /m]]</f>
        <v>44.016257999999993</v>
      </c>
      <c r="S11" s="9"/>
      <c r="T11" s="44">
        <v>580</v>
      </c>
      <c r="U11" s="39">
        <f>(Table8[[#This Row],[£/Tonne]]/1000)*Table8[[#This Row],[KG/M]]</f>
        <v>1.31196</v>
      </c>
      <c r="V11" s="262">
        <v>6.1</v>
      </c>
      <c r="W11" s="10">
        <f>(Table8[[#This Row],[£/Tonne]]/1000)*Table8[[#This Row],[KG/M]]*Table8[[#This Row],[Normal Length]]</f>
        <v>8.0029559999999993</v>
      </c>
      <c r="Y11" s="18">
        <f>Table8[[#This Row],[£/ Length]]*(1+Y$2)</f>
        <v>10.4038428</v>
      </c>
      <c r="Z11" s="18">
        <f>Table8[[#This Row],[£/ Length]]*(1+Z$2)</f>
        <v>10.803990600000001</v>
      </c>
      <c r="AA11" s="18">
        <f>Table8[[#This Row],[£/ Length]]*(1+AA$2)</f>
        <v>11.204138399999998</v>
      </c>
      <c r="AB11" s="18">
        <f>Table8[[#This Row],[£/ Length]]*(1+AB$2)</f>
        <v>12.004434</v>
      </c>
    </row>
    <row r="12" spans="1:28" ht="25.35" customHeight="1">
      <c r="A12" s="7" t="s">
        <v>66</v>
      </c>
      <c r="B12" s="7" t="str">
        <f t="shared" si="0"/>
        <v>EA_50_50_5</v>
      </c>
      <c r="C12" s="7" t="str">
        <f t="shared" si="1"/>
        <v>EA_50_50_5 @ 3.77Kg/m</v>
      </c>
      <c r="D12" s="7" t="s">
        <v>506</v>
      </c>
      <c r="E12" s="7" t="s">
        <v>506</v>
      </c>
      <c r="F12" s="7" t="s">
        <v>503</v>
      </c>
      <c r="G12" s="36">
        <v>3.77</v>
      </c>
      <c r="H12" s="139">
        <v>6.1</v>
      </c>
      <c r="I12" s="9">
        <v>5</v>
      </c>
      <c r="J12" s="140" t="s">
        <v>422</v>
      </c>
      <c r="K12" s="139">
        <v>1.5</v>
      </c>
      <c r="L12" s="9">
        <v>2</v>
      </c>
      <c r="M12" s="140" t="s">
        <v>422</v>
      </c>
      <c r="N12" s="139">
        <v>3</v>
      </c>
      <c r="O12" s="9">
        <v>2</v>
      </c>
      <c r="P12" s="140" t="s">
        <v>422</v>
      </c>
      <c r="Q12" s="37">
        <f t="shared" si="2"/>
        <v>39.5</v>
      </c>
      <c r="R12" s="38">
        <f>Table8[[#This Row],[Total Metres]]*Table8[[#This Row],[£Cost /m]]</f>
        <v>111.68625</v>
      </c>
      <c r="S12" s="9"/>
      <c r="T12" s="10">
        <v>750</v>
      </c>
      <c r="U12" s="39">
        <f>(Table8[[#This Row],[£/Tonne]]/1000)*Table8[[#This Row],[KG/M]]</f>
        <v>2.8275000000000001</v>
      </c>
      <c r="V12" s="262">
        <v>6.1</v>
      </c>
      <c r="W12" s="10">
        <f>(Table8[[#This Row],[£/Tonne]]/1000)*Table8[[#This Row],[KG/M]]*Table8[[#This Row],[Normal Length]]</f>
        <v>17.24775</v>
      </c>
      <c r="Y12" s="18">
        <f>Table8[[#This Row],[£/ Length]]*(1+Y$2)</f>
        <v>22.422075</v>
      </c>
      <c r="Z12" s="18">
        <f>Table8[[#This Row],[£/ Length]]*(1+Z$2)</f>
        <v>23.2844625</v>
      </c>
      <c r="AA12" s="18">
        <f>Table8[[#This Row],[£/ Length]]*(1+AA$2)</f>
        <v>24.146849999999997</v>
      </c>
      <c r="AB12" s="18">
        <f>Table8[[#This Row],[£/ Length]]*(1+AB$2)</f>
        <v>25.871625000000002</v>
      </c>
    </row>
    <row r="13" spans="1:28" ht="25.35" customHeight="1">
      <c r="A13" s="7" t="s">
        <v>66</v>
      </c>
      <c r="B13" s="7" t="str">
        <f t="shared" si="0"/>
        <v>EA_50_50_6</v>
      </c>
      <c r="C13" s="7" t="str">
        <f t="shared" si="1"/>
        <v>EA_50_50_6 @ 4.47Kg/m</v>
      </c>
      <c r="D13" s="7" t="s">
        <v>506</v>
      </c>
      <c r="E13" s="7" t="s">
        <v>506</v>
      </c>
      <c r="F13" s="7" t="s">
        <v>505</v>
      </c>
      <c r="G13" s="36">
        <v>4.47</v>
      </c>
      <c r="H13" s="139">
        <v>6.1</v>
      </c>
      <c r="I13" s="9">
        <v>14</v>
      </c>
      <c r="J13" s="140" t="s">
        <v>422</v>
      </c>
      <c r="K13" s="139">
        <v>4</v>
      </c>
      <c r="L13" s="9">
        <v>2</v>
      </c>
      <c r="M13" s="140" t="s">
        <v>422</v>
      </c>
      <c r="N13" s="139"/>
      <c r="O13" s="9"/>
      <c r="P13" s="140"/>
      <c r="Q13" s="37">
        <f t="shared" si="2"/>
        <v>93.399999999999991</v>
      </c>
      <c r="R13" s="38">
        <f>Table8[[#This Row],[Total Metres]]*Table8[[#This Row],[£Cost /m]]</f>
        <v>283.89864</v>
      </c>
      <c r="S13" s="9"/>
      <c r="T13" s="10">
        <v>680</v>
      </c>
      <c r="U13" s="39">
        <f>(Table8[[#This Row],[£/Tonne]]/1000)*Table8[[#This Row],[KG/M]]</f>
        <v>3.0396000000000001</v>
      </c>
      <c r="V13" s="262">
        <v>6.1</v>
      </c>
      <c r="W13" s="10">
        <f>(Table8[[#This Row],[£/Tonne]]/1000)*Table8[[#This Row],[KG/M]]*Table8[[#This Row],[Normal Length]]</f>
        <v>18.54156</v>
      </c>
      <c r="Y13" s="18">
        <f>Table8[[#This Row],[£/ Length]]*(1+Y$2)</f>
        <v>24.104028000000003</v>
      </c>
      <c r="Z13" s="18">
        <f>Table8[[#This Row],[£/ Length]]*(1+Z$2)</f>
        <v>25.031106000000001</v>
      </c>
      <c r="AA13" s="18">
        <f>Table8[[#This Row],[£/ Length]]*(1+AA$2)</f>
        <v>25.958183999999999</v>
      </c>
      <c r="AB13" s="18">
        <f>Table8[[#This Row],[£/ Length]]*(1+AB$2)</f>
        <v>27.812339999999999</v>
      </c>
    </row>
    <row r="14" spans="1:28" ht="25.35" customHeight="1">
      <c r="A14" s="7" t="s">
        <v>66</v>
      </c>
      <c r="B14" s="7" t="str">
        <f t="shared" si="0"/>
        <v>EA_50_50_8</v>
      </c>
      <c r="C14" s="7" t="str">
        <f t="shared" si="1"/>
        <v>EA_50_50_8 @ 5.82Kg/m</v>
      </c>
      <c r="D14" s="7" t="s">
        <v>506</v>
      </c>
      <c r="E14" s="7" t="s">
        <v>506</v>
      </c>
      <c r="F14" s="7" t="s">
        <v>510</v>
      </c>
      <c r="G14" s="36">
        <v>5.82</v>
      </c>
      <c r="H14" s="139"/>
      <c r="I14" s="9"/>
      <c r="J14" s="140"/>
      <c r="K14" s="139"/>
      <c r="L14" s="9"/>
      <c r="M14" s="140"/>
      <c r="N14" s="139"/>
      <c r="O14" s="9"/>
      <c r="P14" s="140"/>
      <c r="Q14" s="37">
        <f t="shared" si="2"/>
        <v>0</v>
      </c>
      <c r="R14" s="38">
        <f>Table8[[#This Row],[Total Metres]]*Table8[[#This Row],[£Cost /m]]</f>
        <v>0</v>
      </c>
      <c r="S14" s="9"/>
      <c r="T14" s="10"/>
      <c r="U14" s="39">
        <f>(Table8[[#This Row],[£/Tonne]]/1000)*Table8[[#This Row],[KG/M]]</f>
        <v>0</v>
      </c>
      <c r="V14" s="262">
        <v>6.1</v>
      </c>
      <c r="W14" s="10">
        <f>(Table8[[#This Row],[£/Tonne]]/1000)*Table8[[#This Row],[KG/M]]*Table8[[#This Row],[Normal Length]]</f>
        <v>0</v>
      </c>
      <c r="Y14" s="18">
        <f>Table8[[#This Row],[£/ Length]]*(1+Y$2)</f>
        <v>0</v>
      </c>
      <c r="Z14" s="18">
        <f>Table8[[#This Row],[£/ Length]]*(1+Z$2)</f>
        <v>0</v>
      </c>
      <c r="AA14" s="18">
        <f>Table8[[#This Row],[£/ Length]]*(1+AA$2)</f>
        <v>0</v>
      </c>
      <c r="AB14" s="18">
        <f>Table8[[#This Row],[£/ Length]]*(1+AB$2)</f>
        <v>0</v>
      </c>
    </row>
    <row r="15" spans="1:28" ht="25.35" customHeight="1">
      <c r="A15" s="7" t="s">
        <v>66</v>
      </c>
      <c r="B15" s="7" t="str">
        <f t="shared" si="0"/>
        <v>EA_60_60_5</v>
      </c>
      <c r="C15" s="7" t="str">
        <f>_xlfn.CONCAT(B15, " @ ",ROUND(G15,2),"Kg/m")</f>
        <v>EA_60_60_5 @ 4.52Kg/m</v>
      </c>
      <c r="D15" s="7" t="s">
        <v>513</v>
      </c>
      <c r="E15" s="7" t="s">
        <v>513</v>
      </c>
      <c r="F15" s="7" t="s">
        <v>503</v>
      </c>
      <c r="G15" s="36">
        <v>4.5199999999999996</v>
      </c>
      <c r="H15" s="139"/>
      <c r="I15" s="9"/>
      <c r="J15" s="140"/>
      <c r="K15" s="139"/>
      <c r="L15" s="9"/>
      <c r="M15" s="140"/>
      <c r="N15" s="139"/>
      <c r="O15" s="9"/>
      <c r="P15" s="140"/>
      <c r="Q15" s="37">
        <f t="shared" si="2"/>
        <v>0</v>
      </c>
      <c r="R15" s="38">
        <f>Table8[[#This Row],[Total Metres]]*Table8[[#This Row],[£Cost /m]]</f>
        <v>0</v>
      </c>
      <c r="S15" s="9"/>
      <c r="T15" s="44">
        <v>610</v>
      </c>
      <c r="U15" s="39">
        <f>(Table8[[#This Row],[£/Tonne]]/1000)*Table8[[#This Row],[KG/M]]</f>
        <v>2.7571999999999997</v>
      </c>
      <c r="V15" s="262">
        <v>6.1</v>
      </c>
      <c r="W15" s="10">
        <f>(Table8[[#This Row],[£/Tonne]]/1000)*Table8[[#This Row],[KG/M]]*Table8[[#This Row],[Normal Length]]</f>
        <v>16.818919999999999</v>
      </c>
      <c r="Y15" s="18">
        <f>Table8[[#This Row],[£/ Length]]*(1+Y$2)</f>
        <v>21.864595999999999</v>
      </c>
      <c r="Z15" s="18">
        <f>Table8[[#This Row],[£/ Length]]*(1+Z$2)</f>
        <v>22.705542000000001</v>
      </c>
      <c r="AA15" s="18">
        <f>Table8[[#This Row],[£/ Length]]*(1+AA$2)</f>
        <v>23.546487999999997</v>
      </c>
      <c r="AB15" s="18">
        <f>Table8[[#This Row],[£/ Length]]*(1+AB$2)</f>
        <v>25.228379999999998</v>
      </c>
    </row>
    <row r="16" spans="1:28" ht="25.35" customHeight="1">
      <c r="A16" s="7" t="s">
        <v>66</v>
      </c>
      <c r="B16" s="7" t="str">
        <f t="shared" si="0"/>
        <v>EA_60_60_6</v>
      </c>
      <c r="C16" s="7" t="str">
        <f t="shared" ref="C16:C50" si="3">_xlfn.CONCAT(B16, " @ ",ROUND(G16,2),"Kg/m")</f>
        <v>EA_60_60_6 @ 5.42Kg/m</v>
      </c>
      <c r="D16" s="7" t="s">
        <v>513</v>
      </c>
      <c r="E16" s="7" t="s">
        <v>513</v>
      </c>
      <c r="F16" s="7" t="s">
        <v>505</v>
      </c>
      <c r="G16" s="36">
        <v>5.42</v>
      </c>
      <c r="H16" s="139">
        <v>6.1</v>
      </c>
      <c r="I16" s="9">
        <v>37.5</v>
      </c>
      <c r="J16" s="140" t="s">
        <v>422</v>
      </c>
      <c r="K16" s="139"/>
      <c r="L16" s="9"/>
      <c r="M16" s="140"/>
      <c r="N16" s="139"/>
      <c r="O16" s="9"/>
      <c r="P16" s="140"/>
      <c r="Q16" s="37">
        <f t="shared" si="2"/>
        <v>228.75</v>
      </c>
      <c r="R16" s="38">
        <f>Table8[[#This Row],[Total Metres]]*Table8[[#This Row],[£Cost /m]]</f>
        <v>663.306375</v>
      </c>
      <c r="S16" s="9"/>
      <c r="T16" s="10">
        <v>535</v>
      </c>
      <c r="U16" s="39">
        <f>(Table8[[#This Row],[£/Tonne]]/1000)*Table8[[#This Row],[KG/M]]</f>
        <v>2.8997000000000002</v>
      </c>
      <c r="V16" s="262">
        <v>6.1</v>
      </c>
      <c r="W16" s="10">
        <f>(Table8[[#This Row],[£/Tonne]]/1000)*Table8[[#This Row],[KG/M]]*Table8[[#This Row],[Normal Length]]</f>
        <v>17.68817</v>
      </c>
      <c r="Y16" s="18">
        <f>Table8[[#This Row],[£/ Length]]*(1+Y$2)</f>
        <v>22.994620999999999</v>
      </c>
      <c r="Z16" s="18">
        <f>Table8[[#This Row],[£/ Length]]*(1+Z$2)</f>
        <v>23.879029500000001</v>
      </c>
      <c r="AA16" s="18">
        <f>Table8[[#This Row],[£/ Length]]*(1+AA$2)</f>
        <v>24.763437999999997</v>
      </c>
      <c r="AB16" s="18">
        <f>Table8[[#This Row],[£/ Length]]*(1+AB$2)</f>
        <v>26.532254999999999</v>
      </c>
    </row>
    <row r="17" spans="1:28" ht="25.35" customHeight="1">
      <c r="A17" s="7" t="s">
        <v>66</v>
      </c>
      <c r="B17" s="7" t="str">
        <f t="shared" si="0"/>
        <v>EA_70_70_6</v>
      </c>
      <c r="C17" s="7" t="str">
        <f t="shared" si="3"/>
        <v>EA_70_70_6 @ 6.38Kg/m</v>
      </c>
      <c r="D17" s="7" t="s">
        <v>531</v>
      </c>
      <c r="E17" s="7" t="s">
        <v>531</v>
      </c>
      <c r="F17" s="7" t="s">
        <v>505</v>
      </c>
      <c r="G17" s="36">
        <v>6.38</v>
      </c>
      <c r="H17" s="139">
        <v>6.1</v>
      </c>
      <c r="I17" s="9">
        <v>9.5</v>
      </c>
      <c r="J17" s="140" t="s">
        <v>422</v>
      </c>
      <c r="K17" s="139"/>
      <c r="L17" s="9"/>
      <c r="M17" s="140"/>
      <c r="N17" s="139"/>
      <c r="O17" s="9"/>
      <c r="P17" s="140"/>
      <c r="Q17" s="37">
        <f t="shared" si="2"/>
        <v>57.949999999999996</v>
      </c>
      <c r="R17" s="38">
        <f>Table8[[#This Row],[Total Metres]]*Table8[[#This Row],[£Cost /m]]</f>
        <v>214.43817999999996</v>
      </c>
      <c r="S17" s="9"/>
      <c r="T17" s="10">
        <v>580</v>
      </c>
      <c r="U17" s="39">
        <f>(Table8[[#This Row],[£/Tonne]]/1000)*Table8[[#This Row],[KG/M]]</f>
        <v>3.7003999999999997</v>
      </c>
      <c r="V17" s="262">
        <v>6.1</v>
      </c>
      <c r="W17" s="10">
        <f>(Table8[[#This Row],[£/Tonne]]/1000)*Table8[[#This Row],[KG/M]]*Table8[[#This Row],[Normal Length]]</f>
        <v>22.572439999999997</v>
      </c>
      <c r="Y17" s="18">
        <f>Table8[[#This Row],[£/ Length]]*(1+Y$2)</f>
        <v>29.344171999999997</v>
      </c>
      <c r="Z17" s="18">
        <f>Table8[[#This Row],[£/ Length]]*(1+Z$2)</f>
        <v>30.472793999999997</v>
      </c>
      <c r="AA17" s="18">
        <f>Table8[[#This Row],[£/ Length]]*(1+AA$2)</f>
        <v>31.601415999999993</v>
      </c>
      <c r="AB17" s="18">
        <f>Table8[[#This Row],[£/ Length]]*(1+AB$2)</f>
        <v>33.858659999999993</v>
      </c>
    </row>
    <row r="18" spans="1:28" ht="25.35" customHeight="1">
      <c r="A18" s="7" t="s">
        <v>66</v>
      </c>
      <c r="B18" s="7" t="str">
        <f t="shared" si="0"/>
        <v>EA_70_70_10</v>
      </c>
      <c r="C18" s="7" t="str">
        <f t="shared" si="3"/>
        <v>EA_70_70_10 @ 10.3Kg/m</v>
      </c>
      <c r="D18" s="7" t="s">
        <v>531</v>
      </c>
      <c r="E18" s="7" t="s">
        <v>531</v>
      </c>
      <c r="F18" s="7" t="s">
        <v>322</v>
      </c>
      <c r="G18" s="36">
        <v>10.3</v>
      </c>
      <c r="H18" s="139"/>
      <c r="I18" s="9"/>
      <c r="J18" s="140"/>
      <c r="K18" s="139"/>
      <c r="L18" s="9"/>
      <c r="M18" s="140"/>
      <c r="N18" s="139"/>
      <c r="O18" s="9"/>
      <c r="P18" s="140"/>
      <c r="Q18" s="37">
        <f t="shared" si="2"/>
        <v>0</v>
      </c>
      <c r="R18" s="38">
        <f>Table8[[#This Row],[Total Metres]]*Table8[[#This Row],[£Cost /m]]</f>
        <v>0</v>
      </c>
      <c r="S18" s="9"/>
      <c r="T18" s="10">
        <v>475</v>
      </c>
      <c r="U18" s="39">
        <f>(Table8[[#This Row],[£/Tonne]]/1000)*Table8[[#This Row],[KG/M]]</f>
        <v>4.8925000000000001</v>
      </c>
      <c r="V18" s="262">
        <v>6.1</v>
      </c>
      <c r="W18" s="10">
        <f>(Table8[[#This Row],[£/Tonne]]/1000)*Table8[[#This Row],[KG/M]]*Table8[[#This Row],[Normal Length]]</f>
        <v>29.844249999999999</v>
      </c>
      <c r="Y18" s="18">
        <f>Table8[[#This Row],[£/ Length]]*(1+Y$2)</f>
        <v>38.797525</v>
      </c>
      <c r="Z18" s="18">
        <f>Table8[[#This Row],[£/ Length]]*(1+Z$2)</f>
        <v>40.289737500000001</v>
      </c>
      <c r="AA18" s="18">
        <f>Table8[[#This Row],[£/ Length]]*(1+AA$2)</f>
        <v>41.781949999999995</v>
      </c>
      <c r="AB18" s="18">
        <f>Table8[[#This Row],[£/ Length]]*(1+AB$2)</f>
        <v>44.766374999999996</v>
      </c>
    </row>
    <row r="19" spans="1:28" ht="25.35" customHeight="1">
      <c r="A19" s="7" t="s">
        <v>66</v>
      </c>
      <c r="B19" s="7" t="str">
        <f t="shared" si="0"/>
        <v>EA_75_75_6</v>
      </c>
      <c r="C19" s="7" t="str">
        <f t="shared" si="3"/>
        <v>EA_75_75_6 @ 7.16Kg/m</v>
      </c>
      <c r="D19" s="7" t="s">
        <v>508</v>
      </c>
      <c r="E19" s="7" t="s">
        <v>508</v>
      </c>
      <c r="F19" s="7" t="s">
        <v>505</v>
      </c>
      <c r="G19" s="36">
        <v>7.16</v>
      </c>
      <c r="H19" s="139"/>
      <c r="I19" s="9"/>
      <c r="J19" s="140"/>
      <c r="K19" s="139"/>
      <c r="L19" s="9"/>
      <c r="M19" s="140"/>
      <c r="N19" s="139"/>
      <c r="O19" s="9"/>
      <c r="P19" s="140"/>
      <c r="Q19" s="37">
        <f t="shared" si="2"/>
        <v>0</v>
      </c>
      <c r="R19" s="38">
        <f>Table8[[#This Row],[Total Metres]]*Table8[[#This Row],[£Cost /m]]</f>
        <v>0</v>
      </c>
      <c r="S19" s="9"/>
      <c r="T19" s="10"/>
      <c r="U19" s="39">
        <f>(Table8[[#This Row],[£/Tonne]]/1000)*Table8[[#This Row],[KG/M]]</f>
        <v>0</v>
      </c>
      <c r="V19" s="262">
        <v>6.1</v>
      </c>
      <c r="W19" s="10">
        <f>(Table8[[#This Row],[£/Tonne]]/1000)*Table8[[#This Row],[KG/M]]*Table8[[#This Row],[Normal Length]]</f>
        <v>0</v>
      </c>
      <c r="Y19" s="18">
        <f>Table8[[#This Row],[£/ Length]]*(1+Y$2)</f>
        <v>0</v>
      </c>
      <c r="Z19" s="18">
        <f>Table8[[#This Row],[£/ Length]]*(1+Z$2)</f>
        <v>0</v>
      </c>
      <c r="AA19" s="18">
        <f>Table8[[#This Row],[£/ Length]]*(1+AA$2)</f>
        <v>0</v>
      </c>
      <c r="AB19" s="18">
        <f>Table8[[#This Row],[£/ Length]]*(1+AB$2)</f>
        <v>0</v>
      </c>
    </row>
    <row r="20" spans="1:28" ht="25.35" customHeight="1">
      <c r="A20" s="7" t="s">
        <v>66</v>
      </c>
      <c r="B20" s="7" t="str">
        <f t="shared" si="0"/>
        <v>EA_75_75_10</v>
      </c>
      <c r="C20" s="7" t="str">
        <f t="shared" si="3"/>
        <v>EA_75_75_10 @ 11.12Kg/m</v>
      </c>
      <c r="D20" s="7" t="s">
        <v>508</v>
      </c>
      <c r="E20" s="7" t="s">
        <v>508</v>
      </c>
      <c r="F20" s="7" t="s">
        <v>322</v>
      </c>
      <c r="G20" s="36">
        <v>11.12</v>
      </c>
      <c r="H20" s="139"/>
      <c r="I20" s="9"/>
      <c r="J20" s="140"/>
      <c r="K20" s="139"/>
      <c r="L20" s="9"/>
      <c r="M20" s="140"/>
      <c r="N20" s="139"/>
      <c r="O20" s="9"/>
      <c r="P20" s="140"/>
      <c r="Q20" s="37">
        <f t="shared" si="2"/>
        <v>0</v>
      </c>
      <c r="R20" s="38">
        <f>Table8[[#This Row],[Total Metres]]*Table8[[#This Row],[£Cost /m]]</f>
        <v>0</v>
      </c>
      <c r="S20" s="9"/>
      <c r="T20" s="10"/>
      <c r="U20" s="39">
        <f>(Table8[[#This Row],[£/Tonne]]/1000)*Table8[[#This Row],[KG/M]]</f>
        <v>0</v>
      </c>
      <c r="V20" s="262">
        <v>6.1</v>
      </c>
      <c r="W20" s="10">
        <f>(Table8[[#This Row],[£/Tonne]]/1000)*Table8[[#This Row],[KG/M]]*Table8[[#This Row],[Normal Length]]</f>
        <v>0</v>
      </c>
      <c r="Y20" s="18">
        <f>Table8[[#This Row],[£/ Length]]*(1+Y$2)</f>
        <v>0</v>
      </c>
      <c r="Z20" s="18">
        <f>Table8[[#This Row],[£/ Length]]*(1+Z$2)</f>
        <v>0</v>
      </c>
      <c r="AA20" s="18">
        <f>Table8[[#This Row],[£/ Length]]*(1+AA$2)</f>
        <v>0</v>
      </c>
      <c r="AB20" s="18">
        <f>Table8[[#This Row],[£/ Length]]*(1+AB$2)</f>
        <v>0</v>
      </c>
    </row>
    <row r="21" spans="1:28" ht="25.35" customHeight="1">
      <c r="A21" s="7" t="s">
        <v>66</v>
      </c>
      <c r="B21" s="7" t="str">
        <f t="shared" si="0"/>
        <v>EA_80_80_6</v>
      </c>
      <c r="C21" s="7" t="str">
        <f t="shared" si="3"/>
        <v>EA_80_80_6 @ 7.34Kg/m</v>
      </c>
      <c r="D21" s="7" t="s">
        <v>509</v>
      </c>
      <c r="E21" s="7" t="s">
        <v>509</v>
      </c>
      <c r="F21" s="7" t="s">
        <v>505</v>
      </c>
      <c r="G21" s="36">
        <v>7.34</v>
      </c>
      <c r="H21" s="139">
        <v>6.1</v>
      </c>
      <c r="I21" s="9">
        <v>30</v>
      </c>
      <c r="J21" s="140" t="s">
        <v>422</v>
      </c>
      <c r="K21" s="139">
        <v>6.1</v>
      </c>
      <c r="L21" s="9">
        <v>17</v>
      </c>
      <c r="M21" s="140" t="s">
        <v>422</v>
      </c>
      <c r="N21" s="139"/>
      <c r="O21" s="9"/>
      <c r="P21" s="140"/>
      <c r="Q21" s="37">
        <f t="shared" si="2"/>
        <v>286.7</v>
      </c>
      <c r="R21" s="38">
        <f>Table8[[#This Row],[Total Metres]]*Table8[[#This Row],[£Cost /m]]</f>
        <v>1525.6740499999999</v>
      </c>
      <c r="S21" s="9"/>
      <c r="T21" s="10">
        <v>725</v>
      </c>
      <c r="U21" s="39">
        <f>(Table8[[#This Row],[£/Tonne]]/1000)*Table8[[#This Row],[KG/M]]</f>
        <v>5.3214999999999995</v>
      </c>
      <c r="V21" s="262">
        <v>6.1</v>
      </c>
      <c r="W21" s="10">
        <f>(Table8[[#This Row],[£/Tonne]]/1000)*Table8[[#This Row],[KG/M]]*Table8[[#This Row],[Normal Length]]</f>
        <v>32.461149999999996</v>
      </c>
      <c r="Y21" s="18">
        <f>Table8[[#This Row],[£/ Length]]*(1+Y$2)</f>
        <v>42.199494999999999</v>
      </c>
      <c r="Z21" s="18">
        <f>Table8[[#This Row],[£/ Length]]*(1+Z$2)</f>
        <v>43.8225525</v>
      </c>
      <c r="AA21" s="18">
        <f>Table8[[#This Row],[£/ Length]]*(1+AA$2)</f>
        <v>45.445609999999995</v>
      </c>
      <c r="AB21" s="18">
        <f>Table8[[#This Row],[£/ Length]]*(1+AB$2)</f>
        <v>48.691724999999991</v>
      </c>
    </row>
    <row r="22" spans="1:28" ht="25.35" customHeight="1">
      <c r="A22" s="7" t="s">
        <v>66</v>
      </c>
      <c r="B22" s="7" t="str">
        <f t="shared" si="0"/>
        <v>EA_80_80_10</v>
      </c>
      <c r="C22" s="7" t="str">
        <f t="shared" si="3"/>
        <v>EA_80_80_10 @ 11.9Kg/m</v>
      </c>
      <c r="D22" s="7" t="s">
        <v>509</v>
      </c>
      <c r="E22" s="7" t="s">
        <v>509</v>
      </c>
      <c r="F22" s="7" t="s">
        <v>322</v>
      </c>
      <c r="G22" s="36">
        <v>11.9</v>
      </c>
      <c r="H22" s="139">
        <v>12.2</v>
      </c>
      <c r="I22" s="9">
        <v>14</v>
      </c>
      <c r="J22" s="140"/>
      <c r="K22" s="139"/>
      <c r="L22" s="9"/>
      <c r="M22" s="140"/>
      <c r="N22" s="139"/>
      <c r="O22" s="9"/>
      <c r="P22" s="140"/>
      <c r="Q22" s="37">
        <f t="shared" si="2"/>
        <v>170.79999999999998</v>
      </c>
      <c r="R22" s="38">
        <f>Table8[[#This Row],[Total Metres]]*Table8[[#This Row],[£Cost /m]]</f>
        <v>1707.3167999999998</v>
      </c>
      <c r="S22" s="9"/>
      <c r="T22" s="44">
        <v>840</v>
      </c>
      <c r="U22" s="39">
        <f>(Table8[[#This Row],[£/Tonne]]/1000)*Table8[[#This Row],[KG/M]]</f>
        <v>9.9960000000000004</v>
      </c>
      <c r="V22" s="262">
        <v>6.1</v>
      </c>
      <c r="W22" s="10">
        <f>(Table8[[#This Row],[£/Tonne]]/1000)*Table8[[#This Row],[KG/M]]*Table8[[#This Row],[Normal Length]]</f>
        <v>60.9756</v>
      </c>
      <c r="Y22" s="18">
        <f>Table8[[#This Row],[£/ Length]]*(1+Y$2)</f>
        <v>79.268280000000004</v>
      </c>
      <c r="Z22" s="18">
        <f>Table8[[#This Row],[£/ Length]]*(1+Z$2)</f>
        <v>82.317060000000012</v>
      </c>
      <c r="AA22" s="18">
        <f>Table8[[#This Row],[£/ Length]]*(1+AA$2)</f>
        <v>85.365839999999992</v>
      </c>
      <c r="AB22" s="18">
        <f>Table8[[#This Row],[£/ Length]]*(1+AB$2)</f>
        <v>91.463400000000007</v>
      </c>
    </row>
    <row r="23" spans="1:28" ht="25.35" customHeight="1">
      <c r="A23" s="7" t="s">
        <v>66</v>
      </c>
      <c r="B23" s="7" t="str">
        <f t="shared" si="0"/>
        <v>EA_90_90_8</v>
      </c>
      <c r="C23" s="7" t="str">
        <f t="shared" si="3"/>
        <v>EA_90_90_8 @ 10.9Kg/m</v>
      </c>
      <c r="D23" s="7" t="s">
        <v>514</v>
      </c>
      <c r="E23" s="7" t="s">
        <v>514</v>
      </c>
      <c r="F23" s="7" t="s">
        <v>510</v>
      </c>
      <c r="G23" s="36">
        <v>10.9</v>
      </c>
      <c r="H23" s="139">
        <v>10</v>
      </c>
      <c r="I23" s="9">
        <v>1</v>
      </c>
      <c r="J23" s="140"/>
      <c r="K23" s="139"/>
      <c r="L23" s="9"/>
      <c r="M23" s="140"/>
      <c r="N23" s="139"/>
      <c r="O23" s="9"/>
      <c r="P23" s="140"/>
      <c r="Q23" s="37">
        <f t="shared" si="2"/>
        <v>10</v>
      </c>
      <c r="R23" s="38">
        <f>Table8[[#This Row],[Total Metres]]*Table8[[#This Row],[£Cost /m]]</f>
        <v>59.95000000000001</v>
      </c>
      <c r="S23" s="9"/>
      <c r="T23" s="10">
        <v>550</v>
      </c>
      <c r="U23" s="39">
        <f>(Table8[[#This Row],[£/Tonne]]/1000)*Table8[[#This Row],[KG/M]]</f>
        <v>5.995000000000001</v>
      </c>
      <c r="V23" s="262">
        <v>6.1</v>
      </c>
      <c r="W23" s="10">
        <f>(Table8[[#This Row],[£/Tonne]]/1000)*Table8[[#This Row],[KG/M]]*Table8[[#This Row],[Normal Length]]</f>
        <v>36.569500000000005</v>
      </c>
      <c r="Y23" s="18">
        <f>Table8[[#This Row],[£/ Length]]*(1+Y$2)</f>
        <v>47.540350000000011</v>
      </c>
      <c r="Z23" s="18">
        <f>Table8[[#This Row],[£/ Length]]*(1+Z$2)</f>
        <v>49.368825000000008</v>
      </c>
      <c r="AA23" s="18">
        <f>Table8[[#This Row],[£/ Length]]*(1+AA$2)</f>
        <v>51.197300000000006</v>
      </c>
      <c r="AB23" s="18">
        <f>Table8[[#This Row],[£/ Length]]*(1+AB$2)</f>
        <v>54.854250000000008</v>
      </c>
    </row>
    <row r="24" spans="1:28" ht="25.35" customHeight="1">
      <c r="A24" s="7" t="s">
        <v>66</v>
      </c>
      <c r="B24" s="7" t="str">
        <f t="shared" si="0"/>
        <v>EA_90_90_10</v>
      </c>
      <c r="C24" s="7" t="str">
        <f t="shared" si="3"/>
        <v>EA_90_90_10 @ 0Kg/m</v>
      </c>
      <c r="D24" s="7" t="s">
        <v>514</v>
      </c>
      <c r="E24" s="7" t="s">
        <v>514</v>
      </c>
      <c r="F24" s="7" t="s">
        <v>322</v>
      </c>
      <c r="G24" s="36"/>
      <c r="H24" s="139"/>
      <c r="I24" s="9"/>
      <c r="J24" s="140"/>
      <c r="K24" s="139"/>
      <c r="L24" s="9"/>
      <c r="M24" s="140"/>
      <c r="N24" s="139"/>
      <c r="O24" s="9"/>
      <c r="P24" s="140"/>
      <c r="Q24" s="37">
        <f t="shared" si="2"/>
        <v>0</v>
      </c>
      <c r="R24" s="38">
        <f>Table8[[#This Row],[Total Metres]]*Table8[[#This Row],[£Cost /m]]</f>
        <v>0</v>
      </c>
      <c r="S24" s="9"/>
      <c r="T24" s="10"/>
      <c r="U24" s="39">
        <f>(Table8[[#This Row],[£/Tonne]]/1000)*Table8[[#This Row],[KG/M]]</f>
        <v>0</v>
      </c>
      <c r="V24" s="262">
        <v>6.1</v>
      </c>
      <c r="W24" s="10">
        <f>(Table8[[#This Row],[£/Tonne]]/1000)*Table8[[#This Row],[KG/M]]*Table8[[#This Row],[Normal Length]]</f>
        <v>0</v>
      </c>
      <c r="Y24" s="18">
        <f>Table8[[#This Row],[£/ Length]]*(1+Y$2)</f>
        <v>0</v>
      </c>
      <c r="Z24" s="18">
        <f>Table8[[#This Row],[£/ Length]]*(1+Z$2)</f>
        <v>0</v>
      </c>
      <c r="AA24" s="18">
        <f>Table8[[#This Row],[£/ Length]]*(1+AA$2)</f>
        <v>0</v>
      </c>
      <c r="AB24" s="18">
        <f>Table8[[#This Row],[£/ Length]]*(1+AB$2)</f>
        <v>0</v>
      </c>
    </row>
    <row r="25" spans="1:28" ht="25.35" customHeight="1">
      <c r="A25" s="7" t="s">
        <v>66</v>
      </c>
      <c r="B25" s="7" t="str">
        <f t="shared" si="0"/>
        <v>EA_100_100_8</v>
      </c>
      <c r="C25" s="7" t="str">
        <f t="shared" si="3"/>
        <v>EA_100_100_8 @ 12.2Kg/m</v>
      </c>
      <c r="D25" s="7" t="s">
        <v>511</v>
      </c>
      <c r="E25" s="7" t="s">
        <v>511</v>
      </c>
      <c r="F25" s="7" t="s">
        <v>510</v>
      </c>
      <c r="G25" s="36">
        <v>12.2</v>
      </c>
      <c r="H25" s="139"/>
      <c r="I25" s="9"/>
      <c r="J25" s="140"/>
      <c r="K25" s="139"/>
      <c r="L25" s="9"/>
      <c r="M25" s="140"/>
      <c r="N25" s="139"/>
      <c r="O25" s="9"/>
      <c r="P25" s="140"/>
      <c r="Q25" s="37">
        <f t="shared" si="2"/>
        <v>0</v>
      </c>
      <c r="R25" s="38">
        <f>Table8[[#This Row],[Total Metres]]*Table8[[#This Row],[£Cost /m]]</f>
        <v>0</v>
      </c>
      <c r="S25" s="9"/>
      <c r="T25" s="10"/>
      <c r="U25" s="39">
        <f>(Table8[[#This Row],[£/Tonne]]/1000)*Table8[[#This Row],[KG/M]]</f>
        <v>0</v>
      </c>
      <c r="V25" s="262">
        <v>6.1</v>
      </c>
      <c r="W25" s="10">
        <f>(Table8[[#This Row],[£/Tonne]]/1000)*Table8[[#This Row],[KG/M]]*Table8[[#This Row],[Normal Length]]</f>
        <v>0</v>
      </c>
      <c r="Y25" s="18">
        <f>Table8[[#This Row],[£/ Length]]*(1+Y$2)</f>
        <v>0</v>
      </c>
      <c r="Z25" s="18">
        <f>Table8[[#This Row],[£/ Length]]*(1+Z$2)</f>
        <v>0</v>
      </c>
      <c r="AA25" s="18">
        <f>Table8[[#This Row],[£/ Length]]*(1+AA$2)</f>
        <v>0</v>
      </c>
      <c r="AB25" s="18">
        <f>Table8[[#This Row],[£/ Length]]*(1+AB$2)</f>
        <v>0</v>
      </c>
    </row>
    <row r="26" spans="1:28" ht="25.35" customHeight="1">
      <c r="A26" s="7" t="s">
        <v>66</v>
      </c>
      <c r="B26" s="7" t="str">
        <f t="shared" si="0"/>
        <v>EA_100_100_10</v>
      </c>
      <c r="C26" s="7" t="str">
        <f t="shared" si="3"/>
        <v>EA_100_100_10 @ 15Kg/m</v>
      </c>
      <c r="D26" s="7" t="s">
        <v>511</v>
      </c>
      <c r="E26" s="7" t="s">
        <v>511</v>
      </c>
      <c r="F26" s="7" t="s">
        <v>322</v>
      </c>
      <c r="G26" s="36">
        <v>15</v>
      </c>
      <c r="H26" s="139"/>
      <c r="I26" s="9"/>
      <c r="J26" s="140"/>
      <c r="K26" s="139"/>
      <c r="L26" s="9"/>
      <c r="M26" s="140"/>
      <c r="N26" s="139"/>
      <c r="O26" s="9"/>
      <c r="P26" s="140"/>
      <c r="Q26" s="37">
        <f t="shared" si="2"/>
        <v>0</v>
      </c>
      <c r="R26" s="38">
        <f>Table8[[#This Row],[Total Metres]]*Table8[[#This Row],[£Cost /m]]</f>
        <v>0</v>
      </c>
      <c r="S26" s="9"/>
      <c r="T26" s="10">
        <v>580</v>
      </c>
      <c r="U26" s="39">
        <f>(Table8[[#This Row],[£/Tonne]]/1000)*Table8[[#This Row],[KG/M]]</f>
        <v>8.6999999999999993</v>
      </c>
      <c r="V26" s="262">
        <v>6.1</v>
      </c>
      <c r="W26" s="10">
        <f>(Table8[[#This Row],[£/Tonne]]/1000)*Table8[[#This Row],[KG/M]]*Table8[[#This Row],[Normal Length]]</f>
        <v>53.069999999999993</v>
      </c>
      <c r="Y26" s="18">
        <f>Table8[[#This Row],[£/ Length]]*(1+Y$2)</f>
        <v>68.991</v>
      </c>
      <c r="Z26" s="18">
        <f>Table8[[#This Row],[£/ Length]]*(1+Z$2)</f>
        <v>71.644499999999994</v>
      </c>
      <c r="AA26" s="18">
        <f>Table8[[#This Row],[£/ Length]]*(1+AA$2)</f>
        <v>74.297999999999988</v>
      </c>
      <c r="AB26" s="18">
        <f>Table8[[#This Row],[£/ Length]]*(1+AB$2)</f>
        <v>79.60499999999999</v>
      </c>
    </row>
    <row r="27" spans="1:28" ht="25.35" customHeight="1">
      <c r="A27" s="7" t="s">
        <v>66</v>
      </c>
      <c r="B27" s="7" t="str">
        <f t="shared" si="0"/>
        <v>EA_100_100_12</v>
      </c>
      <c r="C27" s="7" t="str">
        <f t="shared" si="3"/>
        <v>EA_100_100_12 @ 17.8Kg/m</v>
      </c>
      <c r="D27" s="7" t="s">
        <v>511</v>
      </c>
      <c r="E27" s="7" t="s">
        <v>511</v>
      </c>
      <c r="F27" s="7" t="s">
        <v>327</v>
      </c>
      <c r="G27" s="36">
        <v>17.8</v>
      </c>
      <c r="H27" s="139">
        <v>1.4</v>
      </c>
      <c r="I27" s="9">
        <v>4</v>
      </c>
      <c r="J27" s="140" t="s">
        <v>422</v>
      </c>
      <c r="K27" s="139">
        <v>6.1</v>
      </c>
      <c r="L27" s="9">
        <v>16</v>
      </c>
      <c r="M27" s="140" t="s">
        <v>255</v>
      </c>
      <c r="N27" s="139">
        <v>4.5999999999999996</v>
      </c>
      <c r="O27" s="9">
        <v>9</v>
      </c>
      <c r="P27" s="140" t="s">
        <v>255</v>
      </c>
      <c r="Q27" s="37">
        <f t="shared" si="2"/>
        <v>144.6</v>
      </c>
      <c r="R27" s="38">
        <f>Table8[[#This Row],[Total Metres]]*Table8[[#This Row],[£Cost /m]]</f>
        <v>1544.328</v>
      </c>
      <c r="S27" s="9"/>
      <c r="T27" s="10">
        <v>600</v>
      </c>
      <c r="U27" s="39">
        <f>(Table8[[#This Row],[£/Tonne]]/1000)*Table8[[#This Row],[KG/M]]</f>
        <v>10.68</v>
      </c>
      <c r="V27" s="262">
        <v>6.1</v>
      </c>
      <c r="W27" s="10">
        <f>(Table8[[#This Row],[£/Tonne]]/1000)*Table8[[#This Row],[KG/M]]*Table8[[#This Row],[Normal Length]]</f>
        <v>65.147999999999996</v>
      </c>
      <c r="Y27" s="18">
        <f>Table8[[#This Row],[£/ Length]]*(1+Y$2)</f>
        <v>84.692399999999992</v>
      </c>
      <c r="Z27" s="18">
        <f>Table8[[#This Row],[£/ Length]]*(1+Z$2)</f>
        <v>87.949799999999996</v>
      </c>
      <c r="AA27" s="18">
        <f>Table8[[#This Row],[£/ Length]]*(1+AA$2)</f>
        <v>91.207199999999986</v>
      </c>
      <c r="AB27" s="18">
        <f>Table8[[#This Row],[£/ Length]]*(1+AB$2)</f>
        <v>97.721999999999994</v>
      </c>
    </row>
    <row r="28" spans="1:28" ht="25.35" customHeight="1">
      <c r="A28" s="7" t="s">
        <v>66</v>
      </c>
      <c r="B28" s="7" t="str">
        <f t="shared" si="0"/>
        <v>EA_120_120_8</v>
      </c>
      <c r="C28" s="7" t="str">
        <f t="shared" si="3"/>
        <v>EA_120_120_8 @ 14.7Kg/m</v>
      </c>
      <c r="D28" s="7" t="s">
        <v>515</v>
      </c>
      <c r="E28" s="7" t="s">
        <v>515</v>
      </c>
      <c r="F28" s="7" t="s">
        <v>510</v>
      </c>
      <c r="G28" s="36">
        <v>14.7</v>
      </c>
      <c r="H28" s="139"/>
      <c r="I28" s="9"/>
      <c r="J28" s="140"/>
      <c r="K28" s="139"/>
      <c r="L28" s="9"/>
      <c r="M28" s="140"/>
      <c r="N28" s="139"/>
      <c r="O28" s="9"/>
      <c r="P28" s="140"/>
      <c r="Q28" s="37">
        <f t="shared" si="2"/>
        <v>0</v>
      </c>
      <c r="R28" s="38">
        <f>Table8[[#This Row],[Total Metres]]*Table8[[#This Row],[£Cost /m]]</f>
        <v>0</v>
      </c>
      <c r="S28" s="9"/>
      <c r="T28" s="10">
        <v>600</v>
      </c>
      <c r="U28" s="39">
        <f>(Table8[[#This Row],[£/Tonne]]/1000)*Table8[[#This Row],[KG/M]]</f>
        <v>8.8199999999999985</v>
      </c>
      <c r="V28" s="262">
        <v>12.1</v>
      </c>
      <c r="W28" s="10">
        <f>(Table8[[#This Row],[£/Tonne]]/1000)*Table8[[#This Row],[KG/M]]*Table8[[#This Row],[Normal Length]]</f>
        <v>106.72199999999998</v>
      </c>
      <c r="Y28" s="18">
        <f>Table8[[#This Row],[£/ Length]]*(1+Y$2)</f>
        <v>138.73859999999999</v>
      </c>
      <c r="Z28" s="18">
        <f>Table8[[#This Row],[£/ Length]]*(1+Z$2)</f>
        <v>144.07469999999998</v>
      </c>
      <c r="AA28" s="18">
        <f>Table8[[#This Row],[£/ Length]]*(1+AA$2)</f>
        <v>149.41079999999997</v>
      </c>
      <c r="AB28" s="18">
        <f>Table8[[#This Row],[£/ Length]]*(1+AB$2)</f>
        <v>160.08299999999997</v>
      </c>
    </row>
    <row r="29" spans="1:28" ht="25.35" customHeight="1">
      <c r="A29" s="7" t="s">
        <v>66</v>
      </c>
      <c r="B29" s="7" t="str">
        <f t="shared" si="0"/>
        <v>EA_120_120_12</v>
      </c>
      <c r="C29" s="7" t="str">
        <f t="shared" si="3"/>
        <v>EA_120_120_12 @ 21.6Kg/m</v>
      </c>
      <c r="D29" s="7" t="s">
        <v>515</v>
      </c>
      <c r="E29" s="7" t="s">
        <v>515</v>
      </c>
      <c r="F29" s="7" t="s">
        <v>327</v>
      </c>
      <c r="G29" s="36">
        <v>21.6</v>
      </c>
      <c r="H29" s="139"/>
      <c r="I29" s="9"/>
      <c r="J29" s="140"/>
      <c r="K29" s="139"/>
      <c r="L29" s="9"/>
      <c r="M29" s="140"/>
      <c r="N29" s="139"/>
      <c r="O29" s="9"/>
      <c r="P29" s="140"/>
      <c r="Q29" s="37">
        <f t="shared" si="2"/>
        <v>0</v>
      </c>
      <c r="R29" s="38">
        <f>Table8[[#This Row],[Total Metres]]*Table8[[#This Row],[£Cost /m]]</f>
        <v>0</v>
      </c>
      <c r="S29" s="9"/>
      <c r="T29" s="10"/>
      <c r="U29" s="39">
        <f>(Table8[[#This Row],[£/Tonne]]/1000)*Table8[[#This Row],[KG/M]]</f>
        <v>0</v>
      </c>
      <c r="V29" s="262">
        <v>12.1</v>
      </c>
      <c r="W29" s="10">
        <f>(Table8[[#This Row],[£/Tonne]]/1000)*Table8[[#This Row],[KG/M]]*Table8[[#This Row],[Normal Length]]</f>
        <v>0</v>
      </c>
      <c r="Y29" s="18">
        <f>Table8[[#This Row],[£/ Length]]*(1+Y$2)</f>
        <v>0</v>
      </c>
      <c r="Z29" s="18">
        <f>Table8[[#This Row],[£/ Length]]*(1+Z$2)</f>
        <v>0</v>
      </c>
      <c r="AA29" s="18">
        <f>Table8[[#This Row],[£/ Length]]*(1+AA$2)</f>
        <v>0</v>
      </c>
      <c r="AB29" s="18">
        <f>Table8[[#This Row],[£/ Length]]*(1+AB$2)</f>
        <v>0</v>
      </c>
    </row>
    <row r="30" spans="1:28" ht="25.35" customHeight="1">
      <c r="A30" s="7" t="s">
        <v>66</v>
      </c>
      <c r="B30" s="7" t="str">
        <f t="shared" si="0"/>
        <v>EA_130_130_15</v>
      </c>
      <c r="C30" s="7" t="str">
        <f t="shared" si="3"/>
        <v>EA_130_130_15 @ 29.13Kg/m</v>
      </c>
      <c r="D30" s="7" t="s">
        <v>516</v>
      </c>
      <c r="E30" s="7" t="s">
        <v>516</v>
      </c>
      <c r="F30" s="7" t="s">
        <v>521</v>
      </c>
      <c r="G30" s="36">
        <v>29.13</v>
      </c>
      <c r="H30" s="139"/>
      <c r="I30" s="9"/>
      <c r="J30" s="140"/>
      <c r="K30" s="139"/>
      <c r="L30" s="9"/>
      <c r="M30" s="140"/>
      <c r="N30" s="139"/>
      <c r="O30" s="9"/>
      <c r="P30" s="140"/>
      <c r="Q30" s="37">
        <f t="shared" si="2"/>
        <v>0</v>
      </c>
      <c r="R30" s="38">
        <f>Table8[[#This Row],[Total Metres]]*Table8[[#This Row],[£Cost /m]]</f>
        <v>0</v>
      </c>
      <c r="S30" s="9"/>
      <c r="T30" s="10"/>
      <c r="U30" s="39">
        <f>(Table8[[#This Row],[£/Tonne]]/1000)*Table8[[#This Row],[KG/M]]</f>
        <v>0</v>
      </c>
      <c r="V30" s="262">
        <v>12.1</v>
      </c>
      <c r="W30" s="10">
        <f>(Table8[[#This Row],[£/Tonne]]/1000)*Table8[[#This Row],[KG/M]]*Table8[[#This Row],[Normal Length]]</f>
        <v>0</v>
      </c>
      <c r="Y30" s="18">
        <f>Table8[[#This Row],[£/ Length]]*(1+Y$2)</f>
        <v>0</v>
      </c>
      <c r="Z30" s="18">
        <f>Table8[[#This Row],[£/ Length]]*(1+Z$2)</f>
        <v>0</v>
      </c>
      <c r="AA30" s="18">
        <f>Table8[[#This Row],[£/ Length]]*(1+AA$2)</f>
        <v>0</v>
      </c>
      <c r="AB30" s="18">
        <f>Table8[[#This Row],[£/ Length]]*(1+AB$2)</f>
        <v>0</v>
      </c>
    </row>
    <row r="31" spans="1:28" ht="25.35" customHeight="1">
      <c r="A31" s="7" t="s">
        <v>66</v>
      </c>
      <c r="B31" s="7" t="str">
        <f t="shared" ref="B31:B50" si="4">_xlfn.CONCAT(A31,"_",D31,"_",E31,"_",F31)</f>
        <v>EA_150_150_10</v>
      </c>
      <c r="C31" s="7" t="str">
        <f t="shared" si="3"/>
        <v>EA_150_150_10 @ 23Kg/m</v>
      </c>
      <c r="D31" s="7" t="s">
        <v>517</v>
      </c>
      <c r="E31" s="7" t="s">
        <v>517</v>
      </c>
      <c r="F31" s="7" t="s">
        <v>322</v>
      </c>
      <c r="G31" s="36">
        <v>23</v>
      </c>
      <c r="H31" s="139"/>
      <c r="I31" s="9"/>
      <c r="J31" s="140"/>
      <c r="K31" s="139"/>
      <c r="L31" s="9"/>
      <c r="M31" s="140"/>
      <c r="N31" s="139"/>
      <c r="O31" s="9"/>
      <c r="P31" s="140"/>
      <c r="Q31" s="37">
        <f t="shared" si="2"/>
        <v>0</v>
      </c>
      <c r="R31" s="38">
        <f>Table8[[#This Row],[Total Metres]]*Table8[[#This Row],[£Cost /m]]</f>
        <v>0</v>
      </c>
      <c r="S31" s="9"/>
      <c r="T31" s="10">
        <v>315</v>
      </c>
      <c r="U31" s="39">
        <f>(Table8[[#This Row],[£/Tonne]]/1000)*Table8[[#This Row],[KG/M]]</f>
        <v>7.2450000000000001</v>
      </c>
      <c r="V31" s="262">
        <v>12.1</v>
      </c>
      <c r="W31" s="10">
        <f>(Table8[[#This Row],[£/Tonne]]/1000)*Table8[[#This Row],[KG/M]]*Table8[[#This Row],[Normal Length]]</f>
        <v>87.664500000000004</v>
      </c>
      <c r="Y31" s="18">
        <f>Table8[[#This Row],[£/ Length]]*(1+Y$2)</f>
        <v>113.96385000000001</v>
      </c>
      <c r="Z31" s="18">
        <f>Table8[[#This Row],[£/ Length]]*(1+Z$2)</f>
        <v>118.34707500000002</v>
      </c>
      <c r="AA31" s="18">
        <f>Table8[[#This Row],[£/ Length]]*(1+AA$2)</f>
        <v>122.7303</v>
      </c>
      <c r="AB31" s="18">
        <f>Table8[[#This Row],[£/ Length]]*(1+AB$2)</f>
        <v>131.49675000000002</v>
      </c>
    </row>
    <row r="32" spans="1:28" ht="25.35" customHeight="1">
      <c r="A32" s="7" t="s">
        <v>66</v>
      </c>
      <c r="B32" s="7" t="str">
        <f t="shared" si="4"/>
        <v>EA_150_150_12</v>
      </c>
      <c r="C32" s="7" t="str">
        <f t="shared" si="3"/>
        <v>EA_150_150_12 @ 27.3Kg/m</v>
      </c>
      <c r="D32" s="7" t="s">
        <v>517</v>
      </c>
      <c r="E32" s="7" t="s">
        <v>517</v>
      </c>
      <c r="F32" s="7" t="s">
        <v>327</v>
      </c>
      <c r="G32" s="9">
        <v>27.3</v>
      </c>
      <c r="H32" s="139">
        <v>2.5</v>
      </c>
      <c r="I32" s="9">
        <v>1</v>
      </c>
      <c r="J32" s="140" t="s">
        <v>422</v>
      </c>
      <c r="K32" s="139"/>
      <c r="L32" s="9"/>
      <c r="M32" s="140"/>
      <c r="N32" s="139"/>
      <c r="O32" s="9"/>
      <c r="P32" s="140"/>
      <c r="Q32" s="37">
        <f t="shared" si="2"/>
        <v>2.5</v>
      </c>
      <c r="R32" s="38">
        <f>Table8[[#This Row],[Total Metres]]*Table8[[#This Row],[£Cost /m]]</f>
        <v>21.498750000000001</v>
      </c>
      <c r="S32" s="9"/>
      <c r="T32" s="10">
        <v>315</v>
      </c>
      <c r="U32" s="39">
        <f>(Table8[[#This Row],[£/Tonne]]/1000)*Table8[[#This Row],[KG/M]]</f>
        <v>8.5995000000000008</v>
      </c>
      <c r="V32" s="262">
        <v>12.1</v>
      </c>
      <c r="W32" s="10">
        <f>(Table8[[#This Row],[£/Tonne]]/1000)*Table8[[#This Row],[KG/M]]*Table8[[#This Row],[Normal Length]]</f>
        <v>104.05395</v>
      </c>
      <c r="Y32" s="18">
        <f>Table8[[#This Row],[£/ Length]]*(1+Y$2)</f>
        <v>135.27013500000001</v>
      </c>
      <c r="Z32" s="18">
        <f>Table8[[#This Row],[£/ Length]]*(1+Z$2)</f>
        <v>140.47283250000001</v>
      </c>
      <c r="AA32" s="18">
        <f>Table8[[#This Row],[£/ Length]]*(1+AA$2)</f>
        <v>145.67552999999998</v>
      </c>
      <c r="AB32" s="18">
        <f>Table8[[#This Row],[£/ Length]]*(1+AB$2)</f>
        <v>156.08092500000001</v>
      </c>
    </row>
    <row r="33" spans="1:28" ht="25.35" customHeight="1">
      <c r="B33" s="7" t="str">
        <f t="shared" si="4"/>
        <v>_UNEQUAL ANGLES__</v>
      </c>
      <c r="C33" s="7" t="str">
        <f t="shared" si="3"/>
        <v>_UNEQUAL ANGLES__ @ 0Kg/m</v>
      </c>
      <c r="D33" s="8" t="s">
        <v>532</v>
      </c>
      <c r="F33" s="8"/>
      <c r="G33" s="9"/>
      <c r="H33" s="139"/>
      <c r="I33" s="9"/>
      <c r="J33" s="140"/>
      <c r="K33" s="139"/>
      <c r="L33" s="9"/>
      <c r="M33" s="140"/>
      <c r="N33" s="139"/>
      <c r="O33" s="9"/>
      <c r="P33" s="140"/>
      <c r="Q33" s="37">
        <f t="shared" si="2"/>
        <v>0</v>
      </c>
      <c r="R33" s="38">
        <f>Table8[[#This Row],[Total Metres]]*Table8[[#This Row],[£Cost /m]]</f>
        <v>0</v>
      </c>
      <c r="S33" s="9"/>
      <c r="T33" s="10"/>
      <c r="U33" s="39">
        <f>(Table8[[#This Row],[£/Tonne]]/1000)*Table8[[#This Row],[KG/M]]</f>
        <v>0</v>
      </c>
      <c r="V33" s="262">
        <v>6.1</v>
      </c>
      <c r="W33" s="10">
        <f>(Table8[[#This Row],[£/Tonne]]/1000)*Table8[[#This Row],[KG/M]]*Table8[[#This Row],[Normal Length]]</f>
        <v>0</v>
      </c>
      <c r="Y33" s="18">
        <f>Table8[[#This Row],[£/ Length]]*(1+Y$2)</f>
        <v>0</v>
      </c>
      <c r="Z33" s="18">
        <f>Table8[[#This Row],[£/ Length]]*(1+Z$2)</f>
        <v>0</v>
      </c>
      <c r="AA33" s="18">
        <f>Table8[[#This Row],[£/ Length]]*(1+AA$2)</f>
        <v>0</v>
      </c>
      <c r="AB33" s="18">
        <f>Table8[[#This Row],[£/ Length]]*(1+AB$2)</f>
        <v>0</v>
      </c>
    </row>
    <row r="34" spans="1:28" ht="25.35" customHeight="1">
      <c r="A34" s="7" t="s">
        <v>69</v>
      </c>
      <c r="B34" s="7" t="str">
        <f t="shared" si="4"/>
        <v>UA_75_50_6</v>
      </c>
      <c r="C34" s="7" t="str">
        <f t="shared" si="3"/>
        <v>UA_75_50_6 @ 5.65Kg/m</v>
      </c>
      <c r="D34" s="7" t="s">
        <v>508</v>
      </c>
      <c r="E34" s="7" t="s">
        <v>506</v>
      </c>
      <c r="F34" s="7" t="s">
        <v>505</v>
      </c>
      <c r="G34" s="36">
        <v>5.65</v>
      </c>
      <c r="H34" s="139">
        <v>6.1</v>
      </c>
      <c r="I34" s="9">
        <v>2.5</v>
      </c>
      <c r="J34" s="140" t="s">
        <v>422</v>
      </c>
      <c r="K34" s="139"/>
      <c r="L34" s="9"/>
      <c r="M34" s="140"/>
      <c r="N34" s="139"/>
      <c r="O34" s="9"/>
      <c r="P34" s="140"/>
      <c r="Q34" s="37">
        <f t="shared" si="2"/>
        <v>15.25</v>
      </c>
      <c r="R34" s="38">
        <f>Table8[[#This Row],[Total Metres]]*Table8[[#This Row],[£Cost /m]]</f>
        <v>58.159687500000011</v>
      </c>
      <c r="S34" s="9"/>
      <c r="T34" s="10">
        <v>675</v>
      </c>
      <c r="U34" s="39">
        <f>(Table8[[#This Row],[£/Tonne]]/1000)*Table8[[#This Row],[KG/M]]</f>
        <v>3.8137500000000006</v>
      </c>
      <c r="V34" s="262">
        <v>6.1</v>
      </c>
      <c r="W34" s="10">
        <f>(Table8[[#This Row],[£/Tonne]]/1000)*Table8[[#This Row],[KG/M]]*Table8[[#This Row],[Normal Length]]</f>
        <v>23.263875000000002</v>
      </c>
      <c r="Y34" s="18">
        <f>Table8[[#This Row],[£/ Length]]*(1+Y$2)</f>
        <v>30.243037500000003</v>
      </c>
      <c r="Z34" s="18">
        <f>Table8[[#This Row],[£/ Length]]*(1+Z$2)</f>
        <v>31.406231250000005</v>
      </c>
      <c r="AA34" s="18">
        <f>Table8[[#This Row],[£/ Length]]*(1+AA$2)</f>
        <v>32.569425000000003</v>
      </c>
      <c r="AB34" s="18">
        <f>Table8[[#This Row],[£/ Length]]*(1+AB$2)</f>
        <v>34.895812500000005</v>
      </c>
    </row>
    <row r="35" spans="1:28" ht="25.35" customHeight="1">
      <c r="A35" s="7" t="s">
        <v>69</v>
      </c>
      <c r="B35" s="7" t="str">
        <f t="shared" si="4"/>
        <v>UA_75_70_6</v>
      </c>
      <c r="C35" s="7" t="str">
        <f t="shared" si="3"/>
        <v>UA_75_70_6 @ 6.38Kg/m</v>
      </c>
      <c r="D35" s="7" t="s">
        <v>508</v>
      </c>
      <c r="E35" s="7" t="s">
        <v>531</v>
      </c>
      <c r="F35" s="7" t="s">
        <v>505</v>
      </c>
      <c r="G35" s="36">
        <v>6.38</v>
      </c>
      <c r="H35" s="139"/>
      <c r="I35" s="9"/>
      <c r="J35" s="140"/>
      <c r="K35" s="139"/>
      <c r="L35" s="9"/>
      <c r="M35" s="140"/>
      <c r="N35" s="139"/>
      <c r="O35" s="9"/>
      <c r="P35" s="140"/>
      <c r="Q35" s="37">
        <f t="shared" si="2"/>
        <v>0</v>
      </c>
      <c r="R35" s="38">
        <f>Table8[[#This Row],[Total Metres]]*Table8[[#This Row],[£Cost /m]]</f>
        <v>0</v>
      </c>
      <c r="S35" s="9"/>
      <c r="T35" s="10"/>
      <c r="U35" s="39">
        <f>(Table8[[#This Row],[£/Tonne]]/1000)*Table8[[#This Row],[KG/M]]</f>
        <v>0</v>
      </c>
      <c r="V35" s="262">
        <v>6.1</v>
      </c>
      <c r="W35" s="10">
        <f>(Table8[[#This Row],[£/Tonne]]/1000)*Table8[[#This Row],[KG/M]]*Table8[[#This Row],[Normal Length]]</f>
        <v>0</v>
      </c>
      <c r="Y35" s="18">
        <f>Table8[[#This Row],[£/ Length]]*(1+Y$2)</f>
        <v>0</v>
      </c>
      <c r="Z35" s="18">
        <f>Table8[[#This Row],[£/ Length]]*(1+Z$2)</f>
        <v>0</v>
      </c>
      <c r="AA35" s="18">
        <f>Table8[[#This Row],[£/ Length]]*(1+AA$2)</f>
        <v>0</v>
      </c>
      <c r="AB35" s="18">
        <f>Table8[[#This Row],[£/ Length]]*(1+AB$2)</f>
        <v>0</v>
      </c>
    </row>
    <row r="36" spans="1:28" ht="25.35" customHeight="1">
      <c r="A36" s="7" t="s">
        <v>69</v>
      </c>
      <c r="B36" s="7" t="str">
        <f t="shared" si="4"/>
        <v>UA_100_65_ 7</v>
      </c>
      <c r="C36" s="7" t="str">
        <f t="shared" si="3"/>
        <v>UA_100_65_ 7 @ 8.77Kg/m</v>
      </c>
      <c r="D36" s="7" t="s">
        <v>511</v>
      </c>
      <c r="E36" s="7" t="s">
        <v>507</v>
      </c>
      <c r="F36" s="7" t="s">
        <v>533</v>
      </c>
      <c r="G36" s="36">
        <v>8.77</v>
      </c>
      <c r="H36" s="139"/>
      <c r="I36" s="9"/>
      <c r="J36" s="140"/>
      <c r="K36" s="139"/>
      <c r="L36" s="9"/>
      <c r="M36" s="140"/>
      <c r="N36" s="139"/>
      <c r="O36" s="9"/>
      <c r="P36" s="140"/>
      <c r="Q36" s="37">
        <f t="shared" si="2"/>
        <v>0</v>
      </c>
      <c r="R36" s="38">
        <f>Table8[[#This Row],[Total Metres]]*Table8[[#This Row],[£Cost /m]]</f>
        <v>0</v>
      </c>
      <c r="S36" s="9"/>
      <c r="T36" s="10"/>
      <c r="U36" s="39">
        <f>(Table8[[#This Row],[£/Tonne]]/1000)*Table8[[#This Row],[KG/M]]</f>
        <v>0</v>
      </c>
      <c r="V36" s="262">
        <v>6.1</v>
      </c>
      <c r="W36" s="10">
        <f>(Table8[[#This Row],[£/Tonne]]/1000)*Table8[[#This Row],[KG/M]]*Table8[[#This Row],[Normal Length]]</f>
        <v>0</v>
      </c>
      <c r="Y36" s="18">
        <f>Table8[[#This Row],[£/ Length]]*(1+Y$2)</f>
        <v>0</v>
      </c>
      <c r="Z36" s="18">
        <f>Table8[[#This Row],[£/ Length]]*(1+Z$2)</f>
        <v>0</v>
      </c>
      <c r="AA36" s="18">
        <f>Table8[[#This Row],[£/ Length]]*(1+AA$2)</f>
        <v>0</v>
      </c>
      <c r="AB36" s="18">
        <f>Table8[[#This Row],[£/ Length]]*(1+AB$2)</f>
        <v>0</v>
      </c>
    </row>
    <row r="37" spans="1:28" ht="25.35" customHeight="1">
      <c r="A37" s="7" t="s">
        <v>69</v>
      </c>
      <c r="B37" s="7" t="str">
        <f t="shared" si="4"/>
        <v>UA_100_75_ 8</v>
      </c>
      <c r="C37" s="7" t="str">
        <f t="shared" si="3"/>
        <v>UA_100_75_ 8 @ 10.6Kg/m</v>
      </c>
      <c r="D37" s="7" t="s">
        <v>511</v>
      </c>
      <c r="E37" s="7" t="s">
        <v>508</v>
      </c>
      <c r="F37" s="7" t="s">
        <v>534</v>
      </c>
      <c r="G37" s="36">
        <v>10.6</v>
      </c>
      <c r="H37" s="139">
        <v>4</v>
      </c>
      <c r="I37" s="9">
        <v>2</v>
      </c>
      <c r="J37" s="140" t="s">
        <v>422</v>
      </c>
      <c r="K37" s="139"/>
      <c r="L37" s="9"/>
      <c r="M37" s="140"/>
      <c r="N37" s="139"/>
      <c r="O37" s="9"/>
      <c r="P37" s="140"/>
      <c r="Q37" s="37">
        <f t="shared" si="2"/>
        <v>8</v>
      </c>
      <c r="R37" s="38">
        <f>Table8[[#This Row],[Total Metres]]*Table8[[#This Row],[£Cost /m]]</f>
        <v>40.704000000000001</v>
      </c>
      <c r="S37" s="9"/>
      <c r="T37" s="10">
        <v>480</v>
      </c>
      <c r="U37" s="39">
        <f>(Table8[[#This Row],[£/Tonne]]/1000)*Table8[[#This Row],[KG/M]]</f>
        <v>5.0880000000000001</v>
      </c>
      <c r="V37" s="262">
        <v>6.1</v>
      </c>
      <c r="W37" s="10">
        <f>(Table8[[#This Row],[£/Tonne]]/1000)*Table8[[#This Row],[KG/M]]*Table8[[#This Row],[Normal Length]]</f>
        <v>31.036799999999999</v>
      </c>
      <c r="Y37" s="18">
        <f>Table8[[#This Row],[£/ Length]]*(1+Y$2)</f>
        <v>40.347839999999998</v>
      </c>
      <c r="Z37" s="18">
        <f>Table8[[#This Row],[£/ Length]]*(1+Z$2)</f>
        <v>41.899680000000004</v>
      </c>
      <c r="AA37" s="18">
        <f>Table8[[#This Row],[£/ Length]]*(1+AA$2)</f>
        <v>43.451519999999995</v>
      </c>
      <c r="AB37" s="18">
        <f>Table8[[#This Row],[£/ Length]]*(1+AB$2)</f>
        <v>46.555199999999999</v>
      </c>
    </row>
    <row r="38" spans="1:28" ht="25.35" customHeight="1">
      <c r="A38" s="7" t="s">
        <v>69</v>
      </c>
      <c r="B38" s="7" t="str">
        <f t="shared" si="4"/>
        <v>UA_100_75_10</v>
      </c>
      <c r="C38" s="7" t="str">
        <f t="shared" si="3"/>
        <v>UA_100_75_10 @ 13Kg/m</v>
      </c>
      <c r="D38" s="7" t="s">
        <v>511</v>
      </c>
      <c r="E38" s="7" t="s">
        <v>508</v>
      </c>
      <c r="F38" s="7" t="s">
        <v>322</v>
      </c>
      <c r="G38" s="36">
        <v>13</v>
      </c>
      <c r="H38" s="139"/>
      <c r="I38" s="9"/>
      <c r="J38" s="140"/>
      <c r="K38" s="139"/>
      <c r="L38" s="9"/>
      <c r="M38" s="140"/>
      <c r="N38" s="139"/>
      <c r="O38" s="9"/>
      <c r="P38" s="140"/>
      <c r="Q38" s="37">
        <f t="shared" si="2"/>
        <v>0</v>
      </c>
      <c r="R38" s="38">
        <f>Table8[[#This Row],[Total Metres]]*Table8[[#This Row],[£Cost /m]]</f>
        <v>0</v>
      </c>
      <c r="S38" s="9"/>
      <c r="T38" s="10"/>
      <c r="U38" s="39">
        <f>(Table8[[#This Row],[£/Tonne]]/1000)*Table8[[#This Row],[KG/M]]</f>
        <v>0</v>
      </c>
      <c r="V38" s="262">
        <v>6.1</v>
      </c>
      <c r="W38" s="10">
        <f>(Table8[[#This Row],[£/Tonne]]/1000)*Table8[[#This Row],[KG/M]]*Table8[[#This Row],[Normal Length]]</f>
        <v>0</v>
      </c>
      <c r="Y38" s="18">
        <f>Table8[[#This Row],[£/ Length]]*(1+Y$2)</f>
        <v>0</v>
      </c>
      <c r="Z38" s="18">
        <f>Table8[[#This Row],[£/ Length]]*(1+Z$2)</f>
        <v>0</v>
      </c>
      <c r="AA38" s="18">
        <f>Table8[[#This Row],[£/ Length]]*(1+AA$2)</f>
        <v>0</v>
      </c>
      <c r="AB38" s="18">
        <f>Table8[[#This Row],[£/ Length]]*(1+AB$2)</f>
        <v>0</v>
      </c>
    </row>
    <row r="39" spans="1:28" ht="25.35" customHeight="1">
      <c r="A39" s="7" t="s">
        <v>69</v>
      </c>
      <c r="B39" s="7" t="str">
        <f t="shared" si="4"/>
        <v>UA_125_75_ 8</v>
      </c>
      <c r="C39" s="7" t="str">
        <f t="shared" si="3"/>
        <v>UA_125_75_ 8 @ 12.2Kg/m</v>
      </c>
      <c r="D39" s="7" t="s">
        <v>535</v>
      </c>
      <c r="E39" s="7" t="s">
        <v>508</v>
      </c>
      <c r="F39" s="7" t="s">
        <v>534</v>
      </c>
      <c r="G39" s="36">
        <v>12.2</v>
      </c>
      <c r="H39" s="139">
        <v>4.9000000000000004</v>
      </c>
      <c r="I39" s="9">
        <v>1</v>
      </c>
      <c r="J39" s="140" t="s">
        <v>422</v>
      </c>
      <c r="K39" s="139"/>
      <c r="L39" s="9"/>
      <c r="M39" s="140"/>
      <c r="N39" s="139"/>
      <c r="O39" s="9"/>
      <c r="P39" s="140"/>
      <c r="Q39" s="37">
        <f t="shared" si="2"/>
        <v>4.9000000000000004</v>
      </c>
      <c r="R39" s="38">
        <f>Table8[[#This Row],[Total Metres]]*Table8[[#This Row],[£Cost /m]]</f>
        <v>38.856999999999999</v>
      </c>
      <c r="S39" s="9"/>
      <c r="T39" s="10">
        <v>650</v>
      </c>
      <c r="U39" s="39">
        <f>(Table8[[#This Row],[£/Tonne]]/1000)*Table8[[#This Row],[KG/M]]</f>
        <v>7.93</v>
      </c>
      <c r="V39" s="262">
        <v>6.1</v>
      </c>
      <c r="W39" s="10">
        <f>(Table8[[#This Row],[£/Tonne]]/1000)*Table8[[#This Row],[KG/M]]*Table8[[#This Row],[Normal Length]]</f>
        <v>48.372999999999998</v>
      </c>
      <c r="Y39" s="18">
        <f>Table8[[#This Row],[£/ Length]]*(1+Y$2)</f>
        <v>62.884900000000002</v>
      </c>
      <c r="Z39" s="18">
        <f>Table8[[#This Row],[£/ Length]]*(1+Z$2)</f>
        <v>65.303550000000001</v>
      </c>
      <c r="AA39" s="18">
        <f>Table8[[#This Row],[£/ Length]]*(1+AA$2)</f>
        <v>67.722199999999987</v>
      </c>
      <c r="AB39" s="18">
        <f>Table8[[#This Row],[£/ Length]]*(1+AB$2)</f>
        <v>72.5595</v>
      </c>
    </row>
    <row r="40" spans="1:28" ht="25.35" customHeight="1">
      <c r="A40" s="7" t="s">
        <v>69</v>
      </c>
      <c r="B40" s="7" t="str">
        <f t="shared" si="4"/>
        <v>UA_125_75_10</v>
      </c>
      <c r="C40" s="7" t="str">
        <f t="shared" si="3"/>
        <v>UA_125_75_10 @ 15Kg/m</v>
      </c>
      <c r="D40" s="7" t="s">
        <v>535</v>
      </c>
      <c r="E40" s="7" t="s">
        <v>508</v>
      </c>
      <c r="F40" s="7" t="s">
        <v>322</v>
      </c>
      <c r="G40" s="36">
        <v>15</v>
      </c>
      <c r="H40" s="139"/>
      <c r="I40" s="9"/>
      <c r="J40" s="140"/>
      <c r="K40" s="139"/>
      <c r="L40" s="9"/>
      <c r="M40" s="140"/>
      <c r="N40" s="139"/>
      <c r="O40" s="9"/>
      <c r="P40" s="140"/>
      <c r="Q40" s="37">
        <f t="shared" si="2"/>
        <v>0</v>
      </c>
      <c r="R40" s="38">
        <f>Table8[[#This Row],[Total Metres]]*Table8[[#This Row],[£Cost /m]]</f>
        <v>0</v>
      </c>
      <c r="S40" s="9"/>
      <c r="T40" s="39"/>
      <c r="U40" s="39">
        <f>(Table8[[#This Row],[£/Tonne]]/1000)*Table8[[#This Row],[KG/M]]</f>
        <v>0</v>
      </c>
      <c r="V40" s="262">
        <v>6.1</v>
      </c>
      <c r="W40" s="10">
        <f>(Table8[[#This Row],[£/Tonne]]/1000)*Table8[[#This Row],[KG/M]]*Table8[[#This Row],[Normal Length]]</f>
        <v>0</v>
      </c>
      <c r="Y40" s="18">
        <f>Table8[[#This Row],[£/ Length]]*(1+Y$2)</f>
        <v>0</v>
      </c>
      <c r="Z40" s="18">
        <f>Table8[[#This Row],[£/ Length]]*(1+Z$2)</f>
        <v>0</v>
      </c>
      <c r="AA40" s="18">
        <f>Table8[[#This Row],[£/ Length]]*(1+AA$2)</f>
        <v>0</v>
      </c>
      <c r="AB40" s="18">
        <f>Table8[[#This Row],[£/ Length]]*(1+AB$2)</f>
        <v>0</v>
      </c>
    </row>
    <row r="41" spans="1:28" ht="25.35" customHeight="1">
      <c r="A41" s="7" t="s">
        <v>69</v>
      </c>
      <c r="B41" s="7" t="str">
        <f t="shared" si="4"/>
        <v>UA_150_75_10</v>
      </c>
      <c r="C41" s="7" t="str">
        <f t="shared" si="3"/>
        <v>UA_150_75_10 @ 17Kg/m</v>
      </c>
      <c r="D41" s="7" t="s">
        <v>517</v>
      </c>
      <c r="E41" s="7" t="s">
        <v>508</v>
      </c>
      <c r="F41" s="7" t="s">
        <v>322</v>
      </c>
      <c r="G41" s="36">
        <v>17</v>
      </c>
      <c r="H41" s="139"/>
      <c r="I41" s="9"/>
      <c r="J41" s="140"/>
      <c r="K41" s="139"/>
      <c r="L41" s="9"/>
      <c r="M41" s="140"/>
      <c r="N41" s="139"/>
      <c r="O41" s="9"/>
      <c r="P41" s="140"/>
      <c r="Q41" s="37">
        <f t="shared" si="2"/>
        <v>0</v>
      </c>
      <c r="R41" s="38">
        <f>Table8[[#This Row],[Total Metres]]*Table8[[#This Row],[£Cost /m]]</f>
        <v>0</v>
      </c>
      <c r="S41" s="9"/>
      <c r="T41" s="39"/>
      <c r="U41" s="39">
        <f>(Table8[[#This Row],[£/Tonne]]/1000)*Table8[[#This Row],[KG/M]]</f>
        <v>0</v>
      </c>
      <c r="V41" s="262">
        <v>6.1</v>
      </c>
      <c r="W41" s="10">
        <f>(Table8[[#This Row],[£/Tonne]]/1000)*Table8[[#This Row],[KG/M]]*Table8[[#This Row],[Normal Length]]</f>
        <v>0</v>
      </c>
      <c r="Y41" s="18">
        <f>Table8[[#This Row],[£/ Length]]*(1+Y$2)</f>
        <v>0</v>
      </c>
      <c r="Z41" s="18">
        <f>Table8[[#This Row],[£/ Length]]*(1+Z$2)</f>
        <v>0</v>
      </c>
      <c r="AA41" s="18">
        <f>Table8[[#This Row],[£/ Length]]*(1+AA$2)</f>
        <v>0</v>
      </c>
      <c r="AB41" s="18">
        <f>Table8[[#This Row],[£/ Length]]*(1+AB$2)</f>
        <v>0</v>
      </c>
    </row>
    <row r="42" spans="1:28" ht="25.35" customHeight="1">
      <c r="A42" s="7" t="s">
        <v>69</v>
      </c>
      <c r="B42" s="7" t="str">
        <f t="shared" si="4"/>
        <v>UA_150_75_12</v>
      </c>
      <c r="C42" s="7" t="str">
        <f t="shared" si="3"/>
        <v>UA_150_75_12 @ 20.2Kg/m</v>
      </c>
      <c r="D42" s="7" t="s">
        <v>517</v>
      </c>
      <c r="E42" s="7" t="s">
        <v>508</v>
      </c>
      <c r="F42" s="7" t="s">
        <v>327</v>
      </c>
      <c r="G42" s="36">
        <v>20.2</v>
      </c>
      <c r="H42" s="139"/>
      <c r="I42" s="9"/>
      <c r="J42" s="140"/>
      <c r="K42" s="139"/>
      <c r="L42" s="9"/>
      <c r="M42" s="140"/>
      <c r="N42" s="139"/>
      <c r="O42" s="9"/>
      <c r="P42" s="140"/>
      <c r="Q42" s="37">
        <f t="shared" si="2"/>
        <v>0</v>
      </c>
      <c r="R42" s="38">
        <f>Table8[[#This Row],[Total Metres]]*Table8[[#This Row],[£Cost /m]]</f>
        <v>0</v>
      </c>
      <c r="S42" s="9"/>
      <c r="T42" s="39"/>
      <c r="U42" s="39">
        <f>(Table8[[#This Row],[£/Tonne]]/1000)*Table8[[#This Row],[KG/M]]</f>
        <v>0</v>
      </c>
      <c r="V42" s="262">
        <v>6.1</v>
      </c>
      <c r="W42" s="10">
        <f>(Table8[[#This Row],[£/Tonne]]/1000)*Table8[[#This Row],[KG/M]]*Table8[[#This Row],[Normal Length]]</f>
        <v>0</v>
      </c>
      <c r="Y42" s="18">
        <f>Table8[[#This Row],[£/ Length]]*(1+Y$2)</f>
        <v>0</v>
      </c>
      <c r="Z42" s="18">
        <f>Table8[[#This Row],[£/ Length]]*(1+Z$2)</f>
        <v>0</v>
      </c>
      <c r="AA42" s="18">
        <f>Table8[[#This Row],[£/ Length]]*(1+AA$2)</f>
        <v>0</v>
      </c>
      <c r="AB42" s="18">
        <f>Table8[[#This Row],[£/ Length]]*(1+AB$2)</f>
        <v>0</v>
      </c>
    </row>
    <row r="43" spans="1:28" ht="25.35" customHeight="1">
      <c r="A43" s="7" t="s">
        <v>69</v>
      </c>
      <c r="B43" s="7" t="str">
        <f t="shared" si="4"/>
        <v>UA_150_90_10</v>
      </c>
      <c r="C43" s="7" t="str">
        <f t="shared" si="3"/>
        <v>UA_150_90_10 @ 18.2Kg/m</v>
      </c>
      <c r="D43" s="7" t="s">
        <v>517</v>
      </c>
      <c r="E43" s="7" t="s">
        <v>514</v>
      </c>
      <c r="F43" s="7" t="s">
        <v>322</v>
      </c>
      <c r="G43" s="36">
        <v>18.2</v>
      </c>
      <c r="H43" s="139">
        <v>10</v>
      </c>
      <c r="I43" s="9">
        <v>1</v>
      </c>
      <c r="J43" s="140" t="s">
        <v>246</v>
      </c>
      <c r="K43" s="139"/>
      <c r="L43" s="9"/>
      <c r="M43" s="140"/>
      <c r="N43" s="139"/>
      <c r="O43" s="9"/>
      <c r="P43" s="140"/>
      <c r="Q43" s="37">
        <f>SUM(H43*I43)+(K43*L43)+(N43*O43)</f>
        <v>10</v>
      </c>
      <c r="R43" s="38">
        <f>Table8[[#This Row],[Total Metres]]*Table8[[#This Row],[£Cost /m]]</f>
        <v>105.55999999999999</v>
      </c>
      <c r="S43" s="9"/>
      <c r="T43" s="10">
        <v>580</v>
      </c>
      <c r="U43" s="39">
        <f>(Table8[[#This Row],[£/Tonne]]/1000)*Table8[[#This Row],[KG/M]]</f>
        <v>10.555999999999999</v>
      </c>
      <c r="V43" s="262">
        <v>6.1</v>
      </c>
      <c r="W43" s="10">
        <f>(Table8[[#This Row],[£/Tonne]]/1000)*Table8[[#This Row],[KG/M]]*Table8[[#This Row],[Normal Length]]</f>
        <v>64.391599999999997</v>
      </c>
      <c r="Y43" s="18">
        <f>Table8[[#This Row],[£/ Length]]*(1+Y$2)</f>
        <v>83.70908</v>
      </c>
      <c r="Z43" s="18">
        <f>Table8[[#This Row],[£/ Length]]*(1+Z$2)</f>
        <v>86.928660000000008</v>
      </c>
      <c r="AA43" s="18">
        <f>Table8[[#This Row],[£/ Length]]*(1+AA$2)</f>
        <v>90.148239999999987</v>
      </c>
      <c r="AB43" s="18">
        <f>Table8[[#This Row],[£/ Length]]*(1+AB$2)</f>
        <v>96.587400000000002</v>
      </c>
    </row>
    <row r="44" spans="1:28" ht="25.35" customHeight="1">
      <c r="A44" s="7" t="s">
        <v>69</v>
      </c>
      <c r="B44" s="7" t="str">
        <f t="shared" si="4"/>
        <v>UA_150_90_12</v>
      </c>
      <c r="C44" s="7" t="str">
        <f t="shared" si="3"/>
        <v>UA_150_90_12 @ 21.6Kg/m</v>
      </c>
      <c r="D44" s="7" t="s">
        <v>517</v>
      </c>
      <c r="E44" s="7" t="s">
        <v>514</v>
      </c>
      <c r="F44" s="7" t="s">
        <v>327</v>
      </c>
      <c r="G44" s="36">
        <v>21.6</v>
      </c>
      <c r="H44" s="139"/>
      <c r="I44" s="9"/>
      <c r="J44" s="140"/>
      <c r="K44" s="139"/>
      <c r="L44" s="9"/>
      <c r="M44" s="140"/>
      <c r="N44" s="139"/>
      <c r="O44" s="9"/>
      <c r="P44" s="140"/>
      <c r="Q44" s="37">
        <f t="shared" si="2"/>
        <v>0</v>
      </c>
      <c r="R44" s="38">
        <f>Table8[[#This Row],[Total Metres]]*Table8[[#This Row],[£Cost /m]]</f>
        <v>0</v>
      </c>
      <c r="S44" s="9"/>
      <c r="T44" s="10"/>
      <c r="U44" s="39">
        <f>(Table8[[#This Row],[£/Tonne]]/1000)*Table8[[#This Row],[KG/M]]</f>
        <v>0</v>
      </c>
      <c r="V44" s="262">
        <v>6.1</v>
      </c>
      <c r="W44" s="10">
        <f>(Table8[[#This Row],[£/Tonne]]/1000)*Table8[[#This Row],[KG/M]]*Table8[[#This Row],[Normal Length]]</f>
        <v>0</v>
      </c>
      <c r="Y44" s="18">
        <f>Table8[[#This Row],[£/ Length]]*(1+Y$2)</f>
        <v>0</v>
      </c>
      <c r="Z44" s="18">
        <f>Table8[[#This Row],[£/ Length]]*(1+Z$2)</f>
        <v>0</v>
      </c>
      <c r="AA44" s="18">
        <f>Table8[[#This Row],[£/ Length]]*(1+AA$2)</f>
        <v>0</v>
      </c>
      <c r="AB44" s="18">
        <f>Table8[[#This Row],[£/ Length]]*(1+AB$2)</f>
        <v>0</v>
      </c>
    </row>
    <row r="45" spans="1:28" ht="25.35" customHeight="1">
      <c r="A45" s="7" t="s">
        <v>69</v>
      </c>
      <c r="B45" s="7" t="str">
        <f t="shared" si="4"/>
        <v>UA_200_100_10</v>
      </c>
      <c r="C45" s="7" t="str">
        <f t="shared" si="3"/>
        <v>UA_200_100_10 @ 23Kg/m</v>
      </c>
      <c r="D45" s="7" t="s">
        <v>512</v>
      </c>
      <c r="E45" s="7" t="s">
        <v>511</v>
      </c>
      <c r="F45" s="7" t="s">
        <v>322</v>
      </c>
      <c r="G45" s="36">
        <v>23</v>
      </c>
      <c r="H45" s="139"/>
      <c r="I45" s="9"/>
      <c r="J45" s="140"/>
      <c r="K45" s="139"/>
      <c r="L45" s="9"/>
      <c r="M45" s="140"/>
      <c r="N45" s="139"/>
      <c r="O45" s="9"/>
      <c r="P45" s="140"/>
      <c r="Q45" s="37">
        <f t="shared" si="2"/>
        <v>0</v>
      </c>
      <c r="R45" s="38">
        <f>Table8[[#This Row],[Total Metres]]*Table8[[#This Row],[£Cost /m]]</f>
        <v>0</v>
      </c>
      <c r="T45" s="10"/>
      <c r="U45" s="39">
        <f>(Table8[[#This Row],[£/Tonne]]/1000)*Table8[[#This Row],[KG/M]]</f>
        <v>0</v>
      </c>
      <c r="V45" s="262">
        <v>6.1</v>
      </c>
      <c r="W45" s="10">
        <f>(Table8[[#This Row],[£/Tonne]]/1000)*Table8[[#This Row],[KG/M]]*Table8[[#This Row],[Normal Length]]</f>
        <v>0</v>
      </c>
      <c r="Y45" s="18">
        <f>Table8[[#This Row],[£/ Length]]*(1+Y$2)</f>
        <v>0</v>
      </c>
      <c r="Z45" s="18">
        <f>Table8[[#This Row],[£/ Length]]*(1+Z$2)</f>
        <v>0</v>
      </c>
      <c r="AA45" s="18">
        <f>Table8[[#This Row],[£/ Length]]*(1+AA$2)</f>
        <v>0</v>
      </c>
      <c r="AB45" s="18">
        <f>Table8[[#This Row],[£/ Length]]*(1+AB$2)</f>
        <v>0</v>
      </c>
    </row>
    <row r="46" spans="1:28" ht="25.35" customHeight="1">
      <c r="A46" s="7" t="s">
        <v>69</v>
      </c>
      <c r="B46" s="7" t="str">
        <f t="shared" si="4"/>
        <v>UA_200_100_12.5</v>
      </c>
      <c r="C46" s="7" t="str">
        <f t="shared" si="3"/>
        <v>UA_200_100_12.5 @ 27.3Kg/m</v>
      </c>
      <c r="D46" s="7" t="s">
        <v>512</v>
      </c>
      <c r="E46" s="7" t="s">
        <v>511</v>
      </c>
      <c r="F46" s="7" t="s">
        <v>536</v>
      </c>
      <c r="G46" s="9">
        <v>27.3</v>
      </c>
      <c r="H46" s="139"/>
      <c r="I46" s="9"/>
      <c r="J46" s="140"/>
      <c r="K46" s="139"/>
      <c r="L46" s="9"/>
      <c r="M46" s="140"/>
      <c r="N46" s="139"/>
      <c r="O46" s="9"/>
      <c r="P46" s="140"/>
      <c r="Q46" s="37">
        <f t="shared" si="2"/>
        <v>0</v>
      </c>
      <c r="R46" s="38">
        <f>Table8[[#This Row],[Total Metres]]*Table8[[#This Row],[£Cost /m]]</f>
        <v>0</v>
      </c>
      <c r="S46" s="9"/>
      <c r="T46" s="10"/>
      <c r="U46" s="39">
        <f>(Table8[[#This Row],[£/Tonne]]/1000)*Table8[[#This Row],[KG/M]]</f>
        <v>0</v>
      </c>
      <c r="V46" s="262">
        <v>12.1</v>
      </c>
      <c r="W46" s="10">
        <f>(Table8[[#This Row],[£/Tonne]]/1000)*Table8[[#This Row],[KG/M]]*Table8[[#This Row],[Normal Length]]</f>
        <v>0</v>
      </c>
      <c r="Y46" s="18">
        <f>Table8[[#This Row],[£/ Length]]*(1+Y$2)</f>
        <v>0</v>
      </c>
      <c r="Z46" s="18">
        <f>Table8[[#This Row],[£/ Length]]*(1+Z$2)</f>
        <v>0</v>
      </c>
      <c r="AA46" s="18">
        <f>Table8[[#This Row],[£/ Length]]*(1+AA$2)</f>
        <v>0</v>
      </c>
      <c r="AB46" s="18">
        <f>Table8[[#This Row],[£/ Length]]*(1+AB$2)</f>
        <v>0</v>
      </c>
    </row>
    <row r="47" spans="1:28" ht="25.35" customHeight="1">
      <c r="A47" s="7" t="s">
        <v>69</v>
      </c>
      <c r="B47" s="7" t="str">
        <f t="shared" si="4"/>
        <v>UA_200_150_12</v>
      </c>
      <c r="C47" s="7" t="str">
        <f t="shared" si="3"/>
        <v>UA_200_150_12 @ 32Kg/m</v>
      </c>
      <c r="D47" s="7" t="s">
        <v>512</v>
      </c>
      <c r="E47" s="7" t="s">
        <v>517</v>
      </c>
      <c r="F47" s="7" t="s">
        <v>327</v>
      </c>
      <c r="G47" s="9">
        <v>32</v>
      </c>
      <c r="H47" s="139"/>
      <c r="I47" s="9"/>
      <c r="J47" s="140"/>
      <c r="K47" s="139"/>
      <c r="L47" s="9"/>
      <c r="M47" s="140"/>
      <c r="N47" s="139"/>
      <c r="O47" s="9"/>
      <c r="P47" s="140"/>
      <c r="Q47" s="37">
        <f t="shared" si="2"/>
        <v>0</v>
      </c>
      <c r="R47" s="38">
        <f>Table8[[#This Row],[Total Metres]]*Table8[[#This Row],[£Cost /m]]</f>
        <v>0</v>
      </c>
      <c r="S47" s="9"/>
      <c r="T47" s="10"/>
      <c r="U47" s="39">
        <f>(Table8[[#This Row],[£/Tonne]]/1000)*Table8[[#This Row],[KG/M]]</f>
        <v>0</v>
      </c>
      <c r="V47" s="262">
        <v>12.1</v>
      </c>
      <c r="W47" s="10">
        <f>(Table8[[#This Row],[£/Tonne]]/1000)*Table8[[#This Row],[KG/M]]*Table8[[#This Row],[Normal Length]]</f>
        <v>0</v>
      </c>
      <c r="Y47" s="18">
        <f>Table8[[#This Row],[£/ Length]]*(1+Y$2)</f>
        <v>0</v>
      </c>
      <c r="Z47" s="18">
        <f>Table8[[#This Row],[£/ Length]]*(1+Z$2)</f>
        <v>0</v>
      </c>
      <c r="AA47" s="18">
        <f>Table8[[#This Row],[£/ Length]]*(1+AA$2)</f>
        <v>0</v>
      </c>
      <c r="AB47" s="18">
        <f>Table8[[#This Row],[£/ Length]]*(1+AB$2)</f>
        <v>0</v>
      </c>
    </row>
    <row r="48" spans="1:28" ht="25.35" customHeight="1">
      <c r="B48" s="7" t="str">
        <f t="shared" si="4"/>
        <v>_T-Bar__</v>
      </c>
      <c r="C48" s="7" t="str">
        <f t="shared" si="3"/>
        <v>_T-Bar__ @ 0Kg/m</v>
      </c>
      <c r="D48" s="8" t="s">
        <v>537</v>
      </c>
      <c r="E48" s="8"/>
      <c r="F48" s="8"/>
      <c r="H48" s="139"/>
      <c r="I48" s="9"/>
      <c r="J48" s="140"/>
      <c r="K48" s="139"/>
      <c r="L48" s="9"/>
      <c r="M48" s="140"/>
      <c r="N48" s="139"/>
      <c r="O48" s="9"/>
      <c r="P48" s="140"/>
      <c r="Q48" s="37">
        <f t="shared" si="2"/>
        <v>0</v>
      </c>
      <c r="R48" s="38">
        <f>Table8[[#This Row],[Total Metres]]*Table8[[#This Row],[£Cost /m]]</f>
        <v>0</v>
      </c>
      <c r="U48" s="39">
        <f>(Table8[[#This Row],[£/Tonne]]/1000)*Table8[[#This Row],[KG/M]]</f>
        <v>0</v>
      </c>
      <c r="V48" s="262">
        <v>6.1</v>
      </c>
      <c r="W48" s="10">
        <f>(Table8[[#This Row],[£/Tonne]]/1000)*Table8[[#This Row],[KG/M]]*Table8[[#This Row],[Normal Length]]</f>
        <v>0</v>
      </c>
      <c r="Y48" s="18">
        <f>Table8[[#This Row],[£/ Length]]*(1+Y$2)</f>
        <v>0</v>
      </c>
      <c r="Z48" s="18">
        <f>Table8[[#This Row],[£/ Length]]*(1+Z$2)</f>
        <v>0</v>
      </c>
      <c r="AA48" s="18">
        <f>Table8[[#This Row],[£/ Length]]*(1+AA$2)</f>
        <v>0</v>
      </c>
      <c r="AB48" s="18">
        <f>Table8[[#This Row],[£/ Length]]*(1+AB$2)</f>
        <v>0</v>
      </c>
    </row>
    <row r="49" spans="1:28" ht="25.35" customHeight="1">
      <c r="A49" s="7" t="s">
        <v>72</v>
      </c>
      <c r="B49" s="7" t="str">
        <f t="shared" si="4"/>
        <v>TS_200_125_</v>
      </c>
      <c r="C49" s="7" t="str">
        <f t="shared" si="3"/>
        <v>TS_200_125_ @ 0Kg/m</v>
      </c>
      <c r="D49" s="7">
        <v>200</v>
      </c>
      <c r="E49" s="7">
        <v>125</v>
      </c>
      <c r="H49" s="139"/>
      <c r="I49" s="9"/>
      <c r="J49" s="140"/>
      <c r="K49" s="139"/>
      <c r="L49" s="9"/>
      <c r="M49" s="140"/>
      <c r="N49" s="139"/>
      <c r="O49" s="9"/>
      <c r="P49" s="140"/>
      <c r="Q49" s="37">
        <f t="shared" si="2"/>
        <v>0</v>
      </c>
      <c r="R49" s="38">
        <f>Table8[[#This Row],[Total Metres]]*Table8[[#This Row],[£Cost /m]]</f>
        <v>0</v>
      </c>
      <c r="U49" s="39">
        <f>(Table8[[#This Row],[£/Tonne]]/1000)*Table8[[#This Row],[KG/M]]</f>
        <v>0</v>
      </c>
      <c r="V49" s="262">
        <v>6.1</v>
      </c>
      <c r="W49" s="10">
        <f>(Table8[[#This Row],[£/Tonne]]/1000)*Table8[[#This Row],[KG/M]]*Table8[[#This Row],[Normal Length]]</f>
        <v>0</v>
      </c>
      <c r="Y49" s="18">
        <f>Table8[[#This Row],[£/ Length]]*(1+Y$2)</f>
        <v>0</v>
      </c>
      <c r="Z49" s="18">
        <f>Table8[[#This Row],[£/ Length]]*(1+Z$2)</f>
        <v>0</v>
      </c>
      <c r="AA49" s="18">
        <f>Table8[[#This Row],[£/ Length]]*(1+AA$2)</f>
        <v>0</v>
      </c>
      <c r="AB49" s="18">
        <f>Table8[[#This Row],[£/ Length]]*(1+AB$2)</f>
        <v>0</v>
      </c>
    </row>
    <row r="50" spans="1:28" ht="25.35" customHeight="1">
      <c r="A50" s="7" t="s">
        <v>72</v>
      </c>
      <c r="B50" s="7" t="str">
        <f t="shared" si="4"/>
        <v>TS_100_100_</v>
      </c>
      <c r="C50" s="7" t="str">
        <f t="shared" si="3"/>
        <v>TS_100_100_ @ 0Kg/m</v>
      </c>
      <c r="D50" s="7">
        <v>100</v>
      </c>
      <c r="E50" s="7">
        <v>100</v>
      </c>
      <c r="H50" s="139"/>
      <c r="I50" s="9"/>
      <c r="J50" s="140"/>
      <c r="K50" s="139"/>
      <c r="L50" s="9"/>
      <c r="M50" s="140"/>
      <c r="N50" s="139"/>
      <c r="O50" s="9"/>
      <c r="P50" s="140"/>
      <c r="Q50" s="37">
        <f t="shared" si="2"/>
        <v>0</v>
      </c>
      <c r="R50" s="38">
        <f>Table8[[#This Row],[Total Metres]]*Table8[[#This Row],[£Cost /m]]</f>
        <v>0</v>
      </c>
      <c r="U50" s="39">
        <f>(Table8[[#This Row],[£/Tonne]]/1000)*Table8[[#This Row],[KG/M]]</f>
        <v>0</v>
      </c>
      <c r="V50" s="262">
        <v>6.1</v>
      </c>
      <c r="W50" s="10">
        <f>(Table8[[#This Row],[£/Tonne]]/1000)*Table8[[#This Row],[KG/M]]*Table8[[#This Row],[Normal Length]]</f>
        <v>0</v>
      </c>
      <c r="Y50" s="18">
        <f>Table8[[#This Row],[£/ Length]]*(1+Y$2)</f>
        <v>0</v>
      </c>
      <c r="Z50" s="18">
        <f>Table8[[#This Row],[£/ Length]]*(1+Z$2)</f>
        <v>0</v>
      </c>
      <c r="AA50" s="18">
        <f>Table8[[#This Row],[£/ Length]]*(1+AA$2)</f>
        <v>0</v>
      </c>
      <c r="AB50" s="18">
        <f>Table8[[#This Row],[£/ Length]]*(1+AB$2)</f>
        <v>0</v>
      </c>
    </row>
    <row r="51" spans="1:28" ht="30.75" customHeight="1">
      <c r="H51" s="139"/>
      <c r="I51" s="9"/>
      <c r="J51" s="140"/>
      <c r="K51" s="139"/>
      <c r="L51" s="9"/>
      <c r="M51" s="140"/>
      <c r="N51" s="139"/>
      <c r="O51" s="9"/>
      <c r="P51" s="140"/>
      <c r="Q51" s="20" t="s">
        <v>474</v>
      </c>
      <c r="R51" s="21">
        <f>SUM(R3:R50)</f>
        <v>9626.8484104999989</v>
      </c>
    </row>
    <row r="52" spans="1:28">
      <c r="H52" s="139"/>
      <c r="I52" s="9"/>
      <c r="J52" s="140"/>
      <c r="K52" s="139"/>
      <c r="L52" s="9"/>
      <c r="M52" s="140"/>
      <c r="N52" s="139"/>
      <c r="O52" s="9"/>
      <c r="P52" s="140"/>
      <c r="Q52" s="37"/>
    </row>
    <row r="53" spans="1:28">
      <c r="H53" s="139"/>
      <c r="I53" s="9"/>
      <c r="J53" s="140"/>
      <c r="K53" s="139"/>
      <c r="L53" s="9"/>
      <c r="M53" s="140"/>
      <c r="N53" s="139"/>
      <c r="O53" s="9"/>
      <c r="P53" s="140"/>
      <c r="Q53" s="37"/>
    </row>
    <row r="54" spans="1:28">
      <c r="H54" s="139"/>
      <c r="I54" s="9"/>
      <c r="J54" s="140"/>
      <c r="K54" s="139"/>
      <c r="L54" s="9"/>
      <c r="M54" s="140"/>
      <c r="N54" s="139"/>
      <c r="O54" s="9"/>
      <c r="P54" s="140"/>
      <c r="Q54" s="37"/>
    </row>
    <row r="55" spans="1:28">
      <c r="H55" s="139"/>
      <c r="I55" s="9"/>
      <c r="J55" s="140"/>
      <c r="K55" s="139"/>
      <c r="L55" s="9"/>
      <c r="M55" s="140"/>
      <c r="N55" s="139"/>
      <c r="O55" s="9"/>
      <c r="P55" s="140"/>
      <c r="Q55" s="37"/>
      <c r="R55" s="7" t="s">
        <v>538</v>
      </c>
    </row>
    <row r="56" spans="1:28">
      <c r="H56" s="139"/>
      <c r="I56" s="9"/>
      <c r="J56" s="140"/>
      <c r="K56" s="139"/>
      <c r="L56" s="9"/>
      <c r="M56" s="140"/>
      <c r="N56" s="139"/>
      <c r="O56" s="9"/>
      <c r="P56" s="140"/>
      <c r="Q56" s="37"/>
    </row>
    <row r="57" spans="1:28">
      <c r="H57" s="139"/>
      <c r="I57" s="9"/>
      <c r="J57" s="140"/>
      <c r="K57" s="139"/>
      <c r="L57" s="9"/>
      <c r="M57" s="140"/>
      <c r="N57" s="139"/>
      <c r="O57" s="9"/>
      <c r="P57" s="140"/>
      <c r="Q57" s="37"/>
    </row>
    <row r="58" spans="1:28">
      <c r="H58" s="139"/>
      <c r="I58" s="9"/>
      <c r="J58" s="140"/>
      <c r="K58" s="139"/>
      <c r="L58" s="9"/>
      <c r="M58" s="140"/>
      <c r="N58" s="139"/>
      <c r="O58" s="9"/>
      <c r="P58" s="140"/>
      <c r="Q58" s="37"/>
    </row>
    <row r="59" spans="1:28">
      <c r="H59" s="139"/>
      <c r="I59" s="9"/>
      <c r="J59" s="140"/>
      <c r="K59" s="139"/>
      <c r="L59" s="9"/>
      <c r="M59" s="140"/>
      <c r="N59" s="139"/>
      <c r="O59" s="9"/>
      <c r="P59" s="140"/>
      <c r="Q59" s="37"/>
    </row>
    <row r="60" spans="1:28">
      <c r="H60" s="139"/>
      <c r="I60" s="9"/>
      <c r="J60" s="140"/>
      <c r="K60" s="139"/>
      <c r="L60" s="9"/>
      <c r="M60" s="140"/>
      <c r="N60" s="139"/>
      <c r="O60" s="9"/>
      <c r="P60" s="140"/>
      <c r="Q60" s="37"/>
    </row>
    <row r="61" spans="1:28">
      <c r="H61" s="139"/>
      <c r="I61" s="9"/>
      <c r="J61" s="140"/>
      <c r="K61" s="139"/>
      <c r="L61" s="9"/>
      <c r="M61" s="140"/>
      <c r="N61" s="139"/>
      <c r="O61" s="9"/>
      <c r="P61" s="140"/>
      <c r="Q61" s="37"/>
    </row>
    <row r="62" spans="1:28">
      <c r="H62" s="139"/>
      <c r="I62" s="9"/>
      <c r="J62" s="140"/>
      <c r="K62" s="139"/>
      <c r="L62" s="9"/>
      <c r="M62" s="140"/>
      <c r="N62" s="139"/>
      <c r="O62" s="9"/>
      <c r="P62" s="140"/>
      <c r="Q62" s="37"/>
    </row>
    <row r="63" spans="1:28">
      <c r="H63" s="139"/>
      <c r="I63" s="9"/>
      <c r="J63" s="140"/>
      <c r="K63" s="139"/>
      <c r="L63" s="9"/>
      <c r="M63" s="140"/>
      <c r="N63" s="139"/>
      <c r="O63" s="9"/>
      <c r="P63" s="140"/>
      <c r="Q63" s="37"/>
    </row>
    <row r="64" spans="1:28">
      <c r="H64" s="139"/>
      <c r="I64" s="9"/>
      <c r="J64" s="140"/>
      <c r="K64" s="139"/>
      <c r="L64" s="9"/>
      <c r="M64" s="140"/>
      <c r="N64" s="139"/>
      <c r="O64" s="9"/>
      <c r="P64" s="140"/>
      <c r="Q64" s="37"/>
    </row>
    <row r="65" spans="8:17">
      <c r="H65" s="139"/>
      <c r="I65" s="9"/>
      <c r="J65" s="140"/>
      <c r="K65" s="139"/>
      <c r="L65" s="9"/>
      <c r="M65" s="140"/>
      <c r="N65" s="139"/>
      <c r="O65" s="9"/>
      <c r="P65" s="140"/>
      <c r="Q65" s="37"/>
    </row>
    <row r="66" spans="8:17">
      <c r="H66" s="139"/>
      <c r="I66" s="9"/>
      <c r="J66" s="140"/>
      <c r="K66" s="139"/>
      <c r="L66" s="9"/>
      <c r="M66" s="140"/>
      <c r="N66" s="139"/>
      <c r="O66" s="9"/>
      <c r="P66" s="140"/>
      <c r="Q66" s="37"/>
    </row>
    <row r="67" spans="8:17">
      <c r="H67" s="139"/>
      <c r="I67" s="9"/>
      <c r="J67" s="140"/>
      <c r="K67" s="139"/>
      <c r="L67" s="9"/>
      <c r="M67" s="140"/>
      <c r="N67" s="139"/>
      <c r="O67" s="9"/>
      <c r="P67" s="140"/>
      <c r="Q67" s="37"/>
    </row>
    <row r="68" spans="8:17">
      <c r="H68" s="139"/>
      <c r="I68" s="9"/>
      <c r="J68" s="140"/>
      <c r="K68" s="139"/>
      <c r="L68" s="9"/>
      <c r="M68" s="140"/>
      <c r="N68" s="139"/>
      <c r="O68" s="9"/>
      <c r="P68" s="140"/>
      <c r="Q68" s="37"/>
    </row>
    <row r="69" spans="8:17">
      <c r="H69" s="139"/>
      <c r="I69" s="9"/>
      <c r="J69" s="140"/>
      <c r="K69" s="139"/>
      <c r="L69" s="9"/>
      <c r="M69" s="140"/>
      <c r="N69" s="139"/>
      <c r="O69" s="9"/>
      <c r="P69" s="140"/>
      <c r="Q69" s="37"/>
    </row>
    <row r="70" spans="8:17">
      <c r="H70" s="139"/>
      <c r="I70" s="9"/>
      <c r="J70" s="140"/>
      <c r="K70" s="139"/>
      <c r="L70" s="9"/>
      <c r="M70" s="140"/>
      <c r="N70" s="139"/>
      <c r="O70" s="9"/>
      <c r="P70" s="140"/>
      <c r="Q70" s="37"/>
    </row>
    <row r="71" spans="8:17">
      <c r="H71" s="139"/>
      <c r="I71" s="9"/>
      <c r="J71" s="140"/>
      <c r="K71" s="139"/>
      <c r="L71" s="9"/>
      <c r="M71" s="140"/>
      <c r="N71" s="139"/>
      <c r="O71" s="9"/>
      <c r="P71" s="140"/>
      <c r="Q71" s="37"/>
    </row>
    <row r="72" spans="8:17">
      <c r="H72" s="139"/>
      <c r="I72" s="9"/>
      <c r="J72" s="140"/>
      <c r="K72" s="139"/>
      <c r="L72" s="9"/>
      <c r="M72" s="140"/>
      <c r="N72" s="139"/>
      <c r="O72" s="9"/>
      <c r="P72" s="140"/>
      <c r="Q72" s="37"/>
    </row>
    <row r="73" spans="8:17">
      <c r="H73" s="139"/>
      <c r="I73" s="9"/>
      <c r="J73" s="140"/>
      <c r="K73" s="139"/>
      <c r="L73" s="9"/>
      <c r="M73" s="140"/>
      <c r="N73" s="139"/>
      <c r="O73" s="9"/>
      <c r="P73" s="140"/>
      <c r="Q73" s="37"/>
    </row>
    <row r="74" spans="8:17">
      <c r="H74" s="139"/>
      <c r="I74" s="9"/>
      <c r="J74" s="140"/>
      <c r="K74" s="139"/>
      <c r="L74" s="9"/>
      <c r="M74" s="140"/>
      <c r="N74" s="139"/>
      <c r="O74" s="9"/>
      <c r="P74" s="140"/>
      <c r="Q74" s="37"/>
    </row>
    <row r="75" spans="8:17">
      <c r="H75" s="139"/>
      <c r="I75" s="9"/>
      <c r="J75" s="140"/>
      <c r="K75" s="139"/>
      <c r="L75" s="9"/>
      <c r="M75" s="140"/>
      <c r="N75" s="139"/>
      <c r="O75" s="9"/>
      <c r="P75" s="140"/>
      <c r="Q75" s="37"/>
    </row>
    <row r="76" spans="8:17">
      <c r="H76" s="139"/>
      <c r="I76" s="9"/>
      <c r="J76" s="140"/>
      <c r="K76" s="139"/>
      <c r="L76" s="9"/>
      <c r="M76" s="140"/>
      <c r="N76" s="139"/>
      <c r="O76" s="9"/>
      <c r="P76" s="140"/>
      <c r="Q76" s="37"/>
    </row>
    <row r="77" spans="8:17">
      <c r="H77" s="139"/>
      <c r="I77" s="9"/>
      <c r="J77" s="140"/>
      <c r="K77" s="139"/>
      <c r="L77" s="9"/>
      <c r="M77" s="140"/>
      <c r="N77" s="139"/>
      <c r="O77" s="9"/>
      <c r="P77" s="140"/>
      <c r="Q77" s="37"/>
    </row>
    <row r="78" spans="8:17">
      <c r="H78" s="139"/>
      <c r="I78" s="9"/>
      <c r="J78" s="140"/>
      <c r="K78" s="139"/>
      <c r="L78" s="9"/>
      <c r="M78" s="140"/>
      <c r="N78" s="139"/>
      <c r="O78" s="9"/>
      <c r="P78" s="140"/>
      <c r="Q78" s="37"/>
    </row>
    <row r="79" spans="8:17">
      <c r="H79" s="139"/>
      <c r="I79" s="9"/>
      <c r="J79" s="140"/>
      <c r="K79" s="139"/>
      <c r="L79" s="9"/>
      <c r="M79" s="140"/>
      <c r="N79" s="139"/>
      <c r="O79" s="9"/>
      <c r="P79" s="140"/>
      <c r="Q79" s="37"/>
    </row>
    <row r="80" spans="8:17">
      <c r="H80" s="139"/>
      <c r="I80" s="9"/>
      <c r="J80" s="140"/>
      <c r="K80" s="139"/>
      <c r="L80" s="9"/>
      <c r="M80" s="140"/>
      <c r="N80" s="139"/>
      <c r="O80" s="9"/>
      <c r="P80" s="140"/>
      <c r="Q80" s="37"/>
    </row>
    <row r="81" spans="8:17">
      <c r="H81" s="139"/>
      <c r="I81" s="9"/>
      <c r="J81" s="140"/>
      <c r="K81" s="139"/>
      <c r="L81" s="9"/>
      <c r="M81" s="140"/>
      <c r="N81" s="139"/>
      <c r="O81" s="9"/>
      <c r="P81" s="140"/>
      <c r="Q81" s="37"/>
    </row>
  </sheetData>
  <dataValidations count="1">
    <dataValidation type="list" allowBlank="1" showInputMessage="1" showErrorMessage="1" error="Select Area from Tab 'Area List'" sqref="P3:P81 M3:M81 J3:J81" xr:uid="{ACC3A3E8-C4FC-4583-9920-820DD13B015C}">
      <formula1>AreaList2</formula1>
    </dataValidation>
  </dataValidations>
  <printOptions gridLines="1"/>
  <pageMargins left="0.31496062992125984" right="0.19685039370078741" top="0.6692913385826772" bottom="0.98425196850393704" header="0.51181102362204722" footer="0.51181102362204722"/>
  <pageSetup paperSize="9" scale="83" fitToHeight="4" orientation="landscape" r:id="rId1"/>
  <headerFooter alignWithMargins="0">
    <oddFooter>&amp;L&amp;D&amp;C&amp;A&amp;R&amp;P of &amp;N</oddFooter>
  </headerFooter>
  <colBreaks count="1" manualBreakCount="1">
    <brk id="18" max="1048575" man="1"/>
  </colBreaks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D1236-A7B0-409B-AFB8-8030E596E379}">
  <sheetPr>
    <pageSetUpPr fitToPage="1"/>
  </sheetPr>
  <dimension ref="A1:AD88"/>
  <sheetViews>
    <sheetView zoomScale="85" zoomScaleNormal="85" workbookViewId="0">
      <selection activeCell="AA4" sqref="AA4"/>
    </sheetView>
  </sheetViews>
  <sheetFormatPr defaultRowHeight="12.75"/>
  <cols>
    <col min="1" max="1" width="10.140625" style="7" customWidth="1"/>
    <col min="2" max="2" width="24.28515625" style="7" customWidth="1"/>
    <col min="3" max="3" width="33" style="7" customWidth="1"/>
    <col min="4" max="4" width="7.5703125" style="7" customWidth="1"/>
    <col min="5" max="5" width="11.140625" style="7" customWidth="1"/>
    <col min="6" max="6" width="9" style="95"/>
    <col min="7" max="7" width="15.5703125" style="141" customWidth="1"/>
    <col min="8" max="8" width="9.5703125" style="7" customWidth="1"/>
    <col min="9" max="9" width="9.5703125" style="142" customWidth="1"/>
    <col min="10" max="10" width="16.5703125" style="141" customWidth="1"/>
    <col min="11" max="11" width="9.5703125" style="7" customWidth="1"/>
    <col min="12" max="12" width="9.5703125" style="142" customWidth="1"/>
    <col min="13" max="13" width="16.5703125" style="141" customWidth="1"/>
    <col min="14" max="14" width="9.5703125" style="7" customWidth="1"/>
    <col min="15" max="15" width="9.5703125" style="142" customWidth="1"/>
    <col min="16" max="16" width="6.85546875" style="45" customWidth="1"/>
    <col min="17" max="17" width="14.85546875" style="231" customWidth="1"/>
    <col min="18" max="18" width="9.140625" style="93" customWidth="1"/>
    <col min="19" max="19" width="11.85546875" style="217" customWidth="1"/>
    <col min="20" max="20" width="9.85546875" style="217" customWidth="1"/>
    <col min="21" max="21" width="8" style="7" customWidth="1"/>
    <col min="22" max="22" width="10.140625" style="231" customWidth="1"/>
    <col min="23" max="23" width="2.85546875" style="7" customWidth="1"/>
    <col min="24" max="30" width="9" style="217"/>
    <col min="31" max="258" width="9" style="7"/>
    <col min="259" max="259" width="9.85546875" style="7" customWidth="1"/>
    <col min="260" max="260" width="9" style="7"/>
    <col min="261" max="261" width="3.85546875" style="7" customWidth="1"/>
    <col min="262" max="262" width="11" style="7" customWidth="1"/>
    <col min="263" max="263" width="4.140625" style="7" customWidth="1"/>
    <col min="264" max="264" width="9.5703125" style="7" customWidth="1"/>
    <col min="265" max="265" width="6.42578125" style="7" customWidth="1"/>
    <col min="266" max="266" width="11.42578125" style="7" customWidth="1"/>
    <col min="267" max="267" width="5.42578125" style="7" customWidth="1"/>
    <col min="268" max="268" width="3.5703125" style="7" customWidth="1"/>
    <col min="269" max="269" width="2.85546875" style="7" customWidth="1"/>
    <col min="270" max="270" width="6.85546875" style="7" customWidth="1"/>
    <col min="271" max="271" width="11.85546875" style="7" customWidth="1"/>
    <col min="272" max="272" width="4.140625" style="7" bestFit="1" customWidth="1"/>
    <col min="273" max="273" width="14.85546875" style="7" customWidth="1"/>
    <col min="274" max="274" width="9.140625" style="7" customWidth="1"/>
    <col min="275" max="275" width="9" style="7" customWidth="1"/>
    <col min="276" max="276" width="11.85546875" style="7" customWidth="1"/>
    <col min="277" max="277" width="9.85546875" style="7" customWidth="1"/>
    <col min="278" max="278" width="10.140625" style="7" customWidth="1"/>
    <col min="279" max="279" width="7" style="7" customWidth="1"/>
    <col min="280" max="514" width="9" style="7"/>
    <col min="515" max="515" width="9.85546875" style="7" customWidth="1"/>
    <col min="516" max="516" width="9" style="7"/>
    <col min="517" max="517" width="3.85546875" style="7" customWidth="1"/>
    <col min="518" max="518" width="11" style="7" customWidth="1"/>
    <col min="519" max="519" width="4.140625" style="7" customWidth="1"/>
    <col min="520" max="520" width="9.5703125" style="7" customWidth="1"/>
    <col min="521" max="521" width="6.42578125" style="7" customWidth="1"/>
    <col min="522" max="522" width="11.42578125" style="7" customWidth="1"/>
    <col min="523" max="523" width="5.42578125" style="7" customWidth="1"/>
    <col min="524" max="524" width="3.5703125" style="7" customWidth="1"/>
    <col min="525" max="525" width="2.85546875" style="7" customWidth="1"/>
    <col min="526" max="526" width="6.85546875" style="7" customWidth="1"/>
    <col min="527" max="527" width="11.85546875" style="7" customWidth="1"/>
    <col min="528" max="528" width="4.140625" style="7" bestFit="1" customWidth="1"/>
    <col min="529" max="529" width="14.85546875" style="7" customWidth="1"/>
    <col min="530" max="530" width="9.140625" style="7" customWidth="1"/>
    <col min="531" max="531" width="9" style="7" customWidth="1"/>
    <col min="532" max="532" width="11.85546875" style="7" customWidth="1"/>
    <col min="533" max="533" width="9.85546875" style="7" customWidth="1"/>
    <col min="534" max="534" width="10.140625" style="7" customWidth="1"/>
    <col min="535" max="535" width="7" style="7" customWidth="1"/>
    <col min="536" max="770" width="9" style="7"/>
    <col min="771" max="771" width="9.85546875" style="7" customWidth="1"/>
    <col min="772" max="772" width="9" style="7"/>
    <col min="773" max="773" width="3.85546875" style="7" customWidth="1"/>
    <col min="774" max="774" width="11" style="7" customWidth="1"/>
    <col min="775" max="775" width="4.140625" style="7" customWidth="1"/>
    <col min="776" max="776" width="9.5703125" style="7" customWidth="1"/>
    <col min="777" max="777" width="6.42578125" style="7" customWidth="1"/>
    <col min="778" max="778" width="11.42578125" style="7" customWidth="1"/>
    <col min="779" max="779" width="5.42578125" style="7" customWidth="1"/>
    <col min="780" max="780" width="3.5703125" style="7" customWidth="1"/>
    <col min="781" max="781" width="2.85546875" style="7" customWidth="1"/>
    <col min="782" max="782" width="6.85546875" style="7" customWidth="1"/>
    <col min="783" max="783" width="11.85546875" style="7" customWidth="1"/>
    <col min="784" max="784" width="4.140625" style="7" bestFit="1" customWidth="1"/>
    <col min="785" max="785" width="14.85546875" style="7" customWidth="1"/>
    <col min="786" max="786" width="9.140625" style="7" customWidth="1"/>
    <col min="787" max="787" width="9" style="7" customWidth="1"/>
    <col min="788" max="788" width="11.85546875" style="7" customWidth="1"/>
    <col min="789" max="789" width="9.85546875" style="7" customWidth="1"/>
    <col min="790" max="790" width="10.140625" style="7" customWidth="1"/>
    <col min="791" max="791" width="7" style="7" customWidth="1"/>
    <col min="792" max="1026" width="9" style="7"/>
    <col min="1027" max="1027" width="9.85546875" style="7" customWidth="1"/>
    <col min="1028" max="1028" width="9" style="7"/>
    <col min="1029" max="1029" width="3.85546875" style="7" customWidth="1"/>
    <col min="1030" max="1030" width="11" style="7" customWidth="1"/>
    <col min="1031" max="1031" width="4.140625" style="7" customWidth="1"/>
    <col min="1032" max="1032" width="9.5703125" style="7" customWidth="1"/>
    <col min="1033" max="1033" width="6.42578125" style="7" customWidth="1"/>
    <col min="1034" max="1034" width="11.42578125" style="7" customWidth="1"/>
    <col min="1035" max="1035" width="5.42578125" style="7" customWidth="1"/>
    <col min="1036" max="1036" width="3.5703125" style="7" customWidth="1"/>
    <col min="1037" max="1037" width="2.85546875" style="7" customWidth="1"/>
    <col min="1038" max="1038" width="6.85546875" style="7" customWidth="1"/>
    <col min="1039" max="1039" width="11.85546875" style="7" customWidth="1"/>
    <col min="1040" max="1040" width="4.140625" style="7" bestFit="1" customWidth="1"/>
    <col min="1041" max="1041" width="14.85546875" style="7" customWidth="1"/>
    <col min="1042" max="1042" width="9.140625" style="7" customWidth="1"/>
    <col min="1043" max="1043" width="9" style="7" customWidth="1"/>
    <col min="1044" max="1044" width="11.85546875" style="7" customWidth="1"/>
    <col min="1045" max="1045" width="9.85546875" style="7" customWidth="1"/>
    <col min="1046" max="1046" width="10.140625" style="7" customWidth="1"/>
    <col min="1047" max="1047" width="7" style="7" customWidth="1"/>
    <col min="1048" max="1282" width="9" style="7"/>
    <col min="1283" max="1283" width="9.85546875" style="7" customWidth="1"/>
    <col min="1284" max="1284" width="9" style="7"/>
    <col min="1285" max="1285" width="3.85546875" style="7" customWidth="1"/>
    <col min="1286" max="1286" width="11" style="7" customWidth="1"/>
    <col min="1287" max="1287" width="4.140625" style="7" customWidth="1"/>
    <col min="1288" max="1288" width="9.5703125" style="7" customWidth="1"/>
    <col min="1289" max="1289" width="6.42578125" style="7" customWidth="1"/>
    <col min="1290" max="1290" width="11.42578125" style="7" customWidth="1"/>
    <col min="1291" max="1291" width="5.42578125" style="7" customWidth="1"/>
    <col min="1292" max="1292" width="3.5703125" style="7" customWidth="1"/>
    <col min="1293" max="1293" width="2.85546875" style="7" customWidth="1"/>
    <col min="1294" max="1294" width="6.85546875" style="7" customWidth="1"/>
    <col min="1295" max="1295" width="11.85546875" style="7" customWidth="1"/>
    <col min="1296" max="1296" width="4.140625" style="7" bestFit="1" customWidth="1"/>
    <col min="1297" max="1297" width="14.85546875" style="7" customWidth="1"/>
    <col min="1298" max="1298" width="9.140625" style="7" customWidth="1"/>
    <col min="1299" max="1299" width="9" style="7" customWidth="1"/>
    <col min="1300" max="1300" width="11.85546875" style="7" customWidth="1"/>
    <col min="1301" max="1301" width="9.85546875" style="7" customWidth="1"/>
    <col min="1302" max="1302" width="10.140625" style="7" customWidth="1"/>
    <col min="1303" max="1303" width="7" style="7" customWidth="1"/>
    <col min="1304" max="1538" width="9" style="7"/>
    <col min="1539" max="1539" width="9.85546875" style="7" customWidth="1"/>
    <col min="1540" max="1540" width="9" style="7"/>
    <col min="1541" max="1541" width="3.85546875" style="7" customWidth="1"/>
    <col min="1542" max="1542" width="11" style="7" customWidth="1"/>
    <col min="1543" max="1543" width="4.140625" style="7" customWidth="1"/>
    <col min="1544" max="1544" width="9.5703125" style="7" customWidth="1"/>
    <col min="1545" max="1545" width="6.42578125" style="7" customWidth="1"/>
    <col min="1546" max="1546" width="11.42578125" style="7" customWidth="1"/>
    <col min="1547" max="1547" width="5.42578125" style="7" customWidth="1"/>
    <col min="1548" max="1548" width="3.5703125" style="7" customWidth="1"/>
    <col min="1549" max="1549" width="2.85546875" style="7" customWidth="1"/>
    <col min="1550" max="1550" width="6.85546875" style="7" customWidth="1"/>
    <col min="1551" max="1551" width="11.85546875" style="7" customWidth="1"/>
    <col min="1552" max="1552" width="4.140625" style="7" bestFit="1" customWidth="1"/>
    <col min="1553" max="1553" width="14.85546875" style="7" customWidth="1"/>
    <col min="1554" max="1554" width="9.140625" style="7" customWidth="1"/>
    <col min="1555" max="1555" width="9" style="7" customWidth="1"/>
    <col min="1556" max="1556" width="11.85546875" style="7" customWidth="1"/>
    <col min="1557" max="1557" width="9.85546875" style="7" customWidth="1"/>
    <col min="1558" max="1558" width="10.140625" style="7" customWidth="1"/>
    <col min="1559" max="1559" width="7" style="7" customWidth="1"/>
    <col min="1560" max="1794" width="9" style="7"/>
    <col min="1795" max="1795" width="9.85546875" style="7" customWidth="1"/>
    <col min="1796" max="1796" width="9" style="7"/>
    <col min="1797" max="1797" width="3.85546875" style="7" customWidth="1"/>
    <col min="1798" max="1798" width="11" style="7" customWidth="1"/>
    <col min="1799" max="1799" width="4.140625" style="7" customWidth="1"/>
    <col min="1800" max="1800" width="9.5703125" style="7" customWidth="1"/>
    <col min="1801" max="1801" width="6.42578125" style="7" customWidth="1"/>
    <col min="1802" max="1802" width="11.42578125" style="7" customWidth="1"/>
    <col min="1803" max="1803" width="5.42578125" style="7" customWidth="1"/>
    <col min="1804" max="1804" width="3.5703125" style="7" customWidth="1"/>
    <col min="1805" max="1805" width="2.85546875" style="7" customWidth="1"/>
    <col min="1806" max="1806" width="6.85546875" style="7" customWidth="1"/>
    <col min="1807" max="1807" width="11.85546875" style="7" customWidth="1"/>
    <col min="1808" max="1808" width="4.140625" style="7" bestFit="1" customWidth="1"/>
    <col min="1809" max="1809" width="14.85546875" style="7" customWidth="1"/>
    <col min="1810" max="1810" width="9.140625" style="7" customWidth="1"/>
    <col min="1811" max="1811" width="9" style="7" customWidth="1"/>
    <col min="1812" max="1812" width="11.85546875" style="7" customWidth="1"/>
    <col min="1813" max="1813" width="9.85546875" style="7" customWidth="1"/>
    <col min="1814" max="1814" width="10.140625" style="7" customWidth="1"/>
    <col min="1815" max="1815" width="7" style="7" customWidth="1"/>
    <col min="1816" max="2050" width="9" style="7"/>
    <col min="2051" max="2051" width="9.85546875" style="7" customWidth="1"/>
    <col min="2052" max="2052" width="9" style="7"/>
    <col min="2053" max="2053" width="3.85546875" style="7" customWidth="1"/>
    <col min="2054" max="2054" width="11" style="7" customWidth="1"/>
    <col min="2055" max="2055" width="4.140625" style="7" customWidth="1"/>
    <col min="2056" max="2056" width="9.5703125" style="7" customWidth="1"/>
    <col min="2057" max="2057" width="6.42578125" style="7" customWidth="1"/>
    <col min="2058" max="2058" width="11.42578125" style="7" customWidth="1"/>
    <col min="2059" max="2059" width="5.42578125" style="7" customWidth="1"/>
    <col min="2060" max="2060" width="3.5703125" style="7" customWidth="1"/>
    <col min="2061" max="2061" width="2.85546875" style="7" customWidth="1"/>
    <col min="2062" max="2062" width="6.85546875" style="7" customWidth="1"/>
    <col min="2063" max="2063" width="11.85546875" style="7" customWidth="1"/>
    <col min="2064" max="2064" width="4.140625" style="7" bestFit="1" customWidth="1"/>
    <col min="2065" max="2065" width="14.85546875" style="7" customWidth="1"/>
    <col min="2066" max="2066" width="9.140625" style="7" customWidth="1"/>
    <col min="2067" max="2067" width="9" style="7" customWidth="1"/>
    <col min="2068" max="2068" width="11.85546875" style="7" customWidth="1"/>
    <col min="2069" max="2069" width="9.85546875" style="7" customWidth="1"/>
    <col min="2070" max="2070" width="10.140625" style="7" customWidth="1"/>
    <col min="2071" max="2071" width="7" style="7" customWidth="1"/>
    <col min="2072" max="2306" width="9" style="7"/>
    <col min="2307" max="2307" width="9.85546875" style="7" customWidth="1"/>
    <col min="2308" max="2308" width="9" style="7"/>
    <col min="2309" max="2309" width="3.85546875" style="7" customWidth="1"/>
    <col min="2310" max="2310" width="11" style="7" customWidth="1"/>
    <col min="2311" max="2311" width="4.140625" style="7" customWidth="1"/>
    <col min="2312" max="2312" width="9.5703125" style="7" customWidth="1"/>
    <col min="2313" max="2313" width="6.42578125" style="7" customWidth="1"/>
    <col min="2314" max="2314" width="11.42578125" style="7" customWidth="1"/>
    <col min="2315" max="2315" width="5.42578125" style="7" customWidth="1"/>
    <col min="2316" max="2316" width="3.5703125" style="7" customWidth="1"/>
    <col min="2317" max="2317" width="2.85546875" style="7" customWidth="1"/>
    <col min="2318" max="2318" width="6.85546875" style="7" customWidth="1"/>
    <col min="2319" max="2319" width="11.85546875" style="7" customWidth="1"/>
    <col min="2320" max="2320" width="4.140625" style="7" bestFit="1" customWidth="1"/>
    <col min="2321" max="2321" width="14.85546875" style="7" customWidth="1"/>
    <col min="2322" max="2322" width="9.140625" style="7" customWidth="1"/>
    <col min="2323" max="2323" width="9" style="7" customWidth="1"/>
    <col min="2324" max="2324" width="11.85546875" style="7" customWidth="1"/>
    <col min="2325" max="2325" width="9.85546875" style="7" customWidth="1"/>
    <col min="2326" max="2326" width="10.140625" style="7" customWidth="1"/>
    <col min="2327" max="2327" width="7" style="7" customWidth="1"/>
    <col min="2328" max="2562" width="9" style="7"/>
    <col min="2563" max="2563" width="9.85546875" style="7" customWidth="1"/>
    <col min="2564" max="2564" width="9" style="7"/>
    <col min="2565" max="2565" width="3.85546875" style="7" customWidth="1"/>
    <col min="2566" max="2566" width="11" style="7" customWidth="1"/>
    <col min="2567" max="2567" width="4.140625" style="7" customWidth="1"/>
    <col min="2568" max="2568" width="9.5703125" style="7" customWidth="1"/>
    <col min="2569" max="2569" width="6.42578125" style="7" customWidth="1"/>
    <col min="2570" max="2570" width="11.42578125" style="7" customWidth="1"/>
    <col min="2571" max="2571" width="5.42578125" style="7" customWidth="1"/>
    <col min="2572" max="2572" width="3.5703125" style="7" customWidth="1"/>
    <col min="2573" max="2573" width="2.85546875" style="7" customWidth="1"/>
    <col min="2574" max="2574" width="6.85546875" style="7" customWidth="1"/>
    <col min="2575" max="2575" width="11.85546875" style="7" customWidth="1"/>
    <col min="2576" max="2576" width="4.140625" style="7" bestFit="1" customWidth="1"/>
    <col min="2577" max="2577" width="14.85546875" style="7" customWidth="1"/>
    <col min="2578" max="2578" width="9.140625" style="7" customWidth="1"/>
    <col min="2579" max="2579" width="9" style="7" customWidth="1"/>
    <col min="2580" max="2580" width="11.85546875" style="7" customWidth="1"/>
    <col min="2581" max="2581" width="9.85546875" style="7" customWidth="1"/>
    <col min="2582" max="2582" width="10.140625" style="7" customWidth="1"/>
    <col min="2583" max="2583" width="7" style="7" customWidth="1"/>
    <col min="2584" max="2818" width="9" style="7"/>
    <col min="2819" max="2819" width="9.85546875" style="7" customWidth="1"/>
    <col min="2820" max="2820" width="9" style="7"/>
    <col min="2821" max="2821" width="3.85546875" style="7" customWidth="1"/>
    <col min="2822" max="2822" width="11" style="7" customWidth="1"/>
    <col min="2823" max="2823" width="4.140625" style="7" customWidth="1"/>
    <col min="2824" max="2824" width="9.5703125" style="7" customWidth="1"/>
    <col min="2825" max="2825" width="6.42578125" style="7" customWidth="1"/>
    <col min="2826" max="2826" width="11.42578125" style="7" customWidth="1"/>
    <col min="2827" max="2827" width="5.42578125" style="7" customWidth="1"/>
    <col min="2828" max="2828" width="3.5703125" style="7" customWidth="1"/>
    <col min="2829" max="2829" width="2.85546875" style="7" customWidth="1"/>
    <col min="2830" max="2830" width="6.85546875" style="7" customWidth="1"/>
    <col min="2831" max="2831" width="11.85546875" style="7" customWidth="1"/>
    <col min="2832" max="2832" width="4.140625" style="7" bestFit="1" customWidth="1"/>
    <col min="2833" max="2833" width="14.85546875" style="7" customWidth="1"/>
    <col min="2834" max="2834" width="9.140625" style="7" customWidth="1"/>
    <col min="2835" max="2835" width="9" style="7" customWidth="1"/>
    <col min="2836" max="2836" width="11.85546875" style="7" customWidth="1"/>
    <col min="2837" max="2837" width="9.85546875" style="7" customWidth="1"/>
    <col min="2838" max="2838" width="10.140625" style="7" customWidth="1"/>
    <col min="2839" max="2839" width="7" style="7" customWidth="1"/>
    <col min="2840" max="3074" width="9" style="7"/>
    <col min="3075" max="3075" width="9.85546875" style="7" customWidth="1"/>
    <col min="3076" max="3076" width="9" style="7"/>
    <col min="3077" max="3077" width="3.85546875" style="7" customWidth="1"/>
    <col min="3078" max="3078" width="11" style="7" customWidth="1"/>
    <col min="3079" max="3079" width="4.140625" style="7" customWidth="1"/>
    <col min="3080" max="3080" width="9.5703125" style="7" customWidth="1"/>
    <col min="3081" max="3081" width="6.42578125" style="7" customWidth="1"/>
    <col min="3082" max="3082" width="11.42578125" style="7" customWidth="1"/>
    <col min="3083" max="3083" width="5.42578125" style="7" customWidth="1"/>
    <col min="3084" max="3084" width="3.5703125" style="7" customWidth="1"/>
    <col min="3085" max="3085" width="2.85546875" style="7" customWidth="1"/>
    <col min="3086" max="3086" width="6.85546875" style="7" customWidth="1"/>
    <col min="3087" max="3087" width="11.85546875" style="7" customWidth="1"/>
    <col min="3088" max="3088" width="4.140625" style="7" bestFit="1" customWidth="1"/>
    <col min="3089" max="3089" width="14.85546875" style="7" customWidth="1"/>
    <col min="3090" max="3090" width="9.140625" style="7" customWidth="1"/>
    <col min="3091" max="3091" width="9" style="7" customWidth="1"/>
    <col min="3092" max="3092" width="11.85546875" style="7" customWidth="1"/>
    <col min="3093" max="3093" width="9.85546875" style="7" customWidth="1"/>
    <col min="3094" max="3094" width="10.140625" style="7" customWidth="1"/>
    <col min="3095" max="3095" width="7" style="7" customWidth="1"/>
    <col min="3096" max="3330" width="9" style="7"/>
    <col min="3331" max="3331" width="9.85546875" style="7" customWidth="1"/>
    <col min="3332" max="3332" width="9" style="7"/>
    <col min="3333" max="3333" width="3.85546875" style="7" customWidth="1"/>
    <col min="3334" max="3334" width="11" style="7" customWidth="1"/>
    <col min="3335" max="3335" width="4.140625" style="7" customWidth="1"/>
    <col min="3336" max="3336" width="9.5703125" style="7" customWidth="1"/>
    <col min="3337" max="3337" width="6.42578125" style="7" customWidth="1"/>
    <col min="3338" max="3338" width="11.42578125" style="7" customWidth="1"/>
    <col min="3339" max="3339" width="5.42578125" style="7" customWidth="1"/>
    <col min="3340" max="3340" width="3.5703125" style="7" customWidth="1"/>
    <col min="3341" max="3341" width="2.85546875" style="7" customWidth="1"/>
    <col min="3342" max="3342" width="6.85546875" style="7" customWidth="1"/>
    <col min="3343" max="3343" width="11.85546875" style="7" customWidth="1"/>
    <col min="3344" max="3344" width="4.140625" style="7" bestFit="1" customWidth="1"/>
    <col min="3345" max="3345" width="14.85546875" style="7" customWidth="1"/>
    <col min="3346" max="3346" width="9.140625" style="7" customWidth="1"/>
    <col min="3347" max="3347" width="9" style="7" customWidth="1"/>
    <col min="3348" max="3348" width="11.85546875" style="7" customWidth="1"/>
    <col min="3349" max="3349" width="9.85546875" style="7" customWidth="1"/>
    <col min="3350" max="3350" width="10.140625" style="7" customWidth="1"/>
    <col min="3351" max="3351" width="7" style="7" customWidth="1"/>
    <col min="3352" max="3586" width="9" style="7"/>
    <col min="3587" max="3587" width="9.85546875" style="7" customWidth="1"/>
    <col min="3588" max="3588" width="9" style="7"/>
    <col min="3589" max="3589" width="3.85546875" style="7" customWidth="1"/>
    <col min="3590" max="3590" width="11" style="7" customWidth="1"/>
    <col min="3591" max="3591" width="4.140625" style="7" customWidth="1"/>
    <col min="3592" max="3592" width="9.5703125" style="7" customWidth="1"/>
    <col min="3593" max="3593" width="6.42578125" style="7" customWidth="1"/>
    <col min="3594" max="3594" width="11.42578125" style="7" customWidth="1"/>
    <col min="3595" max="3595" width="5.42578125" style="7" customWidth="1"/>
    <col min="3596" max="3596" width="3.5703125" style="7" customWidth="1"/>
    <col min="3597" max="3597" width="2.85546875" style="7" customWidth="1"/>
    <col min="3598" max="3598" width="6.85546875" style="7" customWidth="1"/>
    <col min="3599" max="3599" width="11.85546875" style="7" customWidth="1"/>
    <col min="3600" max="3600" width="4.140625" style="7" bestFit="1" customWidth="1"/>
    <col min="3601" max="3601" width="14.85546875" style="7" customWidth="1"/>
    <col min="3602" max="3602" width="9.140625" style="7" customWidth="1"/>
    <col min="3603" max="3603" width="9" style="7" customWidth="1"/>
    <col min="3604" max="3604" width="11.85546875" style="7" customWidth="1"/>
    <col min="3605" max="3605" width="9.85546875" style="7" customWidth="1"/>
    <col min="3606" max="3606" width="10.140625" style="7" customWidth="1"/>
    <col min="3607" max="3607" width="7" style="7" customWidth="1"/>
    <col min="3608" max="3842" width="9" style="7"/>
    <col min="3843" max="3843" width="9.85546875" style="7" customWidth="1"/>
    <col min="3844" max="3844" width="9" style="7"/>
    <col min="3845" max="3845" width="3.85546875" style="7" customWidth="1"/>
    <col min="3846" max="3846" width="11" style="7" customWidth="1"/>
    <col min="3847" max="3847" width="4.140625" style="7" customWidth="1"/>
    <col min="3848" max="3848" width="9.5703125" style="7" customWidth="1"/>
    <col min="3849" max="3849" width="6.42578125" style="7" customWidth="1"/>
    <col min="3850" max="3850" width="11.42578125" style="7" customWidth="1"/>
    <col min="3851" max="3851" width="5.42578125" style="7" customWidth="1"/>
    <col min="3852" max="3852" width="3.5703125" style="7" customWidth="1"/>
    <col min="3853" max="3853" width="2.85546875" style="7" customWidth="1"/>
    <col min="3854" max="3854" width="6.85546875" style="7" customWidth="1"/>
    <col min="3855" max="3855" width="11.85546875" style="7" customWidth="1"/>
    <col min="3856" max="3856" width="4.140625" style="7" bestFit="1" customWidth="1"/>
    <col min="3857" max="3857" width="14.85546875" style="7" customWidth="1"/>
    <col min="3858" max="3858" width="9.140625" style="7" customWidth="1"/>
    <col min="3859" max="3859" width="9" style="7" customWidth="1"/>
    <col min="3860" max="3860" width="11.85546875" style="7" customWidth="1"/>
    <col min="3861" max="3861" width="9.85546875" style="7" customWidth="1"/>
    <col min="3862" max="3862" width="10.140625" style="7" customWidth="1"/>
    <col min="3863" max="3863" width="7" style="7" customWidth="1"/>
    <col min="3864" max="4098" width="9" style="7"/>
    <col min="4099" max="4099" width="9.85546875" style="7" customWidth="1"/>
    <col min="4100" max="4100" width="9" style="7"/>
    <col min="4101" max="4101" width="3.85546875" style="7" customWidth="1"/>
    <col min="4102" max="4102" width="11" style="7" customWidth="1"/>
    <col min="4103" max="4103" width="4.140625" style="7" customWidth="1"/>
    <col min="4104" max="4104" width="9.5703125" style="7" customWidth="1"/>
    <col min="4105" max="4105" width="6.42578125" style="7" customWidth="1"/>
    <col min="4106" max="4106" width="11.42578125" style="7" customWidth="1"/>
    <col min="4107" max="4107" width="5.42578125" style="7" customWidth="1"/>
    <col min="4108" max="4108" width="3.5703125" style="7" customWidth="1"/>
    <col min="4109" max="4109" width="2.85546875" style="7" customWidth="1"/>
    <col min="4110" max="4110" width="6.85546875" style="7" customWidth="1"/>
    <col min="4111" max="4111" width="11.85546875" style="7" customWidth="1"/>
    <col min="4112" max="4112" width="4.140625" style="7" bestFit="1" customWidth="1"/>
    <col min="4113" max="4113" width="14.85546875" style="7" customWidth="1"/>
    <col min="4114" max="4114" width="9.140625" style="7" customWidth="1"/>
    <col min="4115" max="4115" width="9" style="7" customWidth="1"/>
    <col min="4116" max="4116" width="11.85546875" style="7" customWidth="1"/>
    <col min="4117" max="4117" width="9.85546875" style="7" customWidth="1"/>
    <col min="4118" max="4118" width="10.140625" style="7" customWidth="1"/>
    <col min="4119" max="4119" width="7" style="7" customWidth="1"/>
    <col min="4120" max="4354" width="9" style="7"/>
    <col min="4355" max="4355" width="9.85546875" style="7" customWidth="1"/>
    <col min="4356" max="4356" width="9" style="7"/>
    <col min="4357" max="4357" width="3.85546875" style="7" customWidth="1"/>
    <col min="4358" max="4358" width="11" style="7" customWidth="1"/>
    <col min="4359" max="4359" width="4.140625" style="7" customWidth="1"/>
    <col min="4360" max="4360" width="9.5703125" style="7" customWidth="1"/>
    <col min="4361" max="4361" width="6.42578125" style="7" customWidth="1"/>
    <col min="4362" max="4362" width="11.42578125" style="7" customWidth="1"/>
    <col min="4363" max="4363" width="5.42578125" style="7" customWidth="1"/>
    <col min="4364" max="4364" width="3.5703125" style="7" customWidth="1"/>
    <col min="4365" max="4365" width="2.85546875" style="7" customWidth="1"/>
    <col min="4366" max="4366" width="6.85546875" style="7" customWidth="1"/>
    <col min="4367" max="4367" width="11.85546875" style="7" customWidth="1"/>
    <col min="4368" max="4368" width="4.140625" style="7" bestFit="1" customWidth="1"/>
    <col min="4369" max="4369" width="14.85546875" style="7" customWidth="1"/>
    <col min="4370" max="4370" width="9.140625" style="7" customWidth="1"/>
    <col min="4371" max="4371" width="9" style="7" customWidth="1"/>
    <col min="4372" max="4372" width="11.85546875" style="7" customWidth="1"/>
    <col min="4373" max="4373" width="9.85546875" style="7" customWidth="1"/>
    <col min="4374" max="4374" width="10.140625" style="7" customWidth="1"/>
    <col min="4375" max="4375" width="7" style="7" customWidth="1"/>
    <col min="4376" max="4610" width="9" style="7"/>
    <col min="4611" max="4611" width="9.85546875" style="7" customWidth="1"/>
    <col min="4612" max="4612" width="9" style="7"/>
    <col min="4613" max="4613" width="3.85546875" style="7" customWidth="1"/>
    <col min="4614" max="4614" width="11" style="7" customWidth="1"/>
    <col min="4615" max="4615" width="4.140625" style="7" customWidth="1"/>
    <col min="4616" max="4616" width="9.5703125" style="7" customWidth="1"/>
    <col min="4617" max="4617" width="6.42578125" style="7" customWidth="1"/>
    <col min="4618" max="4618" width="11.42578125" style="7" customWidth="1"/>
    <col min="4619" max="4619" width="5.42578125" style="7" customWidth="1"/>
    <col min="4620" max="4620" width="3.5703125" style="7" customWidth="1"/>
    <col min="4621" max="4621" width="2.85546875" style="7" customWidth="1"/>
    <col min="4622" max="4622" width="6.85546875" style="7" customWidth="1"/>
    <col min="4623" max="4623" width="11.85546875" style="7" customWidth="1"/>
    <col min="4624" max="4624" width="4.140625" style="7" bestFit="1" customWidth="1"/>
    <col min="4625" max="4625" width="14.85546875" style="7" customWidth="1"/>
    <col min="4626" max="4626" width="9.140625" style="7" customWidth="1"/>
    <col min="4627" max="4627" width="9" style="7" customWidth="1"/>
    <col min="4628" max="4628" width="11.85546875" style="7" customWidth="1"/>
    <col min="4629" max="4629" width="9.85546875" style="7" customWidth="1"/>
    <col min="4630" max="4630" width="10.140625" style="7" customWidth="1"/>
    <col min="4631" max="4631" width="7" style="7" customWidth="1"/>
    <col min="4632" max="4866" width="9" style="7"/>
    <col min="4867" max="4867" width="9.85546875" style="7" customWidth="1"/>
    <col min="4868" max="4868" width="9" style="7"/>
    <col min="4869" max="4869" width="3.85546875" style="7" customWidth="1"/>
    <col min="4870" max="4870" width="11" style="7" customWidth="1"/>
    <col min="4871" max="4871" width="4.140625" style="7" customWidth="1"/>
    <col min="4872" max="4872" width="9.5703125" style="7" customWidth="1"/>
    <col min="4873" max="4873" width="6.42578125" style="7" customWidth="1"/>
    <col min="4874" max="4874" width="11.42578125" style="7" customWidth="1"/>
    <col min="4875" max="4875" width="5.42578125" style="7" customWidth="1"/>
    <col min="4876" max="4876" width="3.5703125" style="7" customWidth="1"/>
    <col min="4877" max="4877" width="2.85546875" style="7" customWidth="1"/>
    <col min="4878" max="4878" width="6.85546875" style="7" customWidth="1"/>
    <col min="4879" max="4879" width="11.85546875" style="7" customWidth="1"/>
    <col min="4880" max="4880" width="4.140625" style="7" bestFit="1" customWidth="1"/>
    <col min="4881" max="4881" width="14.85546875" style="7" customWidth="1"/>
    <col min="4882" max="4882" width="9.140625" style="7" customWidth="1"/>
    <col min="4883" max="4883" width="9" style="7" customWidth="1"/>
    <col min="4884" max="4884" width="11.85546875" style="7" customWidth="1"/>
    <col min="4885" max="4885" width="9.85546875" style="7" customWidth="1"/>
    <col min="4886" max="4886" width="10.140625" style="7" customWidth="1"/>
    <col min="4887" max="4887" width="7" style="7" customWidth="1"/>
    <col min="4888" max="5122" width="9" style="7"/>
    <col min="5123" max="5123" width="9.85546875" style="7" customWidth="1"/>
    <col min="5124" max="5124" width="9" style="7"/>
    <col min="5125" max="5125" width="3.85546875" style="7" customWidth="1"/>
    <col min="5126" max="5126" width="11" style="7" customWidth="1"/>
    <col min="5127" max="5127" width="4.140625" style="7" customWidth="1"/>
    <col min="5128" max="5128" width="9.5703125" style="7" customWidth="1"/>
    <col min="5129" max="5129" width="6.42578125" style="7" customWidth="1"/>
    <col min="5130" max="5130" width="11.42578125" style="7" customWidth="1"/>
    <col min="5131" max="5131" width="5.42578125" style="7" customWidth="1"/>
    <col min="5132" max="5132" width="3.5703125" style="7" customWidth="1"/>
    <col min="5133" max="5133" width="2.85546875" style="7" customWidth="1"/>
    <col min="5134" max="5134" width="6.85546875" style="7" customWidth="1"/>
    <col min="5135" max="5135" width="11.85546875" style="7" customWidth="1"/>
    <col min="5136" max="5136" width="4.140625" style="7" bestFit="1" customWidth="1"/>
    <col min="5137" max="5137" width="14.85546875" style="7" customWidth="1"/>
    <col min="5138" max="5138" width="9.140625" style="7" customWidth="1"/>
    <col min="5139" max="5139" width="9" style="7" customWidth="1"/>
    <col min="5140" max="5140" width="11.85546875" style="7" customWidth="1"/>
    <col min="5141" max="5141" width="9.85546875" style="7" customWidth="1"/>
    <col min="5142" max="5142" width="10.140625" style="7" customWidth="1"/>
    <col min="5143" max="5143" width="7" style="7" customWidth="1"/>
    <col min="5144" max="5378" width="9" style="7"/>
    <col min="5379" max="5379" width="9.85546875" style="7" customWidth="1"/>
    <col min="5380" max="5380" width="9" style="7"/>
    <col min="5381" max="5381" width="3.85546875" style="7" customWidth="1"/>
    <col min="5382" max="5382" width="11" style="7" customWidth="1"/>
    <col min="5383" max="5383" width="4.140625" style="7" customWidth="1"/>
    <col min="5384" max="5384" width="9.5703125" style="7" customWidth="1"/>
    <col min="5385" max="5385" width="6.42578125" style="7" customWidth="1"/>
    <col min="5386" max="5386" width="11.42578125" style="7" customWidth="1"/>
    <col min="5387" max="5387" width="5.42578125" style="7" customWidth="1"/>
    <col min="5388" max="5388" width="3.5703125" style="7" customWidth="1"/>
    <col min="5389" max="5389" width="2.85546875" style="7" customWidth="1"/>
    <col min="5390" max="5390" width="6.85546875" style="7" customWidth="1"/>
    <col min="5391" max="5391" width="11.85546875" style="7" customWidth="1"/>
    <col min="5392" max="5392" width="4.140625" style="7" bestFit="1" customWidth="1"/>
    <col min="5393" max="5393" width="14.85546875" style="7" customWidth="1"/>
    <col min="5394" max="5394" width="9.140625" style="7" customWidth="1"/>
    <col min="5395" max="5395" width="9" style="7" customWidth="1"/>
    <col min="5396" max="5396" width="11.85546875" style="7" customWidth="1"/>
    <col min="5397" max="5397" width="9.85546875" style="7" customWidth="1"/>
    <col min="5398" max="5398" width="10.140625" style="7" customWidth="1"/>
    <col min="5399" max="5399" width="7" style="7" customWidth="1"/>
    <col min="5400" max="5634" width="9" style="7"/>
    <col min="5635" max="5635" width="9.85546875" style="7" customWidth="1"/>
    <col min="5636" max="5636" width="9" style="7"/>
    <col min="5637" max="5637" width="3.85546875" style="7" customWidth="1"/>
    <col min="5638" max="5638" width="11" style="7" customWidth="1"/>
    <col min="5639" max="5639" width="4.140625" style="7" customWidth="1"/>
    <col min="5640" max="5640" width="9.5703125" style="7" customWidth="1"/>
    <col min="5641" max="5641" width="6.42578125" style="7" customWidth="1"/>
    <col min="5642" max="5642" width="11.42578125" style="7" customWidth="1"/>
    <col min="5643" max="5643" width="5.42578125" style="7" customWidth="1"/>
    <col min="5644" max="5644" width="3.5703125" style="7" customWidth="1"/>
    <col min="5645" max="5645" width="2.85546875" style="7" customWidth="1"/>
    <col min="5646" max="5646" width="6.85546875" style="7" customWidth="1"/>
    <col min="5647" max="5647" width="11.85546875" style="7" customWidth="1"/>
    <col min="5648" max="5648" width="4.140625" style="7" bestFit="1" customWidth="1"/>
    <col min="5649" max="5649" width="14.85546875" style="7" customWidth="1"/>
    <col min="5650" max="5650" width="9.140625" style="7" customWidth="1"/>
    <col min="5651" max="5651" width="9" style="7" customWidth="1"/>
    <col min="5652" max="5652" width="11.85546875" style="7" customWidth="1"/>
    <col min="5653" max="5653" width="9.85546875" style="7" customWidth="1"/>
    <col min="5654" max="5654" width="10.140625" style="7" customWidth="1"/>
    <col min="5655" max="5655" width="7" style="7" customWidth="1"/>
    <col min="5656" max="5890" width="9" style="7"/>
    <col min="5891" max="5891" width="9.85546875" style="7" customWidth="1"/>
    <col min="5892" max="5892" width="9" style="7"/>
    <col min="5893" max="5893" width="3.85546875" style="7" customWidth="1"/>
    <col min="5894" max="5894" width="11" style="7" customWidth="1"/>
    <col min="5895" max="5895" width="4.140625" style="7" customWidth="1"/>
    <col min="5896" max="5896" width="9.5703125" style="7" customWidth="1"/>
    <col min="5897" max="5897" width="6.42578125" style="7" customWidth="1"/>
    <col min="5898" max="5898" width="11.42578125" style="7" customWidth="1"/>
    <col min="5899" max="5899" width="5.42578125" style="7" customWidth="1"/>
    <col min="5900" max="5900" width="3.5703125" style="7" customWidth="1"/>
    <col min="5901" max="5901" width="2.85546875" style="7" customWidth="1"/>
    <col min="5902" max="5902" width="6.85546875" style="7" customWidth="1"/>
    <col min="5903" max="5903" width="11.85546875" style="7" customWidth="1"/>
    <col min="5904" max="5904" width="4.140625" style="7" bestFit="1" customWidth="1"/>
    <col min="5905" max="5905" width="14.85546875" style="7" customWidth="1"/>
    <col min="5906" max="5906" width="9.140625" style="7" customWidth="1"/>
    <col min="5907" max="5907" width="9" style="7" customWidth="1"/>
    <col min="5908" max="5908" width="11.85546875" style="7" customWidth="1"/>
    <col min="5909" max="5909" width="9.85546875" style="7" customWidth="1"/>
    <col min="5910" max="5910" width="10.140625" style="7" customWidth="1"/>
    <col min="5911" max="5911" width="7" style="7" customWidth="1"/>
    <col min="5912" max="6146" width="9" style="7"/>
    <col min="6147" max="6147" width="9.85546875" style="7" customWidth="1"/>
    <col min="6148" max="6148" width="9" style="7"/>
    <col min="6149" max="6149" width="3.85546875" style="7" customWidth="1"/>
    <col min="6150" max="6150" width="11" style="7" customWidth="1"/>
    <col min="6151" max="6151" width="4.140625" style="7" customWidth="1"/>
    <col min="6152" max="6152" width="9.5703125" style="7" customWidth="1"/>
    <col min="6153" max="6153" width="6.42578125" style="7" customWidth="1"/>
    <col min="6154" max="6154" width="11.42578125" style="7" customWidth="1"/>
    <col min="6155" max="6155" width="5.42578125" style="7" customWidth="1"/>
    <col min="6156" max="6156" width="3.5703125" style="7" customWidth="1"/>
    <col min="6157" max="6157" width="2.85546875" style="7" customWidth="1"/>
    <col min="6158" max="6158" width="6.85546875" style="7" customWidth="1"/>
    <col min="6159" max="6159" width="11.85546875" style="7" customWidth="1"/>
    <col min="6160" max="6160" width="4.140625" style="7" bestFit="1" customWidth="1"/>
    <col min="6161" max="6161" width="14.85546875" style="7" customWidth="1"/>
    <col min="6162" max="6162" width="9.140625" style="7" customWidth="1"/>
    <col min="6163" max="6163" width="9" style="7" customWidth="1"/>
    <col min="6164" max="6164" width="11.85546875" style="7" customWidth="1"/>
    <col min="6165" max="6165" width="9.85546875" style="7" customWidth="1"/>
    <col min="6166" max="6166" width="10.140625" style="7" customWidth="1"/>
    <col min="6167" max="6167" width="7" style="7" customWidth="1"/>
    <col min="6168" max="6402" width="9" style="7"/>
    <col min="6403" max="6403" width="9.85546875" style="7" customWidth="1"/>
    <col min="6404" max="6404" width="9" style="7"/>
    <col min="6405" max="6405" width="3.85546875" style="7" customWidth="1"/>
    <col min="6406" max="6406" width="11" style="7" customWidth="1"/>
    <col min="6407" max="6407" width="4.140625" style="7" customWidth="1"/>
    <col min="6408" max="6408" width="9.5703125" style="7" customWidth="1"/>
    <col min="6409" max="6409" width="6.42578125" style="7" customWidth="1"/>
    <col min="6410" max="6410" width="11.42578125" style="7" customWidth="1"/>
    <col min="6411" max="6411" width="5.42578125" style="7" customWidth="1"/>
    <col min="6412" max="6412" width="3.5703125" style="7" customWidth="1"/>
    <col min="6413" max="6413" width="2.85546875" style="7" customWidth="1"/>
    <col min="6414" max="6414" width="6.85546875" style="7" customWidth="1"/>
    <col min="6415" max="6415" width="11.85546875" style="7" customWidth="1"/>
    <col min="6416" max="6416" width="4.140625" style="7" bestFit="1" customWidth="1"/>
    <col min="6417" max="6417" width="14.85546875" style="7" customWidth="1"/>
    <col min="6418" max="6418" width="9.140625" style="7" customWidth="1"/>
    <col min="6419" max="6419" width="9" style="7" customWidth="1"/>
    <col min="6420" max="6420" width="11.85546875" style="7" customWidth="1"/>
    <col min="6421" max="6421" width="9.85546875" style="7" customWidth="1"/>
    <col min="6422" max="6422" width="10.140625" style="7" customWidth="1"/>
    <col min="6423" max="6423" width="7" style="7" customWidth="1"/>
    <col min="6424" max="6658" width="9" style="7"/>
    <col min="6659" max="6659" width="9.85546875" style="7" customWidth="1"/>
    <col min="6660" max="6660" width="9" style="7"/>
    <col min="6661" max="6661" width="3.85546875" style="7" customWidth="1"/>
    <col min="6662" max="6662" width="11" style="7" customWidth="1"/>
    <col min="6663" max="6663" width="4.140625" style="7" customWidth="1"/>
    <col min="6664" max="6664" width="9.5703125" style="7" customWidth="1"/>
    <col min="6665" max="6665" width="6.42578125" style="7" customWidth="1"/>
    <col min="6666" max="6666" width="11.42578125" style="7" customWidth="1"/>
    <col min="6667" max="6667" width="5.42578125" style="7" customWidth="1"/>
    <col min="6668" max="6668" width="3.5703125" style="7" customWidth="1"/>
    <col min="6669" max="6669" width="2.85546875" style="7" customWidth="1"/>
    <col min="6670" max="6670" width="6.85546875" style="7" customWidth="1"/>
    <col min="6671" max="6671" width="11.85546875" style="7" customWidth="1"/>
    <col min="6672" max="6672" width="4.140625" style="7" bestFit="1" customWidth="1"/>
    <col min="6673" max="6673" width="14.85546875" style="7" customWidth="1"/>
    <col min="6674" max="6674" width="9.140625" style="7" customWidth="1"/>
    <col min="6675" max="6675" width="9" style="7" customWidth="1"/>
    <col min="6676" max="6676" width="11.85546875" style="7" customWidth="1"/>
    <col min="6677" max="6677" width="9.85546875" style="7" customWidth="1"/>
    <col min="6678" max="6678" width="10.140625" style="7" customWidth="1"/>
    <col min="6679" max="6679" width="7" style="7" customWidth="1"/>
    <col min="6680" max="6914" width="9" style="7"/>
    <col min="6915" max="6915" width="9.85546875" style="7" customWidth="1"/>
    <col min="6916" max="6916" width="9" style="7"/>
    <col min="6917" max="6917" width="3.85546875" style="7" customWidth="1"/>
    <col min="6918" max="6918" width="11" style="7" customWidth="1"/>
    <col min="6919" max="6919" width="4.140625" style="7" customWidth="1"/>
    <col min="6920" max="6920" width="9.5703125" style="7" customWidth="1"/>
    <col min="6921" max="6921" width="6.42578125" style="7" customWidth="1"/>
    <col min="6922" max="6922" width="11.42578125" style="7" customWidth="1"/>
    <col min="6923" max="6923" width="5.42578125" style="7" customWidth="1"/>
    <col min="6924" max="6924" width="3.5703125" style="7" customWidth="1"/>
    <col min="6925" max="6925" width="2.85546875" style="7" customWidth="1"/>
    <col min="6926" max="6926" width="6.85546875" style="7" customWidth="1"/>
    <col min="6927" max="6927" width="11.85546875" style="7" customWidth="1"/>
    <col min="6928" max="6928" width="4.140625" style="7" bestFit="1" customWidth="1"/>
    <col min="6929" max="6929" width="14.85546875" style="7" customWidth="1"/>
    <col min="6930" max="6930" width="9.140625" style="7" customWidth="1"/>
    <col min="6931" max="6931" width="9" style="7" customWidth="1"/>
    <col min="6932" max="6932" width="11.85546875" style="7" customWidth="1"/>
    <col min="6933" max="6933" width="9.85546875" style="7" customWidth="1"/>
    <col min="6934" max="6934" width="10.140625" style="7" customWidth="1"/>
    <col min="6935" max="6935" width="7" style="7" customWidth="1"/>
    <col min="6936" max="7170" width="9" style="7"/>
    <col min="7171" max="7171" width="9.85546875" style="7" customWidth="1"/>
    <col min="7172" max="7172" width="9" style="7"/>
    <col min="7173" max="7173" width="3.85546875" style="7" customWidth="1"/>
    <col min="7174" max="7174" width="11" style="7" customWidth="1"/>
    <col min="7175" max="7175" width="4.140625" style="7" customWidth="1"/>
    <col min="7176" max="7176" width="9.5703125" style="7" customWidth="1"/>
    <col min="7177" max="7177" width="6.42578125" style="7" customWidth="1"/>
    <col min="7178" max="7178" width="11.42578125" style="7" customWidth="1"/>
    <col min="7179" max="7179" width="5.42578125" style="7" customWidth="1"/>
    <col min="7180" max="7180" width="3.5703125" style="7" customWidth="1"/>
    <col min="7181" max="7181" width="2.85546875" style="7" customWidth="1"/>
    <col min="7182" max="7182" width="6.85546875" style="7" customWidth="1"/>
    <col min="7183" max="7183" width="11.85546875" style="7" customWidth="1"/>
    <col min="7184" max="7184" width="4.140625" style="7" bestFit="1" customWidth="1"/>
    <col min="7185" max="7185" width="14.85546875" style="7" customWidth="1"/>
    <col min="7186" max="7186" width="9.140625" style="7" customWidth="1"/>
    <col min="7187" max="7187" width="9" style="7" customWidth="1"/>
    <col min="7188" max="7188" width="11.85546875" style="7" customWidth="1"/>
    <col min="7189" max="7189" width="9.85546875" style="7" customWidth="1"/>
    <col min="7190" max="7190" width="10.140625" style="7" customWidth="1"/>
    <col min="7191" max="7191" width="7" style="7" customWidth="1"/>
    <col min="7192" max="7426" width="9" style="7"/>
    <col min="7427" max="7427" width="9.85546875" style="7" customWidth="1"/>
    <col min="7428" max="7428" width="9" style="7"/>
    <col min="7429" max="7429" width="3.85546875" style="7" customWidth="1"/>
    <col min="7430" max="7430" width="11" style="7" customWidth="1"/>
    <col min="7431" max="7431" width="4.140625" style="7" customWidth="1"/>
    <col min="7432" max="7432" width="9.5703125" style="7" customWidth="1"/>
    <col min="7433" max="7433" width="6.42578125" style="7" customWidth="1"/>
    <col min="7434" max="7434" width="11.42578125" style="7" customWidth="1"/>
    <col min="7435" max="7435" width="5.42578125" style="7" customWidth="1"/>
    <col min="7436" max="7436" width="3.5703125" style="7" customWidth="1"/>
    <col min="7437" max="7437" width="2.85546875" style="7" customWidth="1"/>
    <col min="7438" max="7438" width="6.85546875" style="7" customWidth="1"/>
    <col min="7439" max="7439" width="11.85546875" style="7" customWidth="1"/>
    <col min="7440" max="7440" width="4.140625" style="7" bestFit="1" customWidth="1"/>
    <col min="7441" max="7441" width="14.85546875" style="7" customWidth="1"/>
    <col min="7442" max="7442" width="9.140625" style="7" customWidth="1"/>
    <col min="7443" max="7443" width="9" style="7" customWidth="1"/>
    <col min="7444" max="7444" width="11.85546875" style="7" customWidth="1"/>
    <col min="7445" max="7445" width="9.85546875" style="7" customWidth="1"/>
    <col min="7446" max="7446" width="10.140625" style="7" customWidth="1"/>
    <col min="7447" max="7447" width="7" style="7" customWidth="1"/>
    <col min="7448" max="7682" width="9" style="7"/>
    <col min="7683" max="7683" width="9.85546875" style="7" customWidth="1"/>
    <col min="7684" max="7684" width="9" style="7"/>
    <col min="7685" max="7685" width="3.85546875" style="7" customWidth="1"/>
    <col min="7686" max="7686" width="11" style="7" customWidth="1"/>
    <col min="7687" max="7687" width="4.140625" style="7" customWidth="1"/>
    <col min="7688" max="7688" width="9.5703125" style="7" customWidth="1"/>
    <col min="7689" max="7689" width="6.42578125" style="7" customWidth="1"/>
    <col min="7690" max="7690" width="11.42578125" style="7" customWidth="1"/>
    <col min="7691" max="7691" width="5.42578125" style="7" customWidth="1"/>
    <col min="7692" max="7692" width="3.5703125" style="7" customWidth="1"/>
    <col min="7693" max="7693" width="2.85546875" style="7" customWidth="1"/>
    <col min="7694" max="7694" width="6.85546875" style="7" customWidth="1"/>
    <col min="7695" max="7695" width="11.85546875" style="7" customWidth="1"/>
    <col min="7696" max="7696" width="4.140625" style="7" bestFit="1" customWidth="1"/>
    <col min="7697" max="7697" width="14.85546875" style="7" customWidth="1"/>
    <col min="7698" max="7698" width="9.140625" style="7" customWidth="1"/>
    <col min="7699" max="7699" width="9" style="7" customWidth="1"/>
    <col min="7700" max="7700" width="11.85546875" style="7" customWidth="1"/>
    <col min="7701" max="7701" width="9.85546875" style="7" customWidth="1"/>
    <col min="7702" max="7702" width="10.140625" style="7" customWidth="1"/>
    <col min="7703" max="7703" width="7" style="7" customWidth="1"/>
    <col min="7704" max="7938" width="9" style="7"/>
    <col min="7939" max="7939" width="9.85546875" style="7" customWidth="1"/>
    <col min="7940" max="7940" width="9" style="7"/>
    <col min="7941" max="7941" width="3.85546875" style="7" customWidth="1"/>
    <col min="7942" max="7942" width="11" style="7" customWidth="1"/>
    <col min="7943" max="7943" width="4.140625" style="7" customWidth="1"/>
    <col min="7944" max="7944" width="9.5703125" style="7" customWidth="1"/>
    <col min="7945" max="7945" width="6.42578125" style="7" customWidth="1"/>
    <col min="7946" max="7946" width="11.42578125" style="7" customWidth="1"/>
    <col min="7947" max="7947" width="5.42578125" style="7" customWidth="1"/>
    <col min="7948" max="7948" width="3.5703125" style="7" customWidth="1"/>
    <col min="7949" max="7949" width="2.85546875" style="7" customWidth="1"/>
    <col min="7950" max="7950" width="6.85546875" style="7" customWidth="1"/>
    <col min="7951" max="7951" width="11.85546875" style="7" customWidth="1"/>
    <col min="7952" max="7952" width="4.140625" style="7" bestFit="1" customWidth="1"/>
    <col min="7953" max="7953" width="14.85546875" style="7" customWidth="1"/>
    <col min="7954" max="7954" width="9.140625" style="7" customWidth="1"/>
    <col min="7955" max="7955" width="9" style="7" customWidth="1"/>
    <col min="7956" max="7956" width="11.85546875" style="7" customWidth="1"/>
    <col min="7957" max="7957" width="9.85546875" style="7" customWidth="1"/>
    <col min="7958" max="7958" width="10.140625" style="7" customWidth="1"/>
    <col min="7959" max="7959" width="7" style="7" customWidth="1"/>
    <col min="7960" max="8194" width="9" style="7"/>
    <col min="8195" max="8195" width="9.85546875" style="7" customWidth="1"/>
    <col min="8196" max="8196" width="9" style="7"/>
    <col min="8197" max="8197" width="3.85546875" style="7" customWidth="1"/>
    <col min="8198" max="8198" width="11" style="7" customWidth="1"/>
    <col min="8199" max="8199" width="4.140625" style="7" customWidth="1"/>
    <col min="8200" max="8200" width="9.5703125" style="7" customWidth="1"/>
    <col min="8201" max="8201" width="6.42578125" style="7" customWidth="1"/>
    <col min="8202" max="8202" width="11.42578125" style="7" customWidth="1"/>
    <col min="8203" max="8203" width="5.42578125" style="7" customWidth="1"/>
    <col min="8204" max="8204" width="3.5703125" style="7" customWidth="1"/>
    <col min="8205" max="8205" width="2.85546875" style="7" customWidth="1"/>
    <col min="8206" max="8206" width="6.85546875" style="7" customWidth="1"/>
    <col min="8207" max="8207" width="11.85546875" style="7" customWidth="1"/>
    <col min="8208" max="8208" width="4.140625" style="7" bestFit="1" customWidth="1"/>
    <col min="8209" max="8209" width="14.85546875" style="7" customWidth="1"/>
    <col min="8210" max="8210" width="9.140625" style="7" customWidth="1"/>
    <col min="8211" max="8211" width="9" style="7" customWidth="1"/>
    <col min="8212" max="8212" width="11.85546875" style="7" customWidth="1"/>
    <col min="8213" max="8213" width="9.85546875" style="7" customWidth="1"/>
    <col min="8214" max="8214" width="10.140625" style="7" customWidth="1"/>
    <col min="8215" max="8215" width="7" style="7" customWidth="1"/>
    <col min="8216" max="8450" width="9" style="7"/>
    <col min="8451" max="8451" width="9.85546875" style="7" customWidth="1"/>
    <col min="8452" max="8452" width="9" style="7"/>
    <col min="8453" max="8453" width="3.85546875" style="7" customWidth="1"/>
    <col min="8454" max="8454" width="11" style="7" customWidth="1"/>
    <col min="8455" max="8455" width="4.140625" style="7" customWidth="1"/>
    <col min="8456" max="8456" width="9.5703125" style="7" customWidth="1"/>
    <col min="8457" max="8457" width="6.42578125" style="7" customWidth="1"/>
    <col min="8458" max="8458" width="11.42578125" style="7" customWidth="1"/>
    <col min="8459" max="8459" width="5.42578125" style="7" customWidth="1"/>
    <col min="8460" max="8460" width="3.5703125" style="7" customWidth="1"/>
    <col min="8461" max="8461" width="2.85546875" style="7" customWidth="1"/>
    <col min="8462" max="8462" width="6.85546875" style="7" customWidth="1"/>
    <col min="8463" max="8463" width="11.85546875" style="7" customWidth="1"/>
    <col min="8464" max="8464" width="4.140625" style="7" bestFit="1" customWidth="1"/>
    <col min="8465" max="8465" width="14.85546875" style="7" customWidth="1"/>
    <col min="8466" max="8466" width="9.140625" style="7" customWidth="1"/>
    <col min="8467" max="8467" width="9" style="7" customWidth="1"/>
    <col min="8468" max="8468" width="11.85546875" style="7" customWidth="1"/>
    <col min="8469" max="8469" width="9.85546875" style="7" customWidth="1"/>
    <col min="8470" max="8470" width="10.140625" style="7" customWidth="1"/>
    <col min="8471" max="8471" width="7" style="7" customWidth="1"/>
    <col min="8472" max="8706" width="9" style="7"/>
    <col min="8707" max="8707" width="9.85546875" style="7" customWidth="1"/>
    <col min="8708" max="8708" width="9" style="7"/>
    <col min="8709" max="8709" width="3.85546875" style="7" customWidth="1"/>
    <col min="8710" max="8710" width="11" style="7" customWidth="1"/>
    <col min="8711" max="8711" width="4.140625" style="7" customWidth="1"/>
    <col min="8712" max="8712" width="9.5703125" style="7" customWidth="1"/>
    <col min="8713" max="8713" width="6.42578125" style="7" customWidth="1"/>
    <col min="8714" max="8714" width="11.42578125" style="7" customWidth="1"/>
    <col min="8715" max="8715" width="5.42578125" style="7" customWidth="1"/>
    <col min="8716" max="8716" width="3.5703125" style="7" customWidth="1"/>
    <col min="8717" max="8717" width="2.85546875" style="7" customWidth="1"/>
    <col min="8718" max="8718" width="6.85546875" style="7" customWidth="1"/>
    <col min="8719" max="8719" width="11.85546875" style="7" customWidth="1"/>
    <col min="8720" max="8720" width="4.140625" style="7" bestFit="1" customWidth="1"/>
    <col min="8721" max="8721" width="14.85546875" style="7" customWidth="1"/>
    <col min="8722" max="8722" width="9.140625" style="7" customWidth="1"/>
    <col min="8723" max="8723" width="9" style="7" customWidth="1"/>
    <col min="8724" max="8724" width="11.85546875" style="7" customWidth="1"/>
    <col min="8725" max="8725" width="9.85546875" style="7" customWidth="1"/>
    <col min="8726" max="8726" width="10.140625" style="7" customWidth="1"/>
    <col min="8727" max="8727" width="7" style="7" customWidth="1"/>
    <col min="8728" max="8962" width="9" style="7"/>
    <col min="8963" max="8963" width="9.85546875" style="7" customWidth="1"/>
    <col min="8964" max="8964" width="9" style="7"/>
    <col min="8965" max="8965" width="3.85546875" style="7" customWidth="1"/>
    <col min="8966" max="8966" width="11" style="7" customWidth="1"/>
    <col min="8967" max="8967" width="4.140625" style="7" customWidth="1"/>
    <col min="8968" max="8968" width="9.5703125" style="7" customWidth="1"/>
    <col min="8969" max="8969" width="6.42578125" style="7" customWidth="1"/>
    <col min="8970" max="8970" width="11.42578125" style="7" customWidth="1"/>
    <col min="8971" max="8971" width="5.42578125" style="7" customWidth="1"/>
    <col min="8972" max="8972" width="3.5703125" style="7" customWidth="1"/>
    <col min="8973" max="8973" width="2.85546875" style="7" customWidth="1"/>
    <col min="8974" max="8974" width="6.85546875" style="7" customWidth="1"/>
    <col min="8975" max="8975" width="11.85546875" style="7" customWidth="1"/>
    <col min="8976" max="8976" width="4.140625" style="7" bestFit="1" customWidth="1"/>
    <col min="8977" max="8977" width="14.85546875" style="7" customWidth="1"/>
    <col min="8978" max="8978" width="9.140625" style="7" customWidth="1"/>
    <col min="8979" max="8979" width="9" style="7" customWidth="1"/>
    <col min="8980" max="8980" width="11.85546875" style="7" customWidth="1"/>
    <col min="8981" max="8981" width="9.85546875" style="7" customWidth="1"/>
    <col min="8982" max="8982" width="10.140625" style="7" customWidth="1"/>
    <col min="8983" max="8983" width="7" style="7" customWidth="1"/>
    <col min="8984" max="9218" width="9" style="7"/>
    <col min="9219" max="9219" width="9.85546875" style="7" customWidth="1"/>
    <col min="9220" max="9220" width="9" style="7"/>
    <col min="9221" max="9221" width="3.85546875" style="7" customWidth="1"/>
    <col min="9222" max="9222" width="11" style="7" customWidth="1"/>
    <col min="9223" max="9223" width="4.140625" style="7" customWidth="1"/>
    <col min="9224" max="9224" width="9.5703125" style="7" customWidth="1"/>
    <col min="9225" max="9225" width="6.42578125" style="7" customWidth="1"/>
    <col min="9226" max="9226" width="11.42578125" style="7" customWidth="1"/>
    <col min="9227" max="9227" width="5.42578125" style="7" customWidth="1"/>
    <col min="9228" max="9228" width="3.5703125" style="7" customWidth="1"/>
    <col min="9229" max="9229" width="2.85546875" style="7" customWidth="1"/>
    <col min="9230" max="9230" width="6.85546875" style="7" customWidth="1"/>
    <col min="9231" max="9231" width="11.85546875" style="7" customWidth="1"/>
    <col min="9232" max="9232" width="4.140625" style="7" bestFit="1" customWidth="1"/>
    <col min="9233" max="9233" width="14.85546875" style="7" customWidth="1"/>
    <col min="9234" max="9234" width="9.140625" style="7" customWidth="1"/>
    <col min="9235" max="9235" width="9" style="7" customWidth="1"/>
    <col min="9236" max="9236" width="11.85546875" style="7" customWidth="1"/>
    <col min="9237" max="9237" width="9.85546875" style="7" customWidth="1"/>
    <col min="9238" max="9238" width="10.140625" style="7" customWidth="1"/>
    <col min="9239" max="9239" width="7" style="7" customWidth="1"/>
    <col min="9240" max="9474" width="9" style="7"/>
    <col min="9475" max="9475" width="9.85546875" style="7" customWidth="1"/>
    <col min="9476" max="9476" width="9" style="7"/>
    <col min="9477" max="9477" width="3.85546875" style="7" customWidth="1"/>
    <col min="9478" max="9478" width="11" style="7" customWidth="1"/>
    <col min="9479" max="9479" width="4.140625" style="7" customWidth="1"/>
    <col min="9480" max="9480" width="9.5703125" style="7" customWidth="1"/>
    <col min="9481" max="9481" width="6.42578125" style="7" customWidth="1"/>
    <col min="9482" max="9482" width="11.42578125" style="7" customWidth="1"/>
    <col min="9483" max="9483" width="5.42578125" style="7" customWidth="1"/>
    <col min="9484" max="9484" width="3.5703125" style="7" customWidth="1"/>
    <col min="9485" max="9485" width="2.85546875" style="7" customWidth="1"/>
    <col min="9486" max="9486" width="6.85546875" style="7" customWidth="1"/>
    <col min="9487" max="9487" width="11.85546875" style="7" customWidth="1"/>
    <col min="9488" max="9488" width="4.140625" style="7" bestFit="1" customWidth="1"/>
    <col min="9489" max="9489" width="14.85546875" style="7" customWidth="1"/>
    <col min="9490" max="9490" width="9.140625" style="7" customWidth="1"/>
    <col min="9491" max="9491" width="9" style="7" customWidth="1"/>
    <col min="9492" max="9492" width="11.85546875" style="7" customWidth="1"/>
    <col min="9493" max="9493" width="9.85546875" style="7" customWidth="1"/>
    <col min="9494" max="9494" width="10.140625" style="7" customWidth="1"/>
    <col min="9495" max="9495" width="7" style="7" customWidth="1"/>
    <col min="9496" max="9730" width="9" style="7"/>
    <col min="9731" max="9731" width="9.85546875" style="7" customWidth="1"/>
    <col min="9732" max="9732" width="9" style="7"/>
    <col min="9733" max="9733" width="3.85546875" style="7" customWidth="1"/>
    <col min="9734" max="9734" width="11" style="7" customWidth="1"/>
    <col min="9735" max="9735" width="4.140625" style="7" customWidth="1"/>
    <col min="9736" max="9736" width="9.5703125" style="7" customWidth="1"/>
    <col min="9737" max="9737" width="6.42578125" style="7" customWidth="1"/>
    <col min="9738" max="9738" width="11.42578125" style="7" customWidth="1"/>
    <col min="9739" max="9739" width="5.42578125" style="7" customWidth="1"/>
    <col min="9740" max="9740" width="3.5703125" style="7" customWidth="1"/>
    <col min="9741" max="9741" width="2.85546875" style="7" customWidth="1"/>
    <col min="9742" max="9742" width="6.85546875" style="7" customWidth="1"/>
    <col min="9743" max="9743" width="11.85546875" style="7" customWidth="1"/>
    <col min="9744" max="9744" width="4.140625" style="7" bestFit="1" customWidth="1"/>
    <col min="9745" max="9745" width="14.85546875" style="7" customWidth="1"/>
    <col min="9746" max="9746" width="9.140625" style="7" customWidth="1"/>
    <col min="9747" max="9747" width="9" style="7" customWidth="1"/>
    <col min="9748" max="9748" width="11.85546875" style="7" customWidth="1"/>
    <col min="9749" max="9749" width="9.85546875" style="7" customWidth="1"/>
    <col min="9750" max="9750" width="10.140625" style="7" customWidth="1"/>
    <col min="9751" max="9751" width="7" style="7" customWidth="1"/>
    <col min="9752" max="9986" width="9" style="7"/>
    <col min="9987" max="9987" width="9.85546875" style="7" customWidth="1"/>
    <col min="9988" max="9988" width="9" style="7"/>
    <col min="9989" max="9989" width="3.85546875" style="7" customWidth="1"/>
    <col min="9990" max="9990" width="11" style="7" customWidth="1"/>
    <col min="9991" max="9991" width="4.140625" style="7" customWidth="1"/>
    <col min="9992" max="9992" width="9.5703125" style="7" customWidth="1"/>
    <col min="9993" max="9993" width="6.42578125" style="7" customWidth="1"/>
    <col min="9994" max="9994" width="11.42578125" style="7" customWidth="1"/>
    <col min="9995" max="9995" width="5.42578125" style="7" customWidth="1"/>
    <col min="9996" max="9996" width="3.5703125" style="7" customWidth="1"/>
    <col min="9997" max="9997" width="2.85546875" style="7" customWidth="1"/>
    <col min="9998" max="9998" width="6.85546875" style="7" customWidth="1"/>
    <col min="9999" max="9999" width="11.85546875" style="7" customWidth="1"/>
    <col min="10000" max="10000" width="4.140625" style="7" bestFit="1" customWidth="1"/>
    <col min="10001" max="10001" width="14.85546875" style="7" customWidth="1"/>
    <col min="10002" max="10002" width="9.140625" style="7" customWidth="1"/>
    <col min="10003" max="10003" width="9" style="7" customWidth="1"/>
    <col min="10004" max="10004" width="11.85546875" style="7" customWidth="1"/>
    <col min="10005" max="10005" width="9.85546875" style="7" customWidth="1"/>
    <col min="10006" max="10006" width="10.140625" style="7" customWidth="1"/>
    <col min="10007" max="10007" width="7" style="7" customWidth="1"/>
    <col min="10008" max="10242" width="9" style="7"/>
    <col min="10243" max="10243" width="9.85546875" style="7" customWidth="1"/>
    <col min="10244" max="10244" width="9" style="7"/>
    <col min="10245" max="10245" width="3.85546875" style="7" customWidth="1"/>
    <col min="10246" max="10246" width="11" style="7" customWidth="1"/>
    <col min="10247" max="10247" width="4.140625" style="7" customWidth="1"/>
    <col min="10248" max="10248" width="9.5703125" style="7" customWidth="1"/>
    <col min="10249" max="10249" width="6.42578125" style="7" customWidth="1"/>
    <col min="10250" max="10250" width="11.42578125" style="7" customWidth="1"/>
    <col min="10251" max="10251" width="5.42578125" style="7" customWidth="1"/>
    <col min="10252" max="10252" width="3.5703125" style="7" customWidth="1"/>
    <col min="10253" max="10253" width="2.85546875" style="7" customWidth="1"/>
    <col min="10254" max="10254" width="6.85546875" style="7" customWidth="1"/>
    <col min="10255" max="10255" width="11.85546875" style="7" customWidth="1"/>
    <col min="10256" max="10256" width="4.140625" style="7" bestFit="1" customWidth="1"/>
    <col min="10257" max="10257" width="14.85546875" style="7" customWidth="1"/>
    <col min="10258" max="10258" width="9.140625" style="7" customWidth="1"/>
    <col min="10259" max="10259" width="9" style="7" customWidth="1"/>
    <col min="10260" max="10260" width="11.85546875" style="7" customWidth="1"/>
    <col min="10261" max="10261" width="9.85546875" style="7" customWidth="1"/>
    <col min="10262" max="10262" width="10.140625" style="7" customWidth="1"/>
    <col min="10263" max="10263" width="7" style="7" customWidth="1"/>
    <col min="10264" max="10498" width="9" style="7"/>
    <col min="10499" max="10499" width="9.85546875" style="7" customWidth="1"/>
    <col min="10500" max="10500" width="9" style="7"/>
    <col min="10501" max="10501" width="3.85546875" style="7" customWidth="1"/>
    <col min="10502" max="10502" width="11" style="7" customWidth="1"/>
    <col min="10503" max="10503" width="4.140625" style="7" customWidth="1"/>
    <col min="10504" max="10504" width="9.5703125" style="7" customWidth="1"/>
    <col min="10505" max="10505" width="6.42578125" style="7" customWidth="1"/>
    <col min="10506" max="10506" width="11.42578125" style="7" customWidth="1"/>
    <col min="10507" max="10507" width="5.42578125" style="7" customWidth="1"/>
    <col min="10508" max="10508" width="3.5703125" style="7" customWidth="1"/>
    <col min="10509" max="10509" width="2.85546875" style="7" customWidth="1"/>
    <col min="10510" max="10510" width="6.85546875" style="7" customWidth="1"/>
    <col min="10511" max="10511" width="11.85546875" style="7" customWidth="1"/>
    <col min="10512" max="10512" width="4.140625" style="7" bestFit="1" customWidth="1"/>
    <col min="10513" max="10513" width="14.85546875" style="7" customWidth="1"/>
    <col min="10514" max="10514" width="9.140625" style="7" customWidth="1"/>
    <col min="10515" max="10515" width="9" style="7" customWidth="1"/>
    <col min="10516" max="10516" width="11.85546875" style="7" customWidth="1"/>
    <col min="10517" max="10517" width="9.85546875" style="7" customWidth="1"/>
    <col min="10518" max="10518" width="10.140625" style="7" customWidth="1"/>
    <col min="10519" max="10519" width="7" style="7" customWidth="1"/>
    <col min="10520" max="10754" width="9" style="7"/>
    <col min="10755" max="10755" width="9.85546875" style="7" customWidth="1"/>
    <col min="10756" max="10756" width="9" style="7"/>
    <col min="10757" max="10757" width="3.85546875" style="7" customWidth="1"/>
    <col min="10758" max="10758" width="11" style="7" customWidth="1"/>
    <col min="10759" max="10759" width="4.140625" style="7" customWidth="1"/>
    <col min="10760" max="10760" width="9.5703125" style="7" customWidth="1"/>
    <col min="10761" max="10761" width="6.42578125" style="7" customWidth="1"/>
    <col min="10762" max="10762" width="11.42578125" style="7" customWidth="1"/>
    <col min="10763" max="10763" width="5.42578125" style="7" customWidth="1"/>
    <col min="10764" max="10764" width="3.5703125" style="7" customWidth="1"/>
    <col min="10765" max="10765" width="2.85546875" style="7" customWidth="1"/>
    <col min="10766" max="10766" width="6.85546875" style="7" customWidth="1"/>
    <col min="10767" max="10767" width="11.85546875" style="7" customWidth="1"/>
    <col min="10768" max="10768" width="4.140625" style="7" bestFit="1" customWidth="1"/>
    <col min="10769" max="10769" width="14.85546875" style="7" customWidth="1"/>
    <col min="10770" max="10770" width="9.140625" style="7" customWidth="1"/>
    <col min="10771" max="10771" width="9" style="7" customWidth="1"/>
    <col min="10772" max="10772" width="11.85546875" style="7" customWidth="1"/>
    <col min="10773" max="10773" width="9.85546875" style="7" customWidth="1"/>
    <col min="10774" max="10774" width="10.140625" style="7" customWidth="1"/>
    <col min="10775" max="10775" width="7" style="7" customWidth="1"/>
    <col min="10776" max="11010" width="9" style="7"/>
    <col min="11011" max="11011" width="9.85546875" style="7" customWidth="1"/>
    <col min="11012" max="11012" width="9" style="7"/>
    <col min="11013" max="11013" width="3.85546875" style="7" customWidth="1"/>
    <col min="11014" max="11014" width="11" style="7" customWidth="1"/>
    <col min="11015" max="11015" width="4.140625" style="7" customWidth="1"/>
    <col min="11016" max="11016" width="9.5703125" style="7" customWidth="1"/>
    <col min="11017" max="11017" width="6.42578125" style="7" customWidth="1"/>
    <col min="11018" max="11018" width="11.42578125" style="7" customWidth="1"/>
    <col min="11019" max="11019" width="5.42578125" style="7" customWidth="1"/>
    <col min="11020" max="11020" width="3.5703125" style="7" customWidth="1"/>
    <col min="11021" max="11021" width="2.85546875" style="7" customWidth="1"/>
    <col min="11022" max="11022" width="6.85546875" style="7" customWidth="1"/>
    <col min="11023" max="11023" width="11.85546875" style="7" customWidth="1"/>
    <col min="11024" max="11024" width="4.140625" style="7" bestFit="1" customWidth="1"/>
    <col min="11025" max="11025" width="14.85546875" style="7" customWidth="1"/>
    <col min="11026" max="11026" width="9.140625" style="7" customWidth="1"/>
    <col min="11027" max="11027" width="9" style="7" customWidth="1"/>
    <col min="11028" max="11028" width="11.85546875" style="7" customWidth="1"/>
    <col min="11029" max="11029" width="9.85546875" style="7" customWidth="1"/>
    <col min="11030" max="11030" width="10.140625" style="7" customWidth="1"/>
    <col min="11031" max="11031" width="7" style="7" customWidth="1"/>
    <col min="11032" max="11266" width="9" style="7"/>
    <col min="11267" max="11267" width="9.85546875" style="7" customWidth="1"/>
    <col min="11268" max="11268" width="9" style="7"/>
    <col min="11269" max="11269" width="3.85546875" style="7" customWidth="1"/>
    <col min="11270" max="11270" width="11" style="7" customWidth="1"/>
    <col min="11271" max="11271" width="4.140625" style="7" customWidth="1"/>
    <col min="11272" max="11272" width="9.5703125" style="7" customWidth="1"/>
    <col min="11273" max="11273" width="6.42578125" style="7" customWidth="1"/>
    <col min="11274" max="11274" width="11.42578125" style="7" customWidth="1"/>
    <col min="11275" max="11275" width="5.42578125" style="7" customWidth="1"/>
    <col min="11276" max="11276" width="3.5703125" style="7" customWidth="1"/>
    <col min="11277" max="11277" width="2.85546875" style="7" customWidth="1"/>
    <col min="11278" max="11278" width="6.85546875" style="7" customWidth="1"/>
    <col min="11279" max="11279" width="11.85546875" style="7" customWidth="1"/>
    <col min="11280" max="11280" width="4.140625" style="7" bestFit="1" customWidth="1"/>
    <col min="11281" max="11281" width="14.85546875" style="7" customWidth="1"/>
    <col min="11282" max="11282" width="9.140625" style="7" customWidth="1"/>
    <col min="11283" max="11283" width="9" style="7" customWidth="1"/>
    <col min="11284" max="11284" width="11.85546875" style="7" customWidth="1"/>
    <col min="11285" max="11285" width="9.85546875" style="7" customWidth="1"/>
    <col min="11286" max="11286" width="10.140625" style="7" customWidth="1"/>
    <col min="11287" max="11287" width="7" style="7" customWidth="1"/>
    <col min="11288" max="11522" width="9" style="7"/>
    <col min="11523" max="11523" width="9.85546875" style="7" customWidth="1"/>
    <col min="11524" max="11524" width="9" style="7"/>
    <col min="11525" max="11525" width="3.85546875" style="7" customWidth="1"/>
    <col min="11526" max="11526" width="11" style="7" customWidth="1"/>
    <col min="11527" max="11527" width="4.140625" style="7" customWidth="1"/>
    <col min="11528" max="11528" width="9.5703125" style="7" customWidth="1"/>
    <col min="11529" max="11529" width="6.42578125" style="7" customWidth="1"/>
    <col min="11530" max="11530" width="11.42578125" style="7" customWidth="1"/>
    <col min="11531" max="11531" width="5.42578125" style="7" customWidth="1"/>
    <col min="11532" max="11532" width="3.5703125" style="7" customWidth="1"/>
    <col min="11533" max="11533" width="2.85546875" style="7" customWidth="1"/>
    <col min="11534" max="11534" width="6.85546875" style="7" customWidth="1"/>
    <col min="11535" max="11535" width="11.85546875" style="7" customWidth="1"/>
    <col min="11536" max="11536" width="4.140625" style="7" bestFit="1" customWidth="1"/>
    <col min="11537" max="11537" width="14.85546875" style="7" customWidth="1"/>
    <col min="11538" max="11538" width="9.140625" style="7" customWidth="1"/>
    <col min="11539" max="11539" width="9" style="7" customWidth="1"/>
    <col min="11540" max="11540" width="11.85546875" style="7" customWidth="1"/>
    <col min="11541" max="11541" width="9.85546875" style="7" customWidth="1"/>
    <col min="11542" max="11542" width="10.140625" style="7" customWidth="1"/>
    <col min="11543" max="11543" width="7" style="7" customWidth="1"/>
    <col min="11544" max="11778" width="9" style="7"/>
    <col min="11779" max="11779" width="9.85546875" style="7" customWidth="1"/>
    <col min="11780" max="11780" width="9" style="7"/>
    <col min="11781" max="11781" width="3.85546875" style="7" customWidth="1"/>
    <col min="11782" max="11782" width="11" style="7" customWidth="1"/>
    <col min="11783" max="11783" width="4.140625" style="7" customWidth="1"/>
    <col min="11784" max="11784" width="9.5703125" style="7" customWidth="1"/>
    <col min="11785" max="11785" width="6.42578125" style="7" customWidth="1"/>
    <col min="11786" max="11786" width="11.42578125" style="7" customWidth="1"/>
    <col min="11787" max="11787" width="5.42578125" style="7" customWidth="1"/>
    <col min="11788" max="11788" width="3.5703125" style="7" customWidth="1"/>
    <col min="11789" max="11789" width="2.85546875" style="7" customWidth="1"/>
    <col min="11790" max="11790" width="6.85546875" style="7" customWidth="1"/>
    <col min="11791" max="11791" width="11.85546875" style="7" customWidth="1"/>
    <col min="11792" max="11792" width="4.140625" style="7" bestFit="1" customWidth="1"/>
    <col min="11793" max="11793" width="14.85546875" style="7" customWidth="1"/>
    <col min="11794" max="11794" width="9.140625" style="7" customWidth="1"/>
    <col min="11795" max="11795" width="9" style="7" customWidth="1"/>
    <col min="11796" max="11796" width="11.85546875" style="7" customWidth="1"/>
    <col min="11797" max="11797" width="9.85546875" style="7" customWidth="1"/>
    <col min="11798" max="11798" width="10.140625" style="7" customWidth="1"/>
    <col min="11799" max="11799" width="7" style="7" customWidth="1"/>
    <col min="11800" max="12034" width="9" style="7"/>
    <col min="12035" max="12035" width="9.85546875" style="7" customWidth="1"/>
    <col min="12036" max="12036" width="9" style="7"/>
    <col min="12037" max="12037" width="3.85546875" style="7" customWidth="1"/>
    <col min="12038" max="12038" width="11" style="7" customWidth="1"/>
    <col min="12039" max="12039" width="4.140625" style="7" customWidth="1"/>
    <col min="12040" max="12040" width="9.5703125" style="7" customWidth="1"/>
    <col min="12041" max="12041" width="6.42578125" style="7" customWidth="1"/>
    <col min="12042" max="12042" width="11.42578125" style="7" customWidth="1"/>
    <col min="12043" max="12043" width="5.42578125" style="7" customWidth="1"/>
    <col min="12044" max="12044" width="3.5703125" style="7" customWidth="1"/>
    <col min="12045" max="12045" width="2.85546875" style="7" customWidth="1"/>
    <col min="12046" max="12046" width="6.85546875" style="7" customWidth="1"/>
    <col min="12047" max="12047" width="11.85546875" style="7" customWidth="1"/>
    <col min="12048" max="12048" width="4.140625" style="7" bestFit="1" customWidth="1"/>
    <col min="12049" max="12049" width="14.85546875" style="7" customWidth="1"/>
    <col min="12050" max="12050" width="9.140625" style="7" customWidth="1"/>
    <col min="12051" max="12051" width="9" style="7" customWidth="1"/>
    <col min="12052" max="12052" width="11.85546875" style="7" customWidth="1"/>
    <col min="12053" max="12053" width="9.85546875" style="7" customWidth="1"/>
    <col min="12054" max="12054" width="10.140625" style="7" customWidth="1"/>
    <col min="12055" max="12055" width="7" style="7" customWidth="1"/>
    <col min="12056" max="12290" width="9" style="7"/>
    <col min="12291" max="12291" width="9.85546875" style="7" customWidth="1"/>
    <col min="12292" max="12292" width="9" style="7"/>
    <col min="12293" max="12293" width="3.85546875" style="7" customWidth="1"/>
    <col min="12294" max="12294" width="11" style="7" customWidth="1"/>
    <col min="12295" max="12295" width="4.140625" style="7" customWidth="1"/>
    <col min="12296" max="12296" width="9.5703125" style="7" customWidth="1"/>
    <col min="12297" max="12297" width="6.42578125" style="7" customWidth="1"/>
    <col min="12298" max="12298" width="11.42578125" style="7" customWidth="1"/>
    <col min="12299" max="12299" width="5.42578125" style="7" customWidth="1"/>
    <col min="12300" max="12300" width="3.5703125" style="7" customWidth="1"/>
    <col min="12301" max="12301" width="2.85546875" style="7" customWidth="1"/>
    <col min="12302" max="12302" width="6.85546875" style="7" customWidth="1"/>
    <col min="12303" max="12303" width="11.85546875" style="7" customWidth="1"/>
    <col min="12304" max="12304" width="4.140625" style="7" bestFit="1" customWidth="1"/>
    <col min="12305" max="12305" width="14.85546875" style="7" customWidth="1"/>
    <col min="12306" max="12306" width="9.140625" style="7" customWidth="1"/>
    <col min="12307" max="12307" width="9" style="7" customWidth="1"/>
    <col min="12308" max="12308" width="11.85546875" style="7" customWidth="1"/>
    <col min="12309" max="12309" width="9.85546875" style="7" customWidth="1"/>
    <col min="12310" max="12310" width="10.140625" style="7" customWidth="1"/>
    <col min="12311" max="12311" width="7" style="7" customWidth="1"/>
    <col min="12312" max="12546" width="9" style="7"/>
    <col min="12547" max="12547" width="9.85546875" style="7" customWidth="1"/>
    <col min="12548" max="12548" width="9" style="7"/>
    <col min="12549" max="12549" width="3.85546875" style="7" customWidth="1"/>
    <col min="12550" max="12550" width="11" style="7" customWidth="1"/>
    <col min="12551" max="12551" width="4.140625" style="7" customWidth="1"/>
    <col min="12552" max="12552" width="9.5703125" style="7" customWidth="1"/>
    <col min="12553" max="12553" width="6.42578125" style="7" customWidth="1"/>
    <col min="12554" max="12554" width="11.42578125" style="7" customWidth="1"/>
    <col min="12555" max="12555" width="5.42578125" style="7" customWidth="1"/>
    <col min="12556" max="12556" width="3.5703125" style="7" customWidth="1"/>
    <col min="12557" max="12557" width="2.85546875" style="7" customWidth="1"/>
    <col min="12558" max="12558" width="6.85546875" style="7" customWidth="1"/>
    <col min="12559" max="12559" width="11.85546875" style="7" customWidth="1"/>
    <col min="12560" max="12560" width="4.140625" style="7" bestFit="1" customWidth="1"/>
    <col min="12561" max="12561" width="14.85546875" style="7" customWidth="1"/>
    <col min="12562" max="12562" width="9.140625" style="7" customWidth="1"/>
    <col min="12563" max="12563" width="9" style="7" customWidth="1"/>
    <col min="12564" max="12564" width="11.85546875" style="7" customWidth="1"/>
    <col min="12565" max="12565" width="9.85546875" style="7" customWidth="1"/>
    <col min="12566" max="12566" width="10.140625" style="7" customWidth="1"/>
    <col min="12567" max="12567" width="7" style="7" customWidth="1"/>
    <col min="12568" max="12802" width="9" style="7"/>
    <col min="12803" max="12803" width="9.85546875" style="7" customWidth="1"/>
    <col min="12804" max="12804" width="9" style="7"/>
    <col min="12805" max="12805" width="3.85546875" style="7" customWidth="1"/>
    <col min="12806" max="12806" width="11" style="7" customWidth="1"/>
    <col min="12807" max="12807" width="4.140625" style="7" customWidth="1"/>
    <col min="12808" max="12808" width="9.5703125" style="7" customWidth="1"/>
    <col min="12809" max="12809" width="6.42578125" style="7" customWidth="1"/>
    <col min="12810" max="12810" width="11.42578125" style="7" customWidth="1"/>
    <col min="12811" max="12811" width="5.42578125" style="7" customWidth="1"/>
    <col min="12812" max="12812" width="3.5703125" style="7" customWidth="1"/>
    <col min="12813" max="12813" width="2.85546875" style="7" customWidth="1"/>
    <col min="12814" max="12814" width="6.85546875" style="7" customWidth="1"/>
    <col min="12815" max="12815" width="11.85546875" style="7" customWidth="1"/>
    <col min="12816" max="12816" width="4.140625" style="7" bestFit="1" customWidth="1"/>
    <col min="12817" max="12817" width="14.85546875" style="7" customWidth="1"/>
    <col min="12818" max="12818" width="9.140625" style="7" customWidth="1"/>
    <col min="12819" max="12819" width="9" style="7" customWidth="1"/>
    <col min="12820" max="12820" width="11.85546875" style="7" customWidth="1"/>
    <col min="12821" max="12821" width="9.85546875" style="7" customWidth="1"/>
    <col min="12822" max="12822" width="10.140625" style="7" customWidth="1"/>
    <col min="12823" max="12823" width="7" style="7" customWidth="1"/>
    <col min="12824" max="13058" width="9" style="7"/>
    <col min="13059" max="13059" width="9.85546875" style="7" customWidth="1"/>
    <col min="13060" max="13060" width="9" style="7"/>
    <col min="13061" max="13061" width="3.85546875" style="7" customWidth="1"/>
    <col min="13062" max="13062" width="11" style="7" customWidth="1"/>
    <col min="13063" max="13063" width="4.140625" style="7" customWidth="1"/>
    <col min="13064" max="13064" width="9.5703125" style="7" customWidth="1"/>
    <col min="13065" max="13065" width="6.42578125" style="7" customWidth="1"/>
    <col min="13066" max="13066" width="11.42578125" style="7" customWidth="1"/>
    <col min="13067" max="13067" width="5.42578125" style="7" customWidth="1"/>
    <col min="13068" max="13068" width="3.5703125" style="7" customWidth="1"/>
    <col min="13069" max="13069" width="2.85546875" style="7" customWidth="1"/>
    <col min="13070" max="13070" width="6.85546875" style="7" customWidth="1"/>
    <col min="13071" max="13071" width="11.85546875" style="7" customWidth="1"/>
    <col min="13072" max="13072" width="4.140625" style="7" bestFit="1" customWidth="1"/>
    <col min="13073" max="13073" width="14.85546875" style="7" customWidth="1"/>
    <col min="13074" max="13074" width="9.140625" style="7" customWidth="1"/>
    <col min="13075" max="13075" width="9" style="7" customWidth="1"/>
    <col min="13076" max="13076" width="11.85546875" style="7" customWidth="1"/>
    <col min="13077" max="13077" width="9.85546875" style="7" customWidth="1"/>
    <col min="13078" max="13078" width="10.140625" style="7" customWidth="1"/>
    <col min="13079" max="13079" width="7" style="7" customWidth="1"/>
    <col min="13080" max="13314" width="9" style="7"/>
    <col min="13315" max="13315" width="9.85546875" style="7" customWidth="1"/>
    <col min="13316" max="13316" width="9" style="7"/>
    <col min="13317" max="13317" width="3.85546875" style="7" customWidth="1"/>
    <col min="13318" max="13318" width="11" style="7" customWidth="1"/>
    <col min="13319" max="13319" width="4.140625" style="7" customWidth="1"/>
    <col min="13320" max="13320" width="9.5703125" style="7" customWidth="1"/>
    <col min="13321" max="13321" width="6.42578125" style="7" customWidth="1"/>
    <col min="13322" max="13322" width="11.42578125" style="7" customWidth="1"/>
    <col min="13323" max="13323" width="5.42578125" style="7" customWidth="1"/>
    <col min="13324" max="13324" width="3.5703125" style="7" customWidth="1"/>
    <col min="13325" max="13325" width="2.85546875" style="7" customWidth="1"/>
    <col min="13326" max="13326" width="6.85546875" style="7" customWidth="1"/>
    <col min="13327" max="13327" width="11.85546875" style="7" customWidth="1"/>
    <col min="13328" max="13328" width="4.140625" style="7" bestFit="1" customWidth="1"/>
    <col min="13329" max="13329" width="14.85546875" style="7" customWidth="1"/>
    <col min="13330" max="13330" width="9.140625" style="7" customWidth="1"/>
    <col min="13331" max="13331" width="9" style="7" customWidth="1"/>
    <col min="13332" max="13332" width="11.85546875" style="7" customWidth="1"/>
    <col min="13333" max="13333" width="9.85546875" style="7" customWidth="1"/>
    <col min="13334" max="13334" width="10.140625" style="7" customWidth="1"/>
    <col min="13335" max="13335" width="7" style="7" customWidth="1"/>
    <col min="13336" max="13570" width="9" style="7"/>
    <col min="13571" max="13571" width="9.85546875" style="7" customWidth="1"/>
    <col min="13572" max="13572" width="9" style="7"/>
    <col min="13573" max="13573" width="3.85546875" style="7" customWidth="1"/>
    <col min="13574" max="13574" width="11" style="7" customWidth="1"/>
    <col min="13575" max="13575" width="4.140625" style="7" customWidth="1"/>
    <col min="13576" max="13576" width="9.5703125" style="7" customWidth="1"/>
    <col min="13577" max="13577" width="6.42578125" style="7" customWidth="1"/>
    <col min="13578" max="13578" width="11.42578125" style="7" customWidth="1"/>
    <col min="13579" max="13579" width="5.42578125" style="7" customWidth="1"/>
    <col min="13580" max="13580" width="3.5703125" style="7" customWidth="1"/>
    <col min="13581" max="13581" width="2.85546875" style="7" customWidth="1"/>
    <col min="13582" max="13582" width="6.85546875" style="7" customWidth="1"/>
    <col min="13583" max="13583" width="11.85546875" style="7" customWidth="1"/>
    <col min="13584" max="13584" width="4.140625" style="7" bestFit="1" customWidth="1"/>
    <col min="13585" max="13585" width="14.85546875" style="7" customWidth="1"/>
    <col min="13586" max="13586" width="9.140625" style="7" customWidth="1"/>
    <col min="13587" max="13587" width="9" style="7" customWidth="1"/>
    <col min="13588" max="13588" width="11.85546875" style="7" customWidth="1"/>
    <col min="13589" max="13589" width="9.85546875" style="7" customWidth="1"/>
    <col min="13590" max="13590" width="10.140625" style="7" customWidth="1"/>
    <col min="13591" max="13591" width="7" style="7" customWidth="1"/>
    <col min="13592" max="13826" width="9" style="7"/>
    <col min="13827" max="13827" width="9.85546875" style="7" customWidth="1"/>
    <col min="13828" max="13828" width="9" style="7"/>
    <col min="13829" max="13829" width="3.85546875" style="7" customWidth="1"/>
    <col min="13830" max="13830" width="11" style="7" customWidth="1"/>
    <col min="13831" max="13831" width="4.140625" style="7" customWidth="1"/>
    <col min="13832" max="13832" width="9.5703125" style="7" customWidth="1"/>
    <col min="13833" max="13833" width="6.42578125" style="7" customWidth="1"/>
    <col min="13834" max="13834" width="11.42578125" style="7" customWidth="1"/>
    <col min="13835" max="13835" width="5.42578125" style="7" customWidth="1"/>
    <col min="13836" max="13836" width="3.5703125" style="7" customWidth="1"/>
    <col min="13837" max="13837" width="2.85546875" style="7" customWidth="1"/>
    <col min="13838" max="13838" width="6.85546875" style="7" customWidth="1"/>
    <col min="13839" max="13839" width="11.85546875" style="7" customWidth="1"/>
    <col min="13840" max="13840" width="4.140625" style="7" bestFit="1" customWidth="1"/>
    <col min="13841" max="13841" width="14.85546875" style="7" customWidth="1"/>
    <col min="13842" max="13842" width="9.140625" style="7" customWidth="1"/>
    <col min="13843" max="13843" width="9" style="7" customWidth="1"/>
    <col min="13844" max="13844" width="11.85546875" style="7" customWidth="1"/>
    <col min="13845" max="13845" width="9.85546875" style="7" customWidth="1"/>
    <col min="13846" max="13846" width="10.140625" style="7" customWidth="1"/>
    <col min="13847" max="13847" width="7" style="7" customWidth="1"/>
    <col min="13848" max="14082" width="9" style="7"/>
    <col min="14083" max="14083" width="9.85546875" style="7" customWidth="1"/>
    <col min="14084" max="14084" width="9" style="7"/>
    <col min="14085" max="14085" width="3.85546875" style="7" customWidth="1"/>
    <col min="14086" max="14086" width="11" style="7" customWidth="1"/>
    <col min="14087" max="14087" width="4.140625" style="7" customWidth="1"/>
    <col min="14088" max="14088" width="9.5703125" style="7" customWidth="1"/>
    <col min="14089" max="14089" width="6.42578125" style="7" customWidth="1"/>
    <col min="14090" max="14090" width="11.42578125" style="7" customWidth="1"/>
    <col min="14091" max="14091" width="5.42578125" style="7" customWidth="1"/>
    <col min="14092" max="14092" width="3.5703125" style="7" customWidth="1"/>
    <col min="14093" max="14093" width="2.85546875" style="7" customWidth="1"/>
    <col min="14094" max="14094" width="6.85546875" style="7" customWidth="1"/>
    <col min="14095" max="14095" width="11.85546875" style="7" customWidth="1"/>
    <col min="14096" max="14096" width="4.140625" style="7" bestFit="1" customWidth="1"/>
    <col min="14097" max="14097" width="14.85546875" style="7" customWidth="1"/>
    <col min="14098" max="14098" width="9.140625" style="7" customWidth="1"/>
    <col min="14099" max="14099" width="9" style="7" customWidth="1"/>
    <col min="14100" max="14100" width="11.85546875" style="7" customWidth="1"/>
    <col min="14101" max="14101" width="9.85546875" style="7" customWidth="1"/>
    <col min="14102" max="14102" width="10.140625" style="7" customWidth="1"/>
    <col min="14103" max="14103" width="7" style="7" customWidth="1"/>
    <col min="14104" max="14338" width="9" style="7"/>
    <col min="14339" max="14339" width="9.85546875" style="7" customWidth="1"/>
    <col min="14340" max="14340" width="9" style="7"/>
    <col min="14341" max="14341" width="3.85546875" style="7" customWidth="1"/>
    <col min="14342" max="14342" width="11" style="7" customWidth="1"/>
    <col min="14343" max="14343" width="4.140625" style="7" customWidth="1"/>
    <col min="14344" max="14344" width="9.5703125" style="7" customWidth="1"/>
    <col min="14345" max="14345" width="6.42578125" style="7" customWidth="1"/>
    <col min="14346" max="14346" width="11.42578125" style="7" customWidth="1"/>
    <col min="14347" max="14347" width="5.42578125" style="7" customWidth="1"/>
    <col min="14348" max="14348" width="3.5703125" style="7" customWidth="1"/>
    <col min="14349" max="14349" width="2.85546875" style="7" customWidth="1"/>
    <col min="14350" max="14350" width="6.85546875" style="7" customWidth="1"/>
    <col min="14351" max="14351" width="11.85546875" style="7" customWidth="1"/>
    <col min="14352" max="14352" width="4.140625" style="7" bestFit="1" customWidth="1"/>
    <col min="14353" max="14353" width="14.85546875" style="7" customWidth="1"/>
    <col min="14354" max="14354" width="9.140625" style="7" customWidth="1"/>
    <col min="14355" max="14355" width="9" style="7" customWidth="1"/>
    <col min="14356" max="14356" width="11.85546875" style="7" customWidth="1"/>
    <col min="14357" max="14357" width="9.85546875" style="7" customWidth="1"/>
    <col min="14358" max="14358" width="10.140625" style="7" customWidth="1"/>
    <col min="14359" max="14359" width="7" style="7" customWidth="1"/>
    <col min="14360" max="14594" width="9" style="7"/>
    <col min="14595" max="14595" width="9.85546875" style="7" customWidth="1"/>
    <col min="14596" max="14596" width="9" style="7"/>
    <col min="14597" max="14597" width="3.85546875" style="7" customWidth="1"/>
    <col min="14598" max="14598" width="11" style="7" customWidth="1"/>
    <col min="14599" max="14599" width="4.140625" style="7" customWidth="1"/>
    <col min="14600" max="14600" width="9.5703125" style="7" customWidth="1"/>
    <col min="14601" max="14601" width="6.42578125" style="7" customWidth="1"/>
    <col min="14602" max="14602" width="11.42578125" style="7" customWidth="1"/>
    <col min="14603" max="14603" width="5.42578125" style="7" customWidth="1"/>
    <col min="14604" max="14604" width="3.5703125" style="7" customWidth="1"/>
    <col min="14605" max="14605" width="2.85546875" style="7" customWidth="1"/>
    <col min="14606" max="14606" width="6.85546875" style="7" customWidth="1"/>
    <col min="14607" max="14607" width="11.85546875" style="7" customWidth="1"/>
    <col min="14608" max="14608" width="4.140625" style="7" bestFit="1" customWidth="1"/>
    <col min="14609" max="14609" width="14.85546875" style="7" customWidth="1"/>
    <col min="14610" max="14610" width="9.140625" style="7" customWidth="1"/>
    <col min="14611" max="14611" width="9" style="7" customWidth="1"/>
    <col min="14612" max="14612" width="11.85546875" style="7" customWidth="1"/>
    <col min="14613" max="14613" width="9.85546875" style="7" customWidth="1"/>
    <col min="14614" max="14614" width="10.140625" style="7" customWidth="1"/>
    <col min="14615" max="14615" width="7" style="7" customWidth="1"/>
    <col min="14616" max="14850" width="9" style="7"/>
    <col min="14851" max="14851" width="9.85546875" style="7" customWidth="1"/>
    <col min="14852" max="14852" width="9" style="7"/>
    <col min="14853" max="14853" width="3.85546875" style="7" customWidth="1"/>
    <col min="14854" max="14854" width="11" style="7" customWidth="1"/>
    <col min="14855" max="14855" width="4.140625" style="7" customWidth="1"/>
    <col min="14856" max="14856" width="9.5703125" style="7" customWidth="1"/>
    <col min="14857" max="14857" width="6.42578125" style="7" customWidth="1"/>
    <col min="14858" max="14858" width="11.42578125" style="7" customWidth="1"/>
    <col min="14859" max="14859" width="5.42578125" style="7" customWidth="1"/>
    <col min="14860" max="14860" width="3.5703125" style="7" customWidth="1"/>
    <col min="14861" max="14861" width="2.85546875" style="7" customWidth="1"/>
    <col min="14862" max="14862" width="6.85546875" style="7" customWidth="1"/>
    <col min="14863" max="14863" width="11.85546875" style="7" customWidth="1"/>
    <col min="14864" max="14864" width="4.140625" style="7" bestFit="1" customWidth="1"/>
    <col min="14865" max="14865" width="14.85546875" style="7" customWidth="1"/>
    <col min="14866" max="14866" width="9.140625" style="7" customWidth="1"/>
    <col min="14867" max="14867" width="9" style="7" customWidth="1"/>
    <col min="14868" max="14868" width="11.85546875" style="7" customWidth="1"/>
    <col min="14869" max="14869" width="9.85546875" style="7" customWidth="1"/>
    <col min="14870" max="14870" width="10.140625" style="7" customWidth="1"/>
    <col min="14871" max="14871" width="7" style="7" customWidth="1"/>
    <col min="14872" max="15106" width="9" style="7"/>
    <col min="15107" max="15107" width="9.85546875" style="7" customWidth="1"/>
    <col min="15108" max="15108" width="9" style="7"/>
    <col min="15109" max="15109" width="3.85546875" style="7" customWidth="1"/>
    <col min="15110" max="15110" width="11" style="7" customWidth="1"/>
    <col min="15111" max="15111" width="4.140625" style="7" customWidth="1"/>
    <col min="15112" max="15112" width="9.5703125" style="7" customWidth="1"/>
    <col min="15113" max="15113" width="6.42578125" style="7" customWidth="1"/>
    <col min="15114" max="15114" width="11.42578125" style="7" customWidth="1"/>
    <col min="15115" max="15115" width="5.42578125" style="7" customWidth="1"/>
    <col min="15116" max="15116" width="3.5703125" style="7" customWidth="1"/>
    <col min="15117" max="15117" width="2.85546875" style="7" customWidth="1"/>
    <col min="15118" max="15118" width="6.85546875" style="7" customWidth="1"/>
    <col min="15119" max="15119" width="11.85546875" style="7" customWidth="1"/>
    <col min="15120" max="15120" width="4.140625" style="7" bestFit="1" customWidth="1"/>
    <col min="15121" max="15121" width="14.85546875" style="7" customWidth="1"/>
    <col min="15122" max="15122" width="9.140625" style="7" customWidth="1"/>
    <col min="15123" max="15123" width="9" style="7" customWidth="1"/>
    <col min="15124" max="15124" width="11.85546875" style="7" customWidth="1"/>
    <col min="15125" max="15125" width="9.85546875" style="7" customWidth="1"/>
    <col min="15126" max="15126" width="10.140625" style="7" customWidth="1"/>
    <col min="15127" max="15127" width="7" style="7" customWidth="1"/>
    <col min="15128" max="15362" width="9" style="7"/>
    <col min="15363" max="15363" width="9.85546875" style="7" customWidth="1"/>
    <col min="15364" max="15364" width="9" style="7"/>
    <col min="15365" max="15365" width="3.85546875" style="7" customWidth="1"/>
    <col min="15366" max="15366" width="11" style="7" customWidth="1"/>
    <col min="15367" max="15367" width="4.140625" style="7" customWidth="1"/>
    <col min="15368" max="15368" width="9.5703125" style="7" customWidth="1"/>
    <col min="15369" max="15369" width="6.42578125" style="7" customWidth="1"/>
    <col min="15370" max="15370" width="11.42578125" style="7" customWidth="1"/>
    <col min="15371" max="15371" width="5.42578125" style="7" customWidth="1"/>
    <col min="15372" max="15372" width="3.5703125" style="7" customWidth="1"/>
    <col min="15373" max="15373" width="2.85546875" style="7" customWidth="1"/>
    <col min="15374" max="15374" width="6.85546875" style="7" customWidth="1"/>
    <col min="15375" max="15375" width="11.85546875" style="7" customWidth="1"/>
    <col min="15376" max="15376" width="4.140625" style="7" bestFit="1" customWidth="1"/>
    <col min="15377" max="15377" width="14.85546875" style="7" customWidth="1"/>
    <col min="15378" max="15378" width="9.140625" style="7" customWidth="1"/>
    <col min="15379" max="15379" width="9" style="7" customWidth="1"/>
    <col min="15380" max="15380" width="11.85546875" style="7" customWidth="1"/>
    <col min="15381" max="15381" width="9.85546875" style="7" customWidth="1"/>
    <col min="15382" max="15382" width="10.140625" style="7" customWidth="1"/>
    <col min="15383" max="15383" width="7" style="7" customWidth="1"/>
    <col min="15384" max="15618" width="9" style="7"/>
    <col min="15619" max="15619" width="9.85546875" style="7" customWidth="1"/>
    <col min="15620" max="15620" width="9" style="7"/>
    <col min="15621" max="15621" width="3.85546875" style="7" customWidth="1"/>
    <col min="15622" max="15622" width="11" style="7" customWidth="1"/>
    <col min="15623" max="15623" width="4.140625" style="7" customWidth="1"/>
    <col min="15624" max="15624" width="9.5703125" style="7" customWidth="1"/>
    <col min="15625" max="15625" width="6.42578125" style="7" customWidth="1"/>
    <col min="15626" max="15626" width="11.42578125" style="7" customWidth="1"/>
    <col min="15627" max="15627" width="5.42578125" style="7" customWidth="1"/>
    <col min="15628" max="15628" width="3.5703125" style="7" customWidth="1"/>
    <col min="15629" max="15629" width="2.85546875" style="7" customWidth="1"/>
    <col min="15630" max="15630" width="6.85546875" style="7" customWidth="1"/>
    <col min="15631" max="15631" width="11.85546875" style="7" customWidth="1"/>
    <col min="15632" max="15632" width="4.140625" style="7" bestFit="1" customWidth="1"/>
    <col min="15633" max="15633" width="14.85546875" style="7" customWidth="1"/>
    <col min="15634" max="15634" width="9.140625" style="7" customWidth="1"/>
    <col min="15635" max="15635" width="9" style="7" customWidth="1"/>
    <col min="15636" max="15636" width="11.85546875" style="7" customWidth="1"/>
    <col min="15637" max="15637" width="9.85546875" style="7" customWidth="1"/>
    <col min="15638" max="15638" width="10.140625" style="7" customWidth="1"/>
    <col min="15639" max="15639" width="7" style="7" customWidth="1"/>
    <col min="15640" max="15874" width="9" style="7"/>
    <col min="15875" max="15875" width="9.85546875" style="7" customWidth="1"/>
    <col min="15876" max="15876" width="9" style="7"/>
    <col min="15877" max="15877" width="3.85546875" style="7" customWidth="1"/>
    <col min="15878" max="15878" width="11" style="7" customWidth="1"/>
    <col min="15879" max="15879" width="4.140625" style="7" customWidth="1"/>
    <col min="15880" max="15880" width="9.5703125" style="7" customWidth="1"/>
    <col min="15881" max="15881" width="6.42578125" style="7" customWidth="1"/>
    <col min="15882" max="15882" width="11.42578125" style="7" customWidth="1"/>
    <col min="15883" max="15883" width="5.42578125" style="7" customWidth="1"/>
    <col min="15884" max="15884" width="3.5703125" style="7" customWidth="1"/>
    <col min="15885" max="15885" width="2.85546875" style="7" customWidth="1"/>
    <col min="15886" max="15886" width="6.85546875" style="7" customWidth="1"/>
    <col min="15887" max="15887" width="11.85546875" style="7" customWidth="1"/>
    <col min="15888" max="15888" width="4.140625" style="7" bestFit="1" customWidth="1"/>
    <col min="15889" max="15889" width="14.85546875" style="7" customWidth="1"/>
    <col min="15890" max="15890" width="9.140625" style="7" customWidth="1"/>
    <col min="15891" max="15891" width="9" style="7" customWidth="1"/>
    <col min="15892" max="15892" width="11.85546875" style="7" customWidth="1"/>
    <col min="15893" max="15893" width="9.85546875" style="7" customWidth="1"/>
    <col min="15894" max="15894" width="10.140625" style="7" customWidth="1"/>
    <col min="15895" max="15895" width="7" style="7" customWidth="1"/>
    <col min="15896" max="16130" width="9" style="7"/>
    <col min="16131" max="16131" width="9.85546875" style="7" customWidth="1"/>
    <col min="16132" max="16132" width="9" style="7"/>
    <col min="16133" max="16133" width="3.85546875" style="7" customWidth="1"/>
    <col min="16134" max="16134" width="11" style="7" customWidth="1"/>
    <col min="16135" max="16135" width="4.140625" style="7" customWidth="1"/>
    <col min="16136" max="16136" width="9.5703125" style="7" customWidth="1"/>
    <col min="16137" max="16137" width="6.42578125" style="7" customWidth="1"/>
    <col min="16138" max="16138" width="11.42578125" style="7" customWidth="1"/>
    <col min="16139" max="16139" width="5.42578125" style="7" customWidth="1"/>
    <col min="16140" max="16140" width="3.5703125" style="7" customWidth="1"/>
    <col min="16141" max="16141" width="2.85546875" style="7" customWidth="1"/>
    <col min="16142" max="16142" width="6.85546875" style="7" customWidth="1"/>
    <col min="16143" max="16143" width="11.85546875" style="7" customWidth="1"/>
    <col min="16144" max="16144" width="4.140625" style="7" bestFit="1" customWidth="1"/>
    <col min="16145" max="16145" width="14.85546875" style="7" customWidth="1"/>
    <col min="16146" max="16146" width="9.140625" style="7" customWidth="1"/>
    <col min="16147" max="16147" width="9" style="7" customWidth="1"/>
    <col min="16148" max="16148" width="11.85546875" style="7" customWidth="1"/>
    <col min="16149" max="16149" width="9.85546875" style="7" customWidth="1"/>
    <col min="16150" max="16150" width="10.140625" style="7" customWidth="1"/>
    <col min="16151" max="16151" width="7" style="7" customWidth="1"/>
    <col min="16152" max="16383" width="9" style="7"/>
    <col min="16384" max="16384" width="9" style="7" customWidth="1"/>
  </cols>
  <sheetData>
    <row r="1" spans="1:30" ht="40.5" customHeight="1">
      <c r="A1" s="42" t="s">
        <v>337</v>
      </c>
      <c r="B1" s="3" t="s">
        <v>14</v>
      </c>
      <c r="C1" s="4" t="s">
        <v>15</v>
      </c>
      <c r="D1" s="91" t="s">
        <v>338</v>
      </c>
      <c r="E1" s="91" t="s">
        <v>369</v>
      </c>
      <c r="F1" s="92" t="s">
        <v>489</v>
      </c>
      <c r="G1" s="134" t="s">
        <v>401</v>
      </c>
      <c r="H1" s="135" t="s">
        <v>341</v>
      </c>
      <c r="I1" s="136" t="s">
        <v>342</v>
      </c>
      <c r="J1" s="134" t="s">
        <v>479</v>
      </c>
      <c r="K1" s="135" t="s">
        <v>343</v>
      </c>
      <c r="L1" s="136" t="s">
        <v>344</v>
      </c>
      <c r="M1" s="134" t="s">
        <v>480</v>
      </c>
      <c r="N1" s="135" t="s">
        <v>402</v>
      </c>
      <c r="O1" s="135" t="s">
        <v>403</v>
      </c>
      <c r="P1" s="253" t="s">
        <v>404</v>
      </c>
      <c r="Q1" s="254" t="s">
        <v>275</v>
      </c>
      <c r="R1" s="253" t="s">
        <v>276</v>
      </c>
      <c r="S1" s="254" t="s">
        <v>277</v>
      </c>
      <c r="T1" s="41" t="s">
        <v>405</v>
      </c>
      <c r="U1" s="125" t="s">
        <v>406</v>
      </c>
      <c r="V1" s="254" t="s">
        <v>491</v>
      </c>
      <c r="W1" s="253" t="s">
        <v>280</v>
      </c>
      <c r="X1" s="254" t="s">
        <v>348</v>
      </c>
      <c r="Y1" s="254" t="s">
        <v>282</v>
      </c>
      <c r="Z1" s="254" t="s">
        <v>283</v>
      </c>
      <c r="AA1" s="254" t="s">
        <v>284</v>
      </c>
      <c r="AB1" s="254" t="s">
        <v>492</v>
      </c>
      <c r="AC1" s="254" t="s">
        <v>539</v>
      </c>
      <c r="AD1" s="254" t="s">
        <v>540</v>
      </c>
    </row>
    <row r="2" spans="1:30" ht="15">
      <c r="B2" s="6" t="s">
        <v>541</v>
      </c>
      <c r="C2" s="6"/>
      <c r="D2" s="8"/>
      <c r="E2" s="8"/>
      <c r="F2" s="71"/>
      <c r="G2" s="137" t="s">
        <v>401</v>
      </c>
      <c r="H2" s="16" t="s">
        <v>341</v>
      </c>
      <c r="I2" s="138" t="s">
        <v>342</v>
      </c>
      <c r="J2" s="137" t="s">
        <v>401</v>
      </c>
      <c r="K2" s="16" t="s">
        <v>341</v>
      </c>
      <c r="L2" s="138" t="s">
        <v>342</v>
      </c>
      <c r="M2" s="137" t="s">
        <v>401</v>
      </c>
      <c r="N2" s="16" t="s">
        <v>341</v>
      </c>
      <c r="O2" s="16" t="s">
        <v>342</v>
      </c>
      <c r="P2" s="16" t="s">
        <v>412</v>
      </c>
      <c r="Q2" s="217" t="s">
        <v>296</v>
      </c>
      <c r="R2" s="7"/>
      <c r="S2" s="217" t="s">
        <v>296</v>
      </c>
      <c r="T2" s="6" t="s">
        <v>411</v>
      </c>
      <c r="U2" s="7" t="s">
        <v>496</v>
      </c>
      <c r="V2" s="217" t="s">
        <v>413</v>
      </c>
      <c r="X2" s="256">
        <v>0.3</v>
      </c>
      <c r="Y2" s="256">
        <v>0.35</v>
      </c>
      <c r="Z2" s="256">
        <v>0.4</v>
      </c>
      <c r="AA2" s="256">
        <v>0.5</v>
      </c>
      <c r="AB2" s="256">
        <v>0.6</v>
      </c>
      <c r="AC2" s="256">
        <v>0.7</v>
      </c>
      <c r="AD2" s="256">
        <v>1</v>
      </c>
    </row>
    <row r="3" spans="1:30" ht="25.35" customHeight="1">
      <c r="A3" s="7" t="s">
        <v>87</v>
      </c>
      <c r="B3" s="7" t="str">
        <f>_xlfn.CONCAT(A3,"_",D3,"@",(ROUND(F3,2)),"Kg/m")</f>
        <v>RB_BLK_6@0.22Kg/m</v>
      </c>
      <c r="C3" s="7" t="str">
        <f>_xlfn.CONCAT(A3," ",D3,"mm @ ",ROUND(F3,2),"Kg/m")</f>
        <v>RB_BLK 6mm @ 0.22Kg/m</v>
      </c>
      <c r="D3" s="7">
        <v>6</v>
      </c>
      <c r="F3" s="71">
        <v>0.2219535209761189</v>
      </c>
      <c r="G3" s="139">
        <v>6.1</v>
      </c>
      <c r="H3" s="9">
        <v>13.5</v>
      </c>
      <c r="I3" s="140" t="s">
        <v>422</v>
      </c>
      <c r="J3" s="139"/>
      <c r="K3" s="9"/>
      <c r="L3" s="140"/>
      <c r="M3" s="139"/>
      <c r="N3" s="9"/>
      <c r="O3" s="9"/>
      <c r="P3" s="7">
        <f>SUM(G3*H3)+(J3*K3)+(M3*N3)</f>
        <v>82.35</v>
      </c>
      <c r="Q3" s="217">
        <f t="shared" ref="Q3:Q34" si="0">P3*F3*S3/1000</f>
        <v>10.052829848810864</v>
      </c>
      <c r="R3" s="7"/>
      <c r="S3" s="217">
        <v>550</v>
      </c>
      <c r="T3" s="217">
        <f>Table6[[#This Row],[£/Tonne]]/1000*Table6[[#This Row],[KG/M]]</f>
        <v>0.12207443653686541</v>
      </c>
      <c r="U3" s="7">
        <v>6.1</v>
      </c>
      <c r="V3" s="217">
        <f>(S3/1000)*F3*Table6[[#This Row],[Normal Length]]</f>
        <v>0.7446540628748789</v>
      </c>
      <c r="Z3" s="217">
        <f>Table6[[#This Row],[£/Length]]*(1+Z$2)</f>
        <v>1.0425156880248303</v>
      </c>
      <c r="AA3" s="217">
        <f>Table6[[#This Row],[£/Length]]*(1+AA$2)</f>
        <v>1.1169810943123184</v>
      </c>
      <c r="AB3" s="217">
        <f>Table6[[#This Row],[£/Length]]*(1+AB$2)</f>
        <v>1.1914465005998063</v>
      </c>
      <c r="AC3" s="217">
        <f>Table6[[#This Row],[£/Length]]*(1+AC$2)</f>
        <v>1.2659119068872942</v>
      </c>
      <c r="AD3" s="217">
        <f>Table6[[#This Row],[£/Length]]*(1+AD$2)</f>
        <v>1.4893081257497578</v>
      </c>
    </row>
    <row r="4" spans="1:30" ht="25.35" customHeight="1">
      <c r="A4" s="7" t="s">
        <v>87</v>
      </c>
      <c r="B4" s="7" t="str">
        <f t="shared" ref="B4:B66" si="1">_xlfn.CONCAT(A4,"_",D4,"@",(ROUND(F4,2)),"Kg/m")</f>
        <v>RB_BLK_8@0.39Kg/m</v>
      </c>
      <c r="C4" s="7" t="str">
        <f t="shared" ref="C4:C44" si="2">_xlfn.CONCAT(A4," ",D4,"mm @ ",ROUND(F4,2),"Kg/m")</f>
        <v>RB_BLK 8mm @ 0.39Kg/m</v>
      </c>
      <c r="D4" s="7">
        <v>8</v>
      </c>
      <c r="F4" s="71">
        <v>0.39458403729087799</v>
      </c>
      <c r="G4" s="139">
        <v>6.1</v>
      </c>
      <c r="H4" s="9">
        <v>51</v>
      </c>
      <c r="I4" s="140" t="s">
        <v>422</v>
      </c>
      <c r="J4" s="139"/>
      <c r="K4" s="9"/>
      <c r="L4" s="140"/>
      <c r="M4" s="139"/>
      <c r="N4" s="9"/>
      <c r="O4" s="9"/>
      <c r="P4" s="7">
        <f t="shared" ref="P4:P67" si="3">SUM(G4*H4)+(J4*K4)+(M4*N4)</f>
        <v>311.09999999999997</v>
      </c>
      <c r="Q4" s="217">
        <f t="shared" si="0"/>
        <v>104.34182990101331</v>
      </c>
      <c r="R4" s="7"/>
      <c r="S4" s="217">
        <v>850</v>
      </c>
      <c r="T4" s="217">
        <f>Table6[[#This Row],[£/Tonne]]/1000*Table6[[#This Row],[KG/M]]</f>
        <v>0.33539643169724626</v>
      </c>
      <c r="U4" s="7">
        <v>6.1</v>
      </c>
      <c r="V4" s="217">
        <f>(S4/1000)*F4*Table6[[#This Row],[Normal Length]]</f>
        <v>2.045918233353202</v>
      </c>
      <c r="Z4" s="217">
        <f>Table6[[#This Row],[£/Length]]*(1+Z$2)</f>
        <v>2.8642855266944824</v>
      </c>
      <c r="AA4" s="217">
        <f>Table6[[#This Row],[£/Length]]*(1+AA$2)</f>
        <v>3.068877350029803</v>
      </c>
      <c r="AB4" s="217">
        <f>Table6[[#This Row],[£/Length]]*(1+AB$2)</f>
        <v>3.2734691733651236</v>
      </c>
      <c r="AC4" s="217">
        <f>Table6[[#This Row],[£/Length]]*(1+AC$2)</f>
        <v>3.4780609967004432</v>
      </c>
      <c r="AD4" s="217">
        <f>Table6[[#This Row],[£/Length]]*(1+AD$2)</f>
        <v>4.091836466706404</v>
      </c>
    </row>
    <row r="5" spans="1:30" ht="25.35" customHeight="1">
      <c r="A5" s="7" t="s">
        <v>87</v>
      </c>
      <c r="B5" s="7" t="str">
        <f t="shared" si="1"/>
        <v>RB_BLK_10@0.62Kg/m</v>
      </c>
      <c r="C5" s="7" t="str">
        <f t="shared" si="2"/>
        <v>RB_BLK 10mm @ 0.62Kg/m</v>
      </c>
      <c r="D5" s="7">
        <v>10</v>
      </c>
      <c r="F5" s="71">
        <v>0.61653755826699685</v>
      </c>
      <c r="G5" s="139">
        <v>6.1</v>
      </c>
      <c r="H5" s="9">
        <v>28</v>
      </c>
      <c r="I5" s="140" t="s">
        <v>422</v>
      </c>
      <c r="J5" s="139"/>
      <c r="K5" s="9"/>
      <c r="L5" s="140"/>
      <c r="M5" s="139"/>
      <c r="N5" s="9"/>
      <c r="O5" s="9"/>
      <c r="P5" s="7">
        <f t="shared" si="3"/>
        <v>170.79999999999998</v>
      </c>
      <c r="Q5" s="217">
        <f t="shared" si="0"/>
        <v>71.607138167362081</v>
      </c>
      <c r="R5" s="7"/>
      <c r="S5" s="217">
        <v>680</v>
      </c>
      <c r="T5" s="217">
        <f>Table6[[#This Row],[£/Tonne]]/1000*Table6[[#This Row],[KG/M]]</f>
        <v>0.41924553962155792</v>
      </c>
      <c r="U5" s="7">
        <v>6.1</v>
      </c>
      <c r="V5" s="217">
        <f>(S5/1000)*F5*Table6[[#This Row],[Normal Length]]</f>
        <v>2.5573977916915029</v>
      </c>
      <c r="Z5" s="217">
        <f>Table6[[#This Row],[£/Length]]*(1+Z$2)</f>
        <v>3.5803569083681039</v>
      </c>
      <c r="AA5" s="217">
        <f>Table6[[#This Row],[£/Length]]*(1+AA$2)</f>
        <v>3.8360966875372542</v>
      </c>
      <c r="AB5" s="217">
        <f>Table6[[#This Row],[£/Length]]*(1+AB$2)</f>
        <v>4.0918364667064049</v>
      </c>
      <c r="AC5" s="217">
        <f>Table6[[#This Row],[£/Length]]*(1+AC$2)</f>
        <v>4.3475762458755547</v>
      </c>
      <c r="AD5" s="217">
        <f>Table6[[#This Row],[£/Length]]*(1+AD$2)</f>
        <v>5.1147955833830059</v>
      </c>
    </row>
    <row r="6" spans="1:30" ht="25.35" customHeight="1">
      <c r="A6" s="7" t="s">
        <v>87</v>
      </c>
      <c r="B6" s="7" t="str">
        <f t="shared" si="1"/>
        <v>RB_BLK_12@0.89Kg/m</v>
      </c>
      <c r="C6" s="7" t="str">
        <f t="shared" si="2"/>
        <v>RB_BLK 12mm @ 0.89Kg/m</v>
      </c>
      <c r="D6" s="7">
        <v>12</v>
      </c>
      <c r="F6" s="71">
        <v>0.88781408390447558</v>
      </c>
      <c r="G6" s="139">
        <v>6.1</v>
      </c>
      <c r="H6" s="9">
        <v>4</v>
      </c>
      <c r="I6" s="140" t="s">
        <v>422</v>
      </c>
      <c r="J6" s="139"/>
      <c r="K6" s="9"/>
      <c r="L6" s="140"/>
      <c r="M6" s="139"/>
      <c r="N6" s="9"/>
      <c r="O6" s="9"/>
      <c r="P6" s="7">
        <f t="shared" si="3"/>
        <v>24.4</v>
      </c>
      <c r="Q6" s="217">
        <f t="shared" si="0"/>
        <v>16.896877644869978</v>
      </c>
      <c r="R6" s="7"/>
      <c r="S6" s="217">
        <v>780</v>
      </c>
      <c r="T6" s="217">
        <f>Table6[[#This Row],[£/Tonne]]/1000*Table6[[#This Row],[KG/M]]</f>
        <v>0.69249498544549093</v>
      </c>
      <c r="U6" s="7">
        <v>6.1</v>
      </c>
      <c r="V6" s="217">
        <f>(S6/1000)*F6*Table6[[#This Row],[Normal Length]]</f>
        <v>4.2242194112174944</v>
      </c>
      <c r="Z6" s="217">
        <f>Table6[[#This Row],[£/Length]]*(1+Z$2)</f>
        <v>5.9139071757044919</v>
      </c>
      <c r="AA6" s="217">
        <f>Table6[[#This Row],[£/Length]]*(1+AA$2)</f>
        <v>6.3363291168262421</v>
      </c>
      <c r="AB6" s="217">
        <f>Table6[[#This Row],[£/Length]]*(1+AB$2)</f>
        <v>6.7587510579479915</v>
      </c>
      <c r="AC6" s="217">
        <f>Table6[[#This Row],[£/Length]]*(1+AC$2)</f>
        <v>7.1811729990697399</v>
      </c>
      <c r="AD6" s="217">
        <f>Table6[[#This Row],[£/Length]]*(1+AD$2)</f>
        <v>8.4484388224349889</v>
      </c>
    </row>
    <row r="7" spans="1:30" ht="25.35" customHeight="1">
      <c r="A7" s="7" t="s">
        <v>87</v>
      </c>
      <c r="B7" s="7" t="str">
        <f t="shared" si="1"/>
        <v>RB_BLK_16@1.58Kg/m</v>
      </c>
      <c r="C7" s="7" t="str">
        <f t="shared" si="2"/>
        <v>RB_BLK 16mm @ 1.58Kg/m</v>
      </c>
      <c r="D7" s="7">
        <v>16</v>
      </c>
      <c r="F7" s="71">
        <v>1.5783361491635119</v>
      </c>
      <c r="G7" s="139">
        <v>6.1</v>
      </c>
      <c r="H7" s="9">
        <v>6</v>
      </c>
      <c r="I7" s="140" t="s">
        <v>422</v>
      </c>
      <c r="J7" s="139"/>
      <c r="K7" s="9"/>
      <c r="L7" s="140"/>
      <c r="M7" s="139"/>
      <c r="N7" s="9"/>
      <c r="O7" s="9"/>
      <c r="P7" s="7">
        <f t="shared" si="3"/>
        <v>36.599999999999994</v>
      </c>
      <c r="Q7" s="217">
        <f t="shared" si="0"/>
        <v>37.548616988599946</v>
      </c>
      <c r="R7" s="7"/>
      <c r="S7" s="217">
        <v>650</v>
      </c>
      <c r="T7" s="217">
        <f>Table6[[#This Row],[£/Tonne]]/1000*Table6[[#This Row],[KG/M]]</f>
        <v>1.0259184969562829</v>
      </c>
      <c r="U7" s="7">
        <v>6.1</v>
      </c>
      <c r="V7" s="217">
        <f>(S7/1000)*F7*Table6[[#This Row],[Normal Length]]</f>
        <v>6.2581028314333249</v>
      </c>
      <c r="X7" s="217">
        <f>Table6[[#This Row],[£/Length]]*(1+X2)</f>
        <v>8.1355336808633218</v>
      </c>
      <c r="Y7" s="217">
        <f>Table6[[#This Row],[£/Length]]*(1+Y2)</f>
        <v>8.4484388224349889</v>
      </c>
      <c r="Z7" s="217">
        <f>Table6[[#This Row],[£/Length]]*(1+Z$2)</f>
        <v>8.7613439640066542</v>
      </c>
      <c r="AA7" s="217">
        <f>Table6[[#This Row],[£/Length]]*(1+AA$2)</f>
        <v>9.3871542471499865</v>
      </c>
      <c r="AB7" s="217">
        <f>Table6[[#This Row],[£/Length]]*(1+AB$2)</f>
        <v>10.012964530293321</v>
      </c>
      <c r="AC7" s="217">
        <f>Table6[[#This Row],[£/Length]]*(1+AC$2)</f>
        <v>10.638774813436653</v>
      </c>
      <c r="AD7" s="217">
        <f>Table6[[#This Row],[£/Length]]*(1+AD$2)</f>
        <v>12.51620566286665</v>
      </c>
    </row>
    <row r="8" spans="1:30" ht="25.35" customHeight="1">
      <c r="A8" s="7" t="s">
        <v>87</v>
      </c>
      <c r="B8" s="7" t="str">
        <f t="shared" si="1"/>
        <v>RB_BLK_20@2.47Kg/m</v>
      </c>
      <c r="C8" s="7" t="str">
        <f t="shared" si="2"/>
        <v>RB_BLK 20mm @ 2.47Kg/m</v>
      </c>
      <c r="D8" s="7">
        <v>20</v>
      </c>
      <c r="F8" s="71">
        <v>2.4661502330679874</v>
      </c>
      <c r="G8" s="139">
        <v>6.1</v>
      </c>
      <c r="H8" s="9">
        <v>25</v>
      </c>
      <c r="I8" s="140" t="s">
        <v>422</v>
      </c>
      <c r="J8" s="139"/>
      <c r="K8" s="9"/>
      <c r="L8" s="140"/>
      <c r="M8" s="139"/>
      <c r="N8" s="9"/>
      <c r="O8" s="9"/>
      <c r="P8" s="7">
        <f t="shared" si="3"/>
        <v>152.5</v>
      </c>
      <c r="Q8" s="217">
        <f t="shared" si="0"/>
        <v>255.7397791691503</v>
      </c>
      <c r="R8" s="7"/>
      <c r="S8" s="217">
        <v>680</v>
      </c>
      <c r="T8" s="217">
        <f>Table6[[#This Row],[£/Tonne]]/1000*Table6[[#This Row],[KG/M]]</f>
        <v>1.6769821584862317</v>
      </c>
      <c r="U8" s="7">
        <v>6.1</v>
      </c>
      <c r="V8" s="217">
        <f>(S8/1000)*F8*Table6[[#This Row],[Normal Length]]</f>
        <v>10.229591166766012</v>
      </c>
      <c r="X8" s="217">
        <f>Table6[[#This Row],[£/Length]]*(1+X3)</f>
        <v>10.229591166766012</v>
      </c>
      <c r="Y8" s="217">
        <f>Table6[[#This Row],[£/Length]]*(1+Y3)</f>
        <v>10.229591166766012</v>
      </c>
      <c r="Z8" s="217">
        <f>Table6[[#This Row],[£/Length]]*(1+Z$2)</f>
        <v>14.321427633472416</v>
      </c>
      <c r="AA8" s="217">
        <f>Table6[[#This Row],[£/Length]]*(1+AA$2)</f>
        <v>15.344386750149017</v>
      </c>
    </row>
    <row r="9" spans="1:30" ht="25.35" customHeight="1">
      <c r="A9" s="7" t="s">
        <v>87</v>
      </c>
      <c r="B9" s="7" t="str">
        <f t="shared" si="1"/>
        <v>RB_BLK_25@3.85Kg/m</v>
      </c>
      <c r="C9" s="7" t="str">
        <f t="shared" si="2"/>
        <v>RB_BLK 25mm @ 3.85Kg/m</v>
      </c>
      <c r="D9" s="7">
        <v>25</v>
      </c>
      <c r="F9" s="71">
        <v>3.8533597391687304</v>
      </c>
      <c r="G9" s="139"/>
      <c r="H9" s="9"/>
      <c r="I9" s="140"/>
      <c r="J9" s="139"/>
      <c r="K9" s="9"/>
      <c r="L9" s="140"/>
      <c r="M9" s="139"/>
      <c r="N9" s="9"/>
      <c r="O9" s="9"/>
      <c r="P9" s="7">
        <f t="shared" si="3"/>
        <v>0</v>
      </c>
      <c r="Q9" s="217">
        <f t="shared" si="0"/>
        <v>0</v>
      </c>
      <c r="R9" s="7"/>
      <c r="S9" s="217">
        <v>755</v>
      </c>
      <c r="T9" s="217">
        <f>Table6[[#This Row],[£/Tonne]]/1000*Table6[[#This Row],[KG/M]]</f>
        <v>2.9092866030723914</v>
      </c>
      <c r="U9" s="7">
        <v>6.1</v>
      </c>
      <c r="V9" s="217">
        <f>(S9/1000)*F9*Table6[[#This Row],[Normal Length]]</f>
        <v>17.746648278741585</v>
      </c>
      <c r="X9" s="217">
        <f>Table6[[#This Row],[£/Length]]*(1+X4)</f>
        <v>17.746648278741585</v>
      </c>
      <c r="Y9" s="217">
        <f>Table6[[#This Row],[£/Length]]*(1+Y4)</f>
        <v>17.746648278741585</v>
      </c>
      <c r="Z9" s="217">
        <f>Table6[[#This Row],[£/Length]]*(1+Z$2)</f>
        <v>24.845307590238217</v>
      </c>
      <c r="AA9" s="217">
        <f>Table6[[#This Row],[£/Length]]*(1+AA$2)</f>
        <v>26.619972418112376</v>
      </c>
    </row>
    <row r="10" spans="1:30" ht="25.35" customHeight="1">
      <c r="A10" s="7" t="s">
        <v>87</v>
      </c>
      <c r="B10" s="7" t="str">
        <f t="shared" si="1"/>
        <v>RB_BLK_30@5.55Kg/m</v>
      </c>
      <c r="C10" s="7" t="str">
        <f t="shared" si="2"/>
        <v>RB_BLK 30mm @ 5.55Kg/m</v>
      </c>
      <c r="D10" s="7">
        <v>30</v>
      </c>
      <c r="F10" s="71">
        <v>5.548838024402972</v>
      </c>
      <c r="G10" s="139">
        <v>6.1</v>
      </c>
      <c r="H10" s="9">
        <v>4</v>
      </c>
      <c r="I10" s="140" t="s">
        <v>422</v>
      </c>
      <c r="J10" s="139"/>
      <c r="K10" s="9"/>
      <c r="L10" s="140"/>
      <c r="M10" s="139"/>
      <c r="N10" s="9"/>
      <c r="O10" s="9"/>
      <c r="P10" s="7">
        <f t="shared" si="3"/>
        <v>24.4</v>
      </c>
      <c r="Q10" s="217">
        <f t="shared" si="0"/>
        <v>104.25156880248304</v>
      </c>
      <c r="R10" s="7"/>
      <c r="S10" s="217">
        <v>770</v>
      </c>
      <c r="T10" s="217">
        <f>Table6[[#This Row],[£/Tonne]]/1000*Table6[[#This Row],[KG/M]]</f>
        <v>4.2726052787902882</v>
      </c>
      <c r="U10" s="7">
        <v>6.1</v>
      </c>
      <c r="V10" s="217">
        <f>(S10/1000)*F10*Table6[[#This Row],[Normal Length]]</f>
        <v>26.062892200620755</v>
      </c>
      <c r="X10" s="217">
        <f>Table6[[#This Row],[£/Length]]*(1+X5)</f>
        <v>26.062892200620755</v>
      </c>
      <c r="Y10" s="217">
        <f>Table6[[#This Row],[£/Length]]*(1+Y5)</f>
        <v>26.062892200620755</v>
      </c>
      <c r="Z10" s="217">
        <f>Table6[[#This Row],[£/Length]]*(1+Z$2)</f>
        <v>36.488049080869054</v>
      </c>
      <c r="AA10" s="217">
        <f>Table6[[#This Row],[£/Length]]*(1+AA$2)</f>
        <v>39.094338300931135</v>
      </c>
    </row>
    <row r="11" spans="1:30" ht="25.35" customHeight="1">
      <c r="A11" s="7" t="s">
        <v>87</v>
      </c>
      <c r="B11" s="7" t="str">
        <f t="shared" si="1"/>
        <v>RB_BLK_32@6.31Kg/m</v>
      </c>
      <c r="C11" s="7" t="str">
        <f t="shared" si="2"/>
        <v>RB_BLK 32mm @ 6.31Kg/m</v>
      </c>
      <c r="D11" s="7">
        <v>32</v>
      </c>
      <c r="F11" s="71">
        <v>6.3133445966540478</v>
      </c>
      <c r="G11" s="139">
        <v>6.1</v>
      </c>
      <c r="H11" s="9">
        <v>3</v>
      </c>
      <c r="I11" s="140" t="s">
        <v>422</v>
      </c>
      <c r="J11" s="139"/>
      <c r="K11" s="9"/>
      <c r="L11" s="140"/>
      <c r="M11" s="139"/>
      <c r="N11" s="9"/>
      <c r="O11" s="9"/>
      <c r="P11" s="7">
        <f t="shared" si="3"/>
        <v>18.299999999999997</v>
      </c>
      <c r="Q11" s="217">
        <f t="shared" si="0"/>
        <v>88.961338711452171</v>
      </c>
      <c r="R11" s="7"/>
      <c r="S11" s="217">
        <v>770</v>
      </c>
      <c r="T11" s="217">
        <f>Table6[[#This Row],[£/Tonne]]/1000*Table6[[#This Row],[KG/M]]</f>
        <v>4.8612753394236172</v>
      </c>
      <c r="U11" s="7">
        <v>6.1</v>
      </c>
      <c r="V11" s="217">
        <f>(S11/1000)*F11*Table6[[#This Row],[Normal Length]]</f>
        <v>29.653779570484062</v>
      </c>
      <c r="X11" s="217">
        <f>Table6[[#This Row],[£/Length]]*(1+X6)</f>
        <v>29.653779570484062</v>
      </c>
      <c r="Y11" s="217">
        <f>Table6[[#This Row],[£/Length]]*(1+Y6)</f>
        <v>29.653779570484062</v>
      </c>
      <c r="Z11" s="217">
        <f>Table6[[#This Row],[£/Length]]*(1+Z$2)</f>
        <v>41.515291398677682</v>
      </c>
      <c r="AA11" s="217">
        <f>Table6[[#This Row],[£/Length]]*(1+AA$2)</f>
        <v>44.480669355726093</v>
      </c>
    </row>
    <row r="12" spans="1:30" ht="25.35" customHeight="1">
      <c r="A12" s="7" t="s">
        <v>87</v>
      </c>
      <c r="B12" s="7" t="str">
        <f t="shared" si="1"/>
        <v>RB_BLK_35@7.55Kg/m</v>
      </c>
      <c r="C12" s="7" t="str">
        <f t="shared" si="2"/>
        <v>RB_BLK 35mm @ 7.55Kg/m</v>
      </c>
      <c r="D12" s="7">
        <v>35</v>
      </c>
      <c r="F12" s="71">
        <v>7.5525850887707122</v>
      </c>
      <c r="G12" s="139"/>
      <c r="H12" s="9"/>
      <c r="I12" s="140"/>
      <c r="J12" s="139"/>
      <c r="K12" s="9"/>
      <c r="L12" s="140"/>
      <c r="M12" s="139"/>
      <c r="N12" s="9"/>
      <c r="O12" s="9"/>
      <c r="P12" s="7">
        <f t="shared" si="3"/>
        <v>0</v>
      </c>
      <c r="Q12" s="217">
        <f t="shared" si="0"/>
        <v>0</v>
      </c>
      <c r="R12" s="7"/>
      <c r="T12" s="217">
        <f>Table6[[#This Row],[£/Tonne]]/1000*Table6[[#This Row],[KG/M]]</f>
        <v>0</v>
      </c>
      <c r="U12" s="7">
        <v>6.1</v>
      </c>
      <c r="V12" s="217">
        <f>(S12/1000)*F12*Table6[[#This Row],[Normal Length]]</f>
        <v>0</v>
      </c>
      <c r="X12" s="217">
        <f>Table6[[#This Row],[£/Length]]*(1+X7)</f>
        <v>0</v>
      </c>
      <c r="Y12" s="217">
        <f>Table6[[#This Row],[£/Length]]*(1+Y7)</f>
        <v>0</v>
      </c>
      <c r="Z12" s="217">
        <f>Table6[[#This Row],[£/Length]]*(1+Z$2)</f>
        <v>0</v>
      </c>
      <c r="AA12" s="217">
        <f>Table6[[#This Row],[£/Length]]*(1+AA$2)</f>
        <v>0</v>
      </c>
    </row>
    <row r="13" spans="1:30" ht="25.35" customHeight="1">
      <c r="A13" s="7" t="s">
        <v>87</v>
      </c>
      <c r="B13" s="7" t="str">
        <f t="shared" si="1"/>
        <v>RB_BLK_40@9.86Kg/m</v>
      </c>
      <c r="C13" s="7" t="str">
        <f t="shared" si="2"/>
        <v>RB_BLK 40mm @ 9.86Kg/m</v>
      </c>
      <c r="D13" s="7">
        <v>40</v>
      </c>
      <c r="F13" s="71">
        <v>9.8646009322719497</v>
      </c>
      <c r="G13" s="139"/>
      <c r="H13" s="9"/>
      <c r="I13" s="140"/>
      <c r="J13" s="139">
        <v>4</v>
      </c>
      <c r="K13" s="9">
        <v>1</v>
      </c>
      <c r="L13" s="140" t="s">
        <v>422</v>
      </c>
      <c r="M13" s="139">
        <v>6.1</v>
      </c>
      <c r="N13" s="9">
        <v>1</v>
      </c>
      <c r="O13" s="9" t="s">
        <v>422</v>
      </c>
      <c r="P13" s="7">
        <f t="shared" si="3"/>
        <v>10.1</v>
      </c>
      <c r="Q13" s="217">
        <f t="shared" si="0"/>
        <v>81.698624921076288</v>
      </c>
      <c r="R13" s="7"/>
      <c r="S13" s="217">
        <v>820</v>
      </c>
      <c r="T13" s="217">
        <f>Table6[[#This Row],[£/Tonne]]/1000*Table6[[#This Row],[KG/M]]</f>
        <v>8.0889727644629978</v>
      </c>
      <c r="U13" s="7">
        <v>6.1</v>
      </c>
      <c r="V13" s="217">
        <f>(S13/1000)*F13*Table6[[#This Row],[Normal Length]]</f>
        <v>49.342733863224282</v>
      </c>
      <c r="X13" s="217">
        <f>Table6[[#This Row],[£/Length]]*(1+X8)</f>
        <v>554.09872833454961</v>
      </c>
      <c r="Y13" s="217">
        <f>Table6[[#This Row],[£/Length]]*(1+Y8)</f>
        <v>554.09872833454961</v>
      </c>
      <c r="Z13" s="217">
        <f>Table6[[#This Row],[£/Length]]*(1+Z$2)</f>
        <v>69.079827408513992</v>
      </c>
      <c r="AA13" s="217">
        <f>Table6[[#This Row],[£/Length]]*(1+AA$2)</f>
        <v>74.014100794836423</v>
      </c>
    </row>
    <row r="14" spans="1:30" ht="25.35" customHeight="1">
      <c r="A14" s="7" t="s">
        <v>87</v>
      </c>
      <c r="B14" s="7" t="str">
        <f t="shared" si="1"/>
        <v>RB_BLK_50@15.41Kg/m</v>
      </c>
      <c r="C14" s="7" t="str">
        <f t="shared" si="2"/>
        <v>RB_BLK 50mm @ 15.41Kg/m</v>
      </c>
      <c r="D14" s="7">
        <v>50</v>
      </c>
      <c r="F14" s="71">
        <v>15.413438956674922</v>
      </c>
      <c r="G14" s="139"/>
      <c r="H14" s="9"/>
      <c r="I14" s="140"/>
      <c r="J14" s="139"/>
      <c r="K14" s="9"/>
      <c r="L14" s="140"/>
      <c r="M14" s="139"/>
      <c r="N14" s="9"/>
      <c r="O14" s="9"/>
      <c r="P14" s="7">
        <f t="shared" si="3"/>
        <v>0</v>
      </c>
      <c r="Q14" s="217">
        <f t="shared" si="0"/>
        <v>0</v>
      </c>
      <c r="R14" s="7"/>
      <c r="S14" s="217">
        <v>580</v>
      </c>
      <c r="T14" s="217">
        <f>Table6[[#This Row],[£/Tonne]]/1000*Table6[[#This Row],[KG/M]]</f>
        <v>8.9397945948714543</v>
      </c>
      <c r="U14" s="7">
        <v>6.1</v>
      </c>
      <c r="V14" s="217">
        <f>(S14/1000)*F14*Table6[[#This Row],[Normal Length]]</f>
        <v>54.532747028715868</v>
      </c>
      <c r="X14" s="217">
        <f>Table6[[#This Row],[£/Length]]*(1+X9)</f>
        <v>1022.3062282209266</v>
      </c>
      <c r="Y14" s="217">
        <f>Table6[[#This Row],[£/Length]]*(1+Y9)</f>
        <v>1022.3062282209266</v>
      </c>
      <c r="Z14" s="217">
        <f>Table6[[#This Row],[£/Length]]*(1+Z$2)</f>
        <v>76.345845840202216</v>
      </c>
      <c r="AA14" s="217">
        <f>Table6[[#This Row],[£/Length]]*(1+AA$2)</f>
        <v>81.799120543073798</v>
      </c>
    </row>
    <row r="15" spans="1:30" ht="25.35" customHeight="1">
      <c r="A15" s="7" t="s">
        <v>87</v>
      </c>
      <c r="B15" s="7" t="str">
        <f t="shared" si="1"/>
        <v>RB_BLK_62@23.7Kg/m</v>
      </c>
      <c r="C15" s="7" t="str">
        <f t="shared" si="2"/>
        <v>RB_BLK 62mm @ 23.7Kg/m</v>
      </c>
      <c r="D15" s="7">
        <v>62</v>
      </c>
      <c r="F15" s="71">
        <v>23.699703739783363</v>
      </c>
      <c r="G15" s="139"/>
      <c r="H15" s="9"/>
      <c r="I15" s="140"/>
      <c r="J15" s="139"/>
      <c r="K15" s="9"/>
      <c r="L15" s="140"/>
      <c r="M15" s="139"/>
      <c r="N15" s="9"/>
      <c r="O15" s="9"/>
      <c r="P15" s="7">
        <f t="shared" si="3"/>
        <v>0</v>
      </c>
      <c r="Q15" s="217">
        <f t="shared" si="0"/>
        <v>0</v>
      </c>
      <c r="R15" s="7"/>
      <c r="T15" s="217">
        <f>Table6[[#This Row],[£/Tonne]]/1000*Table6[[#This Row],[KG/M]]</f>
        <v>0</v>
      </c>
      <c r="U15" s="7">
        <v>6.1</v>
      </c>
      <c r="V15" s="217">
        <f>(S15/1000)*F15*Table6[[#This Row],[Normal Length]]</f>
        <v>0</v>
      </c>
      <c r="X15" s="217">
        <f>Table6[[#This Row],[£/Length]]*(1+X10)</f>
        <v>0</v>
      </c>
      <c r="Y15" s="217">
        <f>Table6[[#This Row],[£/Length]]*(1+Y10)</f>
        <v>0</v>
      </c>
      <c r="Z15" s="217">
        <f>Table6[[#This Row],[£/Length]]*(1+Z$2)</f>
        <v>0</v>
      </c>
      <c r="AA15" s="217">
        <f>Table6[[#This Row],[£/Length]]*(1+AA$2)</f>
        <v>0</v>
      </c>
    </row>
    <row r="16" spans="1:30" ht="25.35" customHeight="1">
      <c r="A16" s="7" t="s">
        <v>87</v>
      </c>
      <c r="B16" s="7" t="str">
        <f t="shared" si="1"/>
        <v>RB_BLK_65@26.05Kg/m</v>
      </c>
      <c r="C16" s="7" t="str">
        <f t="shared" si="2"/>
        <v>RB_BLK 65mm @ 26.05Kg/m</v>
      </c>
      <c r="D16" s="7">
        <v>65</v>
      </c>
      <c r="F16" s="71">
        <v>26.048711836780619</v>
      </c>
      <c r="G16" s="139">
        <v>8.1999999999999993</v>
      </c>
      <c r="H16" s="9">
        <v>3</v>
      </c>
      <c r="I16" s="140" t="s">
        <v>243</v>
      </c>
      <c r="J16" s="139"/>
      <c r="K16" s="9"/>
      <c r="L16" s="140"/>
      <c r="M16" s="139"/>
      <c r="N16" s="9"/>
      <c r="O16" s="9"/>
      <c r="P16" s="7">
        <f t="shared" si="3"/>
        <v>24.599999999999998</v>
      </c>
      <c r="Q16" s="217">
        <f t="shared" si="0"/>
        <v>371.66302048718586</v>
      </c>
      <c r="R16" s="7"/>
      <c r="S16" s="217">
        <v>580</v>
      </c>
      <c r="T16" s="217">
        <f>Table6[[#This Row],[£/Tonne]]/1000*Table6[[#This Row],[KG/M]]</f>
        <v>15.108252865332759</v>
      </c>
      <c r="U16" s="7">
        <v>6.1</v>
      </c>
      <c r="V16" s="217">
        <f>(S16/1000)*F16*Table6[[#This Row],[Normal Length]]</f>
        <v>92.160342478529827</v>
      </c>
      <c r="X16" s="217">
        <f>Table6[[#This Row],[£/Length]]*(1+X11)</f>
        <v>2825.0628234771721</v>
      </c>
      <c r="Y16" s="217">
        <f>Table6[[#This Row],[£/Length]]*(1+Y11)</f>
        <v>2825.0628234771721</v>
      </c>
      <c r="Z16" s="217">
        <f>Table6[[#This Row],[£/Length]]*(1+Z$2)</f>
        <v>129.02447946994175</v>
      </c>
      <c r="AA16" s="217">
        <f>Table6[[#This Row],[£/Length]]*(1+AA$2)</f>
        <v>138.24051371779473</v>
      </c>
    </row>
    <row r="17" spans="1:27" ht="25.35" customHeight="1">
      <c r="A17" s="7" t="s">
        <v>87</v>
      </c>
      <c r="B17" s="7" t="str">
        <f t="shared" si="1"/>
        <v>RB_BLK_65@26.05Kg/m</v>
      </c>
      <c r="C17" s="7" t="str">
        <f t="shared" si="2"/>
        <v>RB_BLK 65mm @ 26.05Kg/m</v>
      </c>
      <c r="D17" s="7">
        <v>65</v>
      </c>
      <c r="F17" s="71">
        <v>26.048711836780619</v>
      </c>
      <c r="G17" s="139">
        <v>5.7</v>
      </c>
      <c r="H17" s="9">
        <v>30</v>
      </c>
      <c r="I17" s="140" t="s">
        <v>243</v>
      </c>
      <c r="J17" s="139"/>
      <c r="K17" s="9"/>
      <c r="L17" s="140"/>
      <c r="M17" s="139"/>
      <c r="N17" s="9"/>
      <c r="O17" s="9"/>
      <c r="P17" s="7">
        <f t="shared" si="3"/>
        <v>171</v>
      </c>
      <c r="Q17" s="217">
        <f t="shared" si="0"/>
        <v>2583.5112399719023</v>
      </c>
      <c r="R17" s="7"/>
      <c r="S17" s="217">
        <v>580</v>
      </c>
      <c r="T17" s="217">
        <f>Table6[[#This Row],[£/Tonne]]/1000*Table6[[#This Row],[KG/M]]</f>
        <v>15.108252865332759</v>
      </c>
      <c r="U17" s="7">
        <v>6.1</v>
      </c>
      <c r="V17" s="217">
        <f>(S17/1000)*F17*Table6[[#This Row],[Normal Length]]</f>
        <v>92.160342478529827</v>
      </c>
      <c r="X17" s="217">
        <f>Table6[[#This Row],[£/Length]]*(1+X12)</f>
        <v>92.160342478529827</v>
      </c>
      <c r="Y17" s="217">
        <f>Table6[[#This Row],[£/Length]]*(1+Y12)</f>
        <v>92.160342478529827</v>
      </c>
      <c r="Z17" s="217">
        <f>Table6[[#This Row],[£/Length]]*(1+Z$2)</f>
        <v>129.02447946994175</v>
      </c>
      <c r="AA17" s="217">
        <f>Table6[[#This Row],[£/Length]]*(1+AA$2)</f>
        <v>138.24051371779473</v>
      </c>
    </row>
    <row r="18" spans="1:27" ht="25.35" customHeight="1">
      <c r="A18" s="7" t="s">
        <v>87</v>
      </c>
      <c r="B18" s="7" t="str">
        <f t="shared" si="1"/>
        <v>RB_BLK_66@26.86Kg/m</v>
      </c>
      <c r="C18" s="7" t="str">
        <f t="shared" si="2"/>
        <v>RB_BLK 66mm @ 26.86Kg/m</v>
      </c>
      <c r="D18" s="7">
        <v>66</v>
      </c>
      <c r="F18" s="71">
        <v>26.856376038110387</v>
      </c>
      <c r="G18" s="139"/>
      <c r="H18" s="9"/>
      <c r="I18" s="140"/>
      <c r="J18" s="139"/>
      <c r="K18" s="9"/>
      <c r="L18" s="140"/>
      <c r="M18" s="139"/>
      <c r="N18" s="9"/>
      <c r="O18" s="9"/>
      <c r="P18" s="7">
        <f t="shared" si="3"/>
        <v>0</v>
      </c>
      <c r="Q18" s="217">
        <f t="shared" si="0"/>
        <v>0</v>
      </c>
      <c r="R18" s="7"/>
      <c r="S18" s="217">
        <v>580</v>
      </c>
      <c r="T18" s="217">
        <f>Table6[[#This Row],[£/Tonne]]/1000*Table6[[#This Row],[KG/M]]</f>
        <v>15.576698102104023</v>
      </c>
      <c r="U18" s="7">
        <v>6.1</v>
      </c>
      <c r="V18" s="217">
        <f>(S18/1000)*F18*Table6[[#This Row],[Normal Length]]</f>
        <v>95.017858422834536</v>
      </c>
      <c r="X18" s="217">
        <f>Table6[[#This Row],[£/Length]]*(1+X13)</f>
        <v>52744.292379587721</v>
      </c>
      <c r="Y18" s="217">
        <f>Table6[[#This Row],[£/Length]]*(1+Y13)</f>
        <v>52744.292379587721</v>
      </c>
      <c r="Z18" s="217">
        <f>Table6[[#This Row],[£/Length]]*(1+Z$2)</f>
        <v>133.02500179196835</v>
      </c>
      <c r="AA18" s="217">
        <f>Table6[[#This Row],[£/Length]]*(1+AA$2)</f>
        <v>142.5267876342518</v>
      </c>
    </row>
    <row r="19" spans="1:27" ht="25.35" customHeight="1">
      <c r="A19" s="7" t="s">
        <v>87</v>
      </c>
      <c r="B19" s="7" t="str">
        <f t="shared" si="1"/>
        <v>RB_BLK_70@30.21Kg/m</v>
      </c>
      <c r="C19" s="7" t="str">
        <f t="shared" si="2"/>
        <v>RB_BLK 70mm @ 30.21Kg/m</v>
      </c>
      <c r="D19" s="7">
        <v>70</v>
      </c>
      <c r="F19" s="71">
        <v>30.210340355082849</v>
      </c>
      <c r="G19" s="139"/>
      <c r="H19" s="9"/>
      <c r="I19" s="140"/>
      <c r="J19" s="139"/>
      <c r="K19" s="9"/>
      <c r="L19" s="140"/>
      <c r="M19" s="139"/>
      <c r="N19" s="9"/>
      <c r="O19" s="9"/>
      <c r="P19" s="7">
        <f t="shared" si="3"/>
        <v>0</v>
      </c>
      <c r="Q19" s="217">
        <f t="shared" si="0"/>
        <v>0</v>
      </c>
      <c r="R19" s="7"/>
      <c r="T19" s="217">
        <f>Table6[[#This Row],[£/Tonne]]/1000*Table6[[#This Row],[KG/M]]</f>
        <v>0</v>
      </c>
      <c r="U19" s="7">
        <v>6.1</v>
      </c>
      <c r="V19" s="217">
        <f>(S19/1000)*F19*Table6[[#This Row],[Normal Length]]</f>
        <v>0</v>
      </c>
      <c r="X19" s="217">
        <f>Table6[[#This Row],[£/Length]]*(1+X14)</f>
        <v>0</v>
      </c>
      <c r="Y19" s="217">
        <f>Table6[[#This Row],[£/Length]]*(1+Y14)</f>
        <v>0</v>
      </c>
      <c r="Z19" s="217">
        <f>Table6[[#This Row],[£/Length]]*(1+Z$2)</f>
        <v>0</v>
      </c>
      <c r="AA19" s="217">
        <f>Table6[[#This Row],[£/Length]]*(1+AA$2)</f>
        <v>0</v>
      </c>
    </row>
    <row r="20" spans="1:27" ht="25.35" customHeight="1">
      <c r="A20" s="7" t="s">
        <v>87</v>
      </c>
      <c r="B20" s="7" t="str">
        <f t="shared" si="1"/>
        <v>RB_BLK_73@32.86Kg/m</v>
      </c>
      <c r="C20" s="7" t="str">
        <f t="shared" si="2"/>
        <v>RB_BLK 73mm @ 32.86Kg/m</v>
      </c>
      <c r="D20" s="7">
        <v>73</v>
      </c>
      <c r="F20" s="71">
        <v>32.855286480048271</v>
      </c>
      <c r="G20" s="139">
        <v>8</v>
      </c>
      <c r="H20" s="9">
        <v>4</v>
      </c>
      <c r="I20" s="140" t="s">
        <v>243</v>
      </c>
      <c r="J20" s="139"/>
      <c r="K20" s="9"/>
      <c r="L20" s="140"/>
      <c r="M20" s="139"/>
      <c r="N20" s="9"/>
      <c r="O20" s="9"/>
      <c r="P20" s="7">
        <f t="shared" si="3"/>
        <v>32</v>
      </c>
      <c r="Q20" s="217">
        <f t="shared" si="0"/>
        <v>562.48250453842638</v>
      </c>
      <c r="R20" s="7"/>
      <c r="S20" s="217">
        <v>535</v>
      </c>
      <c r="T20" s="217">
        <f>Table6[[#This Row],[£/Tonne]]/1000*Table6[[#This Row],[KG/M]]</f>
        <v>17.577578266825824</v>
      </c>
      <c r="U20" s="7">
        <v>6.1</v>
      </c>
      <c r="V20" s="217">
        <f>(S20/1000)*F20*Table6[[#This Row],[Normal Length]]</f>
        <v>107.22322742763753</v>
      </c>
      <c r="X20" s="217">
        <f>Table6[[#This Row],[£/Length]]*(1+X15)</f>
        <v>107.22322742763753</v>
      </c>
      <c r="Y20" s="217">
        <f>Table6[[#This Row],[£/Length]]*(1+Y15)</f>
        <v>107.22322742763753</v>
      </c>
      <c r="Z20" s="217">
        <f>Table6[[#This Row],[£/Length]]*(1+Z$2)</f>
        <v>150.11251839869252</v>
      </c>
      <c r="AA20" s="217">
        <f>Table6[[#This Row],[£/Length]]*(1+AA$2)</f>
        <v>160.83484114145628</v>
      </c>
    </row>
    <row r="21" spans="1:27" ht="25.35" customHeight="1">
      <c r="A21" s="7" t="s">
        <v>87</v>
      </c>
      <c r="B21" s="7" t="str">
        <f t="shared" si="1"/>
        <v>RB_BLK_73@32.86Kg/m</v>
      </c>
      <c r="C21" s="7" t="str">
        <f t="shared" si="2"/>
        <v>RB_BLK 73mm @ 32.86Kg/m</v>
      </c>
      <c r="D21" s="7">
        <v>73</v>
      </c>
      <c r="F21" s="71">
        <v>32.855286480048271</v>
      </c>
      <c r="G21" s="139"/>
      <c r="H21" s="9"/>
      <c r="I21" s="140"/>
      <c r="J21" s="139"/>
      <c r="K21" s="9"/>
      <c r="L21" s="140"/>
      <c r="M21" s="139"/>
      <c r="N21" s="9"/>
      <c r="O21" s="9"/>
      <c r="P21" s="7">
        <f t="shared" si="3"/>
        <v>0</v>
      </c>
      <c r="Q21" s="217">
        <f t="shared" si="0"/>
        <v>0</v>
      </c>
      <c r="R21" s="7"/>
      <c r="S21" s="217">
        <v>535</v>
      </c>
      <c r="T21" s="217">
        <f>Table6[[#This Row],[£/Tonne]]/1000*Table6[[#This Row],[KG/M]]</f>
        <v>17.577578266825824</v>
      </c>
      <c r="U21" s="7">
        <v>6.1</v>
      </c>
      <c r="V21" s="217">
        <f>(S21/1000)*F21*Table6[[#This Row],[Normal Length]]</f>
        <v>107.22322742763753</v>
      </c>
      <c r="X21" s="217">
        <f>Table6[[#This Row],[£/Length]]*(1+X16)</f>
        <v>303019.57684648427</v>
      </c>
      <c r="Y21" s="217">
        <f>Table6[[#This Row],[£/Length]]*(1+Y16)</f>
        <v>303019.57684648427</v>
      </c>
      <c r="Z21" s="217">
        <f>Table6[[#This Row],[£/Length]]*(1+Z$2)</f>
        <v>150.11251839869252</v>
      </c>
      <c r="AA21" s="217">
        <f>Table6[[#This Row],[£/Length]]*(1+AA$2)</f>
        <v>160.83484114145628</v>
      </c>
    </row>
    <row r="22" spans="1:27" ht="25.35" customHeight="1">
      <c r="A22" s="7" t="s">
        <v>87</v>
      </c>
      <c r="B22" s="7" t="str">
        <f t="shared" si="1"/>
        <v>RB_BLK_73@32.86Kg/m</v>
      </c>
      <c r="C22" s="7" t="str">
        <f t="shared" si="2"/>
        <v>RB_BLK 73mm @ 32.86Kg/m</v>
      </c>
      <c r="D22" s="7">
        <v>73</v>
      </c>
      <c r="F22" s="71">
        <v>32.855286480048271</v>
      </c>
      <c r="G22" s="139">
        <v>2.64</v>
      </c>
      <c r="H22" s="9">
        <v>5</v>
      </c>
      <c r="I22" s="140" t="s">
        <v>243</v>
      </c>
      <c r="J22" s="139"/>
      <c r="K22" s="9"/>
      <c r="L22" s="140"/>
      <c r="M22" s="139"/>
      <c r="N22" s="9"/>
      <c r="O22" s="9"/>
      <c r="P22" s="7">
        <f t="shared" si="3"/>
        <v>13.200000000000001</v>
      </c>
      <c r="Q22" s="217">
        <f t="shared" si="0"/>
        <v>232.02403312210089</v>
      </c>
      <c r="R22" s="7"/>
      <c r="S22" s="217">
        <v>535</v>
      </c>
      <c r="T22" s="217">
        <f>Table6[[#This Row],[£/Tonne]]/1000*Table6[[#This Row],[KG/M]]</f>
        <v>17.577578266825824</v>
      </c>
      <c r="U22" s="7">
        <v>6.1</v>
      </c>
      <c r="V22" s="217">
        <f>(S22/1000)*F22*Table6[[#This Row],[Normal Length]]</f>
        <v>107.22322742763753</v>
      </c>
      <c r="X22" s="217">
        <f>Table6[[#This Row],[£/Length]]*(1+X17)</f>
        <v>9988.9525888120043</v>
      </c>
      <c r="Y22" s="217">
        <f>Table6[[#This Row],[£/Length]]*(1+Y17)</f>
        <v>9988.9525888120043</v>
      </c>
      <c r="Z22" s="217">
        <f>Table6[[#This Row],[£/Length]]*(1+Z$2)</f>
        <v>150.11251839869252</v>
      </c>
      <c r="AA22" s="217">
        <f>Table6[[#This Row],[£/Length]]*(1+AA$2)</f>
        <v>160.83484114145628</v>
      </c>
    </row>
    <row r="23" spans="1:27" ht="25.35" customHeight="1">
      <c r="A23" s="7" t="s">
        <v>87</v>
      </c>
      <c r="B23" s="7" t="str">
        <f t="shared" si="1"/>
        <v>RB_BLK_73@32.86Kg/m</v>
      </c>
      <c r="C23" s="7" t="str">
        <f t="shared" si="2"/>
        <v>RB_BLK 73mm @ 32.86Kg/m</v>
      </c>
      <c r="D23" s="7">
        <v>73</v>
      </c>
      <c r="F23" s="71">
        <v>32.855286480048271</v>
      </c>
      <c r="G23" s="139"/>
      <c r="H23" s="9"/>
      <c r="I23" s="140"/>
      <c r="J23" s="139"/>
      <c r="K23" s="9"/>
      <c r="L23" s="140"/>
      <c r="M23" s="139"/>
      <c r="N23" s="9"/>
      <c r="O23" s="9"/>
      <c r="P23" s="7">
        <f t="shared" si="3"/>
        <v>0</v>
      </c>
      <c r="Q23" s="217">
        <f t="shared" si="0"/>
        <v>0</v>
      </c>
      <c r="R23" s="7"/>
      <c r="S23" s="217">
        <v>535</v>
      </c>
      <c r="T23" s="217">
        <f>Table6[[#This Row],[£/Tonne]]/1000*Table6[[#This Row],[KG/M]]</f>
        <v>17.577578266825824</v>
      </c>
      <c r="U23" s="7">
        <v>6.1</v>
      </c>
      <c r="V23" s="217">
        <f>(S23/1000)*F23*Table6[[#This Row],[Normal Length]]</f>
        <v>107.22322742763753</v>
      </c>
      <c r="X23" s="217">
        <f>Table6[[#This Row],[£/Length]]*(1+X18)</f>
        <v>5655520.4805537704</v>
      </c>
      <c r="Y23" s="217">
        <f>Table6[[#This Row],[£/Length]]*(1+Y18)</f>
        <v>5655520.4805537704</v>
      </c>
      <c r="Z23" s="217">
        <f>Table6[[#This Row],[£/Length]]*(1+Z$2)</f>
        <v>150.11251839869252</v>
      </c>
      <c r="AA23" s="217">
        <f>Table6[[#This Row],[£/Length]]*(1+AA$2)</f>
        <v>160.83484114145628</v>
      </c>
    </row>
    <row r="24" spans="1:27" ht="25.35" customHeight="1">
      <c r="A24" s="7" t="s">
        <v>87</v>
      </c>
      <c r="B24" s="7" t="str">
        <f t="shared" si="1"/>
        <v>RB_BLK_75@34.68Kg/m</v>
      </c>
      <c r="C24" s="7" t="str">
        <f t="shared" si="2"/>
        <v>RB_BLK 75mm @ 34.68Kg/m</v>
      </c>
      <c r="D24" s="7">
        <v>75</v>
      </c>
      <c r="F24" s="71">
        <v>34.680237652518578</v>
      </c>
      <c r="G24" s="139"/>
      <c r="H24" s="9"/>
      <c r="I24" s="140"/>
      <c r="J24" s="139"/>
      <c r="K24" s="9"/>
      <c r="L24" s="140"/>
      <c r="M24" s="139"/>
      <c r="N24" s="9"/>
      <c r="O24" s="9"/>
      <c r="P24" s="7">
        <f t="shared" si="3"/>
        <v>0</v>
      </c>
      <c r="Q24" s="217">
        <f t="shared" si="0"/>
        <v>0</v>
      </c>
      <c r="R24" s="7"/>
      <c r="S24" s="217">
        <v>535</v>
      </c>
      <c r="T24" s="217">
        <f>Table6[[#This Row],[£/Tonne]]/1000*Table6[[#This Row],[KG/M]]</f>
        <v>18.55392714409744</v>
      </c>
      <c r="U24" s="7">
        <v>6.1</v>
      </c>
      <c r="V24" s="217">
        <f>(S24/1000)*F24*Table6[[#This Row],[Normal Length]]</f>
        <v>113.17895557899438</v>
      </c>
      <c r="X24" s="217">
        <f>Table6[[#This Row],[£/Length]]*(1+X19)</f>
        <v>113.17895557899438</v>
      </c>
      <c r="Y24" s="217">
        <f>Table6[[#This Row],[£/Length]]*(1+Y19)</f>
        <v>113.17895557899438</v>
      </c>
      <c r="Z24" s="217">
        <f>Table6[[#This Row],[£/Length]]*(1+Z$2)</f>
        <v>158.45053781059212</v>
      </c>
      <c r="AA24" s="217">
        <f>Table6[[#This Row],[£/Length]]*(1+AA$2)</f>
        <v>169.76843336849157</v>
      </c>
    </row>
    <row r="25" spans="1:27" ht="25.35" customHeight="1">
      <c r="A25" s="7" t="s">
        <v>87</v>
      </c>
      <c r="B25" s="7" t="str">
        <f t="shared" si="1"/>
        <v>RB_BLK_75@34.68Kg/m</v>
      </c>
      <c r="C25" s="7" t="str">
        <f t="shared" si="2"/>
        <v>RB_BLK 75mm @ 34.68Kg/m</v>
      </c>
      <c r="D25" s="7">
        <v>75</v>
      </c>
      <c r="F25" s="71">
        <v>34.680237652518578</v>
      </c>
      <c r="G25" s="139"/>
      <c r="H25" s="9"/>
      <c r="I25" s="140"/>
      <c r="J25" s="139"/>
      <c r="K25" s="9"/>
      <c r="L25" s="140"/>
      <c r="M25" s="139"/>
      <c r="N25" s="9"/>
      <c r="O25" s="9"/>
      <c r="P25" s="7">
        <f t="shared" si="3"/>
        <v>0</v>
      </c>
      <c r="Q25" s="217">
        <f t="shared" si="0"/>
        <v>0</v>
      </c>
      <c r="R25" s="7"/>
      <c r="S25" s="217">
        <v>535</v>
      </c>
      <c r="T25" s="217">
        <f>Table6[[#This Row],[£/Tonne]]/1000*Table6[[#This Row],[KG/M]]</f>
        <v>18.55392714409744</v>
      </c>
      <c r="U25" s="7">
        <v>6.1</v>
      </c>
      <c r="V25" s="217">
        <f>(S25/1000)*F25*Table6[[#This Row],[Normal Length]]</f>
        <v>113.17895557899438</v>
      </c>
      <c r="X25" s="217">
        <f>Table6[[#This Row],[£/Length]]*(1+X20)</f>
        <v>12248.591849647994</v>
      </c>
      <c r="Y25" s="217">
        <f>Table6[[#This Row],[£/Length]]*(1+Y20)</f>
        <v>12248.591849647994</v>
      </c>
      <c r="Z25" s="217">
        <f>Table6[[#This Row],[£/Length]]*(1+Z$2)</f>
        <v>158.45053781059212</v>
      </c>
      <c r="AA25" s="217">
        <f>Table6[[#This Row],[£/Length]]*(1+AA$2)</f>
        <v>169.76843336849157</v>
      </c>
    </row>
    <row r="26" spans="1:27" ht="25.35" customHeight="1">
      <c r="A26" s="7" t="s">
        <v>87</v>
      </c>
      <c r="B26" s="7" t="str">
        <f t="shared" si="1"/>
        <v>RB_BLK_75@34.68Kg/m</v>
      </c>
      <c r="C26" s="7" t="str">
        <f t="shared" si="2"/>
        <v>RB_BLK 75mm @ 34.68Kg/m</v>
      </c>
      <c r="D26" s="7">
        <v>75</v>
      </c>
      <c r="F26" s="71">
        <v>34.680237652518578</v>
      </c>
      <c r="G26" s="139">
        <v>2.64</v>
      </c>
      <c r="H26" s="9">
        <v>2</v>
      </c>
      <c r="I26" s="140" t="s">
        <v>243</v>
      </c>
      <c r="J26" s="139"/>
      <c r="K26" s="9"/>
      <c r="L26" s="140"/>
      <c r="M26" s="139"/>
      <c r="N26" s="9"/>
      <c r="O26" s="9"/>
      <c r="P26" s="7">
        <f t="shared" si="3"/>
        <v>5.28</v>
      </c>
      <c r="Q26" s="217">
        <f t="shared" si="0"/>
        <v>97.964735320834478</v>
      </c>
      <c r="R26" s="7"/>
      <c r="S26" s="217">
        <v>535</v>
      </c>
      <c r="T26" s="217">
        <f>Table6[[#This Row],[£/Tonne]]/1000*Table6[[#This Row],[KG/M]]</f>
        <v>18.55392714409744</v>
      </c>
      <c r="U26" s="7">
        <v>6.1</v>
      </c>
      <c r="V26" s="217">
        <f>(S26/1000)*F26*Table6[[#This Row],[Normal Length]]</f>
        <v>113.17895557899438</v>
      </c>
      <c r="X26" s="217">
        <f>Table6[[#This Row],[£/Length]]*(1+X21)</f>
        <v>34295552.406429492</v>
      </c>
      <c r="Y26" s="217">
        <f>Table6[[#This Row],[£/Length]]*(1+Y21)</f>
        <v>34295552.406429492</v>
      </c>
      <c r="Z26" s="217">
        <f>Table6[[#This Row],[£/Length]]*(1+Z$2)</f>
        <v>158.45053781059212</v>
      </c>
      <c r="AA26" s="217">
        <f>Table6[[#This Row],[£/Length]]*(1+AA$2)</f>
        <v>169.76843336849157</v>
      </c>
    </row>
    <row r="27" spans="1:27" ht="25.35" customHeight="1">
      <c r="A27" s="7" t="s">
        <v>87</v>
      </c>
      <c r="B27" s="7" t="str">
        <f t="shared" si="1"/>
        <v>RB_BLK_75@34.68Kg/m</v>
      </c>
      <c r="C27" s="7" t="str">
        <f t="shared" si="2"/>
        <v>RB_BLK 75mm @ 34.68Kg/m</v>
      </c>
      <c r="D27" s="7">
        <v>75</v>
      </c>
      <c r="F27" s="71">
        <v>34.680237652518578</v>
      </c>
      <c r="G27" s="139">
        <v>2.94</v>
      </c>
      <c r="H27" s="9">
        <v>4</v>
      </c>
      <c r="I27" s="140" t="s">
        <v>243</v>
      </c>
      <c r="J27" s="139"/>
      <c r="K27" s="9"/>
      <c r="L27" s="140"/>
      <c r="M27" s="139"/>
      <c r="N27" s="9"/>
      <c r="O27" s="9"/>
      <c r="P27" s="7">
        <f t="shared" si="3"/>
        <v>11.76</v>
      </c>
      <c r="Q27" s="217">
        <f t="shared" si="0"/>
        <v>218.19418321458588</v>
      </c>
      <c r="R27" s="7"/>
      <c r="S27" s="217">
        <v>535</v>
      </c>
      <c r="T27" s="217">
        <f>Table6[[#This Row],[£/Tonne]]/1000*Table6[[#This Row],[KG/M]]</f>
        <v>18.55392714409744</v>
      </c>
      <c r="U27" s="7">
        <v>6.1</v>
      </c>
      <c r="V27" s="217">
        <f>(S27/1000)*F27*Table6[[#This Row],[Normal Length]]</f>
        <v>113.17895557899438</v>
      </c>
      <c r="X27" s="217">
        <f>Table6[[#This Row],[£/Length]]*(1+X22)</f>
        <v>1130652.4002854137</v>
      </c>
      <c r="Y27" s="217">
        <f>Table6[[#This Row],[£/Length]]*(1+Y22)</f>
        <v>1130652.4002854137</v>
      </c>
      <c r="Z27" s="217">
        <f>Table6[[#This Row],[£/Length]]*(1+Z$2)</f>
        <v>158.45053781059212</v>
      </c>
      <c r="AA27" s="217">
        <f>Table6[[#This Row],[£/Length]]*(1+AA$2)</f>
        <v>169.76843336849157</v>
      </c>
    </row>
    <row r="28" spans="1:27" ht="25.35" customHeight="1">
      <c r="A28" s="7" t="s">
        <v>87</v>
      </c>
      <c r="B28" s="7" t="str">
        <f t="shared" si="1"/>
        <v>RB_BLK_75@34.68Kg/m</v>
      </c>
      <c r="C28" s="7" t="str">
        <f t="shared" si="2"/>
        <v>RB_BLK 75mm @ 34.68Kg/m</v>
      </c>
      <c r="D28" s="7">
        <v>75</v>
      </c>
      <c r="F28" s="71">
        <v>34.680237652518578</v>
      </c>
      <c r="G28" s="139">
        <v>31.8</v>
      </c>
      <c r="H28" s="9">
        <v>8</v>
      </c>
      <c r="I28" s="140" t="s">
        <v>243</v>
      </c>
      <c r="J28" s="139"/>
      <c r="K28" s="9"/>
      <c r="L28" s="140"/>
      <c r="M28" s="139"/>
      <c r="N28" s="9"/>
      <c r="O28" s="9"/>
      <c r="P28" s="7">
        <f t="shared" si="3"/>
        <v>254.4</v>
      </c>
      <c r="Q28" s="217">
        <f t="shared" si="0"/>
        <v>4720.1190654583888</v>
      </c>
      <c r="R28" s="7"/>
      <c r="S28" s="217">
        <v>535</v>
      </c>
      <c r="T28" s="217">
        <f>Table6[[#This Row],[£/Tonne]]/1000*Table6[[#This Row],[KG/M]]</f>
        <v>18.55392714409744</v>
      </c>
      <c r="U28" s="7">
        <v>6.1</v>
      </c>
      <c r="V28" s="217">
        <f>(S28/1000)*F28*Table6[[#This Row],[Normal Length]]</f>
        <v>113.17895557899438</v>
      </c>
      <c r="X28" s="217">
        <f>Table6[[#This Row],[£/Length]]*(1+X23)</f>
        <v>640086014.42364371</v>
      </c>
      <c r="Y28" s="217">
        <f>Table6[[#This Row],[£/Length]]*(1+Y23)</f>
        <v>640086014.42364371</v>
      </c>
      <c r="Z28" s="217">
        <f>Table6[[#This Row],[£/Length]]*(1+Z$2)</f>
        <v>158.45053781059212</v>
      </c>
      <c r="AA28" s="217">
        <f>Table6[[#This Row],[£/Length]]*(1+AA$2)</f>
        <v>169.76843336849157</v>
      </c>
    </row>
    <row r="29" spans="1:27" ht="25.35" customHeight="1">
      <c r="A29" s="7" t="s">
        <v>87</v>
      </c>
      <c r="B29" s="7" t="str">
        <f t="shared" si="1"/>
        <v>RB_BLK_78@37.51Kg/m</v>
      </c>
      <c r="C29" s="7" t="str">
        <f t="shared" si="2"/>
        <v>RB_BLK 78mm @ 37.51Kg/m</v>
      </c>
      <c r="D29" s="7">
        <v>78</v>
      </c>
      <c r="F29" s="71">
        <v>37.510145044964091</v>
      </c>
      <c r="G29" s="139"/>
      <c r="H29" s="9"/>
      <c r="I29" s="140"/>
      <c r="J29" s="139"/>
      <c r="K29" s="9"/>
      <c r="L29" s="140"/>
      <c r="M29" s="139"/>
      <c r="N29" s="9"/>
      <c r="O29" s="9"/>
      <c r="P29" s="7">
        <f t="shared" si="3"/>
        <v>0</v>
      </c>
      <c r="Q29" s="217">
        <f t="shared" si="0"/>
        <v>0</v>
      </c>
      <c r="R29" s="7"/>
      <c r="S29" s="217">
        <v>535</v>
      </c>
      <c r="T29" s="217">
        <f>Table6[[#This Row],[£/Tonne]]/1000*Table6[[#This Row],[KG/M]]</f>
        <v>20.067927599055789</v>
      </c>
      <c r="U29" s="7">
        <v>6.1</v>
      </c>
      <c r="V29" s="217">
        <f>(S29/1000)*F29*Table6[[#This Row],[Normal Length]]</f>
        <v>122.41435835424031</v>
      </c>
      <c r="X29" s="217">
        <f>Table6[[#This Row],[£/Length]]*(1+X24)</f>
        <v>13977.143584759902</v>
      </c>
      <c r="Y29" s="217">
        <f>Table6[[#This Row],[£/Length]]*(1+Y24)</f>
        <v>13977.143584759902</v>
      </c>
      <c r="Z29" s="217">
        <f>Table6[[#This Row],[£/Length]]*(1+Z$2)</f>
        <v>171.38010169593642</v>
      </c>
      <c r="AA29" s="217">
        <f>Table6[[#This Row],[£/Length]]*(1+AA$2)</f>
        <v>183.62153753136045</v>
      </c>
    </row>
    <row r="30" spans="1:27" ht="25.35" customHeight="1">
      <c r="A30" s="7" t="s">
        <v>87</v>
      </c>
      <c r="B30" s="7" t="str">
        <f t="shared" si="1"/>
        <v>RB_BLK_80@39.46Kg/m</v>
      </c>
      <c r="C30" s="7" t="str">
        <f t="shared" si="2"/>
        <v>RB_BLK 80mm @ 39.46Kg/m</v>
      </c>
      <c r="D30" s="7">
        <v>80</v>
      </c>
      <c r="F30" s="71">
        <v>39.458403729087799</v>
      </c>
      <c r="G30" s="139"/>
      <c r="H30" s="9"/>
      <c r="I30" s="140"/>
      <c r="J30" s="139"/>
      <c r="K30" s="9"/>
      <c r="L30" s="140"/>
      <c r="M30" s="139"/>
      <c r="N30" s="9"/>
      <c r="O30" s="9"/>
      <c r="P30" s="7">
        <f t="shared" si="3"/>
        <v>0</v>
      </c>
      <c r="Q30" s="217">
        <f t="shared" si="0"/>
        <v>0</v>
      </c>
      <c r="R30" s="7"/>
      <c r="T30" s="217">
        <f>Table6[[#This Row],[£/Tonne]]/1000*Table6[[#This Row],[KG/M]]</f>
        <v>0</v>
      </c>
      <c r="U30" s="7">
        <v>6.1</v>
      </c>
      <c r="V30" s="217">
        <f>(S30/1000)*F30*Table6[[#This Row],[Normal Length]]</f>
        <v>0</v>
      </c>
      <c r="X30" s="217">
        <f>Table6[[#This Row],[£/Length]]*(1+X25)</f>
        <v>0</v>
      </c>
      <c r="Y30" s="217">
        <f>Table6[[#This Row],[£/Length]]*(1+Y25)</f>
        <v>0</v>
      </c>
      <c r="Z30" s="217">
        <f>Table6[[#This Row],[£/Length]]*(1+Z$2)</f>
        <v>0</v>
      </c>
      <c r="AA30" s="217">
        <f>Table6[[#This Row],[£/Length]]*(1+AA$2)</f>
        <v>0</v>
      </c>
    </row>
    <row r="31" spans="1:27" ht="25.35" customHeight="1">
      <c r="A31" s="7" t="s">
        <v>87</v>
      </c>
      <c r="B31" s="7" t="str">
        <f t="shared" si="1"/>
        <v>RB_BLK_82@41.46Kg/m</v>
      </c>
      <c r="C31" s="7" t="str">
        <f t="shared" si="2"/>
        <v>RB_BLK 82mm @ 41.46Kg/m</v>
      </c>
      <c r="D31" s="7">
        <v>82</v>
      </c>
      <c r="F31" s="71">
        <v>41.455985417872867</v>
      </c>
      <c r="G31" s="139"/>
      <c r="H31" s="9"/>
      <c r="I31" s="140"/>
      <c r="J31" s="139"/>
      <c r="K31" s="9"/>
      <c r="L31" s="140"/>
      <c r="M31" s="139"/>
      <c r="N31" s="9"/>
      <c r="O31" s="9"/>
      <c r="P31" s="7">
        <f t="shared" si="3"/>
        <v>0</v>
      </c>
      <c r="Q31" s="217">
        <f t="shared" si="0"/>
        <v>0</v>
      </c>
      <c r="R31" s="7"/>
      <c r="S31" s="217">
        <v>700</v>
      </c>
      <c r="T31" s="217">
        <f>Table6[[#This Row],[£/Tonne]]/1000*Table6[[#This Row],[KG/M]]</f>
        <v>29.019189792511003</v>
      </c>
      <c r="U31" s="7">
        <v>6.1</v>
      </c>
      <c r="V31" s="217">
        <f>(S31/1000)*F31*Table6[[#This Row],[Normal Length]]</f>
        <v>177.01705773431712</v>
      </c>
      <c r="X31" s="217">
        <f>Table6[[#This Row],[£/Length]]*(1+X26)</f>
        <v>6070897957.3762856</v>
      </c>
      <c r="Y31" s="217">
        <f>Table6[[#This Row],[£/Length]]*(1+Y26)</f>
        <v>6070897957.3762856</v>
      </c>
      <c r="Z31" s="217">
        <f>Table6[[#This Row],[£/Length]]*(1+Z$2)</f>
        <v>247.82388082804394</v>
      </c>
      <c r="AA31" s="217">
        <f>Table6[[#This Row],[£/Length]]*(1+AA$2)</f>
        <v>265.52558660147565</v>
      </c>
    </row>
    <row r="32" spans="1:27" ht="25.35" customHeight="1">
      <c r="A32" s="7" t="s">
        <v>87</v>
      </c>
      <c r="B32" s="7" t="str">
        <f t="shared" si="1"/>
        <v>RB_BLK_90@49.94Kg/m</v>
      </c>
      <c r="C32" s="7" t="str">
        <f t="shared" si="2"/>
        <v>RB_BLK 90mm @ 49.94Kg/m</v>
      </c>
      <c r="D32" s="7">
        <v>90</v>
      </c>
      <c r="F32" s="71">
        <v>49.939542219626745</v>
      </c>
      <c r="G32" s="139"/>
      <c r="H32" s="9"/>
      <c r="I32" s="140"/>
      <c r="J32" s="139"/>
      <c r="K32" s="9"/>
      <c r="L32" s="140"/>
      <c r="M32" s="139"/>
      <c r="N32" s="9"/>
      <c r="O32" s="9"/>
      <c r="P32" s="7">
        <f t="shared" si="3"/>
        <v>0</v>
      </c>
      <c r="Q32" s="217">
        <f t="shared" si="0"/>
        <v>0</v>
      </c>
      <c r="R32" s="7"/>
      <c r="T32" s="217">
        <f>Table6[[#This Row],[£/Tonne]]/1000*Table6[[#This Row],[KG/M]]</f>
        <v>0</v>
      </c>
      <c r="U32" s="7">
        <v>6.1</v>
      </c>
      <c r="V32" s="217">
        <f>(S32/1000)*F32*Table6[[#This Row],[Normal Length]]</f>
        <v>0</v>
      </c>
      <c r="X32" s="217">
        <f>Table6[[#This Row],[£/Length]]*(1+X27)</f>
        <v>0</v>
      </c>
      <c r="Y32" s="217">
        <f>Table6[[#This Row],[£/Length]]*(1+Y27)</f>
        <v>0</v>
      </c>
      <c r="Z32" s="217">
        <f>Table6[[#This Row],[£/Length]]*(1+Z$2)</f>
        <v>0</v>
      </c>
      <c r="AA32" s="217">
        <f>Table6[[#This Row],[£/Length]]*(1+AA$2)</f>
        <v>0</v>
      </c>
    </row>
    <row r="33" spans="1:30" ht="25.35" customHeight="1">
      <c r="A33" s="7" t="s">
        <v>87</v>
      </c>
      <c r="B33" s="7" t="str">
        <f t="shared" si="1"/>
        <v>RB_BLK_95@55.64Kg/m</v>
      </c>
      <c r="C33" s="7" t="str">
        <f t="shared" si="2"/>
        <v>RB_BLK 95mm @ 55.64Kg/m</v>
      </c>
      <c r="D33" s="7">
        <v>95</v>
      </c>
      <c r="F33" s="71">
        <v>55.64251463359647</v>
      </c>
      <c r="G33" s="139"/>
      <c r="H33" s="9"/>
      <c r="I33" s="140"/>
      <c r="J33" s="139"/>
      <c r="K33" s="9"/>
      <c r="L33" s="140"/>
      <c r="M33" s="139"/>
      <c r="N33" s="9"/>
      <c r="O33" s="9"/>
      <c r="P33" s="7">
        <f t="shared" si="3"/>
        <v>0</v>
      </c>
      <c r="Q33" s="217">
        <f t="shared" si="0"/>
        <v>0</v>
      </c>
      <c r="R33" s="7"/>
      <c r="T33" s="217">
        <f>Table6[[#This Row],[£/Tonne]]/1000*Table6[[#This Row],[KG/M]]</f>
        <v>0</v>
      </c>
      <c r="U33" s="7">
        <v>6.1</v>
      </c>
      <c r="V33" s="217">
        <f>(S33/1000)*F33*Table6[[#This Row],[Normal Length]]</f>
        <v>0</v>
      </c>
      <c r="X33" s="217">
        <f>Table6[[#This Row],[£/Length]]*(1+X28)</f>
        <v>0</v>
      </c>
      <c r="Y33" s="217">
        <f>Table6[[#This Row],[£/Length]]*(1+Y28)</f>
        <v>0</v>
      </c>
      <c r="Z33" s="217">
        <f>Table6[[#This Row],[£/Length]]*(1+Z$2)</f>
        <v>0</v>
      </c>
      <c r="AA33" s="217">
        <f>Table6[[#This Row],[£/Length]]*(1+AA$2)</f>
        <v>0</v>
      </c>
    </row>
    <row r="34" spans="1:30" ht="25.35" customHeight="1">
      <c r="A34" s="7" t="s">
        <v>87</v>
      </c>
      <c r="B34" s="7" t="str">
        <f t="shared" si="1"/>
        <v>RB_BLK_100@61.65Kg/m</v>
      </c>
      <c r="C34" s="7" t="str">
        <f t="shared" si="2"/>
        <v>RB_BLK 100mm @ 61.65Kg/m</v>
      </c>
      <c r="D34" s="7">
        <v>100</v>
      </c>
      <c r="F34" s="71">
        <v>61.653755826699687</v>
      </c>
      <c r="G34" s="139"/>
      <c r="H34" s="9"/>
      <c r="I34" s="140"/>
      <c r="J34" s="139"/>
      <c r="K34" s="9"/>
      <c r="L34" s="140"/>
      <c r="M34" s="139"/>
      <c r="N34" s="9"/>
      <c r="O34" s="9"/>
      <c r="P34" s="7">
        <f t="shared" si="3"/>
        <v>0</v>
      </c>
      <c r="Q34" s="217">
        <f t="shared" si="0"/>
        <v>0</v>
      </c>
      <c r="R34" s="7"/>
      <c r="T34" s="217">
        <f>Table6[[#This Row],[£/Tonne]]/1000*Table6[[#This Row],[KG/M]]</f>
        <v>0</v>
      </c>
      <c r="U34" s="7">
        <v>6.1</v>
      </c>
      <c r="V34" s="217">
        <f>(S34/1000)*F34*Table6[[#This Row],[Normal Length]]</f>
        <v>0</v>
      </c>
      <c r="X34" s="217">
        <f>Table6[[#This Row],[£/Length]]*(1+X29)</f>
        <v>0</v>
      </c>
      <c r="Y34" s="217">
        <f>Table6[[#This Row],[£/Length]]*(1+Y29)</f>
        <v>0</v>
      </c>
      <c r="Z34" s="217">
        <f>Table6[[#This Row],[£/Length]]*(1+Z$2)</f>
        <v>0</v>
      </c>
      <c r="AA34" s="217">
        <f>Table6[[#This Row],[£/Length]]*(1+AA$2)</f>
        <v>0</v>
      </c>
    </row>
    <row r="35" spans="1:30" ht="25.35" customHeight="1">
      <c r="A35" s="7" t="s">
        <v>87</v>
      </c>
      <c r="B35" s="7" t="str">
        <f t="shared" si="1"/>
        <v>RB_BLK_130@104.19Kg/m</v>
      </c>
      <c r="C35" s="7" t="str">
        <f t="shared" si="2"/>
        <v>RB_BLK 130mm @ 104.19Kg/m</v>
      </c>
      <c r="D35" s="7">
        <v>130</v>
      </c>
      <c r="F35" s="71">
        <v>104.19484734712248</v>
      </c>
      <c r="G35" s="139"/>
      <c r="H35" s="9"/>
      <c r="I35" s="140"/>
      <c r="J35" s="139"/>
      <c r="K35" s="9"/>
      <c r="L35" s="140"/>
      <c r="M35" s="139"/>
      <c r="N35" s="9"/>
      <c r="O35" s="9"/>
      <c r="P35" s="7">
        <f t="shared" si="3"/>
        <v>0</v>
      </c>
      <c r="Q35" s="217">
        <f t="shared" ref="Q35:Q66" si="4">P35*F35*S35/1000</f>
        <v>0</v>
      </c>
      <c r="R35" s="7"/>
      <c r="T35" s="217">
        <f>Table6[[#This Row],[£/Tonne]]/1000*Table6[[#This Row],[KG/M]]</f>
        <v>0</v>
      </c>
      <c r="U35" s="7">
        <v>6.1</v>
      </c>
      <c r="V35" s="217">
        <f>(S35/1000)*F35*Table6[[#This Row],[Normal Length]]</f>
        <v>0</v>
      </c>
      <c r="X35" s="217">
        <f>Table6[[#This Row],[£/Length]]*(1+X30)</f>
        <v>0</v>
      </c>
      <c r="Y35" s="217">
        <f>Table6[[#This Row],[£/Length]]*(1+Y30)</f>
        <v>0</v>
      </c>
      <c r="Z35" s="217">
        <f>Table6[[#This Row],[£/Length]]*(1+Z$2)</f>
        <v>0</v>
      </c>
      <c r="AA35" s="217">
        <f>Table6[[#This Row],[£/Length]]*(1+AA$2)</f>
        <v>0</v>
      </c>
    </row>
    <row r="36" spans="1:30" ht="25.35" customHeight="1">
      <c r="A36" s="7" t="s">
        <v>87</v>
      </c>
      <c r="B36" s="7" t="str">
        <f t="shared" si="1"/>
        <v>RB_BLK_180@199.76Kg/m</v>
      </c>
      <c r="C36" s="7" t="str">
        <f t="shared" si="2"/>
        <v>RB_BLK 180mm @ 199.76Kg/m</v>
      </c>
      <c r="D36" s="7">
        <v>180</v>
      </c>
      <c r="F36" s="71">
        <v>199.75816887850698</v>
      </c>
      <c r="G36" s="139"/>
      <c r="H36" s="9"/>
      <c r="I36" s="140"/>
      <c r="J36" s="139"/>
      <c r="K36" s="9"/>
      <c r="L36" s="140"/>
      <c r="M36" s="139"/>
      <c r="N36" s="9"/>
      <c r="O36" s="9"/>
      <c r="P36" s="7">
        <f t="shared" si="3"/>
        <v>0</v>
      </c>
      <c r="Q36" s="217">
        <f t="shared" si="4"/>
        <v>0</v>
      </c>
      <c r="R36" s="7"/>
      <c r="T36" s="217">
        <f>Table6[[#This Row],[£/Tonne]]/1000*Table6[[#This Row],[KG/M]]</f>
        <v>0</v>
      </c>
      <c r="U36" s="7">
        <v>6.1</v>
      </c>
      <c r="V36" s="217">
        <f>(S36/1000)*F36*Table6[[#This Row],[Normal Length]]</f>
        <v>0</v>
      </c>
      <c r="X36" s="217">
        <f>Table6[[#This Row],[£/Length]]*(1+X31)</f>
        <v>0</v>
      </c>
      <c r="Y36" s="217">
        <f>Table6[[#This Row],[£/Length]]*(1+Y31)</f>
        <v>0</v>
      </c>
      <c r="Z36" s="217">
        <f>Table6[[#This Row],[£/Length]]*(1+Z$2)</f>
        <v>0</v>
      </c>
      <c r="AA36" s="217">
        <f>Table6[[#This Row],[£/Length]]*(1+AA$2)</f>
        <v>0</v>
      </c>
    </row>
    <row r="37" spans="1:30" ht="25.35" customHeight="1">
      <c r="B37" s="7" t="str">
        <f t="shared" si="1"/>
        <v>_SQUARE SOLIDS@0Kg/m</v>
      </c>
      <c r="C37" s="7" t="str">
        <f t="shared" si="2"/>
        <v xml:space="preserve"> SQUARE SOLIDSmm @ 0Kg/m</v>
      </c>
      <c r="D37" s="8" t="s">
        <v>542</v>
      </c>
      <c r="E37" s="8"/>
      <c r="G37" s="139"/>
      <c r="H37" s="9"/>
      <c r="I37" s="140"/>
      <c r="J37" s="139"/>
      <c r="K37" s="9"/>
      <c r="L37" s="140"/>
      <c r="M37" s="139"/>
      <c r="N37" s="9"/>
      <c r="O37" s="9"/>
      <c r="P37" s="7">
        <f t="shared" si="3"/>
        <v>0</v>
      </c>
      <c r="Q37" s="217">
        <f t="shared" si="4"/>
        <v>0</v>
      </c>
      <c r="R37" s="7"/>
      <c r="T37" s="217">
        <f>Table6[[#This Row],[£/Tonne]]/1000*Table6[[#This Row],[KG/M]]</f>
        <v>0</v>
      </c>
      <c r="U37" s="7">
        <v>6.1</v>
      </c>
      <c r="V37" s="217">
        <f>(S37/1000)*F37*Table6[[#This Row],[Normal Length]]</f>
        <v>0</v>
      </c>
      <c r="X37" s="217">
        <f>Table6[[#This Row],[£/Length]]*(1+X32)</f>
        <v>0</v>
      </c>
      <c r="Y37" s="217">
        <f>Table6[[#This Row],[£/Length]]*(1+Y32)</f>
        <v>0</v>
      </c>
      <c r="Z37" s="217">
        <f>Table6[[#This Row],[£/Length]]*(1+Z$2)</f>
        <v>0</v>
      </c>
      <c r="AA37" s="217">
        <f>Table6[[#This Row],[£/Length]]*(1+AA$2)</f>
        <v>0</v>
      </c>
    </row>
    <row r="38" spans="1:30" ht="25.35" customHeight="1">
      <c r="A38" s="7" t="s">
        <v>93</v>
      </c>
      <c r="B38" s="7" t="str">
        <f t="shared" si="1"/>
        <v>SQ_BLK_10@0.79Kg/m</v>
      </c>
      <c r="C38" s="7" t="str">
        <f t="shared" si="2"/>
        <v>SQ_BLK 10mm @ 0.79Kg/m</v>
      </c>
      <c r="D38" s="7">
        <v>10</v>
      </c>
      <c r="F38" s="95">
        <v>0.78500000000000003</v>
      </c>
      <c r="G38" s="139">
        <v>6.1</v>
      </c>
      <c r="H38" s="9">
        <v>3</v>
      </c>
      <c r="I38" s="140" t="s">
        <v>422</v>
      </c>
      <c r="J38" s="139"/>
      <c r="K38" s="9"/>
      <c r="L38" s="140"/>
      <c r="M38" s="139"/>
      <c r="N38" s="9"/>
      <c r="O38" s="9"/>
      <c r="P38" s="7">
        <f t="shared" si="3"/>
        <v>18.299999999999997</v>
      </c>
      <c r="Q38" s="217">
        <f t="shared" si="4"/>
        <v>9.7685399999999998</v>
      </c>
      <c r="R38" s="7"/>
      <c r="S38" s="217">
        <v>680</v>
      </c>
      <c r="T38" s="217">
        <f>Table6[[#This Row],[£/Tonne]]/1000*Table6[[#This Row],[KG/M]]</f>
        <v>0.53380000000000005</v>
      </c>
      <c r="U38" s="7">
        <v>6.1</v>
      </c>
      <c r="V38" s="217">
        <f>(S38/1000)*F38*Table6[[#This Row],[Normal Length]]</f>
        <v>3.2561800000000001</v>
      </c>
      <c r="X38" s="217">
        <f>Table6[[#This Row],[£/Length]]*(1+X33)</f>
        <v>3.2561800000000001</v>
      </c>
      <c r="Y38" s="217">
        <f>Table6[[#This Row],[£/Length]]*(1+Y33)</f>
        <v>3.2561800000000001</v>
      </c>
      <c r="Z38" s="217">
        <f>Table6[[#This Row],[£/Length]]*(1+Z$2)</f>
        <v>4.5586519999999995</v>
      </c>
      <c r="AA38" s="217">
        <f>Table6[[#This Row],[£/Length]]*(1+AA$2)</f>
        <v>4.8842699999999999</v>
      </c>
      <c r="AB38" s="217">
        <f>Table6[[#This Row],[£/Length]]*(1+AB$2)</f>
        <v>5.2098880000000003</v>
      </c>
      <c r="AC38" s="217">
        <f>Table6[[#This Row],[£/Length]]*(1+AC$2)</f>
        <v>5.5355059999999998</v>
      </c>
      <c r="AD38" s="217">
        <f>Table6[[#This Row],[£/Length]]*(1+AD$2)</f>
        <v>6.5123600000000001</v>
      </c>
    </row>
    <row r="39" spans="1:30" ht="25.35" customHeight="1">
      <c r="A39" s="7" t="s">
        <v>93</v>
      </c>
      <c r="B39" s="7" t="str">
        <f t="shared" si="1"/>
        <v>SQ_BLK_12@1.13Kg/m</v>
      </c>
      <c r="C39" s="7" t="str">
        <f t="shared" si="2"/>
        <v>SQ_BLK 12mm @ 1.13Kg/m</v>
      </c>
      <c r="D39" s="7">
        <v>12</v>
      </c>
      <c r="F39" s="95">
        <v>1.1299999999999999</v>
      </c>
      <c r="G39" s="139">
        <v>6.1</v>
      </c>
      <c r="H39" s="9">
        <v>16</v>
      </c>
      <c r="I39" s="140" t="s">
        <v>422</v>
      </c>
      <c r="J39" s="139"/>
      <c r="K39" s="9"/>
      <c r="L39" s="140"/>
      <c r="M39" s="139"/>
      <c r="N39" s="9"/>
      <c r="O39" s="9"/>
      <c r="P39" s="7">
        <f t="shared" si="3"/>
        <v>97.6</v>
      </c>
      <c r="Q39" s="217">
        <f t="shared" si="4"/>
        <v>86.024639999999991</v>
      </c>
      <c r="R39" s="7"/>
      <c r="S39" s="217">
        <v>780</v>
      </c>
      <c r="T39" s="217">
        <f>Table6[[#This Row],[£/Tonne]]/1000*Table6[[#This Row],[KG/M]]</f>
        <v>0.88139999999999996</v>
      </c>
      <c r="U39" s="7">
        <v>6.1</v>
      </c>
      <c r="V39" s="217">
        <f>(S39/1000)*F39*Table6[[#This Row],[Normal Length]]</f>
        <v>5.3765399999999994</v>
      </c>
      <c r="X39" s="217">
        <f>Table6[[#This Row],[£/Length]]*(1+X34)</f>
        <v>5.3765399999999994</v>
      </c>
      <c r="Y39" s="217">
        <f>Table6[[#This Row],[£/Length]]*(1+Y34)</f>
        <v>5.3765399999999994</v>
      </c>
      <c r="Z39" s="217">
        <f>Table6[[#This Row],[£/Length]]*(1+Z$2)</f>
        <v>7.5271559999999988</v>
      </c>
      <c r="AA39" s="217">
        <f>Table6[[#This Row],[£/Length]]*(1+AA$2)</f>
        <v>8.0648099999999996</v>
      </c>
      <c r="AB39" s="217">
        <f>Table6[[#This Row],[£/Length]]*(1+AB$2)</f>
        <v>8.6024639999999994</v>
      </c>
      <c r="AC39" s="217">
        <f>Table6[[#This Row],[£/Length]]*(1+AC$2)</f>
        <v>9.1401179999999993</v>
      </c>
      <c r="AD39" s="217">
        <f>Table6[[#This Row],[£/Length]]*(1+AD$2)</f>
        <v>10.753079999999999</v>
      </c>
    </row>
    <row r="40" spans="1:30" ht="25.35" customHeight="1">
      <c r="A40" s="7" t="s">
        <v>93</v>
      </c>
      <c r="B40" s="7" t="str">
        <f t="shared" si="1"/>
        <v>SQ_BLK_16@2.01Kg/m</v>
      </c>
      <c r="C40" s="7" t="str">
        <f t="shared" si="2"/>
        <v>SQ_BLK 16mm @ 2.01Kg/m</v>
      </c>
      <c r="D40" s="7">
        <v>16</v>
      </c>
      <c r="F40" s="95">
        <v>2.0099999999999998</v>
      </c>
      <c r="G40" s="139">
        <v>6.1</v>
      </c>
      <c r="H40" s="9">
        <v>13</v>
      </c>
      <c r="I40" s="140" t="s">
        <v>422</v>
      </c>
      <c r="J40" s="139"/>
      <c r="K40" s="9"/>
      <c r="L40" s="140"/>
      <c r="M40" s="139"/>
      <c r="N40" s="9"/>
      <c r="O40" s="9"/>
      <c r="P40" s="7">
        <f t="shared" si="3"/>
        <v>79.3</v>
      </c>
      <c r="Q40" s="217">
        <f t="shared" si="4"/>
        <v>103.60544999999998</v>
      </c>
      <c r="R40" s="7"/>
      <c r="S40" s="217">
        <v>650</v>
      </c>
      <c r="T40" s="217">
        <f>Table6[[#This Row],[£/Tonne]]/1000*Table6[[#This Row],[KG/M]]</f>
        <v>1.3065</v>
      </c>
      <c r="U40" s="7">
        <v>6.1</v>
      </c>
      <c r="V40" s="217">
        <f>(S40/1000)*F40*Table6[[#This Row],[Normal Length]]</f>
        <v>7.9696499999999997</v>
      </c>
      <c r="X40" s="217">
        <f>Table6[[#This Row],[£/Length]]*(1+X35)</f>
        <v>7.9696499999999997</v>
      </c>
      <c r="Y40" s="217">
        <f>Table6[[#This Row],[£/Length]]*(1+Y35)</f>
        <v>7.9696499999999997</v>
      </c>
      <c r="Z40" s="217">
        <f>Table6[[#This Row],[£/Length]]*(1+Z$2)</f>
        <v>11.157509999999998</v>
      </c>
      <c r="AA40" s="217">
        <f>Table6[[#This Row],[£/Length]]*(1+AA$2)</f>
        <v>11.954474999999999</v>
      </c>
      <c r="AB40" s="217">
        <f>Table6[[#This Row],[£/Length]]*(1+AB$2)</f>
        <v>12.751440000000001</v>
      </c>
      <c r="AC40" s="217">
        <f>Table6[[#This Row],[£/Length]]*(1+AC$2)</f>
        <v>13.548404999999999</v>
      </c>
      <c r="AD40" s="217">
        <f>Table6[[#This Row],[£/Length]]*(1+AD$2)</f>
        <v>15.939299999999999</v>
      </c>
    </row>
    <row r="41" spans="1:30" ht="25.35" customHeight="1">
      <c r="A41" s="7" t="s">
        <v>93</v>
      </c>
      <c r="B41" s="7" t="str">
        <f t="shared" si="1"/>
        <v>SQ_BLK_20@3.14Kg/m</v>
      </c>
      <c r="C41" s="7" t="str">
        <f t="shared" si="2"/>
        <v>SQ_BLK 20mm @ 3.14Kg/m</v>
      </c>
      <c r="D41" s="7">
        <v>20</v>
      </c>
      <c r="F41" s="95">
        <v>3.14</v>
      </c>
      <c r="G41" s="139">
        <v>6.1</v>
      </c>
      <c r="H41" s="9">
        <v>12</v>
      </c>
      <c r="I41" s="140" t="s">
        <v>422</v>
      </c>
      <c r="J41" s="139"/>
      <c r="K41" s="9"/>
      <c r="L41" s="140"/>
      <c r="M41" s="139"/>
      <c r="N41" s="9"/>
      <c r="O41" s="9"/>
      <c r="P41" s="7">
        <f t="shared" si="3"/>
        <v>73.199999999999989</v>
      </c>
      <c r="Q41" s="217">
        <f t="shared" si="4"/>
        <v>132.16259999999997</v>
      </c>
      <c r="R41" s="7"/>
      <c r="S41" s="217">
        <v>575</v>
      </c>
      <c r="T41" s="217">
        <f>Table6[[#This Row],[£/Tonne]]/1000*Table6[[#This Row],[KG/M]]</f>
        <v>1.8054999999999999</v>
      </c>
      <c r="U41" s="7">
        <v>6.1</v>
      </c>
      <c r="V41" s="217">
        <f>(S41/1000)*F41*Table6[[#This Row],[Normal Length]]</f>
        <v>11.013549999999999</v>
      </c>
      <c r="X41" s="217">
        <f>Table6[[#This Row],[£/Length]]*(1+X36)</f>
        <v>11.013549999999999</v>
      </c>
      <c r="Y41" s="217">
        <f>Table6[[#This Row],[£/Length]]*(1+Y36)</f>
        <v>11.013549999999999</v>
      </c>
      <c r="Z41" s="217">
        <f>Table6[[#This Row],[£/Length]]*(1+Z$2)</f>
        <v>15.418969999999996</v>
      </c>
      <c r="AA41" s="217">
        <f>Table6[[#This Row],[£/Length]]*(1+AA$2)</f>
        <v>16.520325</v>
      </c>
    </row>
    <row r="42" spans="1:30" ht="25.35" customHeight="1">
      <c r="A42" s="7" t="s">
        <v>93</v>
      </c>
      <c r="B42" s="7" t="str">
        <f t="shared" si="1"/>
        <v>SQ_BLK_25@4.91Kg/m</v>
      </c>
      <c r="C42" s="7" t="str">
        <f t="shared" si="2"/>
        <v>SQ_BLK 25mm @ 4.91Kg/m</v>
      </c>
      <c r="D42" s="7">
        <v>25</v>
      </c>
      <c r="F42" s="95">
        <v>4.91</v>
      </c>
      <c r="G42" s="139"/>
      <c r="H42" s="9"/>
      <c r="I42" s="140"/>
      <c r="J42" s="139">
        <v>6.1</v>
      </c>
      <c r="K42" s="9">
        <v>4</v>
      </c>
      <c r="L42" s="140" t="s">
        <v>422</v>
      </c>
      <c r="M42" s="139">
        <v>3</v>
      </c>
      <c r="N42" s="9">
        <v>1</v>
      </c>
      <c r="O42" s="9" t="s">
        <v>422</v>
      </c>
      <c r="P42" s="7">
        <f t="shared" si="3"/>
        <v>27.4</v>
      </c>
      <c r="Q42" s="217">
        <f t="shared" si="4"/>
        <v>87.447099999999992</v>
      </c>
      <c r="R42" s="7"/>
      <c r="S42" s="217">
        <v>650</v>
      </c>
      <c r="T42" s="217">
        <f>Table6[[#This Row],[£/Tonne]]/1000*Table6[[#This Row],[KG/M]]</f>
        <v>3.1915</v>
      </c>
      <c r="U42" s="7">
        <v>6.1</v>
      </c>
      <c r="V42" s="217">
        <f>(S42/1000)*F42*Table6[[#This Row],[Normal Length]]</f>
        <v>19.468149999999998</v>
      </c>
      <c r="X42" s="217">
        <f>Table6[[#This Row],[£/Length]]*(1+X37)</f>
        <v>19.468149999999998</v>
      </c>
      <c r="Y42" s="217">
        <f>Table6[[#This Row],[£/Length]]*(1+Y37)</f>
        <v>19.468149999999998</v>
      </c>
      <c r="Z42" s="217">
        <f>Table6[[#This Row],[£/Length]]*(1+Z$2)</f>
        <v>27.255409999999994</v>
      </c>
      <c r="AA42" s="217">
        <f>Table6[[#This Row],[£/Length]]*(1+AA$2)</f>
        <v>29.202224999999999</v>
      </c>
    </row>
    <row r="43" spans="1:30" ht="25.35" customHeight="1">
      <c r="A43" s="7" t="s">
        <v>93</v>
      </c>
      <c r="B43" s="7" t="str">
        <f t="shared" si="1"/>
        <v>SQ_BLK_30@7.07Kg/m</v>
      </c>
      <c r="C43" s="7" t="str">
        <f t="shared" si="2"/>
        <v>SQ_BLK 30mm @ 7.07Kg/m</v>
      </c>
      <c r="D43" s="7">
        <v>30</v>
      </c>
      <c r="F43" s="95">
        <v>7.07</v>
      </c>
      <c r="G43" s="139">
        <v>6.1</v>
      </c>
      <c r="H43" s="9">
        <v>3</v>
      </c>
      <c r="I43" s="140" t="s">
        <v>422</v>
      </c>
      <c r="J43" s="139"/>
      <c r="K43" s="9"/>
      <c r="L43" s="140"/>
      <c r="M43" s="139"/>
      <c r="N43" s="9"/>
      <c r="O43" s="9"/>
      <c r="P43" s="7">
        <f t="shared" si="3"/>
        <v>18.299999999999997</v>
      </c>
      <c r="Q43" s="217">
        <f t="shared" si="4"/>
        <v>95.741939999999971</v>
      </c>
      <c r="R43" s="7"/>
      <c r="S43" s="217">
        <v>740</v>
      </c>
      <c r="T43" s="217">
        <f>Table6[[#This Row],[£/Tonne]]/1000*Table6[[#This Row],[KG/M]]</f>
        <v>5.2317999999999998</v>
      </c>
      <c r="U43" s="7">
        <v>6.1</v>
      </c>
      <c r="V43" s="217">
        <f>(S43/1000)*F43*Table6[[#This Row],[Normal Length]]</f>
        <v>31.913979999999995</v>
      </c>
      <c r="X43" s="217">
        <f>Table6[[#This Row],[£/Length]]*(1+X38)</f>
        <v>135.83164339639998</v>
      </c>
      <c r="Y43" s="217">
        <f>Table6[[#This Row],[£/Length]]*(1+Y38)</f>
        <v>135.83164339639998</v>
      </c>
      <c r="Z43" s="217">
        <f>Table6[[#This Row],[£/Length]]*(1+Z$2)</f>
        <v>44.679571999999993</v>
      </c>
      <c r="AA43" s="217">
        <f>Table6[[#This Row],[£/Length]]*(1+AA$2)</f>
        <v>47.870969999999993</v>
      </c>
    </row>
    <row r="44" spans="1:30" ht="25.35" customHeight="1">
      <c r="A44" s="7" t="s">
        <v>93</v>
      </c>
      <c r="B44" s="7" t="str">
        <f t="shared" si="1"/>
        <v>SQ_BLK_40@12.06Kg/m</v>
      </c>
      <c r="C44" s="7" t="str">
        <f t="shared" si="2"/>
        <v>SQ_BLK 40mm @ 12.06Kg/m</v>
      </c>
      <c r="D44" s="7">
        <v>40</v>
      </c>
      <c r="F44" s="95">
        <v>12.06</v>
      </c>
      <c r="G44" s="139"/>
      <c r="H44" s="9"/>
      <c r="I44" s="140"/>
      <c r="J44" s="139"/>
      <c r="K44" s="9"/>
      <c r="L44" s="140"/>
      <c r="M44" s="139"/>
      <c r="N44" s="9"/>
      <c r="O44" s="9"/>
      <c r="P44" s="7">
        <f t="shared" si="3"/>
        <v>0</v>
      </c>
      <c r="Q44" s="217">
        <f t="shared" si="4"/>
        <v>0</v>
      </c>
      <c r="R44" s="7"/>
      <c r="T44" s="217">
        <f>Table6[[#This Row],[£/Tonne]]/1000*Table6[[#This Row],[KG/M]]</f>
        <v>0</v>
      </c>
      <c r="U44" s="7">
        <v>6.1</v>
      </c>
      <c r="V44" s="217">
        <f>(S44/1000)*F44*Table6[[#This Row],[Normal Length]]</f>
        <v>0</v>
      </c>
      <c r="X44" s="217">
        <f>Table6[[#This Row],[£/Length]]*(1+X39)</f>
        <v>0</v>
      </c>
      <c r="Y44" s="217">
        <f>Table6[[#This Row],[£/Length]]*(1+Y39)</f>
        <v>0</v>
      </c>
      <c r="Z44" s="217">
        <f>Table6[[#This Row],[£/Length]]*(1+Z$2)</f>
        <v>0</v>
      </c>
      <c r="AA44" s="217">
        <f>Table6[[#This Row],[£/Length]]*(1+AA$2)</f>
        <v>0</v>
      </c>
    </row>
    <row r="45" spans="1:30" ht="25.35" customHeight="1">
      <c r="B45" s="7" t="str">
        <f t="shared" si="1"/>
        <v>_ROUND BRIGHTS@0Kg/m</v>
      </c>
      <c r="D45" s="8" t="s">
        <v>543</v>
      </c>
      <c r="E45" s="8"/>
      <c r="G45" s="139"/>
      <c r="H45" s="9"/>
      <c r="I45" s="140"/>
      <c r="J45" s="139"/>
      <c r="K45" s="9"/>
      <c r="L45" s="140"/>
      <c r="M45" s="139"/>
      <c r="N45" s="9"/>
      <c r="O45" s="9"/>
      <c r="P45" s="7">
        <f t="shared" si="3"/>
        <v>0</v>
      </c>
      <c r="Q45" s="217">
        <f t="shared" si="4"/>
        <v>0</v>
      </c>
      <c r="R45" s="7"/>
      <c r="T45" s="217">
        <f>Table6[[#This Row],[£/Tonne]]/1000*Table6[[#This Row],[KG/M]]</f>
        <v>0</v>
      </c>
      <c r="U45" s="7">
        <v>6.1</v>
      </c>
      <c r="V45" s="217">
        <f>(S45/1000)*F45*Table6[[#This Row],[Normal Length]]</f>
        <v>0</v>
      </c>
      <c r="X45" s="217">
        <f>Table6[[#This Row],[£/Length]]*(1+X40)</f>
        <v>0</v>
      </c>
      <c r="Y45" s="217">
        <f>Table6[[#This Row],[£/Length]]*(1+Y40)</f>
        <v>0</v>
      </c>
      <c r="Z45" s="217">
        <f>Table6[[#This Row],[£/Length]]*(1+Z$2)</f>
        <v>0</v>
      </c>
      <c r="AA45" s="217">
        <f>Table6[[#This Row],[£/Length]]*(1+AA$2)</f>
        <v>0</v>
      </c>
    </row>
    <row r="46" spans="1:30" ht="25.35" customHeight="1">
      <c r="A46" s="7" t="s">
        <v>90</v>
      </c>
      <c r="B46" s="7" t="str">
        <f t="shared" si="1"/>
        <v>RB_BRI_10mm@0.62Kg/m</v>
      </c>
      <c r="C46" s="7" t="str">
        <f>_xlfn.CONCAT(A46," ",D46," @ ",ROUND(F46,2),"Kg/m")</f>
        <v>RB_BRI 10mm @ 0.62Kg/m</v>
      </c>
      <c r="D46" s="7" t="s">
        <v>544</v>
      </c>
      <c r="F46" s="95">
        <v>0.61599999999999999</v>
      </c>
      <c r="G46" s="139"/>
      <c r="H46" s="9"/>
      <c r="I46" s="140"/>
      <c r="J46" s="139"/>
      <c r="K46" s="9"/>
      <c r="L46" s="140"/>
      <c r="M46" s="139"/>
      <c r="N46" s="9"/>
      <c r="O46" s="9"/>
      <c r="P46" s="7">
        <f t="shared" si="3"/>
        <v>0</v>
      </c>
      <c r="Q46" s="217">
        <f t="shared" si="4"/>
        <v>0</v>
      </c>
      <c r="R46" s="7"/>
      <c r="T46" s="217">
        <f>Table6[[#This Row],[£/Tonne]]/1000*Table6[[#This Row],[KG/M]]</f>
        <v>0</v>
      </c>
      <c r="U46" s="7">
        <v>6.1</v>
      </c>
      <c r="V46" s="217">
        <f>(S46/1000)*F46*Table6[[#This Row],[Normal Length]]</f>
        <v>0</v>
      </c>
      <c r="X46" s="217">
        <f>Table6[[#This Row],[£/Length]]*(1+X41)</f>
        <v>0</v>
      </c>
      <c r="Y46" s="217">
        <f>Table6[[#This Row],[£/Length]]*(1+Y41)</f>
        <v>0</v>
      </c>
      <c r="Z46" s="217">
        <f>Table6[[#This Row],[£/Length]]*(1+Z$2)</f>
        <v>0</v>
      </c>
      <c r="AA46" s="217">
        <f>Table6[[#This Row],[£/Length]]*(1+AA$2)</f>
        <v>0</v>
      </c>
    </row>
    <row r="47" spans="1:30" ht="25.35" customHeight="1">
      <c r="A47" s="7" t="s">
        <v>90</v>
      </c>
      <c r="B47" s="7" t="str">
        <f t="shared" si="1"/>
        <v>RB_BRI_1/2"@0.99Kg/m</v>
      </c>
      <c r="C47" s="7" t="str">
        <f t="shared" ref="C47:C75" si="5">_xlfn.CONCAT(A47," ",D47," @ ",ROUND(F47,2),"Kg/m")</f>
        <v>RB_BRI 1/2" @ 0.99Kg/m</v>
      </c>
      <c r="D47" s="7" t="s">
        <v>545</v>
      </c>
      <c r="F47" s="95">
        <v>0.99409999999999998</v>
      </c>
      <c r="G47" s="139"/>
      <c r="H47" s="9"/>
      <c r="I47" s="140"/>
      <c r="J47" s="139"/>
      <c r="K47" s="9"/>
      <c r="L47" s="140"/>
      <c r="M47" s="139"/>
      <c r="N47" s="9"/>
      <c r="O47" s="9"/>
      <c r="P47" s="7">
        <f t="shared" si="3"/>
        <v>0</v>
      </c>
      <c r="Q47" s="217">
        <f t="shared" si="4"/>
        <v>0</v>
      </c>
      <c r="R47" s="7"/>
      <c r="T47" s="217">
        <f>Table6[[#This Row],[£/Tonne]]/1000*Table6[[#This Row],[KG/M]]</f>
        <v>0</v>
      </c>
      <c r="U47" s="7">
        <v>6.1</v>
      </c>
      <c r="V47" s="217">
        <f>(S47/1000)*F47*Table6[[#This Row],[Normal Length]]</f>
        <v>0</v>
      </c>
      <c r="X47" s="217">
        <f>Table6[[#This Row],[£/Length]]*(1+X42)</f>
        <v>0</v>
      </c>
      <c r="Y47" s="217">
        <f>Table6[[#This Row],[£/Length]]*(1+Y42)</f>
        <v>0</v>
      </c>
      <c r="Z47" s="217">
        <f>Table6[[#This Row],[£/Length]]*(1+Z$2)</f>
        <v>0</v>
      </c>
      <c r="AA47" s="217">
        <f>Table6[[#This Row],[£/Length]]*(1+AA$2)</f>
        <v>0</v>
      </c>
    </row>
    <row r="48" spans="1:30" ht="25.35" customHeight="1">
      <c r="A48" s="7" t="s">
        <v>90</v>
      </c>
      <c r="B48" s="7" t="str">
        <f t="shared" si="1"/>
        <v>RB_BRI_5/8"@1.55Kg/m</v>
      </c>
      <c r="C48" s="7" t="str">
        <f t="shared" si="5"/>
        <v>RB_BRI 5/8" @ 1.55Kg/m</v>
      </c>
      <c r="D48" s="7" t="s">
        <v>526</v>
      </c>
      <c r="F48" s="95">
        <v>1.5538000000000001</v>
      </c>
      <c r="G48" s="139"/>
      <c r="H48" s="9"/>
      <c r="I48" s="140"/>
      <c r="J48" s="139"/>
      <c r="K48" s="9"/>
      <c r="L48" s="140"/>
      <c r="M48" s="139"/>
      <c r="N48" s="9"/>
      <c r="O48" s="9"/>
      <c r="P48" s="7">
        <f t="shared" si="3"/>
        <v>0</v>
      </c>
      <c r="Q48" s="217">
        <f t="shared" si="4"/>
        <v>0</v>
      </c>
      <c r="R48" s="7"/>
      <c r="T48" s="217">
        <f>Table6[[#This Row],[£/Tonne]]/1000*Table6[[#This Row],[KG/M]]</f>
        <v>0</v>
      </c>
      <c r="U48" s="7">
        <v>6.1</v>
      </c>
      <c r="V48" s="217">
        <f>(S48/1000)*F48*Table6[[#This Row],[Normal Length]]</f>
        <v>0</v>
      </c>
      <c r="X48" s="217">
        <f>Table6[[#This Row],[£/Length]]*(1+X43)</f>
        <v>0</v>
      </c>
      <c r="Y48" s="217">
        <f>Table6[[#This Row],[£/Length]]*(1+Y43)</f>
        <v>0</v>
      </c>
      <c r="Z48" s="217">
        <f>Table6[[#This Row],[£/Length]]*(1+Z$2)</f>
        <v>0</v>
      </c>
      <c r="AA48" s="217">
        <f>Table6[[#This Row],[£/Length]]*(1+AA$2)</f>
        <v>0</v>
      </c>
    </row>
    <row r="49" spans="1:27" ht="25.35" customHeight="1">
      <c r="A49" s="7" t="s">
        <v>90</v>
      </c>
      <c r="B49" s="7" t="str">
        <f t="shared" si="1"/>
        <v>RB_BRI_3/4"@2.24Kg/m</v>
      </c>
      <c r="C49" s="7" t="str">
        <f t="shared" si="5"/>
        <v>RB_BRI 3/4" @ 2.24Kg/m</v>
      </c>
      <c r="D49" s="7" t="s">
        <v>546</v>
      </c>
      <c r="F49" s="95">
        <v>2.2374000000000001</v>
      </c>
      <c r="G49" s="139"/>
      <c r="H49" s="9"/>
      <c r="I49" s="140"/>
      <c r="J49" s="139"/>
      <c r="K49" s="9"/>
      <c r="L49" s="140"/>
      <c r="M49" s="139"/>
      <c r="N49" s="9"/>
      <c r="O49" s="9"/>
      <c r="P49" s="7">
        <f t="shared" si="3"/>
        <v>0</v>
      </c>
      <c r="Q49" s="217">
        <f t="shared" si="4"/>
        <v>0</v>
      </c>
      <c r="R49" s="7"/>
      <c r="T49" s="217">
        <f>Table6[[#This Row],[£/Tonne]]/1000*Table6[[#This Row],[KG/M]]</f>
        <v>0</v>
      </c>
      <c r="U49" s="7">
        <v>6.1</v>
      </c>
      <c r="V49" s="217">
        <f>(S49/1000)*F49*Table6[[#This Row],[Normal Length]]</f>
        <v>0</v>
      </c>
      <c r="X49" s="217">
        <f>Table6[[#This Row],[£/Length]]*(1+X44)</f>
        <v>0</v>
      </c>
      <c r="Y49" s="217">
        <f>Table6[[#This Row],[£/Length]]*(1+Y44)</f>
        <v>0</v>
      </c>
      <c r="Z49" s="217">
        <f>Table6[[#This Row],[£/Length]]*(1+Z$2)</f>
        <v>0</v>
      </c>
      <c r="AA49" s="217">
        <f>Table6[[#This Row],[£/Length]]*(1+AA$2)</f>
        <v>0</v>
      </c>
    </row>
    <row r="50" spans="1:27" ht="25.35" customHeight="1">
      <c r="A50" s="7" t="s">
        <v>90</v>
      </c>
      <c r="B50" s="7" t="str">
        <f t="shared" si="1"/>
        <v>RB_BRI_7/8"@3.05Kg/m</v>
      </c>
      <c r="C50" s="7" t="str">
        <f t="shared" si="5"/>
        <v>RB_BRI 7/8" @ 3.05Kg/m</v>
      </c>
      <c r="D50" s="7" t="s">
        <v>547</v>
      </c>
      <c r="F50" s="95">
        <v>3.0453999999999999</v>
      </c>
      <c r="G50" s="139"/>
      <c r="H50" s="9"/>
      <c r="I50" s="140"/>
      <c r="J50" s="139"/>
      <c r="K50" s="9"/>
      <c r="L50" s="140"/>
      <c r="M50" s="139"/>
      <c r="N50" s="9"/>
      <c r="O50" s="9"/>
      <c r="P50" s="7">
        <f t="shared" si="3"/>
        <v>0</v>
      </c>
      <c r="Q50" s="217">
        <f t="shared" si="4"/>
        <v>0</v>
      </c>
      <c r="R50" s="7"/>
      <c r="T50" s="217">
        <f>Table6[[#This Row],[£/Tonne]]/1000*Table6[[#This Row],[KG/M]]</f>
        <v>0</v>
      </c>
      <c r="U50" s="7">
        <v>6.1</v>
      </c>
      <c r="V50" s="217">
        <f>(S50/1000)*F50*Table6[[#This Row],[Normal Length]]</f>
        <v>0</v>
      </c>
      <c r="X50" s="217">
        <f>Table6[[#This Row],[£/Length]]*(1+X45)</f>
        <v>0</v>
      </c>
      <c r="Y50" s="217">
        <f>Table6[[#This Row],[£/Length]]*(1+Y45)</f>
        <v>0</v>
      </c>
      <c r="Z50" s="217">
        <f>Table6[[#This Row],[£/Length]]*(1+Z$2)</f>
        <v>0</v>
      </c>
      <c r="AA50" s="217">
        <f>Table6[[#This Row],[£/Length]]*(1+AA$2)</f>
        <v>0</v>
      </c>
    </row>
    <row r="51" spans="1:27" ht="25.35" customHeight="1">
      <c r="A51" s="7" t="s">
        <v>90</v>
      </c>
      <c r="B51" s="7" t="str">
        <f t="shared" si="1"/>
        <v>RB_BRI_20mm@2.47Kg/m</v>
      </c>
      <c r="C51" s="7" t="str">
        <f t="shared" si="5"/>
        <v>RB_BRI 20mm @ 2.47Kg/m</v>
      </c>
      <c r="D51" s="7" t="s">
        <v>548</v>
      </c>
      <c r="F51" s="71">
        <v>2.4660000000000002</v>
      </c>
      <c r="G51" s="139"/>
      <c r="H51" s="9"/>
      <c r="I51" s="140"/>
      <c r="J51" s="139"/>
      <c r="K51" s="9"/>
      <c r="L51" s="140"/>
      <c r="M51" s="139"/>
      <c r="N51" s="9"/>
      <c r="O51" s="9"/>
      <c r="P51" s="7">
        <f t="shared" si="3"/>
        <v>0</v>
      </c>
      <c r="Q51" s="217">
        <f t="shared" si="4"/>
        <v>0</v>
      </c>
      <c r="R51" s="7"/>
      <c r="T51" s="217">
        <f>Table6[[#This Row],[£/Tonne]]/1000*Table6[[#This Row],[KG/M]]</f>
        <v>0</v>
      </c>
      <c r="U51" s="7">
        <v>6.1</v>
      </c>
      <c r="V51" s="217">
        <f>(S51/1000)*F51*Table6[[#This Row],[Normal Length]]</f>
        <v>0</v>
      </c>
      <c r="X51" s="217">
        <f>Table6[[#This Row],[£/Length]]*(1+X46)</f>
        <v>0</v>
      </c>
      <c r="Y51" s="217">
        <f>Table6[[#This Row],[£/Length]]*(1+Y46)</f>
        <v>0</v>
      </c>
      <c r="Z51" s="217">
        <f>Table6[[#This Row],[£/Length]]*(1+Z$2)</f>
        <v>0</v>
      </c>
      <c r="AA51" s="217">
        <f>Table6[[#This Row],[£/Length]]*(1+AA$2)</f>
        <v>0</v>
      </c>
    </row>
    <row r="52" spans="1:27" ht="25.35" customHeight="1">
      <c r="A52" s="7" t="s">
        <v>90</v>
      </c>
      <c r="B52" s="7" t="str">
        <f t="shared" si="1"/>
        <v>RB_BRI_25mm@3.85Kg/m</v>
      </c>
      <c r="C52" s="7" t="str">
        <f t="shared" si="5"/>
        <v>RB_BRI 25mm @ 3.85Kg/m</v>
      </c>
      <c r="D52" s="7" t="s">
        <v>549</v>
      </c>
      <c r="F52" s="71">
        <v>3.8540000000000001</v>
      </c>
      <c r="G52" s="139"/>
      <c r="H52" s="9"/>
      <c r="I52" s="140"/>
      <c r="J52" s="139"/>
      <c r="K52" s="9"/>
      <c r="L52" s="140"/>
      <c r="M52" s="139"/>
      <c r="N52" s="9"/>
      <c r="O52" s="9"/>
      <c r="P52" s="7">
        <f t="shared" si="3"/>
        <v>0</v>
      </c>
      <c r="Q52" s="217">
        <f t="shared" si="4"/>
        <v>0</v>
      </c>
      <c r="R52" s="7"/>
      <c r="T52" s="217">
        <f>Table6[[#This Row],[£/Tonne]]/1000*Table6[[#This Row],[KG/M]]</f>
        <v>0</v>
      </c>
      <c r="U52" s="7">
        <v>6.1</v>
      </c>
      <c r="V52" s="217">
        <f>(S52/1000)*F52*Table6[[#This Row],[Normal Length]]</f>
        <v>0</v>
      </c>
      <c r="X52" s="217">
        <f>Table6[[#This Row],[£/Length]]*(1+X47)</f>
        <v>0</v>
      </c>
      <c r="Y52" s="217">
        <f>Table6[[#This Row],[£/Length]]*(1+Y47)</f>
        <v>0</v>
      </c>
      <c r="Z52" s="217">
        <f>Table6[[#This Row],[£/Length]]*(1+Z$2)</f>
        <v>0</v>
      </c>
      <c r="AA52" s="217">
        <f>Table6[[#This Row],[£/Length]]*(1+AA$2)</f>
        <v>0</v>
      </c>
    </row>
    <row r="53" spans="1:27" ht="25.35" customHeight="1">
      <c r="A53" s="7" t="s">
        <v>90</v>
      </c>
      <c r="B53" s="7" t="str">
        <f t="shared" si="1"/>
        <v>RB_BRI_25mm EN8@3.85Kg/m</v>
      </c>
      <c r="C53" s="7" t="str">
        <f t="shared" si="5"/>
        <v>RB_BRI 25mm EN8 @ 3.85Kg/m</v>
      </c>
      <c r="D53" s="7" t="s">
        <v>550</v>
      </c>
      <c r="F53" s="71">
        <v>3.8540000000000001</v>
      </c>
      <c r="G53" s="139"/>
      <c r="H53" s="9"/>
      <c r="I53" s="140"/>
      <c r="J53" s="139"/>
      <c r="K53" s="9"/>
      <c r="L53" s="140"/>
      <c r="M53" s="139"/>
      <c r="N53" s="9"/>
      <c r="O53" s="9"/>
      <c r="P53" s="7">
        <f t="shared" si="3"/>
        <v>0</v>
      </c>
      <c r="Q53" s="217">
        <f t="shared" si="4"/>
        <v>0</v>
      </c>
      <c r="R53" s="7"/>
      <c r="S53" s="217">
        <v>810</v>
      </c>
      <c r="T53" s="217">
        <f>Table6[[#This Row],[£/Tonne]]/1000*Table6[[#This Row],[KG/M]]</f>
        <v>3.1217400000000004</v>
      </c>
      <c r="U53" s="7">
        <v>6.1</v>
      </c>
      <c r="V53" s="217">
        <f>(S53/1000)*F53*Table6[[#This Row],[Normal Length]]</f>
        <v>19.042614</v>
      </c>
      <c r="X53" s="217">
        <f>Table6[[#This Row],[£/Length]]*(1+X48)</f>
        <v>19.042614</v>
      </c>
      <c r="Y53" s="217">
        <f>Table6[[#This Row],[£/Length]]*(1+Y48)</f>
        <v>19.042614</v>
      </c>
      <c r="Z53" s="217">
        <f>Table6[[#This Row],[£/Length]]*(1+Z$2)</f>
        <v>26.659659599999998</v>
      </c>
      <c r="AA53" s="217">
        <f>Table6[[#This Row],[£/Length]]*(1+AA$2)</f>
        <v>28.563921000000001</v>
      </c>
    </row>
    <row r="54" spans="1:27" ht="25.35" customHeight="1">
      <c r="A54" s="7" t="s">
        <v>90</v>
      </c>
      <c r="B54" s="7" t="str">
        <f t="shared" si="1"/>
        <v>RB_BRI_1"@3.98Kg/m</v>
      </c>
      <c r="C54" s="7" t="str">
        <f t="shared" si="5"/>
        <v>RB_BRI 1" @ 3.98Kg/m</v>
      </c>
      <c r="D54" s="7" t="s">
        <v>551</v>
      </c>
      <c r="F54" s="95">
        <v>3.9775999999999998</v>
      </c>
      <c r="G54" s="139">
        <f>1.6+3.1</f>
        <v>4.7</v>
      </c>
      <c r="H54" s="9">
        <v>1</v>
      </c>
      <c r="I54" s="140" t="s">
        <v>552</v>
      </c>
      <c r="J54" s="139"/>
      <c r="K54" s="9"/>
      <c r="L54" s="140"/>
      <c r="M54" s="139"/>
      <c r="N54" s="9"/>
      <c r="O54" s="9"/>
      <c r="P54" s="7">
        <f t="shared" si="3"/>
        <v>4.7</v>
      </c>
      <c r="Q54" s="217">
        <f t="shared" si="4"/>
        <v>17.199142399999999</v>
      </c>
      <c r="R54" s="7"/>
      <c r="S54" s="217">
        <v>920</v>
      </c>
      <c r="T54" s="217">
        <f>Table6[[#This Row],[£/Tonne]]/1000*Table6[[#This Row],[KG/M]]</f>
        <v>3.659392</v>
      </c>
      <c r="U54" s="7">
        <v>6.1</v>
      </c>
      <c r="V54" s="217">
        <f>(S54/1000)*F54*Table6[[#This Row],[Normal Length]]</f>
        <v>22.322291199999999</v>
      </c>
      <c r="X54" s="217">
        <f>Table6[[#This Row],[£/Length]]*(1+X49)</f>
        <v>22.322291199999999</v>
      </c>
      <c r="Y54" s="217">
        <f>Table6[[#This Row],[£/Length]]*(1+Y49)</f>
        <v>22.322291199999999</v>
      </c>
      <c r="Z54" s="217">
        <f>Table6[[#This Row],[£/Length]]*(1+Z$2)</f>
        <v>31.251207679999997</v>
      </c>
      <c r="AA54" s="217">
        <f>Table6[[#This Row],[£/Length]]*(1+AA$2)</f>
        <v>33.4834368</v>
      </c>
    </row>
    <row r="55" spans="1:27" ht="25.35" customHeight="1">
      <c r="A55" s="7" t="s">
        <v>90</v>
      </c>
      <c r="B55" s="7" t="str">
        <f t="shared" si="1"/>
        <v>RB_BRI_1 1/8"@4.99Kg/m</v>
      </c>
      <c r="C55" s="7" t="str">
        <f t="shared" si="5"/>
        <v>RB_BRI 1 1/8" @ 4.99Kg/m</v>
      </c>
      <c r="D55" s="7" t="s">
        <v>553</v>
      </c>
      <c r="F55" s="95">
        <v>4.99</v>
      </c>
      <c r="G55" s="139"/>
      <c r="H55" s="9"/>
      <c r="I55" s="140"/>
      <c r="J55" s="139"/>
      <c r="K55" s="9"/>
      <c r="L55" s="140"/>
      <c r="M55" s="139"/>
      <c r="N55" s="9"/>
      <c r="O55" s="9"/>
      <c r="P55" s="7">
        <f t="shared" si="3"/>
        <v>0</v>
      </c>
      <c r="Q55" s="217">
        <f t="shared" si="4"/>
        <v>0</v>
      </c>
      <c r="R55" s="7"/>
      <c r="T55" s="217">
        <f>Table6[[#This Row],[£/Tonne]]/1000*Table6[[#This Row],[KG/M]]</f>
        <v>0</v>
      </c>
      <c r="U55" s="7">
        <v>6.1</v>
      </c>
      <c r="V55" s="217">
        <f>(S55/1000)*F55*Table6[[#This Row],[Normal Length]]</f>
        <v>0</v>
      </c>
      <c r="X55" s="217">
        <f>Table6[[#This Row],[£/Length]]*(1+X50)</f>
        <v>0</v>
      </c>
      <c r="Y55" s="217">
        <f>Table6[[#This Row],[£/Length]]*(1+Y50)</f>
        <v>0</v>
      </c>
      <c r="Z55" s="217">
        <f>Table6[[#This Row],[£/Length]]*(1+Z$2)</f>
        <v>0</v>
      </c>
      <c r="AA55" s="217">
        <f>Table6[[#This Row],[£/Length]]*(1+AA$2)</f>
        <v>0</v>
      </c>
    </row>
    <row r="56" spans="1:27" ht="25.35" customHeight="1">
      <c r="A56" s="7" t="s">
        <v>90</v>
      </c>
      <c r="B56" s="7" t="str">
        <f t="shared" si="1"/>
        <v>RB_BRI_28mm@4.99Kg/m</v>
      </c>
      <c r="C56" s="7" t="str">
        <f t="shared" si="5"/>
        <v>RB_BRI 28mm @ 4.99Kg/m</v>
      </c>
      <c r="D56" s="7" t="s">
        <v>554</v>
      </c>
      <c r="F56" s="95">
        <v>4.99</v>
      </c>
      <c r="G56" s="139"/>
      <c r="H56" s="9"/>
      <c r="I56" s="140"/>
      <c r="J56" s="139"/>
      <c r="K56" s="9"/>
      <c r="L56" s="140"/>
      <c r="M56" s="139"/>
      <c r="N56" s="9"/>
      <c r="O56" s="9"/>
      <c r="P56" s="7">
        <f t="shared" si="3"/>
        <v>0</v>
      </c>
      <c r="Q56" s="217">
        <f t="shared" si="4"/>
        <v>0</v>
      </c>
      <c r="R56" s="7"/>
      <c r="T56" s="217">
        <f>Table6[[#This Row],[£/Tonne]]/1000*Table6[[#This Row],[KG/M]]</f>
        <v>0</v>
      </c>
      <c r="U56" s="7">
        <v>6.1</v>
      </c>
      <c r="V56" s="217">
        <f>(S56/1000)*F56*Table6[[#This Row],[Normal Length]]</f>
        <v>0</v>
      </c>
      <c r="X56" s="217">
        <f>Table6[[#This Row],[£/Length]]*(1+X51)</f>
        <v>0</v>
      </c>
      <c r="Y56" s="217">
        <f>Table6[[#This Row],[£/Length]]*(1+Y51)</f>
        <v>0</v>
      </c>
      <c r="Z56" s="217">
        <f>Table6[[#This Row],[£/Length]]*(1+Z$2)</f>
        <v>0</v>
      </c>
      <c r="AA56" s="217">
        <f>Table6[[#This Row],[£/Length]]*(1+AA$2)</f>
        <v>0</v>
      </c>
    </row>
    <row r="57" spans="1:27" ht="25.35" customHeight="1">
      <c r="A57" s="7" t="s">
        <v>90</v>
      </c>
      <c r="B57" s="7" t="str">
        <f t="shared" si="1"/>
        <v>RB_BRI_1 1/4"@6.22Kg/m</v>
      </c>
      <c r="C57" s="7" t="str">
        <f t="shared" si="5"/>
        <v>RB_BRI 1 1/4" @ 6.22Kg/m</v>
      </c>
      <c r="D57" s="7" t="s">
        <v>555</v>
      </c>
      <c r="F57" s="95">
        <v>6.2150999999999996</v>
      </c>
      <c r="G57" s="139"/>
      <c r="H57" s="9"/>
      <c r="I57" s="140"/>
      <c r="J57" s="139"/>
      <c r="K57" s="9"/>
      <c r="L57" s="140"/>
      <c r="M57" s="139"/>
      <c r="N57" s="9"/>
      <c r="O57" s="9"/>
      <c r="P57" s="7">
        <f t="shared" si="3"/>
        <v>0</v>
      </c>
      <c r="Q57" s="217">
        <f t="shared" si="4"/>
        <v>0</v>
      </c>
      <c r="R57" s="7"/>
      <c r="T57" s="217">
        <f>Table6[[#This Row],[£/Tonne]]/1000*Table6[[#This Row],[KG/M]]</f>
        <v>0</v>
      </c>
      <c r="U57" s="7">
        <v>6.1</v>
      </c>
      <c r="V57" s="217">
        <f>(S57/1000)*F57*Table6[[#This Row],[Normal Length]]</f>
        <v>0</v>
      </c>
      <c r="X57" s="217">
        <f>Table6[[#This Row],[£/Length]]*(1+X52)</f>
        <v>0</v>
      </c>
      <c r="Y57" s="217">
        <f>Table6[[#This Row],[£/Length]]*(1+Y52)</f>
        <v>0</v>
      </c>
      <c r="Z57" s="217">
        <f>Table6[[#This Row],[£/Length]]*(1+Z$2)</f>
        <v>0</v>
      </c>
      <c r="AA57" s="217">
        <f>Table6[[#This Row],[£/Length]]*(1+AA$2)</f>
        <v>0</v>
      </c>
    </row>
    <row r="58" spans="1:27" ht="25.35" customHeight="1">
      <c r="A58" s="7" t="s">
        <v>90</v>
      </c>
      <c r="B58" s="7" t="str">
        <f t="shared" si="1"/>
        <v>RB_BRI_1 3/8"@7.52Kg/m</v>
      </c>
      <c r="C58" s="7" t="str">
        <f t="shared" si="5"/>
        <v>RB_BRI 1 3/8" @ 7.52Kg/m</v>
      </c>
      <c r="D58" s="7" t="s">
        <v>556</v>
      </c>
      <c r="F58" s="95">
        <v>7.5202</v>
      </c>
      <c r="G58" s="139"/>
      <c r="H58" s="9"/>
      <c r="I58" s="140"/>
      <c r="J58" s="139"/>
      <c r="K58" s="9"/>
      <c r="L58" s="140"/>
      <c r="M58" s="139"/>
      <c r="N58" s="9"/>
      <c r="O58" s="9"/>
      <c r="P58" s="7">
        <f t="shared" si="3"/>
        <v>0</v>
      </c>
      <c r="Q58" s="217">
        <f t="shared" si="4"/>
        <v>0</v>
      </c>
      <c r="R58" s="7"/>
      <c r="T58" s="217">
        <f>Table6[[#This Row],[£/Tonne]]/1000*Table6[[#This Row],[KG/M]]</f>
        <v>0</v>
      </c>
      <c r="U58" s="7">
        <v>6.1</v>
      </c>
      <c r="V58" s="217">
        <f>(S58/1000)*F58*Table6[[#This Row],[Normal Length]]</f>
        <v>0</v>
      </c>
      <c r="X58" s="217">
        <f>Table6[[#This Row],[£/Length]]*(1+X53)</f>
        <v>0</v>
      </c>
      <c r="Y58" s="217">
        <f>Table6[[#This Row],[£/Length]]*(1+Y53)</f>
        <v>0</v>
      </c>
      <c r="Z58" s="217">
        <f>Table6[[#This Row],[£/Length]]*(1+Z$2)</f>
        <v>0</v>
      </c>
      <c r="AA58" s="217">
        <f>Table6[[#This Row],[£/Length]]*(1+AA$2)</f>
        <v>0</v>
      </c>
    </row>
    <row r="59" spans="1:27" ht="25.35" customHeight="1">
      <c r="A59" s="7" t="s">
        <v>90</v>
      </c>
      <c r="B59" s="7" t="str">
        <f t="shared" si="1"/>
        <v>RB_BRI_1 1/2"@8.95Kg/m</v>
      </c>
      <c r="C59" s="7" t="str">
        <f t="shared" si="5"/>
        <v>RB_BRI 1 1/2" @ 8.95Kg/m</v>
      </c>
      <c r="D59" s="7" t="s">
        <v>524</v>
      </c>
      <c r="F59" s="95">
        <v>8.9497</v>
      </c>
      <c r="G59" s="139"/>
      <c r="H59" s="9"/>
      <c r="I59" s="140"/>
      <c r="J59" s="139"/>
      <c r="K59" s="9"/>
      <c r="L59" s="140"/>
      <c r="M59" s="139"/>
      <c r="N59" s="9"/>
      <c r="O59" s="9"/>
      <c r="P59" s="7">
        <f t="shared" si="3"/>
        <v>0</v>
      </c>
      <c r="Q59" s="217">
        <f t="shared" si="4"/>
        <v>0</v>
      </c>
      <c r="R59" s="7"/>
      <c r="T59" s="217">
        <f>Table6[[#This Row],[£/Tonne]]/1000*Table6[[#This Row],[KG/M]]</f>
        <v>0</v>
      </c>
      <c r="U59" s="7">
        <v>6.1</v>
      </c>
      <c r="V59" s="217">
        <f>(S59/1000)*F59*Table6[[#This Row],[Normal Length]]</f>
        <v>0</v>
      </c>
      <c r="X59" s="217">
        <f>Table6[[#This Row],[£/Length]]*(1+X54)</f>
        <v>0</v>
      </c>
      <c r="Y59" s="217">
        <f>Table6[[#This Row],[£/Length]]*(1+Y54)</f>
        <v>0</v>
      </c>
      <c r="Z59" s="217">
        <f>Table6[[#This Row],[£/Length]]*(1+Z$2)</f>
        <v>0</v>
      </c>
      <c r="AA59" s="217">
        <f>Table6[[#This Row],[£/Length]]*(1+AA$2)</f>
        <v>0</v>
      </c>
    </row>
    <row r="60" spans="1:27" ht="25.35" customHeight="1">
      <c r="A60" s="7" t="s">
        <v>90</v>
      </c>
      <c r="B60" s="7" t="str">
        <f t="shared" si="1"/>
        <v>RB_BRI_30 MM@5.55Kg/m</v>
      </c>
      <c r="C60" s="7" t="str">
        <f t="shared" si="5"/>
        <v>RB_BRI 30 MM @ 5.55Kg/m</v>
      </c>
      <c r="D60" s="7" t="s">
        <v>557</v>
      </c>
      <c r="F60" s="95">
        <v>5.5488</v>
      </c>
      <c r="G60" s="139"/>
      <c r="H60" s="9"/>
      <c r="I60" s="140"/>
      <c r="J60" s="139"/>
      <c r="K60" s="9"/>
      <c r="L60" s="140"/>
      <c r="M60" s="139"/>
      <c r="N60" s="9"/>
      <c r="O60" s="9"/>
      <c r="P60" s="7">
        <f t="shared" si="3"/>
        <v>0</v>
      </c>
      <c r="Q60" s="217">
        <f t="shared" si="4"/>
        <v>0</v>
      </c>
      <c r="R60" s="7"/>
      <c r="T60" s="217">
        <f>Table6[[#This Row],[£/Tonne]]/1000*Table6[[#This Row],[KG/M]]</f>
        <v>0</v>
      </c>
      <c r="U60" s="7">
        <v>6.1</v>
      </c>
      <c r="V60" s="217">
        <f>(S60/1000)*F60*Table6[[#This Row],[Normal Length]]</f>
        <v>0</v>
      </c>
      <c r="X60" s="217">
        <f>Table6[[#This Row],[£/Length]]*(1+X55)</f>
        <v>0</v>
      </c>
      <c r="Y60" s="217">
        <f>Table6[[#This Row],[£/Length]]*(1+Y55)</f>
        <v>0</v>
      </c>
      <c r="Z60" s="217">
        <f>Table6[[#This Row],[£/Length]]*(1+Z$2)</f>
        <v>0</v>
      </c>
      <c r="AA60" s="217">
        <f>Table6[[#This Row],[£/Length]]*(1+AA$2)</f>
        <v>0</v>
      </c>
    </row>
    <row r="61" spans="1:27" ht="25.35" customHeight="1">
      <c r="A61" s="7" t="s">
        <v>90</v>
      </c>
      <c r="B61" s="7" t="str">
        <f t="shared" si="1"/>
        <v>RB_BRI_38mm@8.91Kg/m</v>
      </c>
      <c r="C61" s="7" t="str">
        <f t="shared" si="5"/>
        <v>RB_BRI 38mm @ 8.91Kg/m</v>
      </c>
      <c r="D61" s="7" t="s">
        <v>558</v>
      </c>
      <c r="F61" s="95">
        <v>8.91</v>
      </c>
      <c r="G61" s="139">
        <v>6.9</v>
      </c>
      <c r="H61" s="9">
        <v>8.5</v>
      </c>
      <c r="I61" s="140" t="s">
        <v>422</v>
      </c>
      <c r="J61" s="139"/>
      <c r="K61" s="9"/>
      <c r="L61" s="140"/>
      <c r="M61" s="139"/>
      <c r="N61" s="9"/>
      <c r="O61" s="9"/>
      <c r="P61" s="7">
        <f t="shared" si="3"/>
        <v>58.650000000000006</v>
      </c>
      <c r="Q61" s="217">
        <f t="shared" si="4"/>
        <v>480.76578000000001</v>
      </c>
      <c r="R61" s="7"/>
      <c r="S61" s="217">
        <f>S54</f>
        <v>920</v>
      </c>
      <c r="T61" s="217">
        <f>Table6[[#This Row],[£/Tonne]]/1000*Table6[[#This Row],[KG/M]]</f>
        <v>8.1972000000000005</v>
      </c>
      <c r="U61" s="7">
        <v>6.1</v>
      </c>
      <c r="V61" s="217">
        <f>(S61/1000)*F61*Table6[[#This Row],[Normal Length]]</f>
        <v>50.002920000000003</v>
      </c>
      <c r="X61" s="217">
        <f>Table6[[#This Row],[£/Length]]*(1+X56)</f>
        <v>50.002920000000003</v>
      </c>
      <c r="Y61" s="217">
        <f>Table6[[#This Row],[£/Length]]*(1+Y56)</f>
        <v>50.002920000000003</v>
      </c>
      <c r="Z61" s="217">
        <f>Table6[[#This Row],[£/Length]]*(1+Z$2)</f>
        <v>70.004087999999996</v>
      </c>
      <c r="AA61" s="217">
        <f>Table6[[#This Row],[£/Length]]*(1+AA$2)</f>
        <v>75.004379999999998</v>
      </c>
    </row>
    <row r="62" spans="1:27" ht="25.35" customHeight="1">
      <c r="A62" s="7" t="s">
        <v>90</v>
      </c>
      <c r="B62" s="7" t="str">
        <f t="shared" si="1"/>
        <v>RB_BRI_40 MM@9.86Kg/m</v>
      </c>
      <c r="C62" s="7" t="str">
        <f t="shared" si="5"/>
        <v>RB_BRI 40 MM @ 9.86Kg/m</v>
      </c>
      <c r="D62" s="7" t="s">
        <v>559</v>
      </c>
      <c r="F62" s="95">
        <v>9.8645999999999994</v>
      </c>
      <c r="G62" s="139"/>
      <c r="H62" s="9"/>
      <c r="I62" s="140"/>
      <c r="J62" s="139"/>
      <c r="K62" s="9"/>
      <c r="L62" s="140"/>
      <c r="M62" s="139"/>
      <c r="N62" s="9"/>
      <c r="O62" s="9"/>
      <c r="P62" s="7">
        <f t="shared" si="3"/>
        <v>0</v>
      </c>
      <c r="Q62" s="217">
        <f t="shared" si="4"/>
        <v>0</v>
      </c>
      <c r="R62" s="7"/>
      <c r="T62" s="217">
        <f>Table6[[#This Row],[£/Tonne]]/1000*Table6[[#This Row],[KG/M]]</f>
        <v>0</v>
      </c>
      <c r="U62" s="7">
        <v>6.1</v>
      </c>
      <c r="V62" s="217">
        <f>(S62/1000)*F62*Table6[[#This Row],[Normal Length]]</f>
        <v>0</v>
      </c>
      <c r="X62" s="217">
        <f>Table6[[#This Row],[£/Length]]*(1+X57)</f>
        <v>0</v>
      </c>
      <c r="Y62" s="217">
        <f>Table6[[#This Row],[£/Length]]*(1+Y57)</f>
        <v>0</v>
      </c>
      <c r="Z62" s="217">
        <f>Table6[[#This Row],[£/Length]]*(1+Z$2)</f>
        <v>0</v>
      </c>
      <c r="AA62" s="217">
        <f>Table6[[#This Row],[£/Length]]*(1+AA$2)</f>
        <v>0</v>
      </c>
    </row>
    <row r="63" spans="1:27" ht="25.35" customHeight="1">
      <c r="A63" s="7" t="s">
        <v>90</v>
      </c>
      <c r="B63" s="7" t="str">
        <f t="shared" si="1"/>
        <v>RB_BRI_42mm@10.92Kg/m</v>
      </c>
      <c r="C63" s="7" t="str">
        <f t="shared" si="5"/>
        <v>RB_BRI 42mm @ 10.92Kg/m</v>
      </c>
      <c r="D63" s="7" t="s">
        <v>560</v>
      </c>
      <c r="F63" s="95">
        <v>10.92</v>
      </c>
      <c r="G63" s="139"/>
      <c r="H63" s="9"/>
      <c r="I63" s="140"/>
      <c r="J63" s="139"/>
      <c r="K63" s="9"/>
      <c r="L63" s="140"/>
      <c r="M63" s="139"/>
      <c r="N63" s="9"/>
      <c r="O63" s="9"/>
      <c r="P63" s="7">
        <f t="shared" si="3"/>
        <v>0</v>
      </c>
      <c r="Q63" s="217">
        <f t="shared" si="4"/>
        <v>0</v>
      </c>
      <c r="R63" s="7"/>
      <c r="T63" s="217">
        <f>Table6[[#This Row],[£/Tonne]]/1000*Table6[[#This Row],[KG/M]]</f>
        <v>0</v>
      </c>
      <c r="U63" s="7">
        <v>6.1</v>
      </c>
      <c r="V63" s="217">
        <f>(S63/1000)*F63*Table6[[#This Row],[Normal Length]]</f>
        <v>0</v>
      </c>
      <c r="X63" s="217">
        <f>Table6[[#This Row],[£/Length]]*(1+X58)</f>
        <v>0</v>
      </c>
      <c r="Y63" s="217">
        <f>Table6[[#This Row],[£/Length]]*(1+Y58)</f>
        <v>0</v>
      </c>
      <c r="Z63" s="217">
        <f>Table6[[#This Row],[£/Length]]*(1+Z$2)</f>
        <v>0</v>
      </c>
      <c r="AA63" s="217">
        <f>Table6[[#This Row],[£/Length]]*(1+AA$2)</f>
        <v>0</v>
      </c>
    </row>
    <row r="64" spans="1:27" ht="25.35" customHeight="1">
      <c r="A64" s="7" t="s">
        <v>90</v>
      </c>
      <c r="B64" s="7" t="str">
        <f t="shared" si="1"/>
        <v>RB_BRI_1 3/4"@12.51Kg/m</v>
      </c>
      <c r="C64" s="7" t="str">
        <f t="shared" si="5"/>
        <v>RB_BRI 1 3/4" @ 12.51Kg/m</v>
      </c>
      <c r="D64" s="7" t="s">
        <v>561</v>
      </c>
      <c r="F64" s="95">
        <v>12.51</v>
      </c>
      <c r="G64" s="139"/>
      <c r="H64" s="9"/>
      <c r="I64" s="140"/>
      <c r="J64" s="139"/>
      <c r="K64" s="9"/>
      <c r="L64" s="140"/>
      <c r="M64" s="139"/>
      <c r="N64" s="9"/>
      <c r="O64" s="9"/>
      <c r="P64" s="7">
        <f t="shared" si="3"/>
        <v>0</v>
      </c>
      <c r="Q64" s="217">
        <f t="shared" si="4"/>
        <v>0</v>
      </c>
      <c r="R64" s="7"/>
      <c r="T64" s="217">
        <f>Table6[[#This Row],[£/Tonne]]/1000*Table6[[#This Row],[KG/M]]</f>
        <v>0</v>
      </c>
      <c r="U64" s="7">
        <v>6.1</v>
      </c>
      <c r="V64" s="217">
        <f>(S64/1000)*F64*Table6[[#This Row],[Normal Length]]</f>
        <v>0</v>
      </c>
      <c r="X64" s="217">
        <f>Table6[[#This Row],[£/Length]]*(1+X59)</f>
        <v>0</v>
      </c>
      <c r="Y64" s="217">
        <f>Table6[[#This Row],[£/Length]]*(1+Y59)</f>
        <v>0</v>
      </c>
      <c r="Z64" s="217">
        <f>Table6[[#This Row],[£/Length]]*(1+Z$2)</f>
        <v>0</v>
      </c>
      <c r="AA64" s="217">
        <f>Table6[[#This Row],[£/Length]]*(1+AA$2)</f>
        <v>0</v>
      </c>
    </row>
    <row r="65" spans="1:30" ht="25.35" customHeight="1">
      <c r="A65" s="7" t="s">
        <v>90</v>
      </c>
      <c r="B65" s="7" t="str">
        <f t="shared" si="1"/>
        <v>RB_BRI_50 MM@15.41Kg/m</v>
      </c>
      <c r="C65" s="7" t="str">
        <f t="shared" si="5"/>
        <v>RB_BRI 50 MM @ 15.41Kg/m</v>
      </c>
      <c r="D65" s="7" t="s">
        <v>562</v>
      </c>
      <c r="F65" s="95">
        <v>15.413</v>
      </c>
      <c r="G65" s="139"/>
      <c r="H65" s="9"/>
      <c r="I65" s="140"/>
      <c r="J65" s="139"/>
      <c r="K65" s="9"/>
      <c r="L65" s="140"/>
      <c r="M65" s="139"/>
      <c r="N65" s="9"/>
      <c r="O65" s="9"/>
      <c r="P65" s="7">
        <f t="shared" si="3"/>
        <v>0</v>
      </c>
      <c r="Q65" s="217">
        <f t="shared" si="4"/>
        <v>0</v>
      </c>
      <c r="R65" s="7"/>
      <c r="T65" s="217">
        <f>Table6[[#This Row],[£/Tonne]]/1000*Table6[[#This Row],[KG/M]]</f>
        <v>0</v>
      </c>
      <c r="U65" s="7">
        <v>6.1</v>
      </c>
      <c r="V65" s="217">
        <f>(S65/1000)*F65*Table6[[#This Row],[Normal Length]]</f>
        <v>0</v>
      </c>
      <c r="X65" s="217">
        <f>Table6[[#This Row],[£/Length]]*(1+X60)</f>
        <v>0</v>
      </c>
      <c r="Y65" s="217">
        <f>Table6[[#This Row],[£/Length]]*(1+Y60)</f>
        <v>0</v>
      </c>
      <c r="Z65" s="217">
        <f>Table6[[#This Row],[£/Length]]*(1+Z$2)</f>
        <v>0</v>
      </c>
      <c r="AA65" s="217">
        <f>Table6[[#This Row],[£/Length]]*(1+AA$2)</f>
        <v>0</v>
      </c>
    </row>
    <row r="66" spans="1:30" ht="25.35" customHeight="1">
      <c r="A66" s="7" t="s">
        <v>90</v>
      </c>
      <c r="B66" s="7" t="str">
        <f t="shared" si="1"/>
        <v>RB_BRI_2"@17Kg/m</v>
      </c>
      <c r="C66" s="7" t="str">
        <f t="shared" si="5"/>
        <v>RB_BRI 2" @ 17Kg/m</v>
      </c>
      <c r="D66" s="7" t="s">
        <v>563</v>
      </c>
      <c r="F66" s="95">
        <v>17</v>
      </c>
      <c r="G66" s="139"/>
      <c r="H66" s="9"/>
      <c r="I66" s="140"/>
      <c r="J66" s="139"/>
      <c r="K66" s="9"/>
      <c r="L66" s="140"/>
      <c r="M66" s="139"/>
      <c r="N66" s="9"/>
      <c r="O66" s="9"/>
      <c r="P66" s="7">
        <f t="shared" si="3"/>
        <v>0</v>
      </c>
      <c r="Q66" s="217">
        <f t="shared" si="4"/>
        <v>0</v>
      </c>
      <c r="R66" s="7"/>
      <c r="T66" s="217">
        <f>Table6[[#This Row],[£/Tonne]]/1000*Table6[[#This Row],[KG/M]]</f>
        <v>0</v>
      </c>
      <c r="U66" s="7">
        <v>6.1</v>
      </c>
      <c r="V66" s="217">
        <f>(S66/1000)*F66*Table6[[#This Row],[Normal Length]]</f>
        <v>0</v>
      </c>
      <c r="X66" s="217">
        <f>Table6[[#This Row],[£/Length]]*(1+X61)</f>
        <v>0</v>
      </c>
      <c r="Y66" s="217">
        <f>Table6[[#This Row],[£/Length]]*(1+Y61)</f>
        <v>0</v>
      </c>
      <c r="Z66" s="217">
        <f>Table6[[#This Row],[£/Length]]*(1+Z$2)</f>
        <v>0</v>
      </c>
      <c r="AA66" s="217">
        <f>Table6[[#This Row],[£/Length]]*(1+AA$2)</f>
        <v>0</v>
      </c>
    </row>
    <row r="67" spans="1:30" ht="25.35" customHeight="1">
      <c r="A67" s="7" t="s">
        <v>90</v>
      </c>
      <c r="B67" s="7" t="str">
        <f t="shared" ref="B67:B75" si="6">_xlfn.CONCAT(A67,"_",D67,"@",(ROUND(F67,2)),"Kg/m")</f>
        <v>RB_BRI_60 MM@22.2Kg/m</v>
      </c>
      <c r="C67" s="7" t="str">
        <f t="shared" si="5"/>
        <v>RB_BRI 60 MM @ 22.2Kg/m</v>
      </c>
      <c r="D67" s="7" t="s">
        <v>564</v>
      </c>
      <c r="F67" s="95">
        <v>22.195</v>
      </c>
      <c r="G67" s="139"/>
      <c r="H67" s="9"/>
      <c r="I67" s="140"/>
      <c r="J67" s="139"/>
      <c r="K67" s="9"/>
      <c r="L67" s="140"/>
      <c r="M67" s="139"/>
      <c r="N67" s="9"/>
      <c r="O67" s="9"/>
      <c r="P67" s="7">
        <f t="shared" si="3"/>
        <v>0</v>
      </c>
      <c r="Q67" s="217">
        <f t="shared" ref="Q67:Q75" si="7">P67*F67*S67/1000</f>
        <v>0</v>
      </c>
      <c r="R67" s="7"/>
      <c r="T67" s="217">
        <f>Table6[[#This Row],[£/Tonne]]/1000*Table6[[#This Row],[KG/M]]</f>
        <v>0</v>
      </c>
      <c r="U67" s="7">
        <v>6.1</v>
      </c>
      <c r="V67" s="217">
        <f>(S67/1000)*F67*Table6[[#This Row],[Normal Length]]</f>
        <v>0</v>
      </c>
      <c r="X67" s="217">
        <f>Table6[[#This Row],[£/Length]]*(1+X62)</f>
        <v>0</v>
      </c>
      <c r="Y67" s="217">
        <f>Table6[[#This Row],[£/Length]]*(1+Y62)</f>
        <v>0</v>
      </c>
      <c r="Z67" s="217">
        <f>Table6[[#This Row],[£/Length]]*(1+Z$2)</f>
        <v>0</v>
      </c>
      <c r="AA67" s="217">
        <f>Table6[[#This Row],[£/Length]]*(1+AA$2)</f>
        <v>0</v>
      </c>
    </row>
    <row r="68" spans="1:30" ht="25.35" customHeight="1">
      <c r="A68" s="7" t="s">
        <v>90</v>
      </c>
      <c r="B68" s="7" t="str">
        <f t="shared" si="6"/>
        <v>RB_BRI_2 1/2"@24.86Kg/m</v>
      </c>
      <c r="C68" s="7" t="str">
        <f t="shared" si="5"/>
        <v>RB_BRI 2 1/2" @ 24.86Kg/m</v>
      </c>
      <c r="D68" s="7" t="s">
        <v>565</v>
      </c>
      <c r="F68" s="95">
        <v>24.86</v>
      </c>
      <c r="G68" s="139"/>
      <c r="H68" s="9"/>
      <c r="I68" s="140"/>
      <c r="J68" s="139"/>
      <c r="K68" s="9"/>
      <c r="L68" s="140"/>
      <c r="M68" s="139"/>
      <c r="N68" s="9"/>
      <c r="O68" s="9"/>
      <c r="P68" s="7">
        <f t="shared" ref="P68:P87" si="8">SUM(G68*H68)+(J68*K68)+(M68*N68)</f>
        <v>0</v>
      </c>
      <c r="Q68" s="217">
        <f t="shared" si="7"/>
        <v>0</v>
      </c>
      <c r="R68" s="7"/>
      <c r="T68" s="217">
        <f>Table6[[#This Row],[£/Tonne]]/1000*Table6[[#This Row],[KG/M]]</f>
        <v>0</v>
      </c>
      <c r="U68" s="7">
        <v>6.1</v>
      </c>
      <c r="V68" s="217">
        <f>(S68/1000)*F68*Table6[[#This Row],[Normal Length]]</f>
        <v>0</v>
      </c>
      <c r="X68" s="217">
        <f>Table6[[#This Row],[£/Length]]*(1+X63)</f>
        <v>0</v>
      </c>
      <c r="Y68" s="217">
        <f>Table6[[#This Row],[£/Length]]*(1+Y63)</f>
        <v>0</v>
      </c>
      <c r="Z68" s="217">
        <f>Table6[[#This Row],[£/Length]]*(1+Z$2)</f>
        <v>0</v>
      </c>
      <c r="AA68" s="217">
        <f>Table6[[#This Row],[£/Length]]*(1+AA$2)</f>
        <v>0</v>
      </c>
    </row>
    <row r="69" spans="1:30" ht="25.35" customHeight="1">
      <c r="A69" s="7" t="s">
        <v>90</v>
      </c>
      <c r="B69" s="7" t="str">
        <f t="shared" si="6"/>
        <v>RB_BRI_70 MM@30.2Kg/m</v>
      </c>
      <c r="C69" s="7" t="str">
        <f t="shared" si="5"/>
        <v>RB_BRI 70 MM @ 30.2Kg/m</v>
      </c>
      <c r="D69" s="7" t="s">
        <v>566</v>
      </c>
      <c r="F69" s="95">
        <v>30.2</v>
      </c>
      <c r="G69" s="139"/>
      <c r="H69" s="9"/>
      <c r="I69" s="140"/>
      <c r="J69" s="139"/>
      <c r="K69" s="9"/>
      <c r="L69" s="140"/>
      <c r="M69" s="139"/>
      <c r="N69" s="9"/>
      <c r="O69" s="9"/>
      <c r="P69" s="7">
        <f t="shared" si="8"/>
        <v>0</v>
      </c>
      <c r="Q69" s="217">
        <f t="shared" si="7"/>
        <v>0</v>
      </c>
      <c r="R69" s="7"/>
      <c r="T69" s="217">
        <f>Table6[[#This Row],[£/Tonne]]/1000*Table6[[#This Row],[KG/M]]</f>
        <v>0</v>
      </c>
      <c r="U69" s="7">
        <v>6.1</v>
      </c>
      <c r="V69" s="217">
        <f>(S69/1000)*F69*Table6[[#This Row],[Normal Length]]</f>
        <v>0</v>
      </c>
      <c r="X69" s="217">
        <f>Table6[[#This Row],[£/Length]]*(1+X64)</f>
        <v>0</v>
      </c>
      <c r="Y69" s="217">
        <f>Table6[[#This Row],[£/Length]]*(1+Y64)</f>
        <v>0</v>
      </c>
      <c r="Z69" s="217">
        <f>Table6[[#This Row],[£/Length]]*(1+Z$2)</f>
        <v>0</v>
      </c>
      <c r="AA69" s="217">
        <f>Table6[[#This Row],[£/Length]]*(1+AA$2)</f>
        <v>0</v>
      </c>
    </row>
    <row r="70" spans="1:30" ht="25.35" customHeight="1">
      <c r="A70" s="7" t="s">
        <v>90</v>
      </c>
      <c r="B70" s="7" t="str">
        <f t="shared" si="6"/>
        <v>RB_BRI_75 MM@34.7Kg/m</v>
      </c>
      <c r="C70" s="7" t="str">
        <f t="shared" si="5"/>
        <v>RB_BRI 75 MM @ 34.7Kg/m</v>
      </c>
      <c r="D70" s="7" t="s">
        <v>567</v>
      </c>
      <c r="F70" s="95">
        <v>34.700000000000003</v>
      </c>
      <c r="G70" s="139"/>
      <c r="H70" s="9"/>
      <c r="I70" s="140"/>
      <c r="J70" s="139"/>
      <c r="K70" s="9"/>
      <c r="L70" s="140"/>
      <c r="M70" s="139"/>
      <c r="N70" s="9"/>
      <c r="O70" s="9"/>
      <c r="P70" s="7">
        <f t="shared" si="8"/>
        <v>0</v>
      </c>
      <c r="Q70" s="217">
        <f t="shared" si="7"/>
        <v>0</v>
      </c>
      <c r="R70" s="7"/>
      <c r="T70" s="217">
        <f>Table6[[#This Row],[£/Tonne]]/1000*Table6[[#This Row],[KG/M]]</f>
        <v>0</v>
      </c>
      <c r="U70" s="7">
        <v>6.1</v>
      </c>
      <c r="V70" s="217">
        <f>(S70/1000)*F70*Table6[[#This Row],[Normal Length]]</f>
        <v>0</v>
      </c>
      <c r="X70" s="217">
        <f>Table6[[#This Row],[£/Length]]*(1+X65)</f>
        <v>0</v>
      </c>
      <c r="Y70" s="217">
        <f>Table6[[#This Row],[£/Length]]*(1+Y65)</f>
        <v>0</v>
      </c>
      <c r="Z70" s="217">
        <f>Table6[[#This Row],[£/Length]]*(1+Z$2)</f>
        <v>0</v>
      </c>
      <c r="AA70" s="217">
        <f>Table6[[#This Row],[£/Length]]*(1+AA$2)</f>
        <v>0</v>
      </c>
    </row>
    <row r="71" spans="1:30" ht="25.35" customHeight="1">
      <c r="A71" s="7" t="s">
        <v>90</v>
      </c>
      <c r="B71" s="7" t="str">
        <f t="shared" si="6"/>
        <v>RB_BRI_3 1/4"@42Kg/m</v>
      </c>
      <c r="C71" s="7" t="str">
        <f t="shared" si="5"/>
        <v>RB_BRI 3 1/4" @ 42Kg/m</v>
      </c>
      <c r="D71" s="7" t="s">
        <v>568</v>
      </c>
      <c r="F71" s="95">
        <v>42</v>
      </c>
      <c r="G71" s="139"/>
      <c r="H71" s="9"/>
      <c r="I71" s="140"/>
      <c r="J71" s="139"/>
      <c r="K71" s="9"/>
      <c r="L71" s="140"/>
      <c r="M71" s="139"/>
      <c r="N71" s="9"/>
      <c r="O71" s="9"/>
      <c r="P71" s="7">
        <f t="shared" si="8"/>
        <v>0</v>
      </c>
      <c r="Q71" s="217">
        <f t="shared" si="7"/>
        <v>0</v>
      </c>
      <c r="R71" s="7"/>
      <c r="T71" s="217">
        <f>Table6[[#This Row],[£/Tonne]]/1000*Table6[[#This Row],[KG/M]]</f>
        <v>0</v>
      </c>
      <c r="U71" s="7">
        <v>6.1</v>
      </c>
      <c r="V71" s="217">
        <f>(S71/1000)*F71*Table6[[#This Row],[Normal Length]]</f>
        <v>0</v>
      </c>
      <c r="X71" s="217">
        <f>Table6[[#This Row],[£/Length]]*(1+X66)</f>
        <v>0</v>
      </c>
      <c r="Y71" s="217">
        <f>Table6[[#This Row],[£/Length]]*(1+Y66)</f>
        <v>0</v>
      </c>
      <c r="Z71" s="217">
        <f>Table6[[#This Row],[£/Length]]*(1+Z$2)</f>
        <v>0</v>
      </c>
      <c r="AA71" s="217">
        <f>Table6[[#This Row],[£/Length]]*(1+AA$2)</f>
        <v>0</v>
      </c>
    </row>
    <row r="72" spans="1:30" ht="25.35" customHeight="1">
      <c r="A72" s="7" t="s">
        <v>90</v>
      </c>
      <c r="B72" s="7" t="str">
        <f t="shared" si="6"/>
        <v>RB_BRI_95 MM@55.6Kg/m</v>
      </c>
      <c r="C72" s="7" t="str">
        <f t="shared" si="5"/>
        <v>RB_BRI 95 MM @ 55.6Kg/m</v>
      </c>
      <c r="D72" s="7" t="s">
        <v>569</v>
      </c>
      <c r="F72" s="95">
        <v>55.6</v>
      </c>
      <c r="G72" s="139"/>
      <c r="H72" s="9"/>
      <c r="I72" s="140"/>
      <c r="J72" s="139"/>
      <c r="K72" s="9"/>
      <c r="L72" s="140"/>
      <c r="M72" s="139"/>
      <c r="N72" s="9"/>
      <c r="O72" s="9"/>
      <c r="P72" s="7">
        <f t="shared" si="8"/>
        <v>0</v>
      </c>
      <c r="Q72" s="217">
        <f t="shared" si="7"/>
        <v>0</v>
      </c>
      <c r="R72" s="7"/>
      <c r="T72" s="217">
        <f>Table6[[#This Row],[£/Tonne]]/1000*Table6[[#This Row],[KG/M]]</f>
        <v>0</v>
      </c>
      <c r="U72" s="7">
        <v>6.1</v>
      </c>
      <c r="V72" s="217">
        <f>(S72/1000)*F72*Table6[[#This Row],[Normal Length]]</f>
        <v>0</v>
      </c>
      <c r="X72" s="217">
        <f>Table6[[#This Row],[£/Length]]*(1+X67)</f>
        <v>0</v>
      </c>
      <c r="Y72" s="217">
        <f>Table6[[#This Row],[£/Length]]*(1+Y67)</f>
        <v>0</v>
      </c>
      <c r="Z72" s="217">
        <f>Table6[[#This Row],[£/Length]]*(1+Z$2)</f>
        <v>0</v>
      </c>
      <c r="AA72" s="217">
        <f>Table6[[#This Row],[£/Length]]*(1+AA$2)</f>
        <v>0</v>
      </c>
    </row>
    <row r="73" spans="1:30" ht="25.35" customHeight="1">
      <c r="A73" s="7" t="s">
        <v>90</v>
      </c>
      <c r="B73" s="7" t="str">
        <f t="shared" si="6"/>
        <v>RB_BRI_100 MM@61.7Kg/m</v>
      </c>
      <c r="C73" s="7" t="str">
        <f t="shared" si="5"/>
        <v>RB_BRI 100 MM @ 61.7Kg/m</v>
      </c>
      <c r="D73" s="7" t="s">
        <v>570</v>
      </c>
      <c r="F73" s="95">
        <v>61.7</v>
      </c>
      <c r="G73" s="139"/>
      <c r="H73" s="9"/>
      <c r="I73" s="140"/>
      <c r="J73" s="139"/>
      <c r="K73" s="9"/>
      <c r="L73" s="140"/>
      <c r="M73" s="139"/>
      <c r="N73" s="9"/>
      <c r="O73" s="9"/>
      <c r="P73" s="7">
        <f t="shared" si="8"/>
        <v>0</v>
      </c>
      <c r="Q73" s="217">
        <f t="shared" si="7"/>
        <v>0</v>
      </c>
      <c r="R73" s="7"/>
      <c r="T73" s="217">
        <f>Table6[[#This Row],[£/Tonne]]/1000*Table6[[#This Row],[KG/M]]</f>
        <v>0</v>
      </c>
      <c r="U73" s="7">
        <v>6.1</v>
      </c>
      <c r="V73" s="217">
        <f>(S73/1000)*F73*Table6[[#This Row],[Normal Length]]</f>
        <v>0</v>
      </c>
      <c r="X73" s="217">
        <f>Table6[[#This Row],[£/Length]]*(1+X68)</f>
        <v>0</v>
      </c>
      <c r="Y73" s="217">
        <f>Table6[[#This Row],[£/Length]]*(1+Y68)</f>
        <v>0</v>
      </c>
      <c r="Z73" s="217">
        <f>Table6[[#This Row],[£/Length]]*(1+Z$2)</f>
        <v>0</v>
      </c>
      <c r="AA73" s="217">
        <f>Table6[[#This Row],[£/Length]]*(1+AA$2)</f>
        <v>0</v>
      </c>
    </row>
    <row r="74" spans="1:30" ht="25.35" customHeight="1">
      <c r="A74" s="7" t="s">
        <v>90</v>
      </c>
      <c r="B74" s="7" t="str">
        <f t="shared" si="6"/>
        <v>RB_BRI_130 MM@104Kg/m</v>
      </c>
      <c r="C74" s="7" t="str">
        <f t="shared" si="5"/>
        <v>RB_BRI 130 MM @ 104Kg/m</v>
      </c>
      <c r="D74" s="7" t="s">
        <v>571</v>
      </c>
      <c r="F74" s="95">
        <v>104</v>
      </c>
      <c r="G74" s="139"/>
      <c r="H74" s="9"/>
      <c r="I74" s="140"/>
      <c r="J74" s="139"/>
      <c r="K74" s="9"/>
      <c r="L74" s="140"/>
      <c r="M74" s="139"/>
      <c r="N74" s="9"/>
      <c r="O74" s="9"/>
      <c r="P74" s="7">
        <f t="shared" si="8"/>
        <v>0</v>
      </c>
      <c r="Q74" s="217">
        <f t="shared" si="7"/>
        <v>0</v>
      </c>
      <c r="R74" s="7"/>
      <c r="T74" s="217">
        <f>Table6[[#This Row],[£/Tonne]]/1000*Table6[[#This Row],[KG/M]]</f>
        <v>0</v>
      </c>
      <c r="U74" s="7">
        <v>6.1</v>
      </c>
      <c r="V74" s="217">
        <f>(S74/1000)*F74*Table6[[#This Row],[Normal Length]]</f>
        <v>0</v>
      </c>
      <c r="X74" s="217">
        <f>Table6[[#This Row],[£/Length]]*(1+X69)</f>
        <v>0</v>
      </c>
      <c r="Y74" s="217">
        <f>Table6[[#This Row],[£/Length]]*(1+Y69)</f>
        <v>0</v>
      </c>
      <c r="Z74" s="217">
        <f>Table6[[#This Row],[£/Length]]*(1+Z$2)</f>
        <v>0</v>
      </c>
      <c r="AA74" s="217">
        <f>Table6[[#This Row],[£/Length]]*(1+AA$2)</f>
        <v>0</v>
      </c>
    </row>
    <row r="75" spans="1:30" ht="25.35" customHeight="1">
      <c r="A75" s="7" t="s">
        <v>90</v>
      </c>
      <c r="B75" s="7" t="str">
        <f t="shared" si="6"/>
        <v>RB_BRI_170 MM@178Kg/m</v>
      </c>
      <c r="C75" s="7" t="str">
        <f t="shared" si="5"/>
        <v>RB_BRI 170 MM @ 178Kg/m</v>
      </c>
      <c r="D75" s="7" t="s">
        <v>572</v>
      </c>
      <c r="F75" s="95">
        <v>178</v>
      </c>
      <c r="G75" s="139"/>
      <c r="H75" s="9"/>
      <c r="I75" s="140"/>
      <c r="J75" s="139"/>
      <c r="K75" s="9"/>
      <c r="L75" s="140"/>
      <c r="M75" s="139"/>
      <c r="N75" s="9"/>
      <c r="O75" s="9"/>
      <c r="P75" s="7">
        <f t="shared" si="8"/>
        <v>0</v>
      </c>
      <c r="Q75" s="217">
        <f t="shared" si="7"/>
        <v>0</v>
      </c>
      <c r="R75" s="7"/>
      <c r="T75" s="217">
        <f>Table6[[#This Row],[£/Tonne]]/1000*Table6[[#This Row],[KG/M]]</f>
        <v>0</v>
      </c>
      <c r="U75" s="7">
        <v>6.1</v>
      </c>
      <c r="V75" s="217">
        <f>(S75/1000)*F75*Table6[[#This Row],[Normal Length]]</f>
        <v>0</v>
      </c>
      <c r="X75" s="217">
        <f>Table6[[#This Row],[£/Length]]*(1+X70)</f>
        <v>0</v>
      </c>
      <c r="Y75" s="217">
        <f>Table6[[#This Row],[£/Length]]*(1+Y70)</f>
        <v>0</v>
      </c>
      <c r="Z75" s="217">
        <f>Table6[[#This Row],[£/Length]]*(1+Z$2)</f>
        <v>0</v>
      </c>
      <c r="AA75" s="217">
        <f>Table6[[#This Row],[£/Length]]*(1+AA$2)</f>
        <v>0</v>
      </c>
    </row>
    <row r="76" spans="1:30" ht="25.35" customHeight="1">
      <c r="C76" s="7" t="str">
        <f t="shared" ref="C76" si="9">_xlfn.CONCAT(A76," ",D76,"mm @ ",ROUND(F76,2),"Kg/m")</f>
        <v xml:space="preserve"> HOLLOW BARmm @ 0Kg/m</v>
      </c>
      <c r="D76" s="8" t="s">
        <v>573</v>
      </c>
      <c r="E76" s="8"/>
      <c r="G76" s="139"/>
      <c r="H76" s="9"/>
      <c r="I76" s="140"/>
      <c r="J76" s="139"/>
      <c r="K76" s="9"/>
      <c r="L76" s="140"/>
      <c r="M76" s="139"/>
      <c r="N76" s="9"/>
      <c r="O76" s="9"/>
      <c r="P76" s="7">
        <f t="shared" si="8"/>
        <v>0</v>
      </c>
      <c r="Q76" s="217"/>
      <c r="R76" s="7"/>
      <c r="T76" s="217">
        <f>Table6[[#This Row],[£/Tonne]]/1000*Table6[[#This Row],[KG/M]]</f>
        <v>0</v>
      </c>
      <c r="U76" s="7">
        <v>6.1</v>
      </c>
      <c r="V76" s="217">
        <f>(S76/1000)*F76*Table6[[#This Row],[Normal Length]]</f>
        <v>0</v>
      </c>
      <c r="X76" s="217">
        <f>Table6[[#This Row],[£/Length]]*(1+X71)</f>
        <v>0</v>
      </c>
      <c r="Y76" s="217">
        <f>Table6[[#This Row],[£/Length]]*(1+Y71)</f>
        <v>0</v>
      </c>
      <c r="Z76" s="217">
        <f>Table6[[#This Row],[£/Length]]*(1+Z$2)</f>
        <v>0</v>
      </c>
      <c r="AA76" s="217">
        <f>Table6[[#This Row],[£/Length]]*(1+AA$2)</f>
        <v>0</v>
      </c>
    </row>
    <row r="77" spans="1:30" ht="25.35" customHeight="1">
      <c r="D77" s="7" t="s">
        <v>574</v>
      </c>
      <c r="E77" s="95" t="s">
        <v>575</v>
      </c>
      <c r="F77" s="7" t="s">
        <v>489</v>
      </c>
      <c r="G77" s="139"/>
      <c r="H77" s="9"/>
      <c r="I77" s="140"/>
      <c r="J77" s="139"/>
      <c r="K77" s="9"/>
      <c r="L77" s="140"/>
      <c r="M77" s="139"/>
      <c r="N77" s="9"/>
      <c r="O77" s="9"/>
      <c r="P77" s="7">
        <f t="shared" si="8"/>
        <v>0</v>
      </c>
      <c r="Q77" s="217"/>
      <c r="R77" s="7"/>
      <c r="U77" s="7">
        <v>6.1</v>
      </c>
      <c r="V77" s="217"/>
    </row>
    <row r="78" spans="1:30" ht="25.35" customHeight="1">
      <c r="A78" s="7" t="s">
        <v>99</v>
      </c>
      <c r="B78" s="7" t="str">
        <f>_xlfn.CONCAT(A78,"_",D78,"_",E78,"_@",(ROUND(F78,2)),"Kg/m")</f>
        <v>HB_38_25.4_@4.93Kg/m</v>
      </c>
      <c r="C78" s="7" t="str">
        <f>_xlfn.CONCAT(A78," ",D78,"ID ",E78,"OD  @ ",ROUND(F78,2),"Kg/m")</f>
        <v>HB 38ID 25.4OD  @ 4.93Kg/m</v>
      </c>
      <c r="D78" s="7">
        <v>38</v>
      </c>
      <c r="E78" s="96">
        <v>25.4</v>
      </c>
      <c r="F78" s="71">
        <v>4.9251486304600771</v>
      </c>
      <c r="G78" s="139"/>
      <c r="H78" s="9"/>
      <c r="I78" s="140"/>
      <c r="J78" s="139"/>
      <c r="K78" s="9"/>
      <c r="L78" s="140"/>
      <c r="M78" s="139"/>
      <c r="N78" s="9"/>
      <c r="O78" s="9"/>
      <c r="P78" s="7">
        <f t="shared" si="8"/>
        <v>0</v>
      </c>
      <c r="Q78" s="217">
        <f t="shared" ref="Q78:Q87" si="10">P78*F78*S78/1000</f>
        <v>0</v>
      </c>
      <c r="R78" s="7"/>
      <c r="S78" s="217">
        <v>850</v>
      </c>
      <c r="T78" s="217">
        <f>Table6[[#This Row],[£/Tonne]]/1000*Table6[[#This Row],[KG/M]]</f>
        <v>4.1863763358910653</v>
      </c>
      <c r="U78" s="7">
        <v>6.1</v>
      </c>
      <c r="V78" s="217">
        <f>(S78/1000)*F78*Table6[[#This Row],[Normal Length]]</f>
        <v>25.536895648935495</v>
      </c>
      <c r="X78" s="217">
        <f>Table6[[#This Row],[£/Length]]*(1+X73)</f>
        <v>25.536895648935495</v>
      </c>
      <c r="Y78" s="217">
        <f>Table6[[#This Row],[£/Length]]*(1+Y73)</f>
        <v>25.536895648935495</v>
      </c>
      <c r="Z78" s="217">
        <f>Table6[[#This Row],[£/Length]]*(1+Z$2)</f>
        <v>35.751653908509688</v>
      </c>
      <c r="AA78" s="217">
        <f>Table6[[#This Row],[£/Length]]*(1+AA$2)</f>
        <v>38.305343473403241</v>
      </c>
      <c r="AB78" s="217">
        <f>Table6[[#This Row],[£/Length]]*(1+AB$2)</f>
        <v>40.859033038296793</v>
      </c>
      <c r="AC78" s="217">
        <f>Table6[[#This Row],[£/Length]]*(1+AC$2)</f>
        <v>43.412722603190339</v>
      </c>
      <c r="AD78" s="217">
        <f>Table6[[#This Row],[£/Length]]*(1+AD$2)</f>
        <v>51.07379129787099</v>
      </c>
    </row>
    <row r="79" spans="1:30" ht="25.35" customHeight="1">
      <c r="A79" s="7" t="s">
        <v>99</v>
      </c>
      <c r="B79" s="7" t="str">
        <f t="shared" ref="B79:B87" si="11">_xlfn.CONCAT(A79,"_",D79,"_",E79,"_@",(ROUND(F79,2)),"Kg/m")</f>
        <v>HB_40_25_@6.01Kg/m</v>
      </c>
      <c r="C79" s="7" t="str">
        <f t="shared" ref="C79:C87" si="12">_xlfn.CONCAT(A79," ",D79,"ID ",E79,"OD  @ ",ROUND(F79,2),"Kg/m")</f>
        <v>HB 40ID 25OD  @ 6.01Kg/m</v>
      </c>
      <c r="D79" s="7">
        <v>40</v>
      </c>
      <c r="E79" s="97">
        <v>25</v>
      </c>
      <c r="F79" s="71">
        <v>6.0112411931032188</v>
      </c>
      <c r="G79" s="139"/>
      <c r="H79" s="9"/>
      <c r="I79" s="140"/>
      <c r="J79" s="139"/>
      <c r="K79" s="9"/>
      <c r="L79" s="140"/>
      <c r="M79" s="139"/>
      <c r="N79" s="9"/>
      <c r="O79" s="9"/>
      <c r="P79" s="7">
        <f t="shared" si="8"/>
        <v>0</v>
      </c>
      <c r="Q79" s="217">
        <f t="shared" si="10"/>
        <v>0</v>
      </c>
      <c r="R79" s="7"/>
      <c r="T79" s="217">
        <f>Table6[[#This Row],[£/Tonne]]/1000*Table6[[#This Row],[KG/M]]</f>
        <v>0</v>
      </c>
      <c r="U79" s="7">
        <v>6.1</v>
      </c>
      <c r="V79" s="217">
        <f>(S79/1000)*F79*Table6[[#This Row],[Normal Length]]</f>
        <v>0</v>
      </c>
      <c r="X79" s="217">
        <f>Table6[[#This Row],[£/Length]]*(1+X74)</f>
        <v>0</v>
      </c>
      <c r="Y79" s="217">
        <f>Table6[[#This Row],[£/Length]]*(1+Y74)</f>
        <v>0</v>
      </c>
      <c r="Z79" s="217">
        <f>Table6[[#This Row],[£/Length]]*(1+Z$2)</f>
        <v>0</v>
      </c>
      <c r="AA79" s="217">
        <f>Table6[[#This Row],[£/Length]]*(1+AA$2)</f>
        <v>0</v>
      </c>
      <c r="AB79" s="217">
        <f>Table6[[#This Row],[£/Length]]*(1+AB$2)</f>
        <v>0</v>
      </c>
      <c r="AC79" s="217">
        <f>Table6[[#This Row],[£/Length]]*(1+AC$2)</f>
        <v>0</v>
      </c>
      <c r="AD79" s="217">
        <f>Table6[[#This Row],[£/Length]]*(1+AD$2)</f>
        <v>0</v>
      </c>
    </row>
    <row r="80" spans="1:30" ht="25.35" customHeight="1">
      <c r="A80" s="7" t="s">
        <v>99</v>
      </c>
      <c r="B80" s="7" t="str">
        <f t="shared" si="11"/>
        <v>HB_42_30_@5.33Kg/m</v>
      </c>
      <c r="C80" s="7" t="str">
        <f t="shared" si="12"/>
        <v>HB 42ID 30OD  @ 5.33Kg/m</v>
      </c>
      <c r="D80" s="7">
        <v>42</v>
      </c>
      <c r="E80" s="97">
        <v>30</v>
      </c>
      <c r="F80" s="71">
        <v>5.3268845034268537</v>
      </c>
      <c r="G80" s="139"/>
      <c r="H80" s="9"/>
      <c r="I80" s="140"/>
      <c r="J80" s="139"/>
      <c r="K80" s="9"/>
      <c r="L80" s="140"/>
      <c r="M80" s="139"/>
      <c r="N80" s="9"/>
      <c r="O80" s="9"/>
      <c r="P80" s="7">
        <f t="shared" si="8"/>
        <v>0</v>
      </c>
      <c r="Q80" s="217">
        <f t="shared" si="10"/>
        <v>0</v>
      </c>
      <c r="R80" s="7"/>
      <c r="T80" s="217">
        <f>Table6[[#This Row],[£/Tonne]]/1000*Table6[[#This Row],[KG/M]]</f>
        <v>0</v>
      </c>
      <c r="U80" s="7">
        <v>6.1</v>
      </c>
      <c r="V80" s="217">
        <f>(S80/1000)*F80*Table6[[#This Row],[Normal Length]]</f>
        <v>0</v>
      </c>
      <c r="X80" s="217">
        <f>Table6[[#This Row],[£/Length]]*(1+X75)</f>
        <v>0</v>
      </c>
      <c r="Y80" s="217">
        <f>Table6[[#This Row],[£/Length]]*(1+Y75)</f>
        <v>0</v>
      </c>
      <c r="Z80" s="217">
        <f>Table6[[#This Row],[£/Length]]*(1+Z$2)</f>
        <v>0</v>
      </c>
      <c r="AA80" s="217">
        <f>Table6[[#This Row],[£/Length]]*(1+AA$2)</f>
        <v>0</v>
      </c>
      <c r="AB80" s="217">
        <f>Table6[[#This Row],[£/Length]]*(1+AB$2)</f>
        <v>0</v>
      </c>
      <c r="AC80" s="217">
        <f>Table6[[#This Row],[£/Length]]*(1+AC$2)</f>
        <v>0</v>
      </c>
      <c r="AD80" s="217">
        <f>Table6[[#This Row],[£/Length]]*(1+AD$2)</f>
        <v>0</v>
      </c>
    </row>
    <row r="81" spans="1:30" ht="25.35" customHeight="1">
      <c r="A81" s="7" t="s">
        <v>99</v>
      </c>
      <c r="B81" s="7" t="str">
        <f t="shared" si="11"/>
        <v>HB_58_36_@12.75Kg/m</v>
      </c>
      <c r="C81" s="7" t="str">
        <f t="shared" si="12"/>
        <v>HB 58ID 36OD  @ 12.75Kg/m</v>
      </c>
      <c r="D81" s="7">
        <v>58</v>
      </c>
      <c r="E81" s="97">
        <v>36</v>
      </c>
      <c r="F81" s="98">
        <v>12.749996704961497</v>
      </c>
      <c r="G81" s="139"/>
      <c r="H81" s="9"/>
      <c r="I81" s="140"/>
      <c r="J81" s="139"/>
      <c r="K81" s="9"/>
      <c r="L81" s="140"/>
      <c r="M81" s="139"/>
      <c r="N81" s="9"/>
      <c r="O81" s="9"/>
      <c r="P81" s="7">
        <f t="shared" si="8"/>
        <v>0</v>
      </c>
      <c r="Q81" s="217">
        <f t="shared" si="10"/>
        <v>0</v>
      </c>
      <c r="R81" s="7"/>
      <c r="T81" s="217">
        <f>Table6[[#This Row],[£/Tonne]]/1000*Table6[[#This Row],[KG/M]]</f>
        <v>0</v>
      </c>
      <c r="U81" s="7">
        <v>6.1</v>
      </c>
      <c r="V81" s="217">
        <f>(S81/1000)*F81*Table6[[#This Row],[Normal Length]]</f>
        <v>0</v>
      </c>
      <c r="X81" s="217">
        <f>Table6[[#This Row],[£/Length]]*(1+X76)</f>
        <v>0</v>
      </c>
      <c r="Y81" s="217">
        <f>Table6[[#This Row],[£/Length]]*(1+Y76)</f>
        <v>0</v>
      </c>
      <c r="Z81" s="217">
        <f>Table6[[#This Row],[£/Length]]*(1+Z$2)</f>
        <v>0</v>
      </c>
      <c r="AA81" s="217">
        <f>Table6[[#This Row],[£/Length]]*(1+AA$2)</f>
        <v>0</v>
      </c>
      <c r="AB81" s="217">
        <f>Table6[[#This Row],[£/Length]]*(1+AB$2)</f>
        <v>0</v>
      </c>
      <c r="AC81" s="217">
        <f>Table6[[#This Row],[£/Length]]*(1+AC$2)</f>
        <v>0</v>
      </c>
      <c r="AD81" s="217">
        <f>Table6[[#This Row],[£/Length]]*(1+AD$2)</f>
        <v>0</v>
      </c>
    </row>
    <row r="82" spans="1:30" ht="25.35" customHeight="1">
      <c r="A82" s="7" t="s">
        <v>99</v>
      </c>
      <c r="B82" s="7" t="str">
        <f t="shared" si="11"/>
        <v>HB_63_36_@16.48Kg/m</v>
      </c>
      <c r="C82" s="7" t="str">
        <f t="shared" si="12"/>
        <v>HB 63ID 36OD  @ 16.48Kg/m</v>
      </c>
      <c r="D82" s="7">
        <v>63</v>
      </c>
      <c r="E82" s="97">
        <v>36</v>
      </c>
      <c r="F82" s="98">
        <v>16.480048932476826</v>
      </c>
      <c r="G82" s="139"/>
      <c r="H82" s="9"/>
      <c r="I82" s="140"/>
      <c r="J82" s="139"/>
      <c r="K82" s="9"/>
      <c r="L82" s="140"/>
      <c r="M82" s="139"/>
      <c r="N82" s="9"/>
      <c r="O82" s="9"/>
      <c r="P82" s="7">
        <f t="shared" si="8"/>
        <v>0</v>
      </c>
      <c r="Q82" s="217">
        <f t="shared" si="10"/>
        <v>0</v>
      </c>
      <c r="R82" s="7"/>
      <c r="T82" s="217">
        <f>Table6[[#This Row],[£/Tonne]]/1000*Table6[[#This Row],[KG/M]]</f>
        <v>0</v>
      </c>
      <c r="U82" s="7">
        <v>6.1</v>
      </c>
      <c r="V82" s="217">
        <f>(S82/1000)*F82*Table6[[#This Row],[Normal Length]]</f>
        <v>0</v>
      </c>
      <c r="X82" s="217">
        <f>Table6[[#This Row],[£/Length]]*(1+X77)</f>
        <v>0</v>
      </c>
      <c r="Y82" s="217">
        <f>Table6[[#This Row],[£/Length]]*(1+Y77)</f>
        <v>0</v>
      </c>
      <c r="Z82" s="217">
        <f>Table6[[#This Row],[£/Length]]*(1+Z$2)</f>
        <v>0</v>
      </c>
      <c r="AA82" s="217">
        <f>Table6[[#This Row],[£/Length]]*(1+AA$2)</f>
        <v>0</v>
      </c>
      <c r="AB82" s="217">
        <f>Table6[[#This Row],[£/Length]]*(1+AB$2)</f>
        <v>0</v>
      </c>
      <c r="AC82" s="217">
        <f>Table6[[#This Row],[£/Length]]*(1+AC$2)</f>
        <v>0</v>
      </c>
      <c r="AD82" s="217">
        <f>Table6[[#This Row],[£/Length]]*(1+AD$2)</f>
        <v>0</v>
      </c>
    </row>
    <row r="83" spans="1:30" ht="25.35" customHeight="1">
      <c r="A83" s="7" t="s">
        <v>99</v>
      </c>
      <c r="B83" s="7" t="str">
        <f t="shared" si="11"/>
        <v>HB_76_52_@18.94Kg/m</v>
      </c>
      <c r="C83" s="7" t="str">
        <f t="shared" si="12"/>
        <v>HB 76ID 52OD  @ 18.94Kg/m</v>
      </c>
      <c r="D83" s="7">
        <v>76</v>
      </c>
      <c r="E83" s="97">
        <v>52</v>
      </c>
      <c r="F83" s="98">
        <v>18.94003378996214</v>
      </c>
      <c r="G83" s="139"/>
      <c r="H83" s="9"/>
      <c r="I83" s="140"/>
      <c r="J83" s="139"/>
      <c r="K83" s="9"/>
      <c r="L83" s="140"/>
      <c r="M83" s="139"/>
      <c r="N83" s="9"/>
      <c r="O83" s="9"/>
      <c r="P83" s="7">
        <f t="shared" si="8"/>
        <v>0</v>
      </c>
      <c r="Q83" s="217">
        <f t="shared" si="10"/>
        <v>0</v>
      </c>
      <c r="R83" s="7"/>
      <c r="T83" s="217">
        <f>Table6[[#This Row],[£/Tonne]]/1000*Table6[[#This Row],[KG/M]]</f>
        <v>0</v>
      </c>
      <c r="U83" s="7">
        <v>6.1</v>
      </c>
      <c r="V83" s="217">
        <f>(S83/1000)*F83*Table6[[#This Row],[Normal Length]]</f>
        <v>0</v>
      </c>
      <c r="X83" s="217">
        <f>Table6[[#This Row],[£/Length]]*(1+X78)</f>
        <v>0</v>
      </c>
      <c r="Y83" s="217">
        <f>Table6[[#This Row],[£/Length]]*(1+Y78)</f>
        <v>0</v>
      </c>
      <c r="Z83" s="217">
        <f>Table6[[#This Row],[£/Length]]*(1+Z$2)</f>
        <v>0</v>
      </c>
      <c r="AA83" s="217">
        <f>Table6[[#This Row],[£/Length]]*(1+AA$2)</f>
        <v>0</v>
      </c>
      <c r="AB83" s="217">
        <f>Table6[[#This Row],[£/Length]]*(1+AB$2)</f>
        <v>0</v>
      </c>
      <c r="AC83" s="217">
        <f>Table6[[#This Row],[£/Length]]*(1+AC$2)</f>
        <v>0</v>
      </c>
      <c r="AD83" s="217">
        <f>Table6[[#This Row],[£/Length]]*(1+AD$2)</f>
        <v>0</v>
      </c>
    </row>
    <row r="84" spans="1:30" ht="25.35" customHeight="1">
      <c r="A84" s="7" t="s">
        <v>99</v>
      </c>
      <c r="B84" s="7" t="str">
        <f t="shared" si="11"/>
        <v>HB_89_68_@20.33Kg/m</v>
      </c>
      <c r="C84" s="7" t="str">
        <f t="shared" si="12"/>
        <v>HB 89ID 68OD  @ 20.33Kg/m</v>
      </c>
      <c r="D84" s="7">
        <v>89</v>
      </c>
      <c r="E84" s="97">
        <v>68</v>
      </c>
      <c r="F84" s="98">
        <v>20.327243296062889</v>
      </c>
      <c r="G84" s="139">
        <v>7</v>
      </c>
      <c r="H84" s="9">
        <v>1</v>
      </c>
      <c r="I84" s="140" t="s">
        <v>255</v>
      </c>
      <c r="J84" s="139">
        <v>6.1</v>
      </c>
      <c r="K84" s="9">
        <v>13</v>
      </c>
      <c r="L84" s="140" t="s">
        <v>302</v>
      </c>
      <c r="M84" s="139"/>
      <c r="N84" s="9"/>
      <c r="O84" s="9"/>
      <c r="P84" s="7">
        <f t="shared" si="8"/>
        <v>86.3</v>
      </c>
      <c r="Q84" s="217">
        <f t="shared" si="10"/>
        <v>1491.1049319826932</v>
      </c>
      <c r="R84" s="7"/>
      <c r="S84" s="217">
        <v>850</v>
      </c>
      <c r="T84" s="217">
        <f>Table6[[#This Row],[£/Tonne]]/1000*Table6[[#This Row],[KG/M]]</f>
        <v>17.278156801653456</v>
      </c>
      <c r="U84" s="7">
        <v>6.1</v>
      </c>
      <c r="V84" s="217">
        <f>(S84/1000)*F84*Table6[[#This Row],[Normal Length]]</f>
        <v>105.39675649008608</v>
      </c>
      <c r="X84" s="217">
        <f>Table6[[#This Row],[£/Length]]*(1+X79)</f>
        <v>105.39675649008608</v>
      </c>
      <c r="Y84" s="217">
        <f>Table6[[#This Row],[£/Length]]*(1+Y79)</f>
        <v>105.39675649008608</v>
      </c>
      <c r="Z84" s="217">
        <f>Table6[[#This Row],[£/Length]]*(1+Z$2)</f>
        <v>147.55545908612049</v>
      </c>
      <c r="AA84" s="217">
        <f>Table6[[#This Row],[£/Length]]*(1+AA$2)</f>
        <v>158.09513473512911</v>
      </c>
      <c r="AB84" s="217">
        <f>Table6[[#This Row],[£/Length]]*(1+AB$2)</f>
        <v>168.63481038413772</v>
      </c>
      <c r="AC84" s="217">
        <f>Table6[[#This Row],[£/Length]]*(1+AC$2)</f>
        <v>179.17448603314634</v>
      </c>
      <c r="AD84" s="217">
        <f>Table6[[#This Row],[£/Length]]*(1+AD$2)</f>
        <v>210.79351298017215</v>
      </c>
    </row>
    <row r="85" spans="1:30" ht="25.35" customHeight="1">
      <c r="A85" s="7" t="s">
        <v>99</v>
      </c>
      <c r="B85" s="7" t="str">
        <f t="shared" si="11"/>
        <v>HB_118_82_@44.39Kg/m</v>
      </c>
      <c r="C85" s="7" t="str">
        <f t="shared" si="12"/>
        <v>HB 118ID 82OD  @ 44.39Kg/m</v>
      </c>
      <c r="D85" s="7">
        <v>118</v>
      </c>
      <c r="E85" s="97">
        <v>82</v>
      </c>
      <c r="F85" s="98">
        <v>44.39070419522379</v>
      </c>
      <c r="O85" s="7"/>
      <c r="P85" s="7">
        <f t="shared" si="8"/>
        <v>0</v>
      </c>
      <c r="Q85" s="217">
        <f t="shared" si="10"/>
        <v>0</v>
      </c>
      <c r="R85" s="7"/>
      <c r="T85" s="217">
        <f>Table6[[#This Row],[£/Tonne]]/1000*Table6[[#This Row],[KG/M]]</f>
        <v>0</v>
      </c>
      <c r="U85" s="7">
        <v>6.1</v>
      </c>
      <c r="V85" s="217">
        <f>(S85/1000)*F85*Table6[[#This Row],[Normal Length]]</f>
        <v>0</v>
      </c>
      <c r="X85" s="217">
        <f>Table6[[#This Row],[£/Length]]*(1+X80)</f>
        <v>0</v>
      </c>
      <c r="Y85" s="217">
        <f>Table6[[#This Row],[£/Length]]*(1+Y80)</f>
        <v>0</v>
      </c>
      <c r="Z85" s="217">
        <f>Table6[[#This Row],[£/Length]]*(1+Z$2)</f>
        <v>0</v>
      </c>
      <c r="AA85" s="217">
        <f>Table6[[#This Row],[£/Length]]*(1+AA$2)</f>
        <v>0</v>
      </c>
      <c r="AB85" s="217">
        <f>Table6[[#This Row],[£/Length]]*(1+AB$2)</f>
        <v>0</v>
      </c>
      <c r="AC85" s="217">
        <f>Table6[[#This Row],[£/Length]]*(1+AC$2)</f>
        <v>0</v>
      </c>
      <c r="AD85" s="217">
        <f>Table6[[#This Row],[£/Length]]*(1+AD$2)</f>
        <v>0</v>
      </c>
    </row>
    <row r="86" spans="1:30" ht="25.35" customHeight="1">
      <c r="A86" s="7" t="s">
        <v>99</v>
      </c>
      <c r="B86" s="7" t="str">
        <f t="shared" si="11"/>
        <v>HB_116_90_@33.02Kg/m</v>
      </c>
      <c r="C86" s="7" t="str">
        <f t="shared" si="12"/>
        <v>HB 116ID 90OD  @ 33.02Kg/m</v>
      </c>
      <c r="D86" s="7">
        <v>116</v>
      </c>
      <c r="E86" s="97">
        <v>90</v>
      </c>
      <c r="F86" s="98">
        <v>33.021751620780364</v>
      </c>
      <c r="O86" s="7"/>
      <c r="P86" s="7">
        <f t="shared" si="8"/>
        <v>0</v>
      </c>
      <c r="Q86" s="217">
        <f t="shared" si="10"/>
        <v>0</v>
      </c>
      <c r="R86" s="7"/>
      <c r="T86" s="217">
        <f>Table6[[#This Row],[£/Tonne]]/1000*Table6[[#This Row],[KG/M]]</f>
        <v>0</v>
      </c>
      <c r="U86" s="7">
        <v>6.1</v>
      </c>
      <c r="V86" s="217">
        <f>(S86/1000)*F86*Table6[[#This Row],[Normal Length]]</f>
        <v>0</v>
      </c>
      <c r="X86" s="217">
        <f>Table6[[#This Row],[£/Length]]*(1+X81)</f>
        <v>0</v>
      </c>
      <c r="Y86" s="217">
        <f>Table6[[#This Row],[£/Length]]*(1+Y81)</f>
        <v>0</v>
      </c>
      <c r="Z86" s="217">
        <f>Table6[[#This Row],[£/Length]]*(1+Z$2)</f>
        <v>0</v>
      </c>
      <c r="AA86" s="217">
        <f>Table6[[#This Row],[£/Length]]*(1+AA$2)</f>
        <v>0</v>
      </c>
      <c r="AB86" s="217">
        <f>Table6[[#This Row],[£/Length]]*(1+AB$2)</f>
        <v>0</v>
      </c>
      <c r="AC86" s="217">
        <f>Table6[[#This Row],[£/Length]]*(1+AC$2)</f>
        <v>0</v>
      </c>
      <c r="AD86" s="217">
        <f>Table6[[#This Row],[£/Length]]*(1+AD$2)</f>
        <v>0</v>
      </c>
    </row>
    <row r="87" spans="1:30" ht="25.35" customHeight="1">
      <c r="A87" s="7" t="s">
        <v>99</v>
      </c>
      <c r="B87" s="7" t="str">
        <f t="shared" si="11"/>
        <v>HB_220_190_@75.83Kg/m</v>
      </c>
      <c r="C87" s="7" t="str">
        <f t="shared" si="12"/>
        <v>HB 220ID 190OD  @ 75.83Kg/m</v>
      </c>
      <c r="D87" s="7">
        <v>220</v>
      </c>
      <c r="E87" s="97">
        <v>190</v>
      </c>
      <c r="F87" s="98">
        <v>75.834119666840678</v>
      </c>
      <c r="O87" s="7"/>
      <c r="P87" s="7">
        <f t="shared" si="8"/>
        <v>0</v>
      </c>
      <c r="Q87" s="217">
        <f t="shared" si="10"/>
        <v>0</v>
      </c>
      <c r="R87" s="7"/>
      <c r="T87" s="217">
        <f>Table6[[#This Row],[£/Tonne]]/1000*Table6[[#This Row],[KG/M]]</f>
        <v>0</v>
      </c>
      <c r="U87" s="7">
        <v>6.1</v>
      </c>
      <c r="V87" s="217">
        <f>(S87/1000)*F87*Table6[[#This Row],[Normal Length]]</f>
        <v>0</v>
      </c>
      <c r="X87" s="217">
        <f>Table6[[#This Row],[£/Length]]*(1+X82)</f>
        <v>0</v>
      </c>
      <c r="Y87" s="217">
        <f>Table6[[#This Row],[£/Length]]*(1+Y82)</f>
        <v>0</v>
      </c>
      <c r="Z87" s="217">
        <f>Table6[[#This Row],[£/Length]]*(1+Z$2)</f>
        <v>0</v>
      </c>
      <c r="AA87" s="217">
        <f>Table6[[#This Row],[£/Length]]*(1+AA$2)</f>
        <v>0</v>
      </c>
      <c r="AB87" s="217">
        <f>Table6[[#This Row],[£/Length]]*(1+AB$2)</f>
        <v>0</v>
      </c>
      <c r="AC87" s="217">
        <f>Table6[[#This Row],[£/Length]]*(1+AC$2)</f>
        <v>0</v>
      </c>
      <c r="AD87" s="217">
        <f>Table6[[#This Row],[£/Length]]*(1+AD$2)</f>
        <v>0</v>
      </c>
    </row>
    <row r="88" spans="1:30" ht="31.5" customHeight="1">
      <c r="D88" s="9"/>
      <c r="E88" s="9"/>
      <c r="F88" s="71"/>
      <c r="P88" s="53" t="s">
        <v>474</v>
      </c>
      <c r="Q88" s="255">
        <f>SUM(Q3:Q87)</f>
        <v>12060.877510650933</v>
      </c>
    </row>
  </sheetData>
  <phoneticPr fontId="3" type="noConversion"/>
  <dataValidations disablePrompts="1" count="1">
    <dataValidation type="list" allowBlank="1" showInputMessage="1" showErrorMessage="1" error="Select Area from Tab 'Area List'" sqref="O3:O84 L3:L84 I3:I84" xr:uid="{D39DF305-EB6C-4967-8F6C-5604A35B8649}">
      <formula1>AreaList2</formula1>
    </dataValidation>
  </dataValidations>
  <printOptions gridLines="1"/>
  <pageMargins left="0.7" right="0.7" top="0.75" bottom="0.75" header="0.3" footer="0.3"/>
  <pageSetup paperSize="9" scale="71" fitToHeight="7" orientation="landscape" cellComments="asDisplayed" r:id="rId1"/>
  <headerFooter alignWithMargins="0">
    <oddFooter>&amp;L&amp;D&amp;C&amp;A&amp;R&amp;P of &amp;N</oddFooter>
  </headerFooter>
  <colBreaks count="1" manualBreakCount="1">
    <brk id="21" max="1048575" man="1"/>
  </colBreaks>
  <drawing r:id="rId2"/>
  <legacyDrawing r:id="rId3"/>
  <tableParts count="1">
    <tablePart r:id="rId4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B9BE8-1D81-4368-9E40-F2DE19A2BAD4}">
  <sheetPr>
    <pageSetUpPr fitToPage="1"/>
  </sheetPr>
  <dimension ref="A1:AB96"/>
  <sheetViews>
    <sheetView tabSelected="1" zoomScale="55" zoomScaleNormal="55" workbookViewId="0">
      <pane xSplit="7" ySplit="2" topLeftCell="H39" activePane="bottomRight" state="frozen"/>
      <selection pane="bottomRight" sqref="A1:Q1"/>
      <selection pane="bottomLeft" activeCell="A3" sqref="A3"/>
      <selection pane="topRight" activeCell="H1" sqref="H1"/>
    </sheetView>
  </sheetViews>
  <sheetFormatPr defaultRowHeight="24.75"/>
  <cols>
    <col min="1" max="1" width="15" style="182" customWidth="1"/>
    <col min="2" max="2" width="30" style="182" customWidth="1"/>
    <col min="3" max="3" width="55.85546875" style="182" customWidth="1"/>
    <col min="4" max="5" width="8.140625" style="183" customWidth="1"/>
    <col min="6" max="6" width="6.140625" style="183" customWidth="1"/>
    <col min="7" max="7" width="11.85546875" style="182" customWidth="1"/>
    <col min="8" max="8" width="11.85546875" style="194" customWidth="1"/>
    <col min="9" max="9" width="9.5703125" style="182" customWidth="1"/>
    <col min="10" max="10" width="9.5703125" style="195" customWidth="1"/>
    <col min="11" max="11" width="16.5703125" style="194" customWidth="1"/>
    <col min="12" max="12" width="9.5703125" style="182" customWidth="1"/>
    <col min="13" max="13" width="9.5703125" style="195" customWidth="1"/>
    <col min="14" max="14" width="16.5703125" style="194" customWidth="1"/>
    <col min="15" max="15" width="9.5703125" style="182" customWidth="1"/>
    <col min="16" max="16" width="9.5703125" style="195" customWidth="1"/>
    <col min="17" max="17" width="14.85546875" style="185" customWidth="1"/>
    <col min="18" max="18" width="25.28515625" style="182" customWidth="1"/>
    <col min="19" max="19" width="11" style="190" customWidth="1"/>
    <col min="20" max="20" width="22.7109375" style="182" customWidth="1"/>
    <col min="21" max="21" width="27.28515625" style="182" customWidth="1"/>
    <col min="22" max="22" width="17.28515625" style="182" customWidth="1"/>
    <col min="23" max="23" width="27.5703125" style="182" customWidth="1"/>
    <col min="24" max="24" width="11" style="182" customWidth="1"/>
    <col min="25" max="28" width="24.42578125" style="182" customWidth="1"/>
    <col min="29" max="247" width="9" style="182"/>
    <col min="248" max="248" width="15.140625" style="182" customWidth="1"/>
    <col min="249" max="249" width="8" style="182" customWidth="1"/>
    <col min="250" max="250" width="10.42578125" style="182" customWidth="1"/>
    <col min="251" max="251" width="4.85546875" style="182" customWidth="1"/>
    <col min="252" max="252" width="9.5703125" style="182" customWidth="1"/>
    <col min="253" max="253" width="4" style="182" customWidth="1"/>
    <col min="254" max="254" width="10.5703125" style="182" customWidth="1"/>
    <col min="255" max="255" width="5.85546875" style="182" customWidth="1"/>
    <col min="256" max="256" width="10.140625" style="182" customWidth="1"/>
    <col min="257" max="257" width="5.140625" style="182" customWidth="1"/>
    <col min="258" max="258" width="4.42578125" style="182" customWidth="1"/>
    <col min="259" max="259" width="10.140625" style="182" customWidth="1"/>
    <col min="260" max="260" width="11.85546875" style="182" customWidth="1"/>
    <col min="261" max="261" width="5" style="182" customWidth="1"/>
    <col min="262" max="262" width="8.140625" style="182" customWidth="1"/>
    <col min="263" max="263" width="9" style="182" customWidth="1"/>
    <col min="264" max="264" width="6.42578125" style="182" customWidth="1"/>
    <col min="265" max="265" width="11.42578125" style="182" customWidth="1"/>
    <col min="266" max="266" width="8.42578125" style="182" customWidth="1"/>
    <col min="267" max="267" width="9.140625" style="182" customWidth="1"/>
    <col min="268" max="268" width="9" style="182"/>
    <col min="269" max="269" width="5.42578125" style="182" customWidth="1"/>
    <col min="270" max="270" width="9.5703125" style="182" customWidth="1"/>
    <col min="271" max="271" width="9.42578125" style="182" customWidth="1"/>
    <col min="272" max="272" width="9.140625" style="182" customWidth="1"/>
    <col min="273" max="503" width="9" style="182"/>
    <col min="504" max="504" width="15.140625" style="182" customWidth="1"/>
    <col min="505" max="505" width="8" style="182" customWidth="1"/>
    <col min="506" max="506" width="10.42578125" style="182" customWidth="1"/>
    <col min="507" max="507" width="4.85546875" style="182" customWidth="1"/>
    <col min="508" max="508" width="9.5703125" style="182" customWidth="1"/>
    <col min="509" max="509" width="4" style="182" customWidth="1"/>
    <col min="510" max="510" width="10.5703125" style="182" customWidth="1"/>
    <col min="511" max="511" width="5.85546875" style="182" customWidth="1"/>
    <col min="512" max="512" width="10.140625" style="182" customWidth="1"/>
    <col min="513" max="513" width="5.140625" style="182" customWidth="1"/>
    <col min="514" max="514" width="4.42578125" style="182" customWidth="1"/>
    <col min="515" max="515" width="10.140625" style="182" customWidth="1"/>
    <col min="516" max="516" width="11.85546875" style="182" customWidth="1"/>
    <col min="517" max="517" width="5" style="182" customWidth="1"/>
    <col min="518" max="518" width="8.140625" style="182" customWidth="1"/>
    <col min="519" max="519" width="9" style="182" customWidth="1"/>
    <col min="520" max="520" width="6.42578125" style="182" customWidth="1"/>
    <col min="521" max="521" width="11.42578125" style="182" customWidth="1"/>
    <col min="522" max="522" width="8.42578125" style="182" customWidth="1"/>
    <col min="523" max="523" width="9.140625" style="182" customWidth="1"/>
    <col min="524" max="524" width="9" style="182"/>
    <col min="525" max="525" width="5.42578125" style="182" customWidth="1"/>
    <col min="526" max="526" width="9.5703125" style="182" customWidth="1"/>
    <col min="527" max="527" width="9.42578125" style="182" customWidth="1"/>
    <col min="528" max="528" width="9.140625" style="182" customWidth="1"/>
    <col min="529" max="759" width="9" style="182"/>
    <col min="760" max="760" width="15.140625" style="182" customWidth="1"/>
    <col min="761" max="761" width="8" style="182" customWidth="1"/>
    <col min="762" max="762" width="10.42578125" style="182" customWidth="1"/>
    <col min="763" max="763" width="4.85546875" style="182" customWidth="1"/>
    <col min="764" max="764" width="9.5703125" style="182" customWidth="1"/>
    <col min="765" max="765" width="4" style="182" customWidth="1"/>
    <col min="766" max="766" width="10.5703125" style="182" customWidth="1"/>
    <col min="767" max="767" width="5.85546875" style="182" customWidth="1"/>
    <col min="768" max="768" width="10.140625" style="182" customWidth="1"/>
    <col min="769" max="769" width="5.140625" style="182" customWidth="1"/>
    <col min="770" max="770" width="4.42578125" style="182" customWidth="1"/>
    <col min="771" max="771" width="10.140625" style="182" customWidth="1"/>
    <col min="772" max="772" width="11.85546875" style="182" customWidth="1"/>
    <col min="773" max="773" width="5" style="182" customWidth="1"/>
    <col min="774" max="774" width="8.140625" style="182" customWidth="1"/>
    <col min="775" max="775" width="9" style="182" customWidth="1"/>
    <col min="776" max="776" width="6.42578125" style="182" customWidth="1"/>
    <col min="777" max="777" width="11.42578125" style="182" customWidth="1"/>
    <col min="778" max="778" width="8.42578125" style="182" customWidth="1"/>
    <col min="779" max="779" width="9.140625" style="182" customWidth="1"/>
    <col min="780" max="780" width="9" style="182"/>
    <col min="781" max="781" width="5.42578125" style="182" customWidth="1"/>
    <col min="782" max="782" width="9.5703125" style="182" customWidth="1"/>
    <col min="783" max="783" width="9.42578125" style="182" customWidth="1"/>
    <col min="784" max="784" width="9.140625" style="182" customWidth="1"/>
    <col min="785" max="1015" width="9" style="182"/>
    <col min="1016" max="1016" width="15.140625" style="182" customWidth="1"/>
    <col min="1017" max="1017" width="8" style="182" customWidth="1"/>
    <col min="1018" max="1018" width="10.42578125" style="182" customWidth="1"/>
    <col min="1019" max="1019" width="4.85546875" style="182" customWidth="1"/>
    <col min="1020" max="1020" width="9.5703125" style="182" customWidth="1"/>
    <col min="1021" max="1021" width="4" style="182" customWidth="1"/>
    <col min="1022" max="1022" width="10.5703125" style="182" customWidth="1"/>
    <col min="1023" max="1023" width="5.85546875" style="182" customWidth="1"/>
    <col min="1024" max="1024" width="10.140625" style="182" customWidth="1"/>
    <col min="1025" max="1025" width="5.140625" style="182" customWidth="1"/>
    <col min="1026" max="1026" width="4.42578125" style="182" customWidth="1"/>
    <col min="1027" max="1027" width="10.140625" style="182" customWidth="1"/>
    <col min="1028" max="1028" width="11.85546875" style="182" customWidth="1"/>
    <col min="1029" max="1029" width="5" style="182" customWidth="1"/>
    <col min="1030" max="1030" width="8.140625" style="182" customWidth="1"/>
    <col min="1031" max="1031" width="9" style="182" customWidth="1"/>
    <col min="1032" max="1032" width="6.42578125" style="182" customWidth="1"/>
    <col min="1033" max="1033" width="11.42578125" style="182" customWidth="1"/>
    <col min="1034" max="1034" width="8.42578125" style="182" customWidth="1"/>
    <col min="1035" max="1035" width="9.140625" style="182" customWidth="1"/>
    <col min="1036" max="1036" width="9" style="182"/>
    <col min="1037" max="1037" width="5.42578125" style="182" customWidth="1"/>
    <col min="1038" max="1038" width="9.5703125" style="182" customWidth="1"/>
    <col min="1039" max="1039" width="9.42578125" style="182" customWidth="1"/>
    <col min="1040" max="1040" width="9.140625" style="182" customWidth="1"/>
    <col min="1041" max="1271" width="9" style="182"/>
    <col min="1272" max="1272" width="15.140625" style="182" customWidth="1"/>
    <col min="1273" max="1273" width="8" style="182" customWidth="1"/>
    <col min="1274" max="1274" width="10.42578125" style="182" customWidth="1"/>
    <col min="1275" max="1275" width="4.85546875" style="182" customWidth="1"/>
    <col min="1276" max="1276" width="9.5703125" style="182" customWidth="1"/>
    <col min="1277" max="1277" width="4" style="182" customWidth="1"/>
    <col min="1278" max="1278" width="10.5703125" style="182" customWidth="1"/>
    <col min="1279" max="1279" width="5.85546875" style="182" customWidth="1"/>
    <col min="1280" max="1280" width="10.140625" style="182" customWidth="1"/>
    <col min="1281" max="1281" width="5.140625" style="182" customWidth="1"/>
    <col min="1282" max="1282" width="4.42578125" style="182" customWidth="1"/>
    <col min="1283" max="1283" width="10.140625" style="182" customWidth="1"/>
    <col min="1284" max="1284" width="11.85546875" style="182" customWidth="1"/>
    <col min="1285" max="1285" width="5" style="182" customWidth="1"/>
    <col min="1286" max="1286" width="8.140625" style="182" customWidth="1"/>
    <col min="1287" max="1287" width="9" style="182" customWidth="1"/>
    <col min="1288" max="1288" width="6.42578125" style="182" customWidth="1"/>
    <col min="1289" max="1289" width="11.42578125" style="182" customWidth="1"/>
    <col min="1290" max="1290" width="8.42578125" style="182" customWidth="1"/>
    <col min="1291" max="1291" width="9.140625" style="182" customWidth="1"/>
    <col min="1292" max="1292" width="9" style="182"/>
    <col min="1293" max="1293" width="5.42578125" style="182" customWidth="1"/>
    <col min="1294" max="1294" width="9.5703125" style="182" customWidth="1"/>
    <col min="1295" max="1295" width="9.42578125" style="182" customWidth="1"/>
    <col min="1296" max="1296" width="9.140625" style="182" customWidth="1"/>
    <col min="1297" max="1527" width="9" style="182"/>
    <col min="1528" max="1528" width="15.140625" style="182" customWidth="1"/>
    <col min="1529" max="1529" width="8" style="182" customWidth="1"/>
    <col min="1530" max="1530" width="10.42578125" style="182" customWidth="1"/>
    <col min="1531" max="1531" width="4.85546875" style="182" customWidth="1"/>
    <col min="1532" max="1532" width="9.5703125" style="182" customWidth="1"/>
    <col min="1533" max="1533" width="4" style="182" customWidth="1"/>
    <col min="1534" max="1534" width="10.5703125" style="182" customWidth="1"/>
    <col min="1535" max="1535" width="5.85546875" style="182" customWidth="1"/>
    <col min="1536" max="1536" width="10.140625" style="182" customWidth="1"/>
    <col min="1537" max="1537" width="5.140625" style="182" customWidth="1"/>
    <col min="1538" max="1538" width="4.42578125" style="182" customWidth="1"/>
    <col min="1539" max="1539" width="10.140625" style="182" customWidth="1"/>
    <col min="1540" max="1540" width="11.85546875" style="182" customWidth="1"/>
    <col min="1541" max="1541" width="5" style="182" customWidth="1"/>
    <col min="1542" max="1542" width="8.140625" style="182" customWidth="1"/>
    <col min="1543" max="1543" width="9" style="182" customWidth="1"/>
    <col min="1544" max="1544" width="6.42578125" style="182" customWidth="1"/>
    <col min="1545" max="1545" width="11.42578125" style="182" customWidth="1"/>
    <col min="1546" max="1546" width="8.42578125" style="182" customWidth="1"/>
    <col min="1547" max="1547" width="9.140625" style="182" customWidth="1"/>
    <col min="1548" max="1548" width="9" style="182"/>
    <col min="1549" max="1549" width="5.42578125" style="182" customWidth="1"/>
    <col min="1550" max="1550" width="9.5703125" style="182" customWidth="1"/>
    <col min="1551" max="1551" width="9.42578125" style="182" customWidth="1"/>
    <col min="1552" max="1552" width="9.140625" style="182" customWidth="1"/>
    <col min="1553" max="1783" width="9" style="182"/>
    <col min="1784" max="1784" width="15.140625" style="182" customWidth="1"/>
    <col min="1785" max="1785" width="8" style="182" customWidth="1"/>
    <col min="1786" max="1786" width="10.42578125" style="182" customWidth="1"/>
    <col min="1787" max="1787" width="4.85546875" style="182" customWidth="1"/>
    <col min="1788" max="1788" width="9.5703125" style="182" customWidth="1"/>
    <col min="1789" max="1789" width="4" style="182" customWidth="1"/>
    <col min="1790" max="1790" width="10.5703125" style="182" customWidth="1"/>
    <col min="1791" max="1791" width="5.85546875" style="182" customWidth="1"/>
    <col min="1792" max="1792" width="10.140625" style="182" customWidth="1"/>
    <col min="1793" max="1793" width="5.140625" style="182" customWidth="1"/>
    <col min="1794" max="1794" width="4.42578125" style="182" customWidth="1"/>
    <col min="1795" max="1795" width="10.140625" style="182" customWidth="1"/>
    <col min="1796" max="1796" width="11.85546875" style="182" customWidth="1"/>
    <col min="1797" max="1797" width="5" style="182" customWidth="1"/>
    <col min="1798" max="1798" width="8.140625" style="182" customWidth="1"/>
    <col min="1799" max="1799" width="9" style="182" customWidth="1"/>
    <col min="1800" max="1800" width="6.42578125" style="182" customWidth="1"/>
    <col min="1801" max="1801" width="11.42578125" style="182" customWidth="1"/>
    <col min="1802" max="1802" width="8.42578125" style="182" customWidth="1"/>
    <col min="1803" max="1803" width="9.140625" style="182" customWidth="1"/>
    <col min="1804" max="1804" width="9" style="182"/>
    <col min="1805" max="1805" width="5.42578125" style="182" customWidth="1"/>
    <col min="1806" max="1806" width="9.5703125" style="182" customWidth="1"/>
    <col min="1807" max="1807" width="9.42578125" style="182" customWidth="1"/>
    <col min="1808" max="1808" width="9.140625" style="182" customWidth="1"/>
    <col min="1809" max="2039" width="9" style="182"/>
    <col min="2040" max="2040" width="15.140625" style="182" customWidth="1"/>
    <col min="2041" max="2041" width="8" style="182" customWidth="1"/>
    <col min="2042" max="2042" width="10.42578125" style="182" customWidth="1"/>
    <col min="2043" max="2043" width="4.85546875" style="182" customWidth="1"/>
    <col min="2044" max="2044" width="9.5703125" style="182" customWidth="1"/>
    <col min="2045" max="2045" width="4" style="182" customWidth="1"/>
    <col min="2046" max="2046" width="10.5703125" style="182" customWidth="1"/>
    <col min="2047" max="2047" width="5.85546875" style="182" customWidth="1"/>
    <col min="2048" max="2048" width="10.140625" style="182" customWidth="1"/>
    <col min="2049" max="2049" width="5.140625" style="182" customWidth="1"/>
    <col min="2050" max="2050" width="4.42578125" style="182" customWidth="1"/>
    <col min="2051" max="2051" width="10.140625" style="182" customWidth="1"/>
    <col min="2052" max="2052" width="11.85546875" style="182" customWidth="1"/>
    <col min="2053" max="2053" width="5" style="182" customWidth="1"/>
    <col min="2054" max="2054" width="8.140625" style="182" customWidth="1"/>
    <col min="2055" max="2055" width="9" style="182" customWidth="1"/>
    <col min="2056" max="2056" width="6.42578125" style="182" customWidth="1"/>
    <col min="2057" max="2057" width="11.42578125" style="182" customWidth="1"/>
    <col min="2058" max="2058" width="8.42578125" style="182" customWidth="1"/>
    <col min="2059" max="2059" width="9.140625" style="182" customWidth="1"/>
    <col min="2060" max="2060" width="9" style="182"/>
    <col min="2061" max="2061" width="5.42578125" style="182" customWidth="1"/>
    <col min="2062" max="2062" width="9.5703125" style="182" customWidth="1"/>
    <col min="2063" max="2063" width="9.42578125" style="182" customWidth="1"/>
    <col min="2064" max="2064" width="9.140625" style="182" customWidth="1"/>
    <col min="2065" max="2295" width="9" style="182"/>
    <col min="2296" max="2296" width="15.140625" style="182" customWidth="1"/>
    <col min="2297" max="2297" width="8" style="182" customWidth="1"/>
    <col min="2298" max="2298" width="10.42578125" style="182" customWidth="1"/>
    <col min="2299" max="2299" width="4.85546875" style="182" customWidth="1"/>
    <col min="2300" max="2300" width="9.5703125" style="182" customWidth="1"/>
    <col min="2301" max="2301" width="4" style="182" customWidth="1"/>
    <col min="2302" max="2302" width="10.5703125" style="182" customWidth="1"/>
    <col min="2303" max="2303" width="5.85546875" style="182" customWidth="1"/>
    <col min="2304" max="2304" width="10.140625" style="182" customWidth="1"/>
    <col min="2305" max="2305" width="5.140625" style="182" customWidth="1"/>
    <col min="2306" max="2306" width="4.42578125" style="182" customWidth="1"/>
    <col min="2307" max="2307" width="10.140625" style="182" customWidth="1"/>
    <col min="2308" max="2308" width="11.85546875" style="182" customWidth="1"/>
    <col min="2309" max="2309" width="5" style="182" customWidth="1"/>
    <col min="2310" max="2310" width="8.140625" style="182" customWidth="1"/>
    <col min="2311" max="2311" width="9" style="182" customWidth="1"/>
    <col min="2312" max="2312" width="6.42578125" style="182" customWidth="1"/>
    <col min="2313" max="2313" width="11.42578125" style="182" customWidth="1"/>
    <col min="2314" max="2314" width="8.42578125" style="182" customWidth="1"/>
    <col min="2315" max="2315" width="9.140625" style="182" customWidth="1"/>
    <col min="2316" max="2316" width="9" style="182"/>
    <col min="2317" max="2317" width="5.42578125" style="182" customWidth="1"/>
    <col min="2318" max="2318" width="9.5703125" style="182" customWidth="1"/>
    <col min="2319" max="2319" width="9.42578125" style="182" customWidth="1"/>
    <col min="2320" max="2320" width="9.140625" style="182" customWidth="1"/>
    <col min="2321" max="2551" width="9" style="182"/>
    <col min="2552" max="2552" width="15.140625" style="182" customWidth="1"/>
    <col min="2553" max="2553" width="8" style="182" customWidth="1"/>
    <col min="2554" max="2554" width="10.42578125" style="182" customWidth="1"/>
    <col min="2555" max="2555" width="4.85546875" style="182" customWidth="1"/>
    <col min="2556" max="2556" width="9.5703125" style="182" customWidth="1"/>
    <col min="2557" max="2557" width="4" style="182" customWidth="1"/>
    <col min="2558" max="2558" width="10.5703125" style="182" customWidth="1"/>
    <col min="2559" max="2559" width="5.85546875" style="182" customWidth="1"/>
    <col min="2560" max="2560" width="10.140625" style="182" customWidth="1"/>
    <col min="2561" max="2561" width="5.140625" style="182" customWidth="1"/>
    <col min="2562" max="2562" width="4.42578125" style="182" customWidth="1"/>
    <col min="2563" max="2563" width="10.140625" style="182" customWidth="1"/>
    <col min="2564" max="2564" width="11.85546875" style="182" customWidth="1"/>
    <col min="2565" max="2565" width="5" style="182" customWidth="1"/>
    <col min="2566" max="2566" width="8.140625" style="182" customWidth="1"/>
    <col min="2567" max="2567" width="9" style="182" customWidth="1"/>
    <col min="2568" max="2568" width="6.42578125" style="182" customWidth="1"/>
    <col min="2569" max="2569" width="11.42578125" style="182" customWidth="1"/>
    <col min="2570" max="2570" width="8.42578125" style="182" customWidth="1"/>
    <col min="2571" max="2571" width="9.140625" style="182" customWidth="1"/>
    <col min="2572" max="2572" width="9" style="182"/>
    <col min="2573" max="2573" width="5.42578125" style="182" customWidth="1"/>
    <col min="2574" max="2574" width="9.5703125" style="182" customWidth="1"/>
    <col min="2575" max="2575" width="9.42578125" style="182" customWidth="1"/>
    <col min="2576" max="2576" width="9.140625" style="182" customWidth="1"/>
    <col min="2577" max="2807" width="9" style="182"/>
    <col min="2808" max="2808" width="15.140625" style="182" customWidth="1"/>
    <col min="2809" max="2809" width="8" style="182" customWidth="1"/>
    <col min="2810" max="2810" width="10.42578125" style="182" customWidth="1"/>
    <col min="2811" max="2811" width="4.85546875" style="182" customWidth="1"/>
    <col min="2812" max="2812" width="9.5703125" style="182" customWidth="1"/>
    <col min="2813" max="2813" width="4" style="182" customWidth="1"/>
    <col min="2814" max="2814" width="10.5703125" style="182" customWidth="1"/>
    <col min="2815" max="2815" width="5.85546875" style="182" customWidth="1"/>
    <col min="2816" max="2816" width="10.140625" style="182" customWidth="1"/>
    <col min="2817" max="2817" width="5.140625" style="182" customWidth="1"/>
    <col min="2818" max="2818" width="4.42578125" style="182" customWidth="1"/>
    <col min="2819" max="2819" width="10.140625" style="182" customWidth="1"/>
    <col min="2820" max="2820" width="11.85546875" style="182" customWidth="1"/>
    <col min="2821" max="2821" width="5" style="182" customWidth="1"/>
    <col min="2822" max="2822" width="8.140625" style="182" customWidth="1"/>
    <col min="2823" max="2823" width="9" style="182" customWidth="1"/>
    <col min="2824" max="2824" width="6.42578125" style="182" customWidth="1"/>
    <col min="2825" max="2825" width="11.42578125" style="182" customWidth="1"/>
    <col min="2826" max="2826" width="8.42578125" style="182" customWidth="1"/>
    <col min="2827" max="2827" width="9.140625" style="182" customWidth="1"/>
    <col min="2828" max="2828" width="9" style="182"/>
    <col min="2829" max="2829" width="5.42578125" style="182" customWidth="1"/>
    <col min="2830" max="2830" width="9.5703125" style="182" customWidth="1"/>
    <col min="2831" max="2831" width="9.42578125" style="182" customWidth="1"/>
    <col min="2832" max="2832" width="9.140625" style="182" customWidth="1"/>
    <col min="2833" max="3063" width="9" style="182"/>
    <col min="3064" max="3064" width="15.140625" style="182" customWidth="1"/>
    <col min="3065" max="3065" width="8" style="182" customWidth="1"/>
    <col min="3066" max="3066" width="10.42578125" style="182" customWidth="1"/>
    <col min="3067" max="3067" width="4.85546875" style="182" customWidth="1"/>
    <col min="3068" max="3068" width="9.5703125" style="182" customWidth="1"/>
    <col min="3069" max="3069" width="4" style="182" customWidth="1"/>
    <col min="3070" max="3070" width="10.5703125" style="182" customWidth="1"/>
    <col min="3071" max="3071" width="5.85546875" style="182" customWidth="1"/>
    <col min="3072" max="3072" width="10.140625" style="182" customWidth="1"/>
    <col min="3073" max="3073" width="5.140625" style="182" customWidth="1"/>
    <col min="3074" max="3074" width="4.42578125" style="182" customWidth="1"/>
    <col min="3075" max="3075" width="10.140625" style="182" customWidth="1"/>
    <col min="3076" max="3076" width="11.85546875" style="182" customWidth="1"/>
    <col min="3077" max="3077" width="5" style="182" customWidth="1"/>
    <col min="3078" max="3078" width="8.140625" style="182" customWidth="1"/>
    <col min="3079" max="3079" width="9" style="182" customWidth="1"/>
    <col min="3080" max="3080" width="6.42578125" style="182" customWidth="1"/>
    <col min="3081" max="3081" width="11.42578125" style="182" customWidth="1"/>
    <col min="3082" max="3082" width="8.42578125" style="182" customWidth="1"/>
    <col min="3083" max="3083" width="9.140625" style="182" customWidth="1"/>
    <col min="3084" max="3084" width="9" style="182"/>
    <col min="3085" max="3085" width="5.42578125" style="182" customWidth="1"/>
    <col min="3086" max="3086" width="9.5703125" style="182" customWidth="1"/>
    <col min="3087" max="3087" width="9.42578125" style="182" customWidth="1"/>
    <col min="3088" max="3088" width="9.140625" style="182" customWidth="1"/>
    <col min="3089" max="3319" width="9" style="182"/>
    <col min="3320" max="3320" width="15.140625" style="182" customWidth="1"/>
    <col min="3321" max="3321" width="8" style="182" customWidth="1"/>
    <col min="3322" max="3322" width="10.42578125" style="182" customWidth="1"/>
    <col min="3323" max="3323" width="4.85546875" style="182" customWidth="1"/>
    <col min="3324" max="3324" width="9.5703125" style="182" customWidth="1"/>
    <col min="3325" max="3325" width="4" style="182" customWidth="1"/>
    <col min="3326" max="3326" width="10.5703125" style="182" customWidth="1"/>
    <col min="3327" max="3327" width="5.85546875" style="182" customWidth="1"/>
    <col min="3328" max="3328" width="10.140625" style="182" customWidth="1"/>
    <col min="3329" max="3329" width="5.140625" style="182" customWidth="1"/>
    <col min="3330" max="3330" width="4.42578125" style="182" customWidth="1"/>
    <col min="3331" max="3331" width="10.140625" style="182" customWidth="1"/>
    <col min="3332" max="3332" width="11.85546875" style="182" customWidth="1"/>
    <col min="3333" max="3333" width="5" style="182" customWidth="1"/>
    <col min="3334" max="3334" width="8.140625" style="182" customWidth="1"/>
    <col min="3335" max="3335" width="9" style="182" customWidth="1"/>
    <col min="3336" max="3336" width="6.42578125" style="182" customWidth="1"/>
    <col min="3337" max="3337" width="11.42578125" style="182" customWidth="1"/>
    <col min="3338" max="3338" width="8.42578125" style="182" customWidth="1"/>
    <col min="3339" max="3339" width="9.140625" style="182" customWidth="1"/>
    <col min="3340" max="3340" width="9" style="182"/>
    <col min="3341" max="3341" width="5.42578125" style="182" customWidth="1"/>
    <col min="3342" max="3342" width="9.5703125" style="182" customWidth="1"/>
    <col min="3343" max="3343" width="9.42578125" style="182" customWidth="1"/>
    <col min="3344" max="3344" width="9.140625" style="182" customWidth="1"/>
    <col min="3345" max="3575" width="9" style="182"/>
    <col min="3576" max="3576" width="15.140625" style="182" customWidth="1"/>
    <col min="3577" max="3577" width="8" style="182" customWidth="1"/>
    <col min="3578" max="3578" width="10.42578125" style="182" customWidth="1"/>
    <col min="3579" max="3579" width="4.85546875" style="182" customWidth="1"/>
    <col min="3580" max="3580" width="9.5703125" style="182" customWidth="1"/>
    <col min="3581" max="3581" width="4" style="182" customWidth="1"/>
    <col min="3582" max="3582" width="10.5703125" style="182" customWidth="1"/>
    <col min="3583" max="3583" width="5.85546875" style="182" customWidth="1"/>
    <col min="3584" max="3584" width="10.140625" style="182" customWidth="1"/>
    <col min="3585" max="3585" width="5.140625" style="182" customWidth="1"/>
    <col min="3586" max="3586" width="4.42578125" style="182" customWidth="1"/>
    <col min="3587" max="3587" width="10.140625" style="182" customWidth="1"/>
    <col min="3588" max="3588" width="11.85546875" style="182" customWidth="1"/>
    <col min="3589" max="3589" width="5" style="182" customWidth="1"/>
    <col min="3590" max="3590" width="8.140625" style="182" customWidth="1"/>
    <col min="3591" max="3591" width="9" style="182" customWidth="1"/>
    <col min="3592" max="3592" width="6.42578125" style="182" customWidth="1"/>
    <col min="3593" max="3593" width="11.42578125" style="182" customWidth="1"/>
    <col min="3594" max="3594" width="8.42578125" style="182" customWidth="1"/>
    <col min="3595" max="3595" width="9.140625" style="182" customWidth="1"/>
    <col min="3596" max="3596" width="9" style="182"/>
    <col min="3597" max="3597" width="5.42578125" style="182" customWidth="1"/>
    <col min="3598" max="3598" width="9.5703125" style="182" customWidth="1"/>
    <col min="3599" max="3599" width="9.42578125" style="182" customWidth="1"/>
    <col min="3600" max="3600" width="9.140625" style="182" customWidth="1"/>
    <col min="3601" max="3831" width="9" style="182"/>
    <col min="3832" max="3832" width="15.140625" style="182" customWidth="1"/>
    <col min="3833" max="3833" width="8" style="182" customWidth="1"/>
    <col min="3834" max="3834" width="10.42578125" style="182" customWidth="1"/>
    <col min="3835" max="3835" width="4.85546875" style="182" customWidth="1"/>
    <col min="3836" max="3836" width="9.5703125" style="182" customWidth="1"/>
    <col min="3837" max="3837" width="4" style="182" customWidth="1"/>
    <col min="3838" max="3838" width="10.5703125" style="182" customWidth="1"/>
    <col min="3839" max="3839" width="5.85546875" style="182" customWidth="1"/>
    <col min="3840" max="3840" width="10.140625" style="182" customWidth="1"/>
    <col min="3841" max="3841" width="5.140625" style="182" customWidth="1"/>
    <col min="3842" max="3842" width="4.42578125" style="182" customWidth="1"/>
    <col min="3843" max="3843" width="10.140625" style="182" customWidth="1"/>
    <col min="3844" max="3844" width="11.85546875" style="182" customWidth="1"/>
    <col min="3845" max="3845" width="5" style="182" customWidth="1"/>
    <col min="3846" max="3846" width="8.140625" style="182" customWidth="1"/>
    <col min="3847" max="3847" width="9" style="182" customWidth="1"/>
    <col min="3848" max="3848" width="6.42578125" style="182" customWidth="1"/>
    <col min="3849" max="3849" width="11.42578125" style="182" customWidth="1"/>
    <col min="3850" max="3850" width="8.42578125" style="182" customWidth="1"/>
    <col min="3851" max="3851" width="9.140625" style="182" customWidth="1"/>
    <col min="3852" max="3852" width="9" style="182"/>
    <col min="3853" max="3853" width="5.42578125" style="182" customWidth="1"/>
    <col min="3854" max="3854" width="9.5703125" style="182" customWidth="1"/>
    <col min="3855" max="3855" width="9.42578125" style="182" customWidth="1"/>
    <col min="3856" max="3856" width="9.140625" style="182" customWidth="1"/>
    <col min="3857" max="4087" width="9" style="182"/>
    <col min="4088" max="4088" width="15.140625" style="182" customWidth="1"/>
    <col min="4089" max="4089" width="8" style="182" customWidth="1"/>
    <col min="4090" max="4090" width="10.42578125" style="182" customWidth="1"/>
    <col min="4091" max="4091" width="4.85546875" style="182" customWidth="1"/>
    <col min="4092" max="4092" width="9.5703125" style="182" customWidth="1"/>
    <col min="4093" max="4093" width="4" style="182" customWidth="1"/>
    <col min="4094" max="4094" width="10.5703125" style="182" customWidth="1"/>
    <col min="4095" max="4095" width="5.85546875" style="182" customWidth="1"/>
    <col min="4096" max="4096" width="10.140625" style="182" customWidth="1"/>
    <col min="4097" max="4097" width="5.140625" style="182" customWidth="1"/>
    <col min="4098" max="4098" width="4.42578125" style="182" customWidth="1"/>
    <col min="4099" max="4099" width="10.140625" style="182" customWidth="1"/>
    <col min="4100" max="4100" width="11.85546875" style="182" customWidth="1"/>
    <col min="4101" max="4101" width="5" style="182" customWidth="1"/>
    <col min="4102" max="4102" width="8.140625" style="182" customWidth="1"/>
    <col min="4103" max="4103" width="9" style="182" customWidth="1"/>
    <col min="4104" max="4104" width="6.42578125" style="182" customWidth="1"/>
    <col min="4105" max="4105" width="11.42578125" style="182" customWidth="1"/>
    <col min="4106" max="4106" width="8.42578125" style="182" customWidth="1"/>
    <col min="4107" max="4107" width="9.140625" style="182" customWidth="1"/>
    <col min="4108" max="4108" width="9" style="182"/>
    <col min="4109" max="4109" width="5.42578125" style="182" customWidth="1"/>
    <col min="4110" max="4110" width="9.5703125" style="182" customWidth="1"/>
    <col min="4111" max="4111" width="9.42578125" style="182" customWidth="1"/>
    <col min="4112" max="4112" width="9.140625" style="182" customWidth="1"/>
    <col min="4113" max="4343" width="9" style="182"/>
    <col min="4344" max="4344" width="15.140625" style="182" customWidth="1"/>
    <col min="4345" max="4345" width="8" style="182" customWidth="1"/>
    <col min="4346" max="4346" width="10.42578125" style="182" customWidth="1"/>
    <col min="4347" max="4347" width="4.85546875" style="182" customWidth="1"/>
    <col min="4348" max="4348" width="9.5703125" style="182" customWidth="1"/>
    <col min="4349" max="4349" width="4" style="182" customWidth="1"/>
    <col min="4350" max="4350" width="10.5703125" style="182" customWidth="1"/>
    <col min="4351" max="4351" width="5.85546875" style="182" customWidth="1"/>
    <col min="4352" max="4352" width="10.140625" style="182" customWidth="1"/>
    <col min="4353" max="4353" width="5.140625" style="182" customWidth="1"/>
    <col min="4354" max="4354" width="4.42578125" style="182" customWidth="1"/>
    <col min="4355" max="4355" width="10.140625" style="182" customWidth="1"/>
    <col min="4356" max="4356" width="11.85546875" style="182" customWidth="1"/>
    <col min="4357" max="4357" width="5" style="182" customWidth="1"/>
    <col min="4358" max="4358" width="8.140625" style="182" customWidth="1"/>
    <col min="4359" max="4359" width="9" style="182" customWidth="1"/>
    <col min="4360" max="4360" width="6.42578125" style="182" customWidth="1"/>
    <col min="4361" max="4361" width="11.42578125" style="182" customWidth="1"/>
    <col min="4362" max="4362" width="8.42578125" style="182" customWidth="1"/>
    <col min="4363" max="4363" width="9.140625" style="182" customWidth="1"/>
    <col min="4364" max="4364" width="9" style="182"/>
    <col min="4365" max="4365" width="5.42578125" style="182" customWidth="1"/>
    <col min="4366" max="4366" width="9.5703125" style="182" customWidth="1"/>
    <col min="4367" max="4367" width="9.42578125" style="182" customWidth="1"/>
    <col min="4368" max="4368" width="9.140625" style="182" customWidth="1"/>
    <col min="4369" max="4599" width="9" style="182"/>
    <col min="4600" max="4600" width="15.140625" style="182" customWidth="1"/>
    <col min="4601" max="4601" width="8" style="182" customWidth="1"/>
    <col min="4602" max="4602" width="10.42578125" style="182" customWidth="1"/>
    <col min="4603" max="4603" width="4.85546875" style="182" customWidth="1"/>
    <col min="4604" max="4604" width="9.5703125" style="182" customWidth="1"/>
    <col min="4605" max="4605" width="4" style="182" customWidth="1"/>
    <col min="4606" max="4606" width="10.5703125" style="182" customWidth="1"/>
    <col min="4607" max="4607" width="5.85546875" style="182" customWidth="1"/>
    <col min="4608" max="4608" width="10.140625" style="182" customWidth="1"/>
    <col min="4609" max="4609" width="5.140625" style="182" customWidth="1"/>
    <col min="4610" max="4610" width="4.42578125" style="182" customWidth="1"/>
    <col min="4611" max="4611" width="10.140625" style="182" customWidth="1"/>
    <col min="4612" max="4612" width="11.85546875" style="182" customWidth="1"/>
    <col min="4613" max="4613" width="5" style="182" customWidth="1"/>
    <col min="4614" max="4614" width="8.140625" style="182" customWidth="1"/>
    <col min="4615" max="4615" width="9" style="182" customWidth="1"/>
    <col min="4616" max="4616" width="6.42578125" style="182" customWidth="1"/>
    <col min="4617" max="4617" width="11.42578125" style="182" customWidth="1"/>
    <col min="4618" max="4618" width="8.42578125" style="182" customWidth="1"/>
    <col min="4619" max="4619" width="9.140625" style="182" customWidth="1"/>
    <col min="4620" max="4620" width="9" style="182"/>
    <col min="4621" max="4621" width="5.42578125" style="182" customWidth="1"/>
    <col min="4622" max="4622" width="9.5703125" style="182" customWidth="1"/>
    <col min="4623" max="4623" width="9.42578125" style="182" customWidth="1"/>
    <col min="4624" max="4624" width="9.140625" style="182" customWidth="1"/>
    <col min="4625" max="4855" width="9" style="182"/>
    <col min="4856" max="4856" width="15.140625" style="182" customWidth="1"/>
    <col min="4857" max="4857" width="8" style="182" customWidth="1"/>
    <col min="4858" max="4858" width="10.42578125" style="182" customWidth="1"/>
    <col min="4859" max="4859" width="4.85546875" style="182" customWidth="1"/>
    <col min="4860" max="4860" width="9.5703125" style="182" customWidth="1"/>
    <col min="4861" max="4861" width="4" style="182" customWidth="1"/>
    <col min="4862" max="4862" width="10.5703125" style="182" customWidth="1"/>
    <col min="4863" max="4863" width="5.85546875" style="182" customWidth="1"/>
    <col min="4864" max="4864" width="10.140625" style="182" customWidth="1"/>
    <col min="4865" max="4865" width="5.140625" style="182" customWidth="1"/>
    <col min="4866" max="4866" width="4.42578125" style="182" customWidth="1"/>
    <col min="4867" max="4867" width="10.140625" style="182" customWidth="1"/>
    <col min="4868" max="4868" width="11.85546875" style="182" customWidth="1"/>
    <col min="4869" max="4869" width="5" style="182" customWidth="1"/>
    <col min="4870" max="4870" width="8.140625" style="182" customWidth="1"/>
    <col min="4871" max="4871" width="9" style="182" customWidth="1"/>
    <col min="4872" max="4872" width="6.42578125" style="182" customWidth="1"/>
    <col min="4873" max="4873" width="11.42578125" style="182" customWidth="1"/>
    <col min="4874" max="4874" width="8.42578125" style="182" customWidth="1"/>
    <col min="4875" max="4875" width="9.140625" style="182" customWidth="1"/>
    <col min="4876" max="4876" width="9" style="182"/>
    <col min="4877" max="4877" width="5.42578125" style="182" customWidth="1"/>
    <col min="4878" max="4878" width="9.5703125" style="182" customWidth="1"/>
    <col min="4879" max="4879" width="9.42578125" style="182" customWidth="1"/>
    <col min="4880" max="4880" width="9.140625" style="182" customWidth="1"/>
    <col min="4881" max="5111" width="9" style="182"/>
    <col min="5112" max="5112" width="15.140625" style="182" customWidth="1"/>
    <col min="5113" max="5113" width="8" style="182" customWidth="1"/>
    <col min="5114" max="5114" width="10.42578125" style="182" customWidth="1"/>
    <col min="5115" max="5115" width="4.85546875" style="182" customWidth="1"/>
    <col min="5116" max="5116" width="9.5703125" style="182" customWidth="1"/>
    <col min="5117" max="5117" width="4" style="182" customWidth="1"/>
    <col min="5118" max="5118" width="10.5703125" style="182" customWidth="1"/>
    <col min="5119" max="5119" width="5.85546875" style="182" customWidth="1"/>
    <col min="5120" max="5120" width="10.140625" style="182" customWidth="1"/>
    <col min="5121" max="5121" width="5.140625" style="182" customWidth="1"/>
    <col min="5122" max="5122" width="4.42578125" style="182" customWidth="1"/>
    <col min="5123" max="5123" width="10.140625" style="182" customWidth="1"/>
    <col min="5124" max="5124" width="11.85546875" style="182" customWidth="1"/>
    <col min="5125" max="5125" width="5" style="182" customWidth="1"/>
    <col min="5126" max="5126" width="8.140625" style="182" customWidth="1"/>
    <col min="5127" max="5127" width="9" style="182" customWidth="1"/>
    <col min="5128" max="5128" width="6.42578125" style="182" customWidth="1"/>
    <col min="5129" max="5129" width="11.42578125" style="182" customWidth="1"/>
    <col min="5130" max="5130" width="8.42578125" style="182" customWidth="1"/>
    <col min="5131" max="5131" width="9.140625" style="182" customWidth="1"/>
    <col min="5132" max="5132" width="9" style="182"/>
    <col min="5133" max="5133" width="5.42578125" style="182" customWidth="1"/>
    <col min="5134" max="5134" width="9.5703125" style="182" customWidth="1"/>
    <col min="5135" max="5135" width="9.42578125" style="182" customWidth="1"/>
    <col min="5136" max="5136" width="9.140625" style="182" customWidth="1"/>
    <col min="5137" max="5367" width="9" style="182"/>
    <col min="5368" max="5368" width="15.140625" style="182" customWidth="1"/>
    <col min="5369" max="5369" width="8" style="182" customWidth="1"/>
    <col min="5370" max="5370" width="10.42578125" style="182" customWidth="1"/>
    <col min="5371" max="5371" width="4.85546875" style="182" customWidth="1"/>
    <col min="5372" max="5372" width="9.5703125" style="182" customWidth="1"/>
    <col min="5373" max="5373" width="4" style="182" customWidth="1"/>
    <col min="5374" max="5374" width="10.5703125" style="182" customWidth="1"/>
    <col min="5375" max="5375" width="5.85546875" style="182" customWidth="1"/>
    <col min="5376" max="5376" width="10.140625" style="182" customWidth="1"/>
    <col min="5377" max="5377" width="5.140625" style="182" customWidth="1"/>
    <col min="5378" max="5378" width="4.42578125" style="182" customWidth="1"/>
    <col min="5379" max="5379" width="10.140625" style="182" customWidth="1"/>
    <col min="5380" max="5380" width="11.85546875" style="182" customWidth="1"/>
    <col min="5381" max="5381" width="5" style="182" customWidth="1"/>
    <col min="5382" max="5382" width="8.140625" style="182" customWidth="1"/>
    <col min="5383" max="5383" width="9" style="182" customWidth="1"/>
    <col min="5384" max="5384" width="6.42578125" style="182" customWidth="1"/>
    <col min="5385" max="5385" width="11.42578125" style="182" customWidth="1"/>
    <col min="5386" max="5386" width="8.42578125" style="182" customWidth="1"/>
    <col min="5387" max="5387" width="9.140625" style="182" customWidth="1"/>
    <col min="5388" max="5388" width="9" style="182"/>
    <col min="5389" max="5389" width="5.42578125" style="182" customWidth="1"/>
    <col min="5390" max="5390" width="9.5703125" style="182" customWidth="1"/>
    <col min="5391" max="5391" width="9.42578125" style="182" customWidth="1"/>
    <col min="5392" max="5392" width="9.140625" style="182" customWidth="1"/>
    <col min="5393" max="5623" width="9" style="182"/>
    <col min="5624" max="5624" width="15.140625" style="182" customWidth="1"/>
    <col min="5625" max="5625" width="8" style="182" customWidth="1"/>
    <col min="5626" max="5626" width="10.42578125" style="182" customWidth="1"/>
    <col min="5627" max="5627" width="4.85546875" style="182" customWidth="1"/>
    <col min="5628" max="5628" width="9.5703125" style="182" customWidth="1"/>
    <col min="5629" max="5629" width="4" style="182" customWidth="1"/>
    <col min="5630" max="5630" width="10.5703125" style="182" customWidth="1"/>
    <col min="5631" max="5631" width="5.85546875" style="182" customWidth="1"/>
    <col min="5632" max="5632" width="10.140625" style="182" customWidth="1"/>
    <col min="5633" max="5633" width="5.140625" style="182" customWidth="1"/>
    <col min="5634" max="5634" width="4.42578125" style="182" customWidth="1"/>
    <col min="5635" max="5635" width="10.140625" style="182" customWidth="1"/>
    <col min="5636" max="5636" width="11.85546875" style="182" customWidth="1"/>
    <col min="5637" max="5637" width="5" style="182" customWidth="1"/>
    <col min="5638" max="5638" width="8.140625" style="182" customWidth="1"/>
    <col min="5639" max="5639" width="9" style="182" customWidth="1"/>
    <col min="5640" max="5640" width="6.42578125" style="182" customWidth="1"/>
    <col min="5641" max="5641" width="11.42578125" style="182" customWidth="1"/>
    <col min="5642" max="5642" width="8.42578125" style="182" customWidth="1"/>
    <col min="5643" max="5643" width="9.140625" style="182" customWidth="1"/>
    <col min="5644" max="5644" width="9" style="182"/>
    <col min="5645" max="5645" width="5.42578125" style="182" customWidth="1"/>
    <col min="5646" max="5646" width="9.5703125" style="182" customWidth="1"/>
    <col min="5647" max="5647" width="9.42578125" style="182" customWidth="1"/>
    <col min="5648" max="5648" width="9.140625" style="182" customWidth="1"/>
    <col min="5649" max="5879" width="9" style="182"/>
    <col min="5880" max="5880" width="15.140625" style="182" customWidth="1"/>
    <col min="5881" max="5881" width="8" style="182" customWidth="1"/>
    <col min="5882" max="5882" width="10.42578125" style="182" customWidth="1"/>
    <col min="5883" max="5883" width="4.85546875" style="182" customWidth="1"/>
    <col min="5884" max="5884" width="9.5703125" style="182" customWidth="1"/>
    <col min="5885" max="5885" width="4" style="182" customWidth="1"/>
    <col min="5886" max="5886" width="10.5703125" style="182" customWidth="1"/>
    <col min="5887" max="5887" width="5.85546875" style="182" customWidth="1"/>
    <col min="5888" max="5888" width="10.140625" style="182" customWidth="1"/>
    <col min="5889" max="5889" width="5.140625" style="182" customWidth="1"/>
    <col min="5890" max="5890" width="4.42578125" style="182" customWidth="1"/>
    <col min="5891" max="5891" width="10.140625" style="182" customWidth="1"/>
    <col min="5892" max="5892" width="11.85546875" style="182" customWidth="1"/>
    <col min="5893" max="5893" width="5" style="182" customWidth="1"/>
    <col min="5894" max="5894" width="8.140625" style="182" customWidth="1"/>
    <col min="5895" max="5895" width="9" style="182" customWidth="1"/>
    <col min="5896" max="5896" width="6.42578125" style="182" customWidth="1"/>
    <col min="5897" max="5897" width="11.42578125" style="182" customWidth="1"/>
    <col min="5898" max="5898" width="8.42578125" style="182" customWidth="1"/>
    <col min="5899" max="5899" width="9.140625" style="182" customWidth="1"/>
    <col min="5900" max="5900" width="9" style="182"/>
    <col min="5901" max="5901" width="5.42578125" style="182" customWidth="1"/>
    <col min="5902" max="5902" width="9.5703125" style="182" customWidth="1"/>
    <col min="5903" max="5903" width="9.42578125" style="182" customWidth="1"/>
    <col min="5904" max="5904" width="9.140625" style="182" customWidth="1"/>
    <col min="5905" max="6135" width="9" style="182"/>
    <col min="6136" max="6136" width="15.140625" style="182" customWidth="1"/>
    <col min="6137" max="6137" width="8" style="182" customWidth="1"/>
    <col min="6138" max="6138" width="10.42578125" style="182" customWidth="1"/>
    <col min="6139" max="6139" width="4.85546875" style="182" customWidth="1"/>
    <col min="6140" max="6140" width="9.5703125" style="182" customWidth="1"/>
    <col min="6141" max="6141" width="4" style="182" customWidth="1"/>
    <col min="6142" max="6142" width="10.5703125" style="182" customWidth="1"/>
    <col min="6143" max="6143" width="5.85546875" style="182" customWidth="1"/>
    <col min="6144" max="6144" width="10.140625" style="182" customWidth="1"/>
    <col min="6145" max="6145" width="5.140625" style="182" customWidth="1"/>
    <col min="6146" max="6146" width="4.42578125" style="182" customWidth="1"/>
    <col min="6147" max="6147" width="10.140625" style="182" customWidth="1"/>
    <col min="6148" max="6148" width="11.85546875" style="182" customWidth="1"/>
    <col min="6149" max="6149" width="5" style="182" customWidth="1"/>
    <col min="6150" max="6150" width="8.140625" style="182" customWidth="1"/>
    <col min="6151" max="6151" width="9" style="182" customWidth="1"/>
    <col min="6152" max="6152" width="6.42578125" style="182" customWidth="1"/>
    <col min="6153" max="6153" width="11.42578125" style="182" customWidth="1"/>
    <col min="6154" max="6154" width="8.42578125" style="182" customWidth="1"/>
    <col min="6155" max="6155" width="9.140625" style="182" customWidth="1"/>
    <col min="6156" max="6156" width="9" style="182"/>
    <col min="6157" max="6157" width="5.42578125" style="182" customWidth="1"/>
    <col min="6158" max="6158" width="9.5703125" style="182" customWidth="1"/>
    <col min="6159" max="6159" width="9.42578125" style="182" customWidth="1"/>
    <col min="6160" max="6160" width="9.140625" style="182" customWidth="1"/>
    <col min="6161" max="6391" width="9" style="182"/>
    <col min="6392" max="6392" width="15.140625" style="182" customWidth="1"/>
    <col min="6393" max="6393" width="8" style="182" customWidth="1"/>
    <col min="6394" max="6394" width="10.42578125" style="182" customWidth="1"/>
    <col min="6395" max="6395" width="4.85546875" style="182" customWidth="1"/>
    <col min="6396" max="6396" width="9.5703125" style="182" customWidth="1"/>
    <col min="6397" max="6397" width="4" style="182" customWidth="1"/>
    <col min="6398" max="6398" width="10.5703125" style="182" customWidth="1"/>
    <col min="6399" max="6399" width="5.85546875" style="182" customWidth="1"/>
    <col min="6400" max="6400" width="10.140625" style="182" customWidth="1"/>
    <col min="6401" max="6401" width="5.140625" style="182" customWidth="1"/>
    <col min="6402" max="6402" width="4.42578125" style="182" customWidth="1"/>
    <col min="6403" max="6403" width="10.140625" style="182" customWidth="1"/>
    <col min="6404" max="6404" width="11.85546875" style="182" customWidth="1"/>
    <col min="6405" max="6405" width="5" style="182" customWidth="1"/>
    <col min="6406" max="6406" width="8.140625" style="182" customWidth="1"/>
    <col min="6407" max="6407" width="9" style="182" customWidth="1"/>
    <col min="6408" max="6408" width="6.42578125" style="182" customWidth="1"/>
    <col min="6409" max="6409" width="11.42578125" style="182" customWidth="1"/>
    <col min="6410" max="6410" width="8.42578125" style="182" customWidth="1"/>
    <col min="6411" max="6411" width="9.140625" style="182" customWidth="1"/>
    <col min="6412" max="6412" width="9" style="182"/>
    <col min="6413" max="6413" width="5.42578125" style="182" customWidth="1"/>
    <col min="6414" max="6414" width="9.5703125" style="182" customWidth="1"/>
    <col min="6415" max="6415" width="9.42578125" style="182" customWidth="1"/>
    <col min="6416" max="6416" width="9.140625" style="182" customWidth="1"/>
    <col min="6417" max="6647" width="9" style="182"/>
    <col min="6648" max="6648" width="15.140625" style="182" customWidth="1"/>
    <col min="6649" max="6649" width="8" style="182" customWidth="1"/>
    <col min="6650" max="6650" width="10.42578125" style="182" customWidth="1"/>
    <col min="6651" max="6651" width="4.85546875" style="182" customWidth="1"/>
    <col min="6652" max="6652" width="9.5703125" style="182" customWidth="1"/>
    <col min="6653" max="6653" width="4" style="182" customWidth="1"/>
    <col min="6654" max="6654" width="10.5703125" style="182" customWidth="1"/>
    <col min="6655" max="6655" width="5.85546875" style="182" customWidth="1"/>
    <col min="6656" max="6656" width="10.140625" style="182" customWidth="1"/>
    <col min="6657" max="6657" width="5.140625" style="182" customWidth="1"/>
    <col min="6658" max="6658" width="4.42578125" style="182" customWidth="1"/>
    <col min="6659" max="6659" width="10.140625" style="182" customWidth="1"/>
    <col min="6660" max="6660" width="11.85546875" style="182" customWidth="1"/>
    <col min="6661" max="6661" width="5" style="182" customWidth="1"/>
    <col min="6662" max="6662" width="8.140625" style="182" customWidth="1"/>
    <col min="6663" max="6663" width="9" style="182" customWidth="1"/>
    <col min="6664" max="6664" width="6.42578125" style="182" customWidth="1"/>
    <col min="6665" max="6665" width="11.42578125" style="182" customWidth="1"/>
    <col min="6666" max="6666" width="8.42578125" style="182" customWidth="1"/>
    <col min="6667" max="6667" width="9.140625" style="182" customWidth="1"/>
    <col min="6668" max="6668" width="9" style="182"/>
    <col min="6669" max="6669" width="5.42578125" style="182" customWidth="1"/>
    <col min="6670" max="6670" width="9.5703125" style="182" customWidth="1"/>
    <col min="6671" max="6671" width="9.42578125" style="182" customWidth="1"/>
    <col min="6672" max="6672" width="9.140625" style="182" customWidth="1"/>
    <col min="6673" max="6903" width="9" style="182"/>
    <col min="6904" max="6904" width="15.140625" style="182" customWidth="1"/>
    <col min="6905" max="6905" width="8" style="182" customWidth="1"/>
    <col min="6906" max="6906" width="10.42578125" style="182" customWidth="1"/>
    <col min="6907" max="6907" width="4.85546875" style="182" customWidth="1"/>
    <col min="6908" max="6908" width="9.5703125" style="182" customWidth="1"/>
    <col min="6909" max="6909" width="4" style="182" customWidth="1"/>
    <col min="6910" max="6910" width="10.5703125" style="182" customWidth="1"/>
    <col min="6911" max="6911" width="5.85546875" style="182" customWidth="1"/>
    <col min="6912" max="6912" width="10.140625" style="182" customWidth="1"/>
    <col min="6913" max="6913" width="5.140625" style="182" customWidth="1"/>
    <col min="6914" max="6914" width="4.42578125" style="182" customWidth="1"/>
    <col min="6915" max="6915" width="10.140625" style="182" customWidth="1"/>
    <col min="6916" max="6916" width="11.85546875" style="182" customWidth="1"/>
    <col min="6917" max="6917" width="5" style="182" customWidth="1"/>
    <col min="6918" max="6918" width="8.140625" style="182" customWidth="1"/>
    <col min="6919" max="6919" width="9" style="182" customWidth="1"/>
    <col min="6920" max="6920" width="6.42578125" style="182" customWidth="1"/>
    <col min="6921" max="6921" width="11.42578125" style="182" customWidth="1"/>
    <col min="6922" max="6922" width="8.42578125" style="182" customWidth="1"/>
    <col min="6923" max="6923" width="9.140625" style="182" customWidth="1"/>
    <col min="6924" max="6924" width="9" style="182"/>
    <col min="6925" max="6925" width="5.42578125" style="182" customWidth="1"/>
    <col min="6926" max="6926" width="9.5703125" style="182" customWidth="1"/>
    <col min="6927" max="6927" width="9.42578125" style="182" customWidth="1"/>
    <col min="6928" max="6928" width="9.140625" style="182" customWidth="1"/>
    <col min="6929" max="7159" width="9" style="182"/>
    <col min="7160" max="7160" width="15.140625" style="182" customWidth="1"/>
    <col min="7161" max="7161" width="8" style="182" customWidth="1"/>
    <col min="7162" max="7162" width="10.42578125" style="182" customWidth="1"/>
    <col min="7163" max="7163" width="4.85546875" style="182" customWidth="1"/>
    <col min="7164" max="7164" width="9.5703125" style="182" customWidth="1"/>
    <col min="7165" max="7165" width="4" style="182" customWidth="1"/>
    <col min="7166" max="7166" width="10.5703125" style="182" customWidth="1"/>
    <col min="7167" max="7167" width="5.85546875" style="182" customWidth="1"/>
    <col min="7168" max="7168" width="10.140625" style="182" customWidth="1"/>
    <col min="7169" max="7169" width="5.140625" style="182" customWidth="1"/>
    <col min="7170" max="7170" width="4.42578125" style="182" customWidth="1"/>
    <col min="7171" max="7171" width="10.140625" style="182" customWidth="1"/>
    <col min="7172" max="7172" width="11.85546875" style="182" customWidth="1"/>
    <col min="7173" max="7173" width="5" style="182" customWidth="1"/>
    <col min="7174" max="7174" width="8.140625" style="182" customWidth="1"/>
    <col min="7175" max="7175" width="9" style="182" customWidth="1"/>
    <col min="7176" max="7176" width="6.42578125" style="182" customWidth="1"/>
    <col min="7177" max="7177" width="11.42578125" style="182" customWidth="1"/>
    <col min="7178" max="7178" width="8.42578125" style="182" customWidth="1"/>
    <col min="7179" max="7179" width="9.140625" style="182" customWidth="1"/>
    <col min="7180" max="7180" width="9" style="182"/>
    <col min="7181" max="7181" width="5.42578125" style="182" customWidth="1"/>
    <col min="7182" max="7182" width="9.5703125" style="182" customWidth="1"/>
    <col min="7183" max="7183" width="9.42578125" style="182" customWidth="1"/>
    <col min="7184" max="7184" width="9.140625" style="182" customWidth="1"/>
    <col min="7185" max="7415" width="9" style="182"/>
    <col min="7416" max="7416" width="15.140625" style="182" customWidth="1"/>
    <col min="7417" max="7417" width="8" style="182" customWidth="1"/>
    <col min="7418" max="7418" width="10.42578125" style="182" customWidth="1"/>
    <col min="7419" max="7419" width="4.85546875" style="182" customWidth="1"/>
    <col min="7420" max="7420" width="9.5703125" style="182" customWidth="1"/>
    <col min="7421" max="7421" width="4" style="182" customWidth="1"/>
    <col min="7422" max="7422" width="10.5703125" style="182" customWidth="1"/>
    <col min="7423" max="7423" width="5.85546875" style="182" customWidth="1"/>
    <col min="7424" max="7424" width="10.140625" style="182" customWidth="1"/>
    <col min="7425" max="7425" width="5.140625" style="182" customWidth="1"/>
    <col min="7426" max="7426" width="4.42578125" style="182" customWidth="1"/>
    <col min="7427" max="7427" width="10.140625" style="182" customWidth="1"/>
    <col min="7428" max="7428" width="11.85546875" style="182" customWidth="1"/>
    <col min="7429" max="7429" width="5" style="182" customWidth="1"/>
    <col min="7430" max="7430" width="8.140625" style="182" customWidth="1"/>
    <col min="7431" max="7431" width="9" style="182" customWidth="1"/>
    <col min="7432" max="7432" width="6.42578125" style="182" customWidth="1"/>
    <col min="7433" max="7433" width="11.42578125" style="182" customWidth="1"/>
    <col min="7434" max="7434" width="8.42578125" style="182" customWidth="1"/>
    <col min="7435" max="7435" width="9.140625" style="182" customWidth="1"/>
    <col min="7436" max="7436" width="9" style="182"/>
    <col min="7437" max="7437" width="5.42578125" style="182" customWidth="1"/>
    <col min="7438" max="7438" width="9.5703125" style="182" customWidth="1"/>
    <col min="7439" max="7439" width="9.42578125" style="182" customWidth="1"/>
    <col min="7440" max="7440" width="9.140625" style="182" customWidth="1"/>
    <col min="7441" max="7671" width="9" style="182"/>
    <col min="7672" max="7672" width="15.140625" style="182" customWidth="1"/>
    <col min="7673" max="7673" width="8" style="182" customWidth="1"/>
    <col min="7674" max="7674" width="10.42578125" style="182" customWidth="1"/>
    <col min="7675" max="7675" width="4.85546875" style="182" customWidth="1"/>
    <col min="7676" max="7676" width="9.5703125" style="182" customWidth="1"/>
    <col min="7677" max="7677" width="4" style="182" customWidth="1"/>
    <col min="7678" max="7678" width="10.5703125" style="182" customWidth="1"/>
    <col min="7679" max="7679" width="5.85546875" style="182" customWidth="1"/>
    <col min="7680" max="7680" width="10.140625" style="182" customWidth="1"/>
    <col min="7681" max="7681" width="5.140625" style="182" customWidth="1"/>
    <col min="7682" max="7682" width="4.42578125" style="182" customWidth="1"/>
    <col min="7683" max="7683" width="10.140625" style="182" customWidth="1"/>
    <col min="7684" max="7684" width="11.85546875" style="182" customWidth="1"/>
    <col min="7685" max="7685" width="5" style="182" customWidth="1"/>
    <col min="7686" max="7686" width="8.140625" style="182" customWidth="1"/>
    <col min="7687" max="7687" width="9" style="182" customWidth="1"/>
    <col min="7688" max="7688" width="6.42578125" style="182" customWidth="1"/>
    <col min="7689" max="7689" width="11.42578125" style="182" customWidth="1"/>
    <col min="7690" max="7690" width="8.42578125" style="182" customWidth="1"/>
    <col min="7691" max="7691" width="9.140625" style="182" customWidth="1"/>
    <col min="7692" max="7692" width="9" style="182"/>
    <col min="7693" max="7693" width="5.42578125" style="182" customWidth="1"/>
    <col min="7694" max="7694" width="9.5703125" style="182" customWidth="1"/>
    <col min="7695" max="7695" width="9.42578125" style="182" customWidth="1"/>
    <col min="7696" max="7696" width="9.140625" style="182" customWidth="1"/>
    <col min="7697" max="7927" width="9" style="182"/>
    <col min="7928" max="7928" width="15.140625" style="182" customWidth="1"/>
    <col min="7929" max="7929" width="8" style="182" customWidth="1"/>
    <col min="7930" max="7930" width="10.42578125" style="182" customWidth="1"/>
    <col min="7931" max="7931" width="4.85546875" style="182" customWidth="1"/>
    <col min="7932" max="7932" width="9.5703125" style="182" customWidth="1"/>
    <col min="7933" max="7933" width="4" style="182" customWidth="1"/>
    <col min="7934" max="7934" width="10.5703125" style="182" customWidth="1"/>
    <col min="7935" max="7935" width="5.85546875" style="182" customWidth="1"/>
    <col min="7936" max="7936" width="10.140625" style="182" customWidth="1"/>
    <col min="7937" max="7937" width="5.140625" style="182" customWidth="1"/>
    <col min="7938" max="7938" width="4.42578125" style="182" customWidth="1"/>
    <col min="7939" max="7939" width="10.140625" style="182" customWidth="1"/>
    <col min="7940" max="7940" width="11.85546875" style="182" customWidth="1"/>
    <col min="7941" max="7941" width="5" style="182" customWidth="1"/>
    <col min="7942" max="7942" width="8.140625" style="182" customWidth="1"/>
    <col min="7943" max="7943" width="9" style="182" customWidth="1"/>
    <col min="7944" max="7944" width="6.42578125" style="182" customWidth="1"/>
    <col min="7945" max="7945" width="11.42578125" style="182" customWidth="1"/>
    <col min="7946" max="7946" width="8.42578125" style="182" customWidth="1"/>
    <col min="7947" max="7947" width="9.140625" style="182" customWidth="1"/>
    <col min="7948" max="7948" width="9" style="182"/>
    <col min="7949" max="7949" width="5.42578125" style="182" customWidth="1"/>
    <col min="7950" max="7950" width="9.5703125" style="182" customWidth="1"/>
    <col min="7951" max="7951" width="9.42578125" style="182" customWidth="1"/>
    <col min="7952" max="7952" width="9.140625" style="182" customWidth="1"/>
    <col min="7953" max="8183" width="9" style="182"/>
    <col min="8184" max="8184" width="15.140625" style="182" customWidth="1"/>
    <col min="8185" max="8185" width="8" style="182" customWidth="1"/>
    <col min="8186" max="8186" width="10.42578125" style="182" customWidth="1"/>
    <col min="8187" max="8187" width="4.85546875" style="182" customWidth="1"/>
    <col min="8188" max="8188" width="9.5703125" style="182" customWidth="1"/>
    <col min="8189" max="8189" width="4" style="182" customWidth="1"/>
    <col min="8190" max="8190" width="10.5703125" style="182" customWidth="1"/>
    <col min="8191" max="8191" width="5.85546875" style="182" customWidth="1"/>
    <col min="8192" max="8192" width="10.140625" style="182" customWidth="1"/>
    <col min="8193" max="8193" width="5.140625" style="182" customWidth="1"/>
    <col min="8194" max="8194" width="4.42578125" style="182" customWidth="1"/>
    <col min="8195" max="8195" width="10.140625" style="182" customWidth="1"/>
    <col min="8196" max="8196" width="11.85546875" style="182" customWidth="1"/>
    <col min="8197" max="8197" width="5" style="182" customWidth="1"/>
    <col min="8198" max="8198" width="8.140625" style="182" customWidth="1"/>
    <col min="8199" max="8199" width="9" style="182" customWidth="1"/>
    <col min="8200" max="8200" width="6.42578125" style="182" customWidth="1"/>
    <col min="8201" max="8201" width="11.42578125" style="182" customWidth="1"/>
    <col min="8202" max="8202" width="8.42578125" style="182" customWidth="1"/>
    <col min="8203" max="8203" width="9.140625" style="182" customWidth="1"/>
    <col min="8204" max="8204" width="9" style="182"/>
    <col min="8205" max="8205" width="5.42578125" style="182" customWidth="1"/>
    <col min="8206" max="8206" width="9.5703125" style="182" customWidth="1"/>
    <col min="8207" max="8207" width="9.42578125" style="182" customWidth="1"/>
    <col min="8208" max="8208" width="9.140625" style="182" customWidth="1"/>
    <col min="8209" max="8439" width="9" style="182"/>
    <col min="8440" max="8440" width="15.140625" style="182" customWidth="1"/>
    <col min="8441" max="8441" width="8" style="182" customWidth="1"/>
    <col min="8442" max="8442" width="10.42578125" style="182" customWidth="1"/>
    <col min="8443" max="8443" width="4.85546875" style="182" customWidth="1"/>
    <col min="8444" max="8444" width="9.5703125" style="182" customWidth="1"/>
    <col min="8445" max="8445" width="4" style="182" customWidth="1"/>
    <col min="8446" max="8446" width="10.5703125" style="182" customWidth="1"/>
    <col min="8447" max="8447" width="5.85546875" style="182" customWidth="1"/>
    <col min="8448" max="8448" width="10.140625" style="182" customWidth="1"/>
    <col min="8449" max="8449" width="5.140625" style="182" customWidth="1"/>
    <col min="8450" max="8450" width="4.42578125" style="182" customWidth="1"/>
    <col min="8451" max="8451" width="10.140625" style="182" customWidth="1"/>
    <col min="8452" max="8452" width="11.85546875" style="182" customWidth="1"/>
    <col min="8453" max="8453" width="5" style="182" customWidth="1"/>
    <col min="8454" max="8454" width="8.140625" style="182" customWidth="1"/>
    <col min="8455" max="8455" width="9" style="182" customWidth="1"/>
    <col min="8456" max="8456" width="6.42578125" style="182" customWidth="1"/>
    <col min="8457" max="8457" width="11.42578125" style="182" customWidth="1"/>
    <col min="8458" max="8458" width="8.42578125" style="182" customWidth="1"/>
    <col min="8459" max="8459" width="9.140625" style="182" customWidth="1"/>
    <col min="8460" max="8460" width="9" style="182"/>
    <col min="8461" max="8461" width="5.42578125" style="182" customWidth="1"/>
    <col min="8462" max="8462" width="9.5703125" style="182" customWidth="1"/>
    <col min="8463" max="8463" width="9.42578125" style="182" customWidth="1"/>
    <col min="8464" max="8464" width="9.140625" style="182" customWidth="1"/>
    <col min="8465" max="8695" width="9" style="182"/>
    <col min="8696" max="8696" width="15.140625" style="182" customWidth="1"/>
    <col min="8697" max="8697" width="8" style="182" customWidth="1"/>
    <col min="8698" max="8698" width="10.42578125" style="182" customWidth="1"/>
    <col min="8699" max="8699" width="4.85546875" style="182" customWidth="1"/>
    <col min="8700" max="8700" width="9.5703125" style="182" customWidth="1"/>
    <col min="8701" max="8701" width="4" style="182" customWidth="1"/>
    <col min="8702" max="8702" width="10.5703125" style="182" customWidth="1"/>
    <col min="8703" max="8703" width="5.85546875" style="182" customWidth="1"/>
    <col min="8704" max="8704" width="10.140625" style="182" customWidth="1"/>
    <col min="8705" max="8705" width="5.140625" style="182" customWidth="1"/>
    <col min="8706" max="8706" width="4.42578125" style="182" customWidth="1"/>
    <col min="8707" max="8707" width="10.140625" style="182" customWidth="1"/>
    <col min="8708" max="8708" width="11.85546875" style="182" customWidth="1"/>
    <col min="8709" max="8709" width="5" style="182" customWidth="1"/>
    <col min="8710" max="8710" width="8.140625" style="182" customWidth="1"/>
    <col min="8711" max="8711" width="9" style="182" customWidth="1"/>
    <col min="8712" max="8712" width="6.42578125" style="182" customWidth="1"/>
    <col min="8713" max="8713" width="11.42578125" style="182" customWidth="1"/>
    <col min="8714" max="8714" width="8.42578125" style="182" customWidth="1"/>
    <col min="8715" max="8715" width="9.140625" style="182" customWidth="1"/>
    <col min="8716" max="8716" width="9" style="182"/>
    <col min="8717" max="8717" width="5.42578125" style="182" customWidth="1"/>
    <col min="8718" max="8718" width="9.5703125" style="182" customWidth="1"/>
    <col min="8719" max="8719" width="9.42578125" style="182" customWidth="1"/>
    <col min="8720" max="8720" width="9.140625" style="182" customWidth="1"/>
    <col min="8721" max="8951" width="9" style="182"/>
    <col min="8952" max="8952" width="15.140625" style="182" customWidth="1"/>
    <col min="8953" max="8953" width="8" style="182" customWidth="1"/>
    <col min="8954" max="8954" width="10.42578125" style="182" customWidth="1"/>
    <col min="8955" max="8955" width="4.85546875" style="182" customWidth="1"/>
    <col min="8956" max="8956" width="9.5703125" style="182" customWidth="1"/>
    <col min="8957" max="8957" width="4" style="182" customWidth="1"/>
    <col min="8958" max="8958" width="10.5703125" style="182" customWidth="1"/>
    <col min="8959" max="8959" width="5.85546875" style="182" customWidth="1"/>
    <col min="8960" max="8960" width="10.140625" style="182" customWidth="1"/>
    <col min="8961" max="8961" width="5.140625" style="182" customWidth="1"/>
    <col min="8962" max="8962" width="4.42578125" style="182" customWidth="1"/>
    <col min="8963" max="8963" width="10.140625" style="182" customWidth="1"/>
    <col min="8964" max="8964" width="11.85546875" style="182" customWidth="1"/>
    <col min="8965" max="8965" width="5" style="182" customWidth="1"/>
    <col min="8966" max="8966" width="8.140625" style="182" customWidth="1"/>
    <col min="8967" max="8967" width="9" style="182" customWidth="1"/>
    <col min="8968" max="8968" width="6.42578125" style="182" customWidth="1"/>
    <col min="8969" max="8969" width="11.42578125" style="182" customWidth="1"/>
    <col min="8970" max="8970" width="8.42578125" style="182" customWidth="1"/>
    <col min="8971" max="8971" width="9.140625" style="182" customWidth="1"/>
    <col min="8972" max="8972" width="9" style="182"/>
    <col min="8973" max="8973" width="5.42578125" style="182" customWidth="1"/>
    <col min="8974" max="8974" width="9.5703125" style="182" customWidth="1"/>
    <col min="8975" max="8975" width="9.42578125" style="182" customWidth="1"/>
    <col min="8976" max="8976" width="9.140625" style="182" customWidth="1"/>
    <col min="8977" max="9207" width="9" style="182"/>
    <col min="9208" max="9208" width="15.140625" style="182" customWidth="1"/>
    <col min="9209" max="9209" width="8" style="182" customWidth="1"/>
    <col min="9210" max="9210" width="10.42578125" style="182" customWidth="1"/>
    <col min="9211" max="9211" width="4.85546875" style="182" customWidth="1"/>
    <col min="9212" max="9212" width="9.5703125" style="182" customWidth="1"/>
    <col min="9213" max="9213" width="4" style="182" customWidth="1"/>
    <col min="9214" max="9214" width="10.5703125" style="182" customWidth="1"/>
    <col min="9215" max="9215" width="5.85546875" style="182" customWidth="1"/>
    <col min="9216" max="9216" width="10.140625" style="182" customWidth="1"/>
    <col min="9217" max="9217" width="5.140625" style="182" customWidth="1"/>
    <col min="9218" max="9218" width="4.42578125" style="182" customWidth="1"/>
    <col min="9219" max="9219" width="10.140625" style="182" customWidth="1"/>
    <col min="9220" max="9220" width="11.85546875" style="182" customWidth="1"/>
    <col min="9221" max="9221" width="5" style="182" customWidth="1"/>
    <col min="9222" max="9222" width="8.140625" style="182" customWidth="1"/>
    <col min="9223" max="9223" width="9" style="182" customWidth="1"/>
    <col min="9224" max="9224" width="6.42578125" style="182" customWidth="1"/>
    <col min="9225" max="9225" width="11.42578125" style="182" customWidth="1"/>
    <col min="9226" max="9226" width="8.42578125" style="182" customWidth="1"/>
    <col min="9227" max="9227" width="9.140625" style="182" customWidth="1"/>
    <col min="9228" max="9228" width="9" style="182"/>
    <col min="9229" max="9229" width="5.42578125" style="182" customWidth="1"/>
    <col min="9230" max="9230" width="9.5703125" style="182" customWidth="1"/>
    <col min="9231" max="9231" width="9.42578125" style="182" customWidth="1"/>
    <col min="9232" max="9232" width="9.140625" style="182" customWidth="1"/>
    <col min="9233" max="9463" width="9" style="182"/>
    <col min="9464" max="9464" width="15.140625" style="182" customWidth="1"/>
    <col min="9465" max="9465" width="8" style="182" customWidth="1"/>
    <col min="9466" max="9466" width="10.42578125" style="182" customWidth="1"/>
    <col min="9467" max="9467" width="4.85546875" style="182" customWidth="1"/>
    <col min="9468" max="9468" width="9.5703125" style="182" customWidth="1"/>
    <col min="9469" max="9469" width="4" style="182" customWidth="1"/>
    <col min="9470" max="9470" width="10.5703125" style="182" customWidth="1"/>
    <col min="9471" max="9471" width="5.85546875" style="182" customWidth="1"/>
    <col min="9472" max="9472" width="10.140625" style="182" customWidth="1"/>
    <col min="9473" max="9473" width="5.140625" style="182" customWidth="1"/>
    <col min="9474" max="9474" width="4.42578125" style="182" customWidth="1"/>
    <col min="9475" max="9475" width="10.140625" style="182" customWidth="1"/>
    <col min="9476" max="9476" width="11.85546875" style="182" customWidth="1"/>
    <col min="9477" max="9477" width="5" style="182" customWidth="1"/>
    <col min="9478" max="9478" width="8.140625" style="182" customWidth="1"/>
    <col min="9479" max="9479" width="9" style="182" customWidth="1"/>
    <col min="9480" max="9480" width="6.42578125" style="182" customWidth="1"/>
    <col min="9481" max="9481" width="11.42578125" style="182" customWidth="1"/>
    <col min="9482" max="9482" width="8.42578125" style="182" customWidth="1"/>
    <col min="9483" max="9483" width="9.140625" style="182" customWidth="1"/>
    <col min="9484" max="9484" width="9" style="182"/>
    <col min="9485" max="9485" width="5.42578125" style="182" customWidth="1"/>
    <col min="9486" max="9486" width="9.5703125" style="182" customWidth="1"/>
    <col min="9487" max="9487" width="9.42578125" style="182" customWidth="1"/>
    <col min="9488" max="9488" width="9.140625" style="182" customWidth="1"/>
    <col min="9489" max="9719" width="9" style="182"/>
    <col min="9720" max="9720" width="15.140625" style="182" customWidth="1"/>
    <col min="9721" max="9721" width="8" style="182" customWidth="1"/>
    <col min="9722" max="9722" width="10.42578125" style="182" customWidth="1"/>
    <col min="9723" max="9723" width="4.85546875" style="182" customWidth="1"/>
    <col min="9724" max="9724" width="9.5703125" style="182" customWidth="1"/>
    <col min="9725" max="9725" width="4" style="182" customWidth="1"/>
    <col min="9726" max="9726" width="10.5703125" style="182" customWidth="1"/>
    <col min="9727" max="9727" width="5.85546875" style="182" customWidth="1"/>
    <col min="9728" max="9728" width="10.140625" style="182" customWidth="1"/>
    <col min="9729" max="9729" width="5.140625" style="182" customWidth="1"/>
    <col min="9730" max="9730" width="4.42578125" style="182" customWidth="1"/>
    <col min="9731" max="9731" width="10.140625" style="182" customWidth="1"/>
    <col min="9732" max="9732" width="11.85546875" style="182" customWidth="1"/>
    <col min="9733" max="9733" width="5" style="182" customWidth="1"/>
    <col min="9734" max="9734" width="8.140625" style="182" customWidth="1"/>
    <col min="9735" max="9735" width="9" style="182" customWidth="1"/>
    <col min="9736" max="9736" width="6.42578125" style="182" customWidth="1"/>
    <col min="9737" max="9737" width="11.42578125" style="182" customWidth="1"/>
    <col min="9738" max="9738" width="8.42578125" style="182" customWidth="1"/>
    <col min="9739" max="9739" width="9.140625" style="182" customWidth="1"/>
    <col min="9740" max="9740" width="9" style="182"/>
    <col min="9741" max="9741" width="5.42578125" style="182" customWidth="1"/>
    <col min="9742" max="9742" width="9.5703125" style="182" customWidth="1"/>
    <col min="9743" max="9743" width="9.42578125" style="182" customWidth="1"/>
    <col min="9744" max="9744" width="9.140625" style="182" customWidth="1"/>
    <col min="9745" max="9975" width="9" style="182"/>
    <col min="9976" max="9976" width="15.140625" style="182" customWidth="1"/>
    <col min="9977" max="9977" width="8" style="182" customWidth="1"/>
    <col min="9978" max="9978" width="10.42578125" style="182" customWidth="1"/>
    <col min="9979" max="9979" width="4.85546875" style="182" customWidth="1"/>
    <col min="9980" max="9980" width="9.5703125" style="182" customWidth="1"/>
    <col min="9981" max="9981" width="4" style="182" customWidth="1"/>
    <col min="9982" max="9982" width="10.5703125" style="182" customWidth="1"/>
    <col min="9983" max="9983" width="5.85546875" style="182" customWidth="1"/>
    <col min="9984" max="9984" width="10.140625" style="182" customWidth="1"/>
    <col min="9985" max="9985" width="5.140625" style="182" customWidth="1"/>
    <col min="9986" max="9986" width="4.42578125" style="182" customWidth="1"/>
    <col min="9987" max="9987" width="10.140625" style="182" customWidth="1"/>
    <col min="9988" max="9988" width="11.85546875" style="182" customWidth="1"/>
    <col min="9989" max="9989" width="5" style="182" customWidth="1"/>
    <col min="9990" max="9990" width="8.140625" style="182" customWidth="1"/>
    <col min="9991" max="9991" width="9" style="182" customWidth="1"/>
    <col min="9992" max="9992" width="6.42578125" style="182" customWidth="1"/>
    <col min="9993" max="9993" width="11.42578125" style="182" customWidth="1"/>
    <col min="9994" max="9994" width="8.42578125" style="182" customWidth="1"/>
    <col min="9995" max="9995" width="9.140625" style="182" customWidth="1"/>
    <col min="9996" max="9996" width="9" style="182"/>
    <col min="9997" max="9997" width="5.42578125" style="182" customWidth="1"/>
    <col min="9998" max="9998" width="9.5703125" style="182" customWidth="1"/>
    <col min="9999" max="9999" width="9.42578125" style="182" customWidth="1"/>
    <col min="10000" max="10000" width="9.140625" style="182" customWidth="1"/>
    <col min="10001" max="10231" width="9" style="182"/>
    <col min="10232" max="10232" width="15.140625" style="182" customWidth="1"/>
    <col min="10233" max="10233" width="8" style="182" customWidth="1"/>
    <col min="10234" max="10234" width="10.42578125" style="182" customWidth="1"/>
    <col min="10235" max="10235" width="4.85546875" style="182" customWidth="1"/>
    <col min="10236" max="10236" width="9.5703125" style="182" customWidth="1"/>
    <col min="10237" max="10237" width="4" style="182" customWidth="1"/>
    <col min="10238" max="10238" width="10.5703125" style="182" customWidth="1"/>
    <col min="10239" max="10239" width="5.85546875" style="182" customWidth="1"/>
    <col min="10240" max="10240" width="10.140625" style="182" customWidth="1"/>
    <col min="10241" max="10241" width="5.140625" style="182" customWidth="1"/>
    <col min="10242" max="10242" width="4.42578125" style="182" customWidth="1"/>
    <col min="10243" max="10243" width="10.140625" style="182" customWidth="1"/>
    <col min="10244" max="10244" width="11.85546875" style="182" customWidth="1"/>
    <col min="10245" max="10245" width="5" style="182" customWidth="1"/>
    <col min="10246" max="10246" width="8.140625" style="182" customWidth="1"/>
    <col min="10247" max="10247" width="9" style="182" customWidth="1"/>
    <col min="10248" max="10248" width="6.42578125" style="182" customWidth="1"/>
    <col min="10249" max="10249" width="11.42578125" style="182" customWidth="1"/>
    <col min="10250" max="10250" width="8.42578125" style="182" customWidth="1"/>
    <col min="10251" max="10251" width="9.140625" style="182" customWidth="1"/>
    <col min="10252" max="10252" width="9" style="182"/>
    <col min="10253" max="10253" width="5.42578125" style="182" customWidth="1"/>
    <col min="10254" max="10254" width="9.5703125" style="182" customWidth="1"/>
    <col min="10255" max="10255" width="9.42578125" style="182" customWidth="1"/>
    <col min="10256" max="10256" width="9.140625" style="182" customWidth="1"/>
    <col min="10257" max="10487" width="9" style="182"/>
    <col min="10488" max="10488" width="15.140625" style="182" customWidth="1"/>
    <col min="10489" max="10489" width="8" style="182" customWidth="1"/>
    <col min="10490" max="10490" width="10.42578125" style="182" customWidth="1"/>
    <col min="10491" max="10491" width="4.85546875" style="182" customWidth="1"/>
    <col min="10492" max="10492" width="9.5703125" style="182" customWidth="1"/>
    <col min="10493" max="10493" width="4" style="182" customWidth="1"/>
    <col min="10494" max="10494" width="10.5703125" style="182" customWidth="1"/>
    <col min="10495" max="10495" width="5.85546875" style="182" customWidth="1"/>
    <col min="10496" max="10496" width="10.140625" style="182" customWidth="1"/>
    <col min="10497" max="10497" width="5.140625" style="182" customWidth="1"/>
    <col min="10498" max="10498" width="4.42578125" style="182" customWidth="1"/>
    <col min="10499" max="10499" width="10.140625" style="182" customWidth="1"/>
    <col min="10500" max="10500" width="11.85546875" style="182" customWidth="1"/>
    <col min="10501" max="10501" width="5" style="182" customWidth="1"/>
    <col min="10502" max="10502" width="8.140625" style="182" customWidth="1"/>
    <col min="10503" max="10503" width="9" style="182" customWidth="1"/>
    <col min="10504" max="10504" width="6.42578125" style="182" customWidth="1"/>
    <col min="10505" max="10505" width="11.42578125" style="182" customWidth="1"/>
    <col min="10506" max="10506" width="8.42578125" style="182" customWidth="1"/>
    <col min="10507" max="10507" width="9.140625" style="182" customWidth="1"/>
    <col min="10508" max="10508" width="9" style="182"/>
    <col min="10509" max="10509" width="5.42578125" style="182" customWidth="1"/>
    <col min="10510" max="10510" width="9.5703125" style="182" customWidth="1"/>
    <col min="10511" max="10511" width="9.42578125" style="182" customWidth="1"/>
    <col min="10512" max="10512" width="9.140625" style="182" customWidth="1"/>
    <col min="10513" max="10743" width="9" style="182"/>
    <col min="10744" max="10744" width="15.140625" style="182" customWidth="1"/>
    <col min="10745" max="10745" width="8" style="182" customWidth="1"/>
    <col min="10746" max="10746" width="10.42578125" style="182" customWidth="1"/>
    <col min="10747" max="10747" width="4.85546875" style="182" customWidth="1"/>
    <col min="10748" max="10748" width="9.5703125" style="182" customWidth="1"/>
    <col min="10749" max="10749" width="4" style="182" customWidth="1"/>
    <col min="10750" max="10750" width="10.5703125" style="182" customWidth="1"/>
    <col min="10751" max="10751" width="5.85546875" style="182" customWidth="1"/>
    <col min="10752" max="10752" width="10.140625" style="182" customWidth="1"/>
    <col min="10753" max="10753" width="5.140625" style="182" customWidth="1"/>
    <col min="10754" max="10754" width="4.42578125" style="182" customWidth="1"/>
    <col min="10755" max="10755" width="10.140625" style="182" customWidth="1"/>
    <col min="10756" max="10756" width="11.85546875" style="182" customWidth="1"/>
    <col min="10757" max="10757" width="5" style="182" customWidth="1"/>
    <col min="10758" max="10758" width="8.140625" style="182" customWidth="1"/>
    <col min="10759" max="10759" width="9" style="182" customWidth="1"/>
    <col min="10760" max="10760" width="6.42578125" style="182" customWidth="1"/>
    <col min="10761" max="10761" width="11.42578125" style="182" customWidth="1"/>
    <col min="10762" max="10762" width="8.42578125" style="182" customWidth="1"/>
    <col min="10763" max="10763" width="9.140625" style="182" customWidth="1"/>
    <col min="10764" max="10764" width="9" style="182"/>
    <col min="10765" max="10765" width="5.42578125" style="182" customWidth="1"/>
    <col min="10766" max="10766" width="9.5703125" style="182" customWidth="1"/>
    <col min="10767" max="10767" width="9.42578125" style="182" customWidth="1"/>
    <col min="10768" max="10768" width="9.140625" style="182" customWidth="1"/>
    <col min="10769" max="10999" width="9" style="182"/>
    <col min="11000" max="11000" width="15.140625" style="182" customWidth="1"/>
    <col min="11001" max="11001" width="8" style="182" customWidth="1"/>
    <col min="11002" max="11002" width="10.42578125" style="182" customWidth="1"/>
    <col min="11003" max="11003" width="4.85546875" style="182" customWidth="1"/>
    <col min="11004" max="11004" width="9.5703125" style="182" customWidth="1"/>
    <col min="11005" max="11005" width="4" style="182" customWidth="1"/>
    <col min="11006" max="11006" width="10.5703125" style="182" customWidth="1"/>
    <col min="11007" max="11007" width="5.85546875" style="182" customWidth="1"/>
    <col min="11008" max="11008" width="10.140625" style="182" customWidth="1"/>
    <col min="11009" max="11009" width="5.140625" style="182" customWidth="1"/>
    <col min="11010" max="11010" width="4.42578125" style="182" customWidth="1"/>
    <col min="11011" max="11011" width="10.140625" style="182" customWidth="1"/>
    <col min="11012" max="11012" width="11.85546875" style="182" customWidth="1"/>
    <col min="11013" max="11013" width="5" style="182" customWidth="1"/>
    <col min="11014" max="11014" width="8.140625" style="182" customWidth="1"/>
    <col min="11015" max="11015" width="9" style="182" customWidth="1"/>
    <col min="11016" max="11016" width="6.42578125" style="182" customWidth="1"/>
    <col min="11017" max="11017" width="11.42578125" style="182" customWidth="1"/>
    <col min="11018" max="11018" width="8.42578125" style="182" customWidth="1"/>
    <col min="11019" max="11019" width="9.140625" style="182" customWidth="1"/>
    <col min="11020" max="11020" width="9" style="182"/>
    <col min="11021" max="11021" width="5.42578125" style="182" customWidth="1"/>
    <col min="11022" max="11022" width="9.5703125" style="182" customWidth="1"/>
    <col min="11023" max="11023" width="9.42578125" style="182" customWidth="1"/>
    <col min="11024" max="11024" width="9.140625" style="182" customWidth="1"/>
    <col min="11025" max="11255" width="9" style="182"/>
    <col min="11256" max="11256" width="15.140625" style="182" customWidth="1"/>
    <col min="11257" max="11257" width="8" style="182" customWidth="1"/>
    <col min="11258" max="11258" width="10.42578125" style="182" customWidth="1"/>
    <col min="11259" max="11259" width="4.85546875" style="182" customWidth="1"/>
    <col min="11260" max="11260" width="9.5703125" style="182" customWidth="1"/>
    <col min="11261" max="11261" width="4" style="182" customWidth="1"/>
    <col min="11262" max="11262" width="10.5703125" style="182" customWidth="1"/>
    <col min="11263" max="11263" width="5.85546875" style="182" customWidth="1"/>
    <col min="11264" max="11264" width="10.140625" style="182" customWidth="1"/>
    <col min="11265" max="11265" width="5.140625" style="182" customWidth="1"/>
    <col min="11266" max="11266" width="4.42578125" style="182" customWidth="1"/>
    <col min="11267" max="11267" width="10.140625" style="182" customWidth="1"/>
    <col min="11268" max="11268" width="11.85546875" style="182" customWidth="1"/>
    <col min="11269" max="11269" width="5" style="182" customWidth="1"/>
    <col min="11270" max="11270" width="8.140625" style="182" customWidth="1"/>
    <col min="11271" max="11271" width="9" style="182" customWidth="1"/>
    <col min="11272" max="11272" width="6.42578125" style="182" customWidth="1"/>
    <col min="11273" max="11273" width="11.42578125" style="182" customWidth="1"/>
    <col min="11274" max="11274" width="8.42578125" style="182" customWidth="1"/>
    <col min="11275" max="11275" width="9.140625" style="182" customWidth="1"/>
    <col min="11276" max="11276" width="9" style="182"/>
    <col min="11277" max="11277" width="5.42578125" style="182" customWidth="1"/>
    <col min="11278" max="11278" width="9.5703125" style="182" customWidth="1"/>
    <col min="11279" max="11279" width="9.42578125" style="182" customWidth="1"/>
    <col min="11280" max="11280" width="9.140625" style="182" customWidth="1"/>
    <col min="11281" max="11511" width="9" style="182"/>
    <col min="11512" max="11512" width="15.140625" style="182" customWidth="1"/>
    <col min="11513" max="11513" width="8" style="182" customWidth="1"/>
    <col min="11514" max="11514" width="10.42578125" style="182" customWidth="1"/>
    <col min="11515" max="11515" width="4.85546875" style="182" customWidth="1"/>
    <col min="11516" max="11516" width="9.5703125" style="182" customWidth="1"/>
    <col min="11517" max="11517" width="4" style="182" customWidth="1"/>
    <col min="11518" max="11518" width="10.5703125" style="182" customWidth="1"/>
    <col min="11519" max="11519" width="5.85546875" style="182" customWidth="1"/>
    <col min="11520" max="11520" width="10.140625" style="182" customWidth="1"/>
    <col min="11521" max="11521" width="5.140625" style="182" customWidth="1"/>
    <col min="11522" max="11522" width="4.42578125" style="182" customWidth="1"/>
    <col min="11523" max="11523" width="10.140625" style="182" customWidth="1"/>
    <col min="11524" max="11524" width="11.85546875" style="182" customWidth="1"/>
    <col min="11525" max="11525" width="5" style="182" customWidth="1"/>
    <col min="11526" max="11526" width="8.140625" style="182" customWidth="1"/>
    <col min="11527" max="11527" width="9" style="182" customWidth="1"/>
    <col min="11528" max="11528" width="6.42578125" style="182" customWidth="1"/>
    <col min="11529" max="11529" width="11.42578125" style="182" customWidth="1"/>
    <col min="11530" max="11530" width="8.42578125" style="182" customWidth="1"/>
    <col min="11531" max="11531" width="9.140625" style="182" customWidth="1"/>
    <col min="11532" max="11532" width="9" style="182"/>
    <col min="11533" max="11533" width="5.42578125" style="182" customWidth="1"/>
    <col min="11534" max="11534" width="9.5703125" style="182" customWidth="1"/>
    <col min="11535" max="11535" width="9.42578125" style="182" customWidth="1"/>
    <col min="11536" max="11536" width="9.140625" style="182" customWidth="1"/>
    <col min="11537" max="11767" width="9" style="182"/>
    <col min="11768" max="11768" width="15.140625" style="182" customWidth="1"/>
    <col min="11769" max="11769" width="8" style="182" customWidth="1"/>
    <col min="11770" max="11770" width="10.42578125" style="182" customWidth="1"/>
    <col min="11771" max="11771" width="4.85546875" style="182" customWidth="1"/>
    <col min="11772" max="11772" width="9.5703125" style="182" customWidth="1"/>
    <col min="11773" max="11773" width="4" style="182" customWidth="1"/>
    <col min="11774" max="11774" width="10.5703125" style="182" customWidth="1"/>
    <col min="11775" max="11775" width="5.85546875" style="182" customWidth="1"/>
    <col min="11776" max="11776" width="10.140625" style="182" customWidth="1"/>
    <col min="11777" max="11777" width="5.140625" style="182" customWidth="1"/>
    <col min="11778" max="11778" width="4.42578125" style="182" customWidth="1"/>
    <col min="11779" max="11779" width="10.140625" style="182" customWidth="1"/>
    <col min="11780" max="11780" width="11.85546875" style="182" customWidth="1"/>
    <col min="11781" max="11781" width="5" style="182" customWidth="1"/>
    <col min="11782" max="11782" width="8.140625" style="182" customWidth="1"/>
    <col min="11783" max="11783" width="9" style="182" customWidth="1"/>
    <col min="11784" max="11784" width="6.42578125" style="182" customWidth="1"/>
    <col min="11785" max="11785" width="11.42578125" style="182" customWidth="1"/>
    <col min="11786" max="11786" width="8.42578125" style="182" customWidth="1"/>
    <col min="11787" max="11787" width="9.140625" style="182" customWidth="1"/>
    <col min="11788" max="11788" width="9" style="182"/>
    <col min="11789" max="11789" width="5.42578125" style="182" customWidth="1"/>
    <col min="11790" max="11790" width="9.5703125" style="182" customWidth="1"/>
    <col min="11791" max="11791" width="9.42578125" style="182" customWidth="1"/>
    <col min="11792" max="11792" width="9.140625" style="182" customWidth="1"/>
    <col min="11793" max="12023" width="9" style="182"/>
    <col min="12024" max="12024" width="15.140625" style="182" customWidth="1"/>
    <col min="12025" max="12025" width="8" style="182" customWidth="1"/>
    <col min="12026" max="12026" width="10.42578125" style="182" customWidth="1"/>
    <col min="12027" max="12027" width="4.85546875" style="182" customWidth="1"/>
    <col min="12028" max="12028" width="9.5703125" style="182" customWidth="1"/>
    <col min="12029" max="12029" width="4" style="182" customWidth="1"/>
    <col min="12030" max="12030" width="10.5703125" style="182" customWidth="1"/>
    <col min="12031" max="12031" width="5.85546875" style="182" customWidth="1"/>
    <col min="12032" max="12032" width="10.140625" style="182" customWidth="1"/>
    <col min="12033" max="12033" width="5.140625" style="182" customWidth="1"/>
    <col min="12034" max="12034" width="4.42578125" style="182" customWidth="1"/>
    <col min="12035" max="12035" width="10.140625" style="182" customWidth="1"/>
    <col min="12036" max="12036" width="11.85546875" style="182" customWidth="1"/>
    <col min="12037" max="12037" width="5" style="182" customWidth="1"/>
    <col min="12038" max="12038" width="8.140625" style="182" customWidth="1"/>
    <col min="12039" max="12039" width="9" style="182" customWidth="1"/>
    <col min="12040" max="12040" width="6.42578125" style="182" customWidth="1"/>
    <col min="12041" max="12041" width="11.42578125" style="182" customWidth="1"/>
    <col min="12042" max="12042" width="8.42578125" style="182" customWidth="1"/>
    <col min="12043" max="12043" width="9.140625" style="182" customWidth="1"/>
    <col min="12044" max="12044" width="9" style="182"/>
    <col min="12045" max="12045" width="5.42578125" style="182" customWidth="1"/>
    <col min="12046" max="12046" width="9.5703125" style="182" customWidth="1"/>
    <col min="12047" max="12047" width="9.42578125" style="182" customWidth="1"/>
    <col min="12048" max="12048" width="9.140625" style="182" customWidth="1"/>
    <col min="12049" max="12279" width="9" style="182"/>
    <col min="12280" max="12280" width="15.140625" style="182" customWidth="1"/>
    <col min="12281" max="12281" width="8" style="182" customWidth="1"/>
    <col min="12282" max="12282" width="10.42578125" style="182" customWidth="1"/>
    <col min="12283" max="12283" width="4.85546875" style="182" customWidth="1"/>
    <col min="12284" max="12284" width="9.5703125" style="182" customWidth="1"/>
    <col min="12285" max="12285" width="4" style="182" customWidth="1"/>
    <col min="12286" max="12286" width="10.5703125" style="182" customWidth="1"/>
    <col min="12287" max="12287" width="5.85546875" style="182" customWidth="1"/>
    <col min="12288" max="12288" width="10.140625" style="182" customWidth="1"/>
    <col min="12289" max="12289" width="5.140625" style="182" customWidth="1"/>
    <col min="12290" max="12290" width="4.42578125" style="182" customWidth="1"/>
    <col min="12291" max="12291" width="10.140625" style="182" customWidth="1"/>
    <col min="12292" max="12292" width="11.85546875" style="182" customWidth="1"/>
    <col min="12293" max="12293" width="5" style="182" customWidth="1"/>
    <col min="12294" max="12294" width="8.140625" style="182" customWidth="1"/>
    <col min="12295" max="12295" width="9" style="182" customWidth="1"/>
    <col min="12296" max="12296" width="6.42578125" style="182" customWidth="1"/>
    <col min="12297" max="12297" width="11.42578125" style="182" customWidth="1"/>
    <col min="12298" max="12298" width="8.42578125" style="182" customWidth="1"/>
    <col min="12299" max="12299" width="9.140625" style="182" customWidth="1"/>
    <col min="12300" max="12300" width="9" style="182"/>
    <col min="12301" max="12301" width="5.42578125" style="182" customWidth="1"/>
    <col min="12302" max="12302" width="9.5703125" style="182" customWidth="1"/>
    <col min="12303" max="12303" width="9.42578125" style="182" customWidth="1"/>
    <col min="12304" max="12304" width="9.140625" style="182" customWidth="1"/>
    <col min="12305" max="12535" width="9" style="182"/>
    <col min="12536" max="12536" width="15.140625" style="182" customWidth="1"/>
    <col min="12537" max="12537" width="8" style="182" customWidth="1"/>
    <col min="12538" max="12538" width="10.42578125" style="182" customWidth="1"/>
    <col min="12539" max="12539" width="4.85546875" style="182" customWidth="1"/>
    <col min="12540" max="12540" width="9.5703125" style="182" customWidth="1"/>
    <col min="12541" max="12541" width="4" style="182" customWidth="1"/>
    <col min="12542" max="12542" width="10.5703125" style="182" customWidth="1"/>
    <col min="12543" max="12543" width="5.85546875" style="182" customWidth="1"/>
    <col min="12544" max="12544" width="10.140625" style="182" customWidth="1"/>
    <col min="12545" max="12545" width="5.140625" style="182" customWidth="1"/>
    <col min="12546" max="12546" width="4.42578125" style="182" customWidth="1"/>
    <col min="12547" max="12547" width="10.140625" style="182" customWidth="1"/>
    <col min="12548" max="12548" width="11.85546875" style="182" customWidth="1"/>
    <col min="12549" max="12549" width="5" style="182" customWidth="1"/>
    <col min="12550" max="12550" width="8.140625" style="182" customWidth="1"/>
    <col min="12551" max="12551" width="9" style="182" customWidth="1"/>
    <col min="12552" max="12552" width="6.42578125" style="182" customWidth="1"/>
    <col min="12553" max="12553" width="11.42578125" style="182" customWidth="1"/>
    <col min="12554" max="12554" width="8.42578125" style="182" customWidth="1"/>
    <col min="12555" max="12555" width="9.140625" style="182" customWidth="1"/>
    <col min="12556" max="12556" width="9" style="182"/>
    <col min="12557" max="12557" width="5.42578125" style="182" customWidth="1"/>
    <col min="12558" max="12558" width="9.5703125" style="182" customWidth="1"/>
    <col min="12559" max="12559" width="9.42578125" style="182" customWidth="1"/>
    <col min="12560" max="12560" width="9.140625" style="182" customWidth="1"/>
    <col min="12561" max="12791" width="9" style="182"/>
    <col min="12792" max="12792" width="15.140625" style="182" customWidth="1"/>
    <col min="12793" max="12793" width="8" style="182" customWidth="1"/>
    <col min="12794" max="12794" width="10.42578125" style="182" customWidth="1"/>
    <col min="12795" max="12795" width="4.85546875" style="182" customWidth="1"/>
    <col min="12796" max="12796" width="9.5703125" style="182" customWidth="1"/>
    <col min="12797" max="12797" width="4" style="182" customWidth="1"/>
    <col min="12798" max="12798" width="10.5703125" style="182" customWidth="1"/>
    <col min="12799" max="12799" width="5.85546875" style="182" customWidth="1"/>
    <col min="12800" max="12800" width="10.140625" style="182" customWidth="1"/>
    <col min="12801" max="12801" width="5.140625" style="182" customWidth="1"/>
    <col min="12802" max="12802" width="4.42578125" style="182" customWidth="1"/>
    <col min="12803" max="12803" width="10.140625" style="182" customWidth="1"/>
    <col min="12804" max="12804" width="11.85546875" style="182" customWidth="1"/>
    <col min="12805" max="12805" width="5" style="182" customWidth="1"/>
    <col min="12806" max="12806" width="8.140625" style="182" customWidth="1"/>
    <col min="12807" max="12807" width="9" style="182" customWidth="1"/>
    <col min="12808" max="12808" width="6.42578125" style="182" customWidth="1"/>
    <col min="12809" max="12809" width="11.42578125" style="182" customWidth="1"/>
    <col min="12810" max="12810" width="8.42578125" style="182" customWidth="1"/>
    <col min="12811" max="12811" width="9.140625" style="182" customWidth="1"/>
    <col min="12812" max="12812" width="9" style="182"/>
    <col min="12813" max="12813" width="5.42578125" style="182" customWidth="1"/>
    <col min="12814" max="12814" width="9.5703125" style="182" customWidth="1"/>
    <col min="12815" max="12815" width="9.42578125" style="182" customWidth="1"/>
    <col min="12816" max="12816" width="9.140625" style="182" customWidth="1"/>
    <col min="12817" max="13047" width="9" style="182"/>
    <col min="13048" max="13048" width="15.140625" style="182" customWidth="1"/>
    <col min="13049" max="13049" width="8" style="182" customWidth="1"/>
    <col min="13050" max="13050" width="10.42578125" style="182" customWidth="1"/>
    <col min="13051" max="13051" width="4.85546875" style="182" customWidth="1"/>
    <col min="13052" max="13052" width="9.5703125" style="182" customWidth="1"/>
    <col min="13053" max="13053" width="4" style="182" customWidth="1"/>
    <col min="13054" max="13054" width="10.5703125" style="182" customWidth="1"/>
    <col min="13055" max="13055" width="5.85546875" style="182" customWidth="1"/>
    <col min="13056" max="13056" width="10.140625" style="182" customWidth="1"/>
    <col min="13057" max="13057" width="5.140625" style="182" customWidth="1"/>
    <col min="13058" max="13058" width="4.42578125" style="182" customWidth="1"/>
    <col min="13059" max="13059" width="10.140625" style="182" customWidth="1"/>
    <col min="13060" max="13060" width="11.85546875" style="182" customWidth="1"/>
    <col min="13061" max="13061" width="5" style="182" customWidth="1"/>
    <col min="13062" max="13062" width="8.140625" style="182" customWidth="1"/>
    <col min="13063" max="13063" width="9" style="182" customWidth="1"/>
    <col min="13064" max="13064" width="6.42578125" style="182" customWidth="1"/>
    <col min="13065" max="13065" width="11.42578125" style="182" customWidth="1"/>
    <col min="13066" max="13066" width="8.42578125" style="182" customWidth="1"/>
    <col min="13067" max="13067" width="9.140625" style="182" customWidth="1"/>
    <col min="13068" max="13068" width="9" style="182"/>
    <col min="13069" max="13069" width="5.42578125" style="182" customWidth="1"/>
    <col min="13070" max="13070" width="9.5703125" style="182" customWidth="1"/>
    <col min="13071" max="13071" width="9.42578125" style="182" customWidth="1"/>
    <col min="13072" max="13072" width="9.140625" style="182" customWidth="1"/>
    <col min="13073" max="13303" width="9" style="182"/>
    <col min="13304" max="13304" width="15.140625" style="182" customWidth="1"/>
    <col min="13305" max="13305" width="8" style="182" customWidth="1"/>
    <col min="13306" max="13306" width="10.42578125" style="182" customWidth="1"/>
    <col min="13307" max="13307" width="4.85546875" style="182" customWidth="1"/>
    <col min="13308" max="13308" width="9.5703125" style="182" customWidth="1"/>
    <col min="13309" max="13309" width="4" style="182" customWidth="1"/>
    <col min="13310" max="13310" width="10.5703125" style="182" customWidth="1"/>
    <col min="13311" max="13311" width="5.85546875" style="182" customWidth="1"/>
    <col min="13312" max="13312" width="10.140625" style="182" customWidth="1"/>
    <col min="13313" max="13313" width="5.140625" style="182" customWidth="1"/>
    <col min="13314" max="13314" width="4.42578125" style="182" customWidth="1"/>
    <col min="13315" max="13315" width="10.140625" style="182" customWidth="1"/>
    <col min="13316" max="13316" width="11.85546875" style="182" customWidth="1"/>
    <col min="13317" max="13317" width="5" style="182" customWidth="1"/>
    <col min="13318" max="13318" width="8.140625" style="182" customWidth="1"/>
    <col min="13319" max="13319" width="9" style="182" customWidth="1"/>
    <col min="13320" max="13320" width="6.42578125" style="182" customWidth="1"/>
    <col min="13321" max="13321" width="11.42578125" style="182" customWidth="1"/>
    <col min="13322" max="13322" width="8.42578125" style="182" customWidth="1"/>
    <col min="13323" max="13323" width="9.140625" style="182" customWidth="1"/>
    <col min="13324" max="13324" width="9" style="182"/>
    <col min="13325" max="13325" width="5.42578125" style="182" customWidth="1"/>
    <col min="13326" max="13326" width="9.5703125" style="182" customWidth="1"/>
    <col min="13327" max="13327" width="9.42578125" style="182" customWidth="1"/>
    <col min="13328" max="13328" width="9.140625" style="182" customWidth="1"/>
    <col min="13329" max="13559" width="9" style="182"/>
    <col min="13560" max="13560" width="15.140625" style="182" customWidth="1"/>
    <col min="13561" max="13561" width="8" style="182" customWidth="1"/>
    <col min="13562" max="13562" width="10.42578125" style="182" customWidth="1"/>
    <col min="13563" max="13563" width="4.85546875" style="182" customWidth="1"/>
    <col min="13564" max="13564" width="9.5703125" style="182" customWidth="1"/>
    <col min="13565" max="13565" width="4" style="182" customWidth="1"/>
    <col min="13566" max="13566" width="10.5703125" style="182" customWidth="1"/>
    <col min="13567" max="13567" width="5.85546875" style="182" customWidth="1"/>
    <col min="13568" max="13568" width="10.140625" style="182" customWidth="1"/>
    <col min="13569" max="13569" width="5.140625" style="182" customWidth="1"/>
    <col min="13570" max="13570" width="4.42578125" style="182" customWidth="1"/>
    <col min="13571" max="13571" width="10.140625" style="182" customWidth="1"/>
    <col min="13572" max="13572" width="11.85546875" style="182" customWidth="1"/>
    <col min="13573" max="13573" width="5" style="182" customWidth="1"/>
    <col min="13574" max="13574" width="8.140625" style="182" customWidth="1"/>
    <col min="13575" max="13575" width="9" style="182" customWidth="1"/>
    <col min="13576" max="13576" width="6.42578125" style="182" customWidth="1"/>
    <col min="13577" max="13577" width="11.42578125" style="182" customWidth="1"/>
    <col min="13578" max="13578" width="8.42578125" style="182" customWidth="1"/>
    <col min="13579" max="13579" width="9.140625" style="182" customWidth="1"/>
    <col min="13580" max="13580" width="9" style="182"/>
    <col min="13581" max="13581" width="5.42578125" style="182" customWidth="1"/>
    <col min="13582" max="13582" width="9.5703125" style="182" customWidth="1"/>
    <col min="13583" max="13583" width="9.42578125" style="182" customWidth="1"/>
    <col min="13584" max="13584" width="9.140625" style="182" customWidth="1"/>
    <col min="13585" max="13815" width="9" style="182"/>
    <col min="13816" max="13816" width="15.140625" style="182" customWidth="1"/>
    <col min="13817" max="13817" width="8" style="182" customWidth="1"/>
    <col min="13818" max="13818" width="10.42578125" style="182" customWidth="1"/>
    <col min="13819" max="13819" width="4.85546875" style="182" customWidth="1"/>
    <col min="13820" max="13820" width="9.5703125" style="182" customWidth="1"/>
    <col min="13821" max="13821" width="4" style="182" customWidth="1"/>
    <col min="13822" max="13822" width="10.5703125" style="182" customWidth="1"/>
    <col min="13823" max="13823" width="5.85546875" style="182" customWidth="1"/>
    <col min="13824" max="13824" width="10.140625" style="182" customWidth="1"/>
    <col min="13825" max="13825" width="5.140625" style="182" customWidth="1"/>
    <col min="13826" max="13826" width="4.42578125" style="182" customWidth="1"/>
    <col min="13827" max="13827" width="10.140625" style="182" customWidth="1"/>
    <col min="13828" max="13828" width="11.85546875" style="182" customWidth="1"/>
    <col min="13829" max="13829" width="5" style="182" customWidth="1"/>
    <col min="13830" max="13830" width="8.140625" style="182" customWidth="1"/>
    <col min="13831" max="13831" width="9" style="182" customWidth="1"/>
    <col min="13832" max="13832" width="6.42578125" style="182" customWidth="1"/>
    <col min="13833" max="13833" width="11.42578125" style="182" customWidth="1"/>
    <col min="13834" max="13834" width="8.42578125" style="182" customWidth="1"/>
    <col min="13835" max="13835" width="9.140625" style="182" customWidth="1"/>
    <col min="13836" max="13836" width="9" style="182"/>
    <col min="13837" max="13837" width="5.42578125" style="182" customWidth="1"/>
    <col min="13838" max="13838" width="9.5703125" style="182" customWidth="1"/>
    <col min="13839" max="13839" width="9.42578125" style="182" customWidth="1"/>
    <col min="13840" max="13840" width="9.140625" style="182" customWidth="1"/>
    <col min="13841" max="14071" width="9" style="182"/>
    <col min="14072" max="14072" width="15.140625" style="182" customWidth="1"/>
    <col min="14073" max="14073" width="8" style="182" customWidth="1"/>
    <col min="14074" max="14074" width="10.42578125" style="182" customWidth="1"/>
    <col min="14075" max="14075" width="4.85546875" style="182" customWidth="1"/>
    <col min="14076" max="14076" width="9.5703125" style="182" customWidth="1"/>
    <col min="14077" max="14077" width="4" style="182" customWidth="1"/>
    <col min="14078" max="14078" width="10.5703125" style="182" customWidth="1"/>
    <col min="14079" max="14079" width="5.85546875" style="182" customWidth="1"/>
    <col min="14080" max="14080" width="10.140625" style="182" customWidth="1"/>
    <col min="14081" max="14081" width="5.140625" style="182" customWidth="1"/>
    <col min="14082" max="14082" width="4.42578125" style="182" customWidth="1"/>
    <col min="14083" max="14083" width="10.140625" style="182" customWidth="1"/>
    <col min="14084" max="14084" width="11.85546875" style="182" customWidth="1"/>
    <col min="14085" max="14085" width="5" style="182" customWidth="1"/>
    <col min="14086" max="14086" width="8.140625" style="182" customWidth="1"/>
    <col min="14087" max="14087" width="9" style="182" customWidth="1"/>
    <col min="14088" max="14088" width="6.42578125" style="182" customWidth="1"/>
    <col min="14089" max="14089" width="11.42578125" style="182" customWidth="1"/>
    <col min="14090" max="14090" width="8.42578125" style="182" customWidth="1"/>
    <col min="14091" max="14091" width="9.140625" style="182" customWidth="1"/>
    <col min="14092" max="14092" width="9" style="182"/>
    <col min="14093" max="14093" width="5.42578125" style="182" customWidth="1"/>
    <col min="14094" max="14094" width="9.5703125" style="182" customWidth="1"/>
    <col min="14095" max="14095" width="9.42578125" style="182" customWidth="1"/>
    <col min="14096" max="14096" width="9.140625" style="182" customWidth="1"/>
    <col min="14097" max="14327" width="9" style="182"/>
    <col min="14328" max="14328" width="15.140625" style="182" customWidth="1"/>
    <col min="14329" max="14329" width="8" style="182" customWidth="1"/>
    <col min="14330" max="14330" width="10.42578125" style="182" customWidth="1"/>
    <col min="14331" max="14331" width="4.85546875" style="182" customWidth="1"/>
    <col min="14332" max="14332" width="9.5703125" style="182" customWidth="1"/>
    <col min="14333" max="14333" width="4" style="182" customWidth="1"/>
    <col min="14334" max="14334" width="10.5703125" style="182" customWidth="1"/>
    <col min="14335" max="14335" width="5.85546875" style="182" customWidth="1"/>
    <col min="14336" max="14336" width="10.140625" style="182" customWidth="1"/>
    <col min="14337" max="14337" width="5.140625" style="182" customWidth="1"/>
    <col min="14338" max="14338" width="4.42578125" style="182" customWidth="1"/>
    <col min="14339" max="14339" width="10.140625" style="182" customWidth="1"/>
    <col min="14340" max="14340" width="11.85546875" style="182" customWidth="1"/>
    <col min="14341" max="14341" width="5" style="182" customWidth="1"/>
    <col min="14342" max="14342" width="8.140625" style="182" customWidth="1"/>
    <col min="14343" max="14343" width="9" style="182" customWidth="1"/>
    <col min="14344" max="14344" width="6.42578125" style="182" customWidth="1"/>
    <col min="14345" max="14345" width="11.42578125" style="182" customWidth="1"/>
    <col min="14346" max="14346" width="8.42578125" style="182" customWidth="1"/>
    <col min="14347" max="14347" width="9.140625" style="182" customWidth="1"/>
    <col min="14348" max="14348" width="9" style="182"/>
    <col min="14349" max="14349" width="5.42578125" style="182" customWidth="1"/>
    <col min="14350" max="14350" width="9.5703125" style="182" customWidth="1"/>
    <col min="14351" max="14351" width="9.42578125" style="182" customWidth="1"/>
    <col min="14352" max="14352" width="9.140625" style="182" customWidth="1"/>
    <col min="14353" max="14583" width="9" style="182"/>
    <col min="14584" max="14584" width="15.140625" style="182" customWidth="1"/>
    <col min="14585" max="14585" width="8" style="182" customWidth="1"/>
    <col min="14586" max="14586" width="10.42578125" style="182" customWidth="1"/>
    <col min="14587" max="14587" width="4.85546875" style="182" customWidth="1"/>
    <col min="14588" max="14588" width="9.5703125" style="182" customWidth="1"/>
    <col min="14589" max="14589" width="4" style="182" customWidth="1"/>
    <col min="14590" max="14590" width="10.5703125" style="182" customWidth="1"/>
    <col min="14591" max="14591" width="5.85546875" style="182" customWidth="1"/>
    <col min="14592" max="14592" width="10.140625" style="182" customWidth="1"/>
    <col min="14593" max="14593" width="5.140625" style="182" customWidth="1"/>
    <col min="14594" max="14594" width="4.42578125" style="182" customWidth="1"/>
    <col min="14595" max="14595" width="10.140625" style="182" customWidth="1"/>
    <col min="14596" max="14596" width="11.85546875" style="182" customWidth="1"/>
    <col min="14597" max="14597" width="5" style="182" customWidth="1"/>
    <col min="14598" max="14598" width="8.140625" style="182" customWidth="1"/>
    <col min="14599" max="14599" width="9" style="182" customWidth="1"/>
    <col min="14600" max="14600" width="6.42578125" style="182" customWidth="1"/>
    <col min="14601" max="14601" width="11.42578125" style="182" customWidth="1"/>
    <col min="14602" max="14602" width="8.42578125" style="182" customWidth="1"/>
    <col min="14603" max="14603" width="9.140625" style="182" customWidth="1"/>
    <col min="14604" max="14604" width="9" style="182"/>
    <col min="14605" max="14605" width="5.42578125" style="182" customWidth="1"/>
    <col min="14606" max="14606" width="9.5703125" style="182" customWidth="1"/>
    <col min="14607" max="14607" width="9.42578125" style="182" customWidth="1"/>
    <col min="14608" max="14608" width="9.140625" style="182" customWidth="1"/>
    <col min="14609" max="14839" width="9" style="182"/>
    <col min="14840" max="14840" width="15.140625" style="182" customWidth="1"/>
    <col min="14841" max="14841" width="8" style="182" customWidth="1"/>
    <col min="14842" max="14842" width="10.42578125" style="182" customWidth="1"/>
    <col min="14843" max="14843" width="4.85546875" style="182" customWidth="1"/>
    <col min="14844" max="14844" width="9.5703125" style="182" customWidth="1"/>
    <col min="14845" max="14845" width="4" style="182" customWidth="1"/>
    <col min="14846" max="14846" width="10.5703125" style="182" customWidth="1"/>
    <col min="14847" max="14847" width="5.85546875" style="182" customWidth="1"/>
    <col min="14848" max="14848" width="10.140625" style="182" customWidth="1"/>
    <col min="14849" max="14849" width="5.140625" style="182" customWidth="1"/>
    <col min="14850" max="14850" width="4.42578125" style="182" customWidth="1"/>
    <col min="14851" max="14851" width="10.140625" style="182" customWidth="1"/>
    <col min="14852" max="14852" width="11.85546875" style="182" customWidth="1"/>
    <col min="14853" max="14853" width="5" style="182" customWidth="1"/>
    <col min="14854" max="14854" width="8.140625" style="182" customWidth="1"/>
    <col min="14855" max="14855" width="9" style="182" customWidth="1"/>
    <col min="14856" max="14856" width="6.42578125" style="182" customWidth="1"/>
    <col min="14857" max="14857" width="11.42578125" style="182" customWidth="1"/>
    <col min="14858" max="14858" width="8.42578125" style="182" customWidth="1"/>
    <col min="14859" max="14859" width="9.140625" style="182" customWidth="1"/>
    <col min="14860" max="14860" width="9" style="182"/>
    <col min="14861" max="14861" width="5.42578125" style="182" customWidth="1"/>
    <col min="14862" max="14862" width="9.5703125" style="182" customWidth="1"/>
    <col min="14863" max="14863" width="9.42578125" style="182" customWidth="1"/>
    <col min="14864" max="14864" width="9.140625" style="182" customWidth="1"/>
    <col min="14865" max="15095" width="9" style="182"/>
    <col min="15096" max="15096" width="15.140625" style="182" customWidth="1"/>
    <col min="15097" max="15097" width="8" style="182" customWidth="1"/>
    <col min="15098" max="15098" width="10.42578125" style="182" customWidth="1"/>
    <col min="15099" max="15099" width="4.85546875" style="182" customWidth="1"/>
    <col min="15100" max="15100" width="9.5703125" style="182" customWidth="1"/>
    <col min="15101" max="15101" width="4" style="182" customWidth="1"/>
    <col min="15102" max="15102" width="10.5703125" style="182" customWidth="1"/>
    <col min="15103" max="15103" width="5.85546875" style="182" customWidth="1"/>
    <col min="15104" max="15104" width="10.140625" style="182" customWidth="1"/>
    <col min="15105" max="15105" width="5.140625" style="182" customWidth="1"/>
    <col min="15106" max="15106" width="4.42578125" style="182" customWidth="1"/>
    <col min="15107" max="15107" width="10.140625" style="182" customWidth="1"/>
    <col min="15108" max="15108" width="11.85546875" style="182" customWidth="1"/>
    <col min="15109" max="15109" width="5" style="182" customWidth="1"/>
    <col min="15110" max="15110" width="8.140625" style="182" customWidth="1"/>
    <col min="15111" max="15111" width="9" style="182" customWidth="1"/>
    <col min="15112" max="15112" width="6.42578125" style="182" customWidth="1"/>
    <col min="15113" max="15113" width="11.42578125" style="182" customWidth="1"/>
    <col min="15114" max="15114" width="8.42578125" style="182" customWidth="1"/>
    <col min="15115" max="15115" width="9.140625" style="182" customWidth="1"/>
    <col min="15116" max="15116" width="9" style="182"/>
    <col min="15117" max="15117" width="5.42578125" style="182" customWidth="1"/>
    <col min="15118" max="15118" width="9.5703125" style="182" customWidth="1"/>
    <col min="15119" max="15119" width="9.42578125" style="182" customWidth="1"/>
    <col min="15120" max="15120" width="9.140625" style="182" customWidth="1"/>
    <col min="15121" max="15351" width="9" style="182"/>
    <col min="15352" max="15352" width="15.140625" style="182" customWidth="1"/>
    <col min="15353" max="15353" width="8" style="182" customWidth="1"/>
    <col min="15354" max="15354" width="10.42578125" style="182" customWidth="1"/>
    <col min="15355" max="15355" width="4.85546875" style="182" customWidth="1"/>
    <col min="15356" max="15356" width="9.5703125" style="182" customWidth="1"/>
    <col min="15357" max="15357" width="4" style="182" customWidth="1"/>
    <col min="15358" max="15358" width="10.5703125" style="182" customWidth="1"/>
    <col min="15359" max="15359" width="5.85546875" style="182" customWidth="1"/>
    <col min="15360" max="15360" width="10.140625" style="182" customWidth="1"/>
    <col min="15361" max="15361" width="5.140625" style="182" customWidth="1"/>
    <col min="15362" max="15362" width="4.42578125" style="182" customWidth="1"/>
    <col min="15363" max="15363" width="10.140625" style="182" customWidth="1"/>
    <col min="15364" max="15364" width="11.85546875" style="182" customWidth="1"/>
    <col min="15365" max="15365" width="5" style="182" customWidth="1"/>
    <col min="15366" max="15366" width="8.140625" style="182" customWidth="1"/>
    <col min="15367" max="15367" width="9" style="182" customWidth="1"/>
    <col min="15368" max="15368" width="6.42578125" style="182" customWidth="1"/>
    <col min="15369" max="15369" width="11.42578125" style="182" customWidth="1"/>
    <col min="15370" max="15370" width="8.42578125" style="182" customWidth="1"/>
    <col min="15371" max="15371" width="9.140625" style="182" customWidth="1"/>
    <col min="15372" max="15372" width="9" style="182"/>
    <col min="15373" max="15373" width="5.42578125" style="182" customWidth="1"/>
    <col min="15374" max="15374" width="9.5703125" style="182" customWidth="1"/>
    <col min="15375" max="15375" width="9.42578125" style="182" customWidth="1"/>
    <col min="15376" max="15376" width="9.140625" style="182" customWidth="1"/>
    <col min="15377" max="15607" width="9" style="182"/>
    <col min="15608" max="15608" width="15.140625" style="182" customWidth="1"/>
    <col min="15609" max="15609" width="8" style="182" customWidth="1"/>
    <col min="15610" max="15610" width="10.42578125" style="182" customWidth="1"/>
    <col min="15611" max="15611" width="4.85546875" style="182" customWidth="1"/>
    <col min="15612" max="15612" width="9.5703125" style="182" customWidth="1"/>
    <col min="15613" max="15613" width="4" style="182" customWidth="1"/>
    <col min="15614" max="15614" width="10.5703125" style="182" customWidth="1"/>
    <col min="15615" max="15615" width="5.85546875" style="182" customWidth="1"/>
    <col min="15616" max="15616" width="10.140625" style="182" customWidth="1"/>
    <col min="15617" max="15617" width="5.140625" style="182" customWidth="1"/>
    <col min="15618" max="15618" width="4.42578125" style="182" customWidth="1"/>
    <col min="15619" max="15619" width="10.140625" style="182" customWidth="1"/>
    <col min="15620" max="15620" width="11.85546875" style="182" customWidth="1"/>
    <col min="15621" max="15621" width="5" style="182" customWidth="1"/>
    <col min="15622" max="15622" width="8.140625" style="182" customWidth="1"/>
    <col min="15623" max="15623" width="9" style="182" customWidth="1"/>
    <col min="15624" max="15624" width="6.42578125" style="182" customWidth="1"/>
    <col min="15625" max="15625" width="11.42578125" style="182" customWidth="1"/>
    <col min="15626" max="15626" width="8.42578125" style="182" customWidth="1"/>
    <col min="15627" max="15627" width="9.140625" style="182" customWidth="1"/>
    <col min="15628" max="15628" width="9" style="182"/>
    <col min="15629" max="15629" width="5.42578125" style="182" customWidth="1"/>
    <col min="15630" max="15630" width="9.5703125" style="182" customWidth="1"/>
    <col min="15631" max="15631" width="9.42578125" style="182" customWidth="1"/>
    <col min="15632" max="15632" width="9.140625" style="182" customWidth="1"/>
    <col min="15633" max="15863" width="9" style="182"/>
    <col min="15864" max="15864" width="15.140625" style="182" customWidth="1"/>
    <col min="15865" max="15865" width="8" style="182" customWidth="1"/>
    <col min="15866" max="15866" width="10.42578125" style="182" customWidth="1"/>
    <col min="15867" max="15867" width="4.85546875" style="182" customWidth="1"/>
    <col min="15868" max="15868" width="9.5703125" style="182" customWidth="1"/>
    <col min="15869" max="15869" width="4" style="182" customWidth="1"/>
    <col min="15870" max="15870" width="10.5703125" style="182" customWidth="1"/>
    <col min="15871" max="15871" width="5.85546875" style="182" customWidth="1"/>
    <col min="15872" max="15872" width="10.140625" style="182" customWidth="1"/>
    <col min="15873" max="15873" width="5.140625" style="182" customWidth="1"/>
    <col min="15874" max="15874" width="4.42578125" style="182" customWidth="1"/>
    <col min="15875" max="15875" width="10.140625" style="182" customWidth="1"/>
    <col min="15876" max="15876" width="11.85546875" style="182" customWidth="1"/>
    <col min="15877" max="15877" width="5" style="182" customWidth="1"/>
    <col min="15878" max="15878" width="8.140625" style="182" customWidth="1"/>
    <col min="15879" max="15879" width="9" style="182" customWidth="1"/>
    <col min="15880" max="15880" width="6.42578125" style="182" customWidth="1"/>
    <col min="15881" max="15881" width="11.42578125" style="182" customWidth="1"/>
    <col min="15882" max="15882" width="8.42578125" style="182" customWidth="1"/>
    <col min="15883" max="15883" width="9.140625" style="182" customWidth="1"/>
    <col min="15884" max="15884" width="9" style="182"/>
    <col min="15885" max="15885" width="5.42578125" style="182" customWidth="1"/>
    <col min="15886" max="15886" width="9.5703125" style="182" customWidth="1"/>
    <col min="15887" max="15887" width="9.42578125" style="182" customWidth="1"/>
    <col min="15888" max="15888" width="9.140625" style="182" customWidth="1"/>
    <col min="15889" max="16119" width="9" style="182"/>
    <col min="16120" max="16120" width="15.140625" style="182" customWidth="1"/>
    <col min="16121" max="16121" width="8" style="182" customWidth="1"/>
    <col min="16122" max="16122" width="10.42578125" style="182" customWidth="1"/>
    <col min="16123" max="16123" width="4.85546875" style="182" customWidth="1"/>
    <col min="16124" max="16124" width="9.5703125" style="182" customWidth="1"/>
    <col min="16125" max="16125" width="4" style="182" customWidth="1"/>
    <col min="16126" max="16126" width="10.5703125" style="182" customWidth="1"/>
    <col min="16127" max="16127" width="5.85546875" style="182" customWidth="1"/>
    <col min="16128" max="16128" width="10.140625" style="182" customWidth="1"/>
    <col min="16129" max="16129" width="5.140625" style="182" customWidth="1"/>
    <col min="16130" max="16130" width="4.42578125" style="182" customWidth="1"/>
    <col min="16131" max="16131" width="10.140625" style="182" customWidth="1"/>
    <col min="16132" max="16132" width="11.85546875" style="182" customWidth="1"/>
    <col min="16133" max="16133" width="5" style="182" customWidth="1"/>
    <col min="16134" max="16134" width="8.140625" style="182" customWidth="1"/>
    <col min="16135" max="16135" width="9" style="182" customWidth="1"/>
    <col min="16136" max="16136" width="6.42578125" style="182" customWidth="1"/>
    <col min="16137" max="16137" width="11.42578125" style="182" customWidth="1"/>
    <col min="16138" max="16138" width="8.42578125" style="182" customWidth="1"/>
    <col min="16139" max="16139" width="9.140625" style="182" customWidth="1"/>
    <col min="16140" max="16140" width="9" style="182"/>
    <col min="16141" max="16141" width="5.42578125" style="182" customWidth="1"/>
    <col min="16142" max="16142" width="9.5703125" style="182" customWidth="1"/>
    <col min="16143" max="16143" width="9.42578125" style="182" customWidth="1"/>
    <col min="16144" max="16144" width="9.140625" style="182" customWidth="1"/>
    <col min="16145" max="16382" width="9" style="182"/>
    <col min="16383" max="16384" width="9" style="182" customWidth="1"/>
  </cols>
  <sheetData>
    <row r="1" spans="1:28" s="181" customFormat="1" ht="86.25" customHeight="1">
      <c r="A1" s="42" t="s">
        <v>337</v>
      </c>
      <c r="B1" s="326" t="s">
        <v>14</v>
      </c>
      <c r="C1" s="327" t="s">
        <v>15</v>
      </c>
      <c r="D1" s="106" t="s">
        <v>527</v>
      </c>
      <c r="E1" s="106" t="s">
        <v>528</v>
      </c>
      <c r="F1" s="106" t="s">
        <v>488</v>
      </c>
      <c r="G1" s="143" t="s">
        <v>489</v>
      </c>
      <c r="H1" s="134" t="s">
        <v>401</v>
      </c>
      <c r="I1" s="135" t="s">
        <v>341</v>
      </c>
      <c r="J1" s="136" t="s">
        <v>342</v>
      </c>
      <c r="K1" s="134" t="s">
        <v>479</v>
      </c>
      <c r="L1" s="135" t="s">
        <v>343</v>
      </c>
      <c r="M1" s="136" t="s">
        <v>344</v>
      </c>
      <c r="N1" s="134" t="s">
        <v>480</v>
      </c>
      <c r="O1" s="135" t="s">
        <v>402</v>
      </c>
      <c r="P1" s="135" t="s">
        <v>403</v>
      </c>
      <c r="Q1" s="328" t="s">
        <v>404</v>
      </c>
      <c r="R1" s="178" t="s">
        <v>275</v>
      </c>
      <c r="S1" s="179" t="s">
        <v>576</v>
      </c>
      <c r="T1" s="180" t="s">
        <v>277</v>
      </c>
      <c r="U1" s="41" t="s">
        <v>405</v>
      </c>
      <c r="V1" s="181" t="s">
        <v>406</v>
      </c>
      <c r="W1" s="181" t="s">
        <v>577</v>
      </c>
      <c r="X1" s="181" t="s">
        <v>280</v>
      </c>
      <c r="Y1" s="181" t="s">
        <v>282</v>
      </c>
      <c r="Z1" s="181" t="s">
        <v>283</v>
      </c>
      <c r="AA1" s="181" t="s">
        <v>284</v>
      </c>
      <c r="AB1" s="181" t="s">
        <v>492</v>
      </c>
    </row>
    <row r="2" spans="1:28" ht="25.5">
      <c r="A2" s="313"/>
      <c r="B2" s="6" t="s">
        <v>578</v>
      </c>
      <c r="C2" s="6"/>
      <c r="D2" s="314" t="s">
        <v>137</v>
      </c>
      <c r="E2" s="314" t="s">
        <v>137</v>
      </c>
      <c r="F2" s="314" t="s">
        <v>137</v>
      </c>
      <c r="G2" s="16"/>
      <c r="H2" s="137" t="s">
        <v>401</v>
      </c>
      <c r="I2" s="16" t="s">
        <v>341</v>
      </c>
      <c r="J2" s="138" t="s">
        <v>342</v>
      </c>
      <c r="K2" s="137" t="s">
        <v>401</v>
      </c>
      <c r="L2" s="16" t="s">
        <v>341</v>
      </c>
      <c r="M2" s="138" t="s">
        <v>342</v>
      </c>
      <c r="N2" s="137" t="s">
        <v>401</v>
      </c>
      <c r="O2" s="16" t="s">
        <v>341</v>
      </c>
      <c r="P2" s="16" t="s">
        <v>342</v>
      </c>
      <c r="Q2" s="315" t="s">
        <v>412</v>
      </c>
      <c r="R2" s="316" t="s">
        <v>296</v>
      </c>
      <c r="S2" s="317"/>
      <c r="T2" s="6"/>
      <c r="U2" s="6" t="s">
        <v>411</v>
      </c>
      <c r="V2" s="313" t="s">
        <v>496</v>
      </c>
      <c r="W2" s="318" t="s">
        <v>491</v>
      </c>
      <c r="X2" s="318"/>
      <c r="Y2" s="318">
        <v>0.35</v>
      </c>
      <c r="Z2" s="318">
        <v>0.4</v>
      </c>
      <c r="AA2" s="318">
        <v>0.5</v>
      </c>
      <c r="AB2" s="318">
        <v>0.6</v>
      </c>
    </row>
    <row r="3" spans="1:28" ht="25.35" customHeight="1">
      <c r="A3" s="313" t="s">
        <v>49</v>
      </c>
      <c r="B3" s="313" t="str">
        <f>_xlfn.CONCAT(A3,"_",D3,"_",E3,"_",F3)</f>
        <v>SHS_20_20_2</v>
      </c>
      <c r="C3" s="313" t="str">
        <f>_xlfn.CONCAT(B3, " @ ",ROUND(G3,2),"Kg/m")</f>
        <v>SHS_20_20_2 @ 1.02Kg/m</v>
      </c>
      <c r="D3" s="70">
        <v>20</v>
      </c>
      <c r="E3" s="70">
        <v>20</v>
      </c>
      <c r="F3" s="70">
        <v>2</v>
      </c>
      <c r="G3" s="319">
        <v>1.02</v>
      </c>
      <c r="H3" s="320">
        <v>7.5</v>
      </c>
      <c r="I3" s="319">
        <v>43</v>
      </c>
      <c r="J3" s="321" t="s">
        <v>422</v>
      </c>
      <c r="K3" s="320"/>
      <c r="L3" s="319"/>
      <c r="M3" s="321"/>
      <c r="N3" s="320"/>
      <c r="O3" s="319"/>
      <c r="P3" s="319"/>
      <c r="Q3" s="149">
        <f>SUM(H3*I3)+(K3*L3)+(N3*O3)</f>
        <v>322.5</v>
      </c>
      <c r="R3" s="322">
        <f t="shared" ref="R3:R46" si="0">Q3*G3*T3/1000</f>
        <v>269.73899999999998</v>
      </c>
      <c r="S3" s="323"/>
      <c r="T3" s="39">
        <v>820</v>
      </c>
      <c r="U3" s="318">
        <f>Table7[[#This Row],[KG/M]]/Table7[[#This Row],[£/Tonne]]*1000</f>
        <v>1.2439024390243902</v>
      </c>
      <c r="V3" s="313">
        <v>7.6</v>
      </c>
      <c r="W3" s="318">
        <f>Table7[[#This Row],[£Cost /m]]*Table7[[#This Row],[£Cost /m]]</f>
        <v>1.5472932778108268</v>
      </c>
      <c r="X3" s="318"/>
      <c r="Y3" s="318">
        <f>Table7[[#This Row],[Cost £/Length]]*(1+Y$2)</f>
        <v>2.0888459250446165</v>
      </c>
      <c r="Z3" s="318">
        <f>Table7[[#This Row],[Cost £/Length]]*(1+Z$2)</f>
        <v>2.1662105889351575</v>
      </c>
      <c r="AA3" s="318">
        <f>Table7[[#This Row],[Cost £/Length]]*(1+AA$2)</f>
        <v>2.3209399167162403</v>
      </c>
      <c r="AB3" s="318">
        <f>Table7[[#This Row],[Cost £/Length]]*(1+AB$2)</f>
        <v>2.4756692444973232</v>
      </c>
    </row>
    <row r="4" spans="1:28" ht="25.35" customHeight="1">
      <c r="A4" s="313" t="s">
        <v>49</v>
      </c>
      <c r="B4" s="313" t="str">
        <f t="shared" ref="B4:B63" si="1">_xlfn.CONCAT(A4,"_",D4,"_",E4,"_",F4)</f>
        <v>SHS_25_25_2</v>
      </c>
      <c r="C4" s="313" t="str">
        <f t="shared" ref="C4:C63" si="2">_xlfn.CONCAT(B4, " @ ",ROUND(G4,2),"Kg/m")</f>
        <v>SHS_25_25_2 @ 1.43Kg/m</v>
      </c>
      <c r="D4" s="70">
        <v>25</v>
      </c>
      <c r="E4" s="70">
        <v>25</v>
      </c>
      <c r="F4" s="70">
        <v>2</v>
      </c>
      <c r="G4" s="313">
        <v>1.43</v>
      </c>
      <c r="H4" s="320">
        <v>7.5</v>
      </c>
      <c r="I4" s="319">
        <v>34</v>
      </c>
      <c r="J4" s="321" t="s">
        <v>422</v>
      </c>
      <c r="K4" s="320"/>
      <c r="L4" s="319"/>
      <c r="M4" s="321"/>
      <c r="N4" s="320"/>
      <c r="O4" s="319"/>
      <c r="P4" s="319"/>
      <c r="Q4" s="149">
        <f t="shared" ref="Q4:Q63" si="3">SUM(H4*I4)+(K4*L4)+(N4*O4)</f>
        <v>255</v>
      </c>
      <c r="R4" s="322">
        <f t="shared" si="0"/>
        <v>269.84100000000001</v>
      </c>
      <c r="S4" s="323"/>
      <c r="T4" s="39">
        <v>740</v>
      </c>
      <c r="U4" s="318">
        <f>Table7[[#This Row],[KG/M]]/Table7[[#This Row],[£/Tonne]]*1000</f>
        <v>1.9324324324324322</v>
      </c>
      <c r="V4" s="313">
        <v>7.6</v>
      </c>
      <c r="W4" s="318">
        <f>Table7[[#This Row],[£Cost /m]]*Table7[[#This Row],[£Cost /m]]</f>
        <v>3.7342951059167269</v>
      </c>
      <c r="X4" s="318"/>
      <c r="Y4" s="318">
        <f>Table7[[#This Row],[Cost £/Length]]*(1+Y$2)</f>
        <v>5.0412983929875814</v>
      </c>
      <c r="Z4" s="318">
        <f>Table7[[#This Row],[Cost £/Length]]*(1+Z$2)</f>
        <v>5.2280131482834173</v>
      </c>
      <c r="AA4" s="318">
        <f>Table7[[#This Row],[Cost £/Length]]*(1+AA$2)</f>
        <v>5.6014426588750901</v>
      </c>
      <c r="AB4" s="318">
        <f>Table7[[#This Row],[Cost £/Length]]*(1+AB$2)</f>
        <v>5.9748721694667637</v>
      </c>
    </row>
    <row r="5" spans="1:28" ht="25.35" customHeight="1">
      <c r="A5" s="313" t="s">
        <v>49</v>
      </c>
      <c r="B5" s="313" t="str">
        <f t="shared" si="1"/>
        <v>SHS_30_30_2</v>
      </c>
      <c r="C5" s="313" t="str">
        <f t="shared" si="2"/>
        <v>SHS_30_30_2 @ 2.07Kg/m</v>
      </c>
      <c r="D5" s="70">
        <v>30</v>
      </c>
      <c r="E5" s="70">
        <v>30</v>
      </c>
      <c r="F5" s="70">
        <v>2</v>
      </c>
      <c r="G5" s="313">
        <v>2.0699999999999998</v>
      </c>
      <c r="H5" s="320">
        <v>7.5</v>
      </c>
      <c r="I5" s="319">
        <v>31.5</v>
      </c>
      <c r="J5" s="321" t="s">
        <v>422</v>
      </c>
      <c r="K5" s="320"/>
      <c r="L5" s="319"/>
      <c r="M5" s="321"/>
      <c r="N5" s="320"/>
      <c r="O5" s="319"/>
      <c r="P5" s="319"/>
      <c r="Q5" s="149">
        <f t="shared" si="3"/>
        <v>236.25</v>
      </c>
      <c r="R5" s="322">
        <f t="shared" si="0"/>
        <v>401.01074999999997</v>
      </c>
      <c r="S5" s="323"/>
      <c r="T5" s="39">
        <v>820</v>
      </c>
      <c r="U5" s="318">
        <f>Table7[[#This Row],[KG/M]]/Table7[[#This Row],[£/Tonne]]*1000</f>
        <v>2.5243902439024386</v>
      </c>
      <c r="V5" s="313">
        <v>7.6</v>
      </c>
      <c r="W5" s="318">
        <f>Table7[[#This Row],[£Cost /m]]*Table7[[#This Row],[£Cost /m]]</f>
        <v>6.3725461035098139</v>
      </c>
      <c r="X5" s="318"/>
      <c r="Y5" s="318">
        <f>Table7[[#This Row],[Cost £/Length]]*(1+Y$2)</f>
        <v>8.6029372397382495</v>
      </c>
      <c r="Z5" s="318">
        <f>Table7[[#This Row],[Cost £/Length]]*(1+Z$2)</f>
        <v>8.9215645449137391</v>
      </c>
      <c r="AA5" s="318">
        <f>Table7[[#This Row],[Cost £/Length]]*(1+AA$2)</f>
        <v>9.5588191552647217</v>
      </c>
      <c r="AB5" s="318">
        <f>Table7[[#This Row],[Cost £/Length]]*(1+AB$2)</f>
        <v>10.196073765615703</v>
      </c>
    </row>
    <row r="6" spans="1:28" ht="25.35" customHeight="1">
      <c r="A6" s="324" t="s">
        <v>49</v>
      </c>
      <c r="B6" s="313" t="str">
        <f t="shared" ref="B6" si="4">_xlfn.CONCAT(A6,"_",D6,"_",E6,"_",F6)</f>
        <v>SHS_40_20_2.5</v>
      </c>
      <c r="C6" s="313" t="str">
        <f t="shared" ref="C6" si="5">_xlfn.CONCAT(B6, " @ ",ROUND(G6,2),"Kg/m")</f>
        <v>SHS_40_20_2.5 @ 2.07Kg/m</v>
      </c>
      <c r="D6" s="70">
        <v>40</v>
      </c>
      <c r="E6" s="70">
        <v>20</v>
      </c>
      <c r="F6" s="70">
        <v>2.5</v>
      </c>
      <c r="G6" s="313">
        <v>2.0699999999999998</v>
      </c>
      <c r="H6" s="320">
        <v>7.5</v>
      </c>
      <c r="I6" s="319">
        <v>20</v>
      </c>
      <c r="J6" s="321" t="s">
        <v>255</v>
      </c>
      <c r="K6" s="320"/>
      <c r="L6" s="319"/>
      <c r="M6" s="321"/>
      <c r="N6" s="320"/>
      <c r="O6" s="319"/>
      <c r="P6" s="319"/>
      <c r="Q6" s="149">
        <f t="shared" ref="Q6" si="6">SUM(H6*I6)+(K6*L6)+(N6*O6)</f>
        <v>150</v>
      </c>
      <c r="R6" s="322">
        <f t="shared" si="0"/>
        <v>260.82</v>
      </c>
      <c r="S6" s="323"/>
      <c r="T6" s="39">
        <v>840</v>
      </c>
      <c r="U6" s="318">
        <f>Table7[[#This Row],[KG/M]]/Table7[[#This Row],[£/Tonne]]*1000</f>
        <v>2.464285714285714</v>
      </c>
      <c r="V6" s="313">
        <v>7.6</v>
      </c>
      <c r="W6" s="318">
        <f>Table7[[#This Row],[£Cost /m]]*Table7[[#This Row],[£Cost /m]]</f>
        <v>6.0727040816326516</v>
      </c>
      <c r="X6" s="318"/>
      <c r="Y6" s="318">
        <f>Table7[[#This Row],[Cost £/Length]]*(1+Y$2)</f>
        <v>8.1981505102040799</v>
      </c>
      <c r="Z6" s="318">
        <f>Table7[[#This Row],[Cost £/Length]]*(1+Z$2)</f>
        <v>8.5017857142857114</v>
      </c>
      <c r="AA6" s="318">
        <f>Table7[[#This Row],[Cost £/Length]]*(1+AA$2)</f>
        <v>9.1090561224489779</v>
      </c>
      <c r="AB6" s="318">
        <f>Table7[[#This Row],[Cost £/Length]]*(1+AB$2)</f>
        <v>9.7163265306122426</v>
      </c>
    </row>
    <row r="7" spans="1:28" ht="25.35" customHeight="1">
      <c r="A7" s="313" t="s">
        <v>49</v>
      </c>
      <c r="B7" s="313" t="str">
        <f t="shared" si="1"/>
        <v>SHS_40_40_2.5</v>
      </c>
      <c r="C7" s="313" t="str">
        <f t="shared" si="2"/>
        <v>SHS_40_40_2.5 @ 2.92Kg/m</v>
      </c>
      <c r="D7" s="70">
        <v>40</v>
      </c>
      <c r="E7" s="70">
        <v>40</v>
      </c>
      <c r="F7" s="70">
        <v>2.5</v>
      </c>
      <c r="G7" s="313">
        <v>2.92</v>
      </c>
      <c r="H7" s="320">
        <v>7.5</v>
      </c>
      <c r="I7" s="319">
        <v>28</v>
      </c>
      <c r="J7" s="321" t="s">
        <v>422</v>
      </c>
      <c r="K7" s="320">
        <v>7.5</v>
      </c>
      <c r="L7" s="319">
        <v>3</v>
      </c>
      <c r="M7" s="321" t="s">
        <v>255</v>
      </c>
      <c r="N7" s="320">
        <v>7.5</v>
      </c>
      <c r="O7" s="319">
        <v>36</v>
      </c>
      <c r="P7" s="319" t="s">
        <v>255</v>
      </c>
      <c r="Q7" s="149">
        <f t="shared" si="3"/>
        <v>502.5</v>
      </c>
      <c r="R7" s="322">
        <f t="shared" si="0"/>
        <v>1232.5319999999999</v>
      </c>
      <c r="S7" s="323"/>
      <c r="T7" s="39">
        <v>840</v>
      </c>
      <c r="U7" s="318">
        <f>Table7[[#This Row],[KG/M]]/Table7[[#This Row],[£/Tonne]]*1000</f>
        <v>3.4761904761904758</v>
      </c>
      <c r="V7" s="313">
        <v>7.6</v>
      </c>
      <c r="W7" s="318">
        <f>Table7[[#This Row],[£Cost /m]]*Table7[[#This Row],[£Cost /m]]</f>
        <v>12.083900226757367</v>
      </c>
      <c r="X7" s="318"/>
      <c r="Y7" s="318">
        <f>Table7[[#This Row],[Cost £/Length]]*(1+Y$2)</f>
        <v>16.313265306122446</v>
      </c>
      <c r="Z7" s="318">
        <f>Table7[[#This Row],[Cost £/Length]]*(1+Z$2)</f>
        <v>16.917460317460311</v>
      </c>
      <c r="AA7" s="318">
        <f>Table7[[#This Row],[Cost £/Length]]*(1+AA$2)</f>
        <v>18.125850340136051</v>
      </c>
      <c r="AB7" s="318">
        <f>Table7[[#This Row],[Cost £/Length]]*(1+AB$2)</f>
        <v>19.334240362811787</v>
      </c>
    </row>
    <row r="8" spans="1:28" ht="25.35" customHeight="1">
      <c r="A8" s="313" t="s">
        <v>49</v>
      </c>
      <c r="B8" s="313" t="str">
        <f t="shared" si="1"/>
        <v>SHS_40_40_3</v>
      </c>
      <c r="C8" s="313" t="str">
        <f t="shared" si="2"/>
        <v>SHS_40_40_3 @ 3.66Kg/m</v>
      </c>
      <c r="D8" s="70">
        <v>40</v>
      </c>
      <c r="E8" s="70">
        <v>40</v>
      </c>
      <c r="F8" s="70">
        <v>3</v>
      </c>
      <c r="G8" s="313">
        <v>3.66</v>
      </c>
      <c r="H8" s="320">
        <v>7.5</v>
      </c>
      <c r="I8" s="319">
        <v>16</v>
      </c>
      <c r="J8" s="321" t="s">
        <v>422</v>
      </c>
      <c r="K8" s="320">
        <v>75</v>
      </c>
      <c r="L8" s="319">
        <v>3</v>
      </c>
      <c r="M8" s="321" t="s">
        <v>255</v>
      </c>
      <c r="N8" s="320"/>
      <c r="O8" s="319"/>
      <c r="P8" s="319"/>
      <c r="Q8" s="149">
        <f t="shared" si="3"/>
        <v>345</v>
      </c>
      <c r="R8" s="322">
        <f t="shared" si="0"/>
        <v>984.90599999999995</v>
      </c>
      <c r="S8" s="323"/>
      <c r="T8" s="39">
        <v>780</v>
      </c>
      <c r="U8" s="318">
        <f>Table7[[#This Row],[KG/M]]/Table7[[#This Row],[£/Tonne]]*1000</f>
        <v>4.6923076923076925</v>
      </c>
      <c r="V8" s="313">
        <v>7.6</v>
      </c>
      <c r="W8" s="318">
        <f>Table7[[#This Row],[£Cost /m]]*Table7[[#This Row],[£Cost /m]]</f>
        <v>22.017751479289942</v>
      </c>
      <c r="X8" s="318"/>
      <c r="Y8" s="318">
        <f>Table7[[#This Row],[Cost £/Length]]*(1+Y$2)</f>
        <v>29.723964497041422</v>
      </c>
      <c r="Z8" s="318">
        <f>Table7[[#This Row],[Cost £/Length]]*(1+Z$2)</f>
        <v>30.824852071005918</v>
      </c>
      <c r="AA8" s="318">
        <f>Table7[[#This Row],[Cost £/Length]]*(1+AA$2)</f>
        <v>33.026627218934912</v>
      </c>
      <c r="AB8" s="318">
        <f>Table7[[#This Row],[Cost £/Length]]*(1+AB$2)</f>
        <v>35.228402366863911</v>
      </c>
    </row>
    <row r="9" spans="1:28" ht="25.35" customHeight="1">
      <c r="A9" s="313" t="s">
        <v>49</v>
      </c>
      <c r="B9" s="313" t="str">
        <f t="shared" si="1"/>
        <v>SHS_40_40_4</v>
      </c>
      <c r="C9" s="313" t="str">
        <f t="shared" si="2"/>
        <v>SHS_40_40_4 @ 4.46Kg/m</v>
      </c>
      <c r="D9" s="70">
        <v>40</v>
      </c>
      <c r="E9" s="70">
        <v>40</v>
      </c>
      <c r="F9" s="70">
        <v>4</v>
      </c>
      <c r="G9" s="313">
        <v>4.46</v>
      </c>
      <c r="H9" s="320">
        <v>7.5</v>
      </c>
      <c r="I9" s="319">
        <v>22</v>
      </c>
      <c r="J9" s="321" t="s">
        <v>422</v>
      </c>
      <c r="K9" s="320"/>
      <c r="L9" s="319"/>
      <c r="M9" s="321"/>
      <c r="N9" s="320"/>
      <c r="O9" s="319"/>
      <c r="P9" s="319"/>
      <c r="Q9" s="149">
        <f t="shared" si="3"/>
        <v>165</v>
      </c>
      <c r="R9" s="322">
        <f t="shared" si="0"/>
        <v>618.15599999999995</v>
      </c>
      <c r="S9" s="323"/>
      <c r="T9" s="39">
        <v>840</v>
      </c>
      <c r="U9" s="318">
        <f>Table7[[#This Row],[KG/M]]/Table7[[#This Row],[£/Tonne]]*1000</f>
        <v>5.3095238095238093</v>
      </c>
      <c r="V9" s="313">
        <v>7.6</v>
      </c>
      <c r="W9" s="318">
        <f>Table7[[#This Row],[£Cost /m]]*Table7[[#This Row],[£Cost /m]]</f>
        <v>28.191043083900226</v>
      </c>
      <c r="X9" s="318"/>
      <c r="Y9" s="318">
        <f>Table7[[#This Row],[Cost £/Length]]*(1+Y$2)</f>
        <v>38.05790816326531</v>
      </c>
      <c r="Z9" s="318">
        <f>Table7[[#This Row],[Cost £/Length]]*(1+Z$2)</f>
        <v>39.467460317460315</v>
      </c>
      <c r="AA9" s="318">
        <f>Table7[[#This Row],[Cost £/Length]]*(1+AA$2)</f>
        <v>42.286564625850339</v>
      </c>
      <c r="AB9" s="318">
        <f>Table7[[#This Row],[Cost £/Length]]*(1+AB$2)</f>
        <v>45.105668934240363</v>
      </c>
    </row>
    <row r="10" spans="1:28" ht="25.35" customHeight="1">
      <c r="A10" s="313" t="s">
        <v>49</v>
      </c>
      <c r="B10" s="313" t="str">
        <f t="shared" si="1"/>
        <v>SHS_50_50_2.5</v>
      </c>
      <c r="C10" s="313" t="str">
        <f t="shared" si="2"/>
        <v>SHS_50_50_2.5 @ 3.71Kg/m</v>
      </c>
      <c r="D10" s="70">
        <v>50</v>
      </c>
      <c r="E10" s="70">
        <v>50</v>
      </c>
      <c r="F10" s="70">
        <v>2.5</v>
      </c>
      <c r="G10" s="313">
        <v>3.71</v>
      </c>
      <c r="H10" s="320">
        <v>7.5</v>
      </c>
      <c r="I10" s="319">
        <v>20</v>
      </c>
      <c r="J10" s="321" t="s">
        <v>255</v>
      </c>
      <c r="K10" s="320">
        <v>7.5</v>
      </c>
      <c r="L10" s="319">
        <v>58</v>
      </c>
      <c r="M10" s="321" t="s">
        <v>255</v>
      </c>
      <c r="N10" s="320"/>
      <c r="O10" s="319"/>
      <c r="P10" s="319"/>
      <c r="Q10" s="149">
        <f t="shared" si="3"/>
        <v>585</v>
      </c>
      <c r="R10" s="322">
        <f t="shared" si="0"/>
        <v>1801.3905</v>
      </c>
      <c r="S10" s="323"/>
      <c r="T10" s="39">
        <v>830</v>
      </c>
      <c r="U10" s="318">
        <f>Table7[[#This Row],[KG/M]]/Table7[[#This Row],[£/Tonne]]*1000</f>
        <v>4.4698795180722897</v>
      </c>
      <c r="V10" s="313">
        <v>7.6</v>
      </c>
      <c r="W10" s="318">
        <f>Table7[[#This Row],[£Cost /m]]*Table7[[#This Row],[£Cost /m]]</f>
        <v>19.979822906082166</v>
      </c>
      <c r="X10" s="318"/>
      <c r="Y10" s="318">
        <f>Table7[[#This Row],[Cost £/Length]]*(1+Y$2)</f>
        <v>26.972760923210927</v>
      </c>
      <c r="Z10" s="318">
        <f>Table7[[#This Row],[Cost £/Length]]*(1+Z$2)</f>
        <v>27.97175206851503</v>
      </c>
      <c r="AA10" s="318">
        <f>Table7[[#This Row],[Cost £/Length]]*(1+AA$2)</f>
        <v>29.969734359123251</v>
      </c>
      <c r="AB10" s="318">
        <f>Table7[[#This Row],[Cost £/Length]]*(1+AB$2)</f>
        <v>31.967716649731468</v>
      </c>
    </row>
    <row r="11" spans="1:28" ht="25.35" customHeight="1">
      <c r="A11" s="313" t="s">
        <v>49</v>
      </c>
      <c r="B11" s="313" t="str">
        <f t="shared" si="1"/>
        <v>SHS_50_50_3</v>
      </c>
      <c r="C11" s="313" t="str">
        <f t="shared" si="2"/>
        <v>SHS_50_50_3 @ 4.39Kg/m</v>
      </c>
      <c r="D11" s="70">
        <v>50</v>
      </c>
      <c r="E11" s="70">
        <v>50</v>
      </c>
      <c r="F11" s="70">
        <v>3</v>
      </c>
      <c r="G11" s="313">
        <v>4.3899999999999997</v>
      </c>
      <c r="H11" s="320">
        <v>7.5</v>
      </c>
      <c r="I11" s="319">
        <v>12</v>
      </c>
      <c r="J11" s="321" t="s">
        <v>422</v>
      </c>
      <c r="K11" s="320">
        <v>7.5</v>
      </c>
      <c r="L11" s="319">
        <v>82</v>
      </c>
      <c r="M11" s="321" t="s">
        <v>255</v>
      </c>
      <c r="N11" s="320">
        <v>6.8</v>
      </c>
      <c r="O11" s="319">
        <v>1</v>
      </c>
      <c r="P11" s="319" t="s">
        <v>309</v>
      </c>
      <c r="Q11" s="149">
        <f t="shared" si="3"/>
        <v>711.8</v>
      </c>
      <c r="R11" s="322">
        <f t="shared" si="0"/>
        <v>2593.5856599999997</v>
      </c>
      <c r="S11" s="323"/>
      <c r="T11" s="39">
        <v>830</v>
      </c>
      <c r="U11" s="318">
        <f>Table7[[#This Row],[KG/M]]/Table7[[#This Row],[£/Tonne]]*1000</f>
        <v>5.2891566265060241</v>
      </c>
      <c r="V11" s="313">
        <v>7.6</v>
      </c>
      <c r="W11" s="318">
        <f>Table7[[#This Row],[£Cost /m]]*Table7[[#This Row],[£Cost /m]]</f>
        <v>27.975177819712584</v>
      </c>
      <c r="X11" s="318"/>
      <c r="Y11" s="318">
        <f>Table7[[#This Row],[Cost £/Length]]*(1+Y$2)</f>
        <v>37.766490056611993</v>
      </c>
      <c r="Z11" s="318">
        <f>Table7[[#This Row],[Cost £/Length]]*(1+Z$2)</f>
        <v>39.165248947597618</v>
      </c>
      <c r="AA11" s="318">
        <f>Table7[[#This Row],[Cost £/Length]]*(1+AA$2)</f>
        <v>41.962766729568877</v>
      </c>
      <c r="AB11" s="318">
        <f>Table7[[#This Row],[Cost £/Length]]*(1+AB$2)</f>
        <v>44.760284511540135</v>
      </c>
    </row>
    <row r="12" spans="1:28" ht="25.35" customHeight="1">
      <c r="A12" s="313" t="s">
        <v>49</v>
      </c>
      <c r="B12" s="313" t="str">
        <f t="shared" si="1"/>
        <v>SHS_50_50_4</v>
      </c>
      <c r="C12" s="313" t="str">
        <f t="shared" si="2"/>
        <v>SHS_50_50_4 @ 5.72Kg/m</v>
      </c>
      <c r="D12" s="70">
        <v>50</v>
      </c>
      <c r="E12" s="70">
        <v>50</v>
      </c>
      <c r="F12" s="70">
        <v>4</v>
      </c>
      <c r="G12" s="313">
        <v>5.72</v>
      </c>
      <c r="H12" s="320"/>
      <c r="I12" s="319"/>
      <c r="J12" s="321"/>
      <c r="K12" s="320">
        <v>7.5</v>
      </c>
      <c r="L12" s="319">
        <v>12</v>
      </c>
      <c r="M12" s="321" t="s">
        <v>255</v>
      </c>
      <c r="N12" s="320"/>
      <c r="O12" s="319"/>
      <c r="P12" s="319"/>
      <c r="Q12" s="149">
        <f t="shared" si="3"/>
        <v>90</v>
      </c>
      <c r="R12" s="322">
        <f t="shared" si="0"/>
        <v>314.02800000000002</v>
      </c>
      <c r="S12" s="323"/>
      <c r="T12" s="39">
        <v>610</v>
      </c>
      <c r="U12" s="318">
        <f>Table7[[#This Row],[KG/M]]/Table7[[#This Row],[£/Tonne]]*1000</f>
        <v>9.3770491803278695</v>
      </c>
      <c r="V12" s="313">
        <v>7.6</v>
      </c>
      <c r="W12" s="318">
        <f>Table7[[#This Row],[£Cost /m]]*Table7[[#This Row],[£Cost /m]]</f>
        <v>87.929051330287564</v>
      </c>
      <c r="X12" s="318"/>
      <c r="Y12" s="318">
        <f>Table7[[#This Row],[Cost £/Length]]*(1+Y$2)</f>
        <v>118.70421929588822</v>
      </c>
      <c r="Z12" s="318">
        <f>Table7[[#This Row],[Cost £/Length]]*(1+Z$2)</f>
        <v>123.10067186240258</v>
      </c>
      <c r="AA12" s="318">
        <f>Table7[[#This Row],[Cost £/Length]]*(1+AA$2)</f>
        <v>131.89357699543135</v>
      </c>
      <c r="AB12" s="318">
        <f>Table7[[#This Row],[Cost £/Length]]*(1+AB$2)</f>
        <v>140.68648212846011</v>
      </c>
    </row>
    <row r="13" spans="1:28" ht="25.35" customHeight="1">
      <c r="A13" s="313" t="s">
        <v>49</v>
      </c>
      <c r="B13" s="313" t="str">
        <f t="shared" si="1"/>
        <v>SHS_50_50_5</v>
      </c>
      <c r="C13" s="313" t="str">
        <f t="shared" si="2"/>
        <v>SHS_50_50_5 @ 6.9Kg/m</v>
      </c>
      <c r="D13" s="70">
        <v>50</v>
      </c>
      <c r="E13" s="70">
        <v>50</v>
      </c>
      <c r="F13" s="70">
        <v>5</v>
      </c>
      <c r="G13" s="313">
        <v>6.9</v>
      </c>
      <c r="H13" s="320">
        <v>7.5</v>
      </c>
      <c r="I13" s="319">
        <v>6.5</v>
      </c>
      <c r="J13" s="321" t="s">
        <v>422</v>
      </c>
      <c r="K13" s="320">
        <v>7.5</v>
      </c>
      <c r="L13" s="319">
        <v>4</v>
      </c>
      <c r="M13" s="321" t="s">
        <v>422</v>
      </c>
      <c r="N13" s="320">
        <v>3</v>
      </c>
      <c r="O13" s="319">
        <v>3</v>
      </c>
      <c r="P13" s="319" t="s">
        <v>255</v>
      </c>
      <c r="Q13" s="149">
        <f t="shared" si="3"/>
        <v>87.75</v>
      </c>
      <c r="R13" s="322">
        <f t="shared" si="0"/>
        <v>323.929125</v>
      </c>
      <c r="S13" s="323"/>
      <c r="T13" s="39">
        <v>535</v>
      </c>
      <c r="U13" s="318">
        <f>Table7[[#This Row],[KG/M]]/Table7[[#This Row],[£/Tonne]]*1000</f>
        <v>12.897196261682243</v>
      </c>
      <c r="V13" s="313">
        <v>7.6</v>
      </c>
      <c r="W13" s="318">
        <f>Table7[[#This Row],[£Cost /m]]*Table7[[#This Row],[£Cost /m]]</f>
        <v>166.33767141235043</v>
      </c>
      <c r="X13" s="318"/>
      <c r="Y13" s="318">
        <f>Table7[[#This Row],[Cost £/Length]]*(1+Y$2)</f>
        <v>224.55585640667309</v>
      </c>
      <c r="Z13" s="318">
        <f>Table7[[#This Row],[Cost £/Length]]*(1+Z$2)</f>
        <v>232.87273997729059</v>
      </c>
      <c r="AA13" s="318">
        <f>Table7[[#This Row],[Cost £/Length]]*(1+AA$2)</f>
        <v>249.50650711852563</v>
      </c>
      <c r="AB13" s="318">
        <f>Table7[[#This Row],[Cost £/Length]]*(1+AB$2)</f>
        <v>266.1402742597607</v>
      </c>
    </row>
    <row r="14" spans="1:28" ht="25.35" customHeight="1">
      <c r="A14" s="313" t="s">
        <v>49</v>
      </c>
      <c r="B14" s="313" t="str">
        <f t="shared" si="1"/>
        <v>SHS_50_50_6</v>
      </c>
      <c r="C14" s="313" t="str">
        <f t="shared" si="2"/>
        <v>SHS_50_50_6 @ 8.49Kg/m</v>
      </c>
      <c r="D14" s="70">
        <v>50</v>
      </c>
      <c r="E14" s="70">
        <v>50</v>
      </c>
      <c r="F14" s="70">
        <v>6</v>
      </c>
      <c r="G14" s="313">
        <v>8.49</v>
      </c>
      <c r="H14" s="320"/>
      <c r="I14" s="319"/>
      <c r="J14" s="321"/>
      <c r="K14" s="320"/>
      <c r="L14" s="319"/>
      <c r="M14" s="321"/>
      <c r="N14" s="320"/>
      <c r="O14" s="319"/>
      <c r="P14" s="319"/>
      <c r="Q14" s="149">
        <f t="shared" si="3"/>
        <v>0</v>
      </c>
      <c r="R14" s="322">
        <f t="shared" si="0"/>
        <v>0</v>
      </c>
      <c r="S14" s="323"/>
      <c r="T14" s="39">
        <v>628</v>
      </c>
      <c r="U14" s="318">
        <f>Table7[[#This Row],[KG/M]]/Table7[[#This Row],[£/Tonne]]*1000</f>
        <v>13.519108280254779</v>
      </c>
      <c r="V14" s="313">
        <v>7.6</v>
      </c>
      <c r="W14" s="318">
        <f>Table7[[#This Row],[£Cost /m]]*Table7[[#This Row],[£Cost /m]]</f>
        <v>182.76628869325333</v>
      </c>
      <c r="X14" s="318"/>
      <c r="Y14" s="318">
        <f>Table7[[#This Row],[Cost £/Length]]*(1+Y$2)</f>
        <v>246.734489735892</v>
      </c>
      <c r="Z14" s="318">
        <f>Table7[[#This Row],[Cost £/Length]]*(1+Z$2)</f>
        <v>255.87280417055464</v>
      </c>
      <c r="AA14" s="318">
        <f>Table7[[#This Row],[Cost £/Length]]*(1+AA$2)</f>
        <v>274.14943303988002</v>
      </c>
      <c r="AB14" s="318">
        <f>Table7[[#This Row],[Cost £/Length]]*(1+AB$2)</f>
        <v>292.42606190920532</v>
      </c>
    </row>
    <row r="15" spans="1:28" ht="25.35" customHeight="1">
      <c r="A15" s="313" t="s">
        <v>49</v>
      </c>
      <c r="B15" s="313" t="str">
        <f t="shared" si="1"/>
        <v>SHS_60_60_3</v>
      </c>
      <c r="C15" s="313" t="str">
        <f t="shared" si="2"/>
        <v>SHS_60_60_3 @ 5.67Kg/m</v>
      </c>
      <c r="D15" s="70">
        <v>60</v>
      </c>
      <c r="E15" s="70">
        <v>60</v>
      </c>
      <c r="F15" s="70">
        <v>3</v>
      </c>
      <c r="G15" s="313">
        <v>5.67</v>
      </c>
      <c r="H15" s="320">
        <v>7.5</v>
      </c>
      <c r="I15" s="319">
        <v>9</v>
      </c>
      <c r="J15" s="321" t="s">
        <v>422</v>
      </c>
      <c r="K15" s="320">
        <v>6</v>
      </c>
      <c r="L15" s="319">
        <v>1</v>
      </c>
      <c r="M15" s="321" t="s">
        <v>255</v>
      </c>
      <c r="N15" s="320">
        <v>3</v>
      </c>
      <c r="O15" s="319">
        <v>3</v>
      </c>
      <c r="P15" s="319" t="s">
        <v>255</v>
      </c>
      <c r="Q15" s="149">
        <f t="shared" si="3"/>
        <v>82.5</v>
      </c>
      <c r="R15" s="322">
        <f t="shared" si="0"/>
        <v>355.50900000000001</v>
      </c>
      <c r="S15" s="323"/>
      <c r="T15" s="39">
        <v>760</v>
      </c>
      <c r="U15" s="318">
        <f>Table7[[#This Row],[KG/M]]/Table7[[#This Row],[£/Tonne]]*1000</f>
        <v>7.4605263157894735</v>
      </c>
      <c r="V15" s="313">
        <v>7.6</v>
      </c>
      <c r="W15" s="318">
        <f>Table7[[#This Row],[£Cost /m]]*Table7[[#This Row],[£Cost /m]]</f>
        <v>55.659452908587255</v>
      </c>
      <c r="X15" s="318"/>
      <c r="Y15" s="318">
        <f>Table7[[#This Row],[Cost £/Length]]*(1+Y$2)</f>
        <v>75.140261426592801</v>
      </c>
      <c r="Z15" s="318">
        <f>Table7[[#This Row],[Cost £/Length]]*(1+Z$2)</f>
        <v>77.923234072022154</v>
      </c>
      <c r="AA15" s="318">
        <f>Table7[[#This Row],[Cost £/Length]]*(1+AA$2)</f>
        <v>83.48917936288089</v>
      </c>
      <c r="AB15" s="318">
        <f>Table7[[#This Row],[Cost £/Length]]*(1+AB$2)</f>
        <v>89.055124653739611</v>
      </c>
    </row>
    <row r="16" spans="1:28" ht="25.35" customHeight="1">
      <c r="A16" s="313" t="s">
        <v>49</v>
      </c>
      <c r="B16" s="313" t="str">
        <f t="shared" si="1"/>
        <v>SHS_60_60_4</v>
      </c>
      <c r="C16" s="313" t="str">
        <f t="shared" si="2"/>
        <v>SHS_60_60_4 @ 6.97Kg/m</v>
      </c>
      <c r="D16" s="70" t="s">
        <v>513</v>
      </c>
      <c r="E16" s="70" t="s">
        <v>513</v>
      </c>
      <c r="F16" s="70" t="s">
        <v>579</v>
      </c>
      <c r="G16" s="313">
        <v>6.97</v>
      </c>
      <c r="H16" s="320">
        <v>7.5</v>
      </c>
      <c r="I16" s="319">
        <v>25</v>
      </c>
      <c r="J16" s="321" t="s">
        <v>422</v>
      </c>
      <c r="K16" s="320">
        <v>7.5</v>
      </c>
      <c r="L16" s="319">
        <v>5</v>
      </c>
      <c r="M16" s="321" t="s">
        <v>255</v>
      </c>
      <c r="N16" s="320">
        <v>5</v>
      </c>
      <c r="O16" s="319">
        <v>1</v>
      </c>
      <c r="P16" s="319" t="s">
        <v>255</v>
      </c>
      <c r="Q16" s="149">
        <f t="shared" si="3"/>
        <v>230</v>
      </c>
      <c r="R16" s="322">
        <f t="shared" si="0"/>
        <v>1362.635</v>
      </c>
      <c r="S16" s="323"/>
      <c r="T16" s="39">
        <v>850</v>
      </c>
      <c r="U16" s="318">
        <f>Table7[[#This Row],[KG/M]]/Table7[[#This Row],[£/Tonne]]*1000</f>
        <v>8.1999999999999993</v>
      </c>
      <c r="V16" s="313">
        <v>7.6</v>
      </c>
      <c r="W16" s="318">
        <f>Table7[[#This Row],[£Cost /m]]*Table7[[#This Row],[£Cost /m]]</f>
        <v>67.239999999999995</v>
      </c>
      <c r="X16" s="318"/>
      <c r="Y16" s="318">
        <f>Table7[[#This Row],[Cost £/Length]]*(1+Y$2)</f>
        <v>90.774000000000001</v>
      </c>
      <c r="Z16" s="318">
        <f>Table7[[#This Row],[Cost £/Length]]*(1+Z$2)</f>
        <v>94.135999999999981</v>
      </c>
      <c r="AA16" s="318">
        <f>Table7[[#This Row],[Cost £/Length]]*(1+AA$2)</f>
        <v>100.85999999999999</v>
      </c>
      <c r="AB16" s="318">
        <f>Table7[[#This Row],[Cost £/Length]]*(1+AB$2)</f>
        <v>107.584</v>
      </c>
    </row>
    <row r="17" spans="1:28" ht="25.35" customHeight="1">
      <c r="A17" s="313" t="s">
        <v>49</v>
      </c>
      <c r="B17" s="313" t="str">
        <f t="shared" si="1"/>
        <v>SHS_60_60_5</v>
      </c>
      <c r="C17" s="313" t="str">
        <f t="shared" si="2"/>
        <v>SHS_60_60_5 @ 8.54Kg/m</v>
      </c>
      <c r="D17" s="70" t="s">
        <v>513</v>
      </c>
      <c r="E17" s="70" t="s">
        <v>513</v>
      </c>
      <c r="F17" s="70" t="s">
        <v>503</v>
      </c>
      <c r="G17" s="313">
        <v>8.5399999999999991</v>
      </c>
      <c r="H17" s="320">
        <v>7.5</v>
      </c>
      <c r="I17" s="319">
        <v>11</v>
      </c>
      <c r="J17" s="321" t="s">
        <v>422</v>
      </c>
      <c r="K17" s="320"/>
      <c r="L17" s="319"/>
      <c r="M17" s="321"/>
      <c r="N17" s="320"/>
      <c r="O17" s="319"/>
      <c r="P17" s="319"/>
      <c r="Q17" s="149">
        <f t="shared" si="3"/>
        <v>82.5</v>
      </c>
      <c r="R17" s="322">
        <f t="shared" si="0"/>
        <v>528.41250000000002</v>
      </c>
      <c r="S17" s="323"/>
      <c r="T17" s="39">
        <v>750</v>
      </c>
      <c r="U17" s="318">
        <f>Table7[[#This Row],[KG/M]]/Table7[[#This Row],[£/Tonne]]*1000</f>
        <v>11.386666666666665</v>
      </c>
      <c r="V17" s="313">
        <v>7.6</v>
      </c>
      <c r="W17" s="318">
        <f>Table7[[#This Row],[£Cost /m]]*Table7[[#This Row],[£Cost /m]]</f>
        <v>129.65617777777774</v>
      </c>
      <c r="X17" s="318"/>
      <c r="Y17" s="318">
        <f>Table7[[#This Row],[Cost £/Length]]*(1+Y$2)</f>
        <v>175.03583999999995</v>
      </c>
      <c r="Z17" s="318">
        <f>Table7[[#This Row],[Cost £/Length]]*(1+Z$2)</f>
        <v>181.51864888888883</v>
      </c>
      <c r="AA17" s="318">
        <f>Table7[[#This Row],[Cost £/Length]]*(1+AA$2)</f>
        <v>194.4842666666666</v>
      </c>
      <c r="AB17" s="318">
        <f>Table7[[#This Row],[Cost £/Length]]*(1+AB$2)</f>
        <v>207.44988444444439</v>
      </c>
    </row>
    <row r="18" spans="1:28" ht="25.35" customHeight="1">
      <c r="A18" s="313" t="s">
        <v>49</v>
      </c>
      <c r="B18" s="313" t="str">
        <f t="shared" si="1"/>
        <v>SHS_60_60_6</v>
      </c>
      <c r="C18" s="313" t="str">
        <f t="shared" si="2"/>
        <v>SHS_60_60_6 @ 10.13Kg/m</v>
      </c>
      <c r="D18" s="70" t="s">
        <v>513</v>
      </c>
      <c r="E18" s="70" t="s">
        <v>513</v>
      </c>
      <c r="F18" s="70" t="s">
        <v>505</v>
      </c>
      <c r="G18" s="313">
        <v>10.125</v>
      </c>
      <c r="H18" s="320"/>
      <c r="I18" s="319"/>
      <c r="J18" s="321"/>
      <c r="K18" s="320"/>
      <c r="L18" s="319"/>
      <c r="M18" s="321"/>
      <c r="N18" s="320"/>
      <c r="O18" s="319"/>
      <c r="P18" s="319"/>
      <c r="Q18" s="149">
        <f t="shared" si="3"/>
        <v>0</v>
      </c>
      <c r="R18" s="322">
        <f t="shared" si="0"/>
        <v>0</v>
      </c>
      <c r="S18" s="323"/>
      <c r="T18" s="39">
        <v>530</v>
      </c>
      <c r="U18" s="318">
        <f>Table7[[#This Row],[KG/M]]/Table7[[#This Row],[£/Tonne]]*1000</f>
        <v>19.10377358490566</v>
      </c>
      <c r="V18" s="313">
        <v>7.6</v>
      </c>
      <c r="W18" s="318">
        <f>Table7[[#This Row],[£Cost /m]]*Table7[[#This Row],[£Cost /m]]</f>
        <v>364.95416518333928</v>
      </c>
      <c r="X18" s="318"/>
      <c r="Y18" s="318">
        <f>Table7[[#This Row],[Cost £/Length]]*(1+Y$2)</f>
        <v>492.68812299750806</v>
      </c>
      <c r="Z18" s="318">
        <f>Table7[[#This Row],[Cost £/Length]]*(1+Z$2)</f>
        <v>510.93583125667499</v>
      </c>
      <c r="AA18" s="318">
        <f>Table7[[#This Row],[Cost £/Length]]*(1+AA$2)</f>
        <v>547.43124777500896</v>
      </c>
      <c r="AB18" s="318">
        <f>Table7[[#This Row],[Cost £/Length]]*(1+AB$2)</f>
        <v>583.92666429334292</v>
      </c>
    </row>
    <row r="19" spans="1:28" ht="25.35" customHeight="1">
      <c r="A19" s="313" t="s">
        <v>49</v>
      </c>
      <c r="B19" s="313" t="str">
        <f t="shared" si="1"/>
        <v>SHS_70_70_3</v>
      </c>
      <c r="C19" s="313" t="str">
        <f t="shared" si="2"/>
        <v>SHS_70_70_3 @ 6.31Kg/m</v>
      </c>
      <c r="D19" s="70" t="s">
        <v>531</v>
      </c>
      <c r="E19" s="70" t="s">
        <v>531</v>
      </c>
      <c r="F19" s="70" t="s">
        <v>498</v>
      </c>
      <c r="G19" s="313">
        <v>6.31</v>
      </c>
      <c r="H19" s="320"/>
      <c r="I19" s="319"/>
      <c r="J19" s="321"/>
      <c r="K19" s="320"/>
      <c r="L19" s="319"/>
      <c r="M19" s="321"/>
      <c r="N19" s="320"/>
      <c r="O19" s="319"/>
      <c r="P19" s="319"/>
      <c r="Q19" s="149">
        <f t="shared" si="3"/>
        <v>0</v>
      </c>
      <c r="R19" s="322">
        <f t="shared" si="0"/>
        <v>0</v>
      </c>
      <c r="S19" s="323"/>
      <c r="T19" s="39">
        <v>585</v>
      </c>
      <c r="U19" s="318">
        <f>Table7[[#This Row],[KG/M]]/Table7[[#This Row],[£/Tonne]]*1000</f>
        <v>10.786324786324787</v>
      </c>
      <c r="V19" s="313">
        <v>7.6</v>
      </c>
      <c r="W19" s="318">
        <f>Table7[[#This Row],[£Cost /m]]*Table7[[#This Row],[£Cost /m]]</f>
        <v>116.34480239608446</v>
      </c>
      <c r="X19" s="318"/>
      <c r="Y19" s="318">
        <f>Table7[[#This Row],[Cost £/Length]]*(1+Y$2)</f>
        <v>157.06548323471404</v>
      </c>
      <c r="Z19" s="318">
        <f>Table7[[#This Row],[Cost £/Length]]*(1+Z$2)</f>
        <v>162.88272335451825</v>
      </c>
      <c r="AA19" s="318">
        <f>Table7[[#This Row],[Cost £/Length]]*(1+AA$2)</f>
        <v>174.5172035941267</v>
      </c>
      <c r="AB19" s="318">
        <f>Table7[[#This Row],[Cost £/Length]]*(1+AB$2)</f>
        <v>186.15168383373515</v>
      </c>
    </row>
    <row r="20" spans="1:28" ht="25.35" customHeight="1">
      <c r="A20" s="313" t="s">
        <v>49</v>
      </c>
      <c r="B20" s="313" t="str">
        <f t="shared" si="1"/>
        <v>SHS_70_70_5</v>
      </c>
      <c r="C20" s="313" t="str">
        <f t="shared" si="2"/>
        <v>SHS_70_70_5 @ 10.11Kg/m</v>
      </c>
      <c r="D20" s="70" t="s">
        <v>531</v>
      </c>
      <c r="E20" s="70" t="s">
        <v>531</v>
      </c>
      <c r="F20" s="70" t="s">
        <v>503</v>
      </c>
      <c r="G20" s="313">
        <v>10.11</v>
      </c>
      <c r="H20" s="320"/>
      <c r="I20" s="319"/>
      <c r="J20" s="321"/>
      <c r="K20" s="320"/>
      <c r="L20" s="319"/>
      <c r="M20" s="321"/>
      <c r="N20" s="320"/>
      <c r="O20" s="319"/>
      <c r="P20" s="319"/>
      <c r="Q20" s="149">
        <f t="shared" si="3"/>
        <v>0</v>
      </c>
      <c r="R20" s="322">
        <f t="shared" si="0"/>
        <v>0</v>
      </c>
      <c r="S20" s="323"/>
      <c r="T20" s="39">
        <v>620</v>
      </c>
      <c r="U20" s="318">
        <f>Table7[[#This Row],[KG/M]]/Table7[[#This Row],[£/Tonne]]*1000</f>
        <v>16.306451612903224</v>
      </c>
      <c r="V20" s="313">
        <v>7.6</v>
      </c>
      <c r="W20" s="318">
        <f>Table7[[#This Row],[£Cost /m]]*Table7[[#This Row],[£Cost /m]]</f>
        <v>265.90036420395415</v>
      </c>
      <c r="X20" s="318"/>
      <c r="Y20" s="318">
        <f>Table7[[#This Row],[Cost £/Length]]*(1+Y$2)</f>
        <v>358.96549167533811</v>
      </c>
      <c r="Z20" s="318">
        <f>Table7[[#This Row],[Cost £/Length]]*(1+Z$2)</f>
        <v>372.26050988553578</v>
      </c>
      <c r="AA20" s="318">
        <f>Table7[[#This Row],[Cost £/Length]]*(1+AA$2)</f>
        <v>398.85054630593123</v>
      </c>
      <c r="AB20" s="318">
        <f>Table7[[#This Row],[Cost £/Length]]*(1+AB$2)</f>
        <v>425.44058272632668</v>
      </c>
    </row>
    <row r="21" spans="1:28" ht="25.35" customHeight="1">
      <c r="A21" s="313" t="s">
        <v>49</v>
      </c>
      <c r="B21" s="313" t="str">
        <f t="shared" si="1"/>
        <v>SHS_80_80_3</v>
      </c>
      <c r="C21" s="313" t="str">
        <f t="shared" si="2"/>
        <v>SHS_80_80_3 @ 7.22Kg/m</v>
      </c>
      <c r="D21" s="70" t="s">
        <v>509</v>
      </c>
      <c r="E21" s="70" t="s">
        <v>509</v>
      </c>
      <c r="F21" s="70" t="s">
        <v>498</v>
      </c>
      <c r="G21" s="313">
        <v>7.22</v>
      </c>
      <c r="H21" s="320">
        <v>2.4</v>
      </c>
      <c r="I21" s="319">
        <v>1</v>
      </c>
      <c r="J21" s="321" t="s">
        <v>255</v>
      </c>
      <c r="K21" s="320">
        <v>3.7</v>
      </c>
      <c r="L21" s="319">
        <v>1</v>
      </c>
      <c r="M21" s="321" t="s">
        <v>255</v>
      </c>
      <c r="N21" s="320">
        <v>7.5</v>
      </c>
      <c r="O21" s="319">
        <v>4</v>
      </c>
      <c r="P21" s="319" t="s">
        <v>255</v>
      </c>
      <c r="Q21" s="149">
        <f t="shared" si="3"/>
        <v>36.1</v>
      </c>
      <c r="R21" s="322">
        <f t="shared" si="0"/>
        <v>143.35310000000001</v>
      </c>
      <c r="S21" s="323"/>
      <c r="T21" s="39">
        <v>550</v>
      </c>
      <c r="U21" s="318">
        <f>Table7[[#This Row],[KG/M]]/Table7[[#This Row],[£/Tonne]]*1000</f>
        <v>13.127272727272727</v>
      </c>
      <c r="V21" s="313">
        <v>7.6</v>
      </c>
      <c r="W21" s="318">
        <f>Table7[[#This Row],[£Cost /m]]*Table7[[#This Row],[£Cost /m]]</f>
        <v>172.32528925619835</v>
      </c>
      <c r="X21" s="318"/>
      <c r="Y21" s="318">
        <f>Table7[[#This Row],[Cost £/Length]]*(1+Y$2)</f>
        <v>232.63914049586779</v>
      </c>
      <c r="Z21" s="318">
        <f>Table7[[#This Row],[Cost £/Length]]*(1+Z$2)</f>
        <v>241.25540495867767</v>
      </c>
      <c r="AA21" s="318">
        <f>Table7[[#This Row],[Cost £/Length]]*(1+AA$2)</f>
        <v>258.48793388429749</v>
      </c>
      <c r="AB21" s="318">
        <f>Table7[[#This Row],[Cost £/Length]]*(1+AB$2)</f>
        <v>275.72046280991736</v>
      </c>
    </row>
    <row r="22" spans="1:28" ht="25.35" customHeight="1">
      <c r="A22" s="313" t="s">
        <v>49</v>
      </c>
      <c r="B22" s="313" t="str">
        <f t="shared" si="1"/>
        <v>SHS_80_80_5</v>
      </c>
      <c r="C22" s="313" t="str">
        <f t="shared" si="2"/>
        <v>SHS_80_80_5 @ 11.7Kg/m</v>
      </c>
      <c r="D22" s="70" t="s">
        <v>509</v>
      </c>
      <c r="E22" s="70" t="s">
        <v>509</v>
      </c>
      <c r="F22" s="70" t="s">
        <v>503</v>
      </c>
      <c r="G22" s="313">
        <v>11.7</v>
      </c>
      <c r="H22" s="320">
        <v>10</v>
      </c>
      <c r="I22" s="319">
        <v>16</v>
      </c>
      <c r="J22" s="321" t="s">
        <v>255</v>
      </c>
      <c r="K22" s="320"/>
      <c r="L22" s="319"/>
      <c r="M22" s="321"/>
      <c r="N22" s="320"/>
      <c r="O22" s="319"/>
      <c r="P22" s="319"/>
      <c r="Q22" s="149">
        <f t="shared" si="3"/>
        <v>160</v>
      </c>
      <c r="R22" s="322">
        <f t="shared" si="0"/>
        <v>1553.76</v>
      </c>
      <c r="S22" s="323"/>
      <c r="T22" s="39">
        <v>830</v>
      </c>
      <c r="U22" s="318">
        <f>Table7[[#This Row],[KG/M]]/Table7[[#This Row],[£/Tonne]]*1000</f>
        <v>14.096385542168674</v>
      </c>
      <c r="V22" s="313">
        <v>7.6</v>
      </c>
      <c r="W22" s="318">
        <f>Table7[[#This Row],[£Cost /m]]*Table7[[#This Row],[£Cost /m]]</f>
        <v>198.70808535346202</v>
      </c>
      <c r="X22" s="318"/>
      <c r="Y22" s="318">
        <f>Table7[[#This Row],[Cost £/Length]]*(1+Y$2)</f>
        <v>268.25591522717377</v>
      </c>
      <c r="Z22" s="318">
        <f>Table7[[#This Row],[Cost £/Length]]*(1+Z$2)</f>
        <v>278.19131949484682</v>
      </c>
      <c r="AA22" s="318">
        <f>Table7[[#This Row],[Cost £/Length]]*(1+AA$2)</f>
        <v>298.06212803019304</v>
      </c>
      <c r="AB22" s="318">
        <f>Table7[[#This Row],[Cost £/Length]]*(1+AB$2)</f>
        <v>317.93293656553925</v>
      </c>
    </row>
    <row r="23" spans="1:28" ht="25.35" customHeight="1">
      <c r="A23" s="313" t="s">
        <v>49</v>
      </c>
      <c r="B23" s="313" t="str">
        <f t="shared" si="1"/>
        <v>SHS_80_80_6</v>
      </c>
      <c r="C23" s="313" t="str">
        <f t="shared" si="2"/>
        <v>SHS_80_80_6 @ 12.9Kg/m</v>
      </c>
      <c r="D23" s="70" t="s">
        <v>509</v>
      </c>
      <c r="E23" s="70" t="s">
        <v>509</v>
      </c>
      <c r="F23" s="70" t="s">
        <v>505</v>
      </c>
      <c r="G23" s="313">
        <v>12.9</v>
      </c>
      <c r="H23" s="320">
        <v>6</v>
      </c>
      <c r="I23" s="319">
        <v>1</v>
      </c>
      <c r="J23" s="321" t="s">
        <v>255</v>
      </c>
      <c r="K23" s="320"/>
      <c r="L23" s="319"/>
      <c r="M23" s="321"/>
      <c r="N23" s="320"/>
      <c r="O23" s="319"/>
      <c r="P23" s="319"/>
      <c r="Q23" s="149">
        <f t="shared" si="3"/>
        <v>6</v>
      </c>
      <c r="R23" s="322">
        <f t="shared" si="0"/>
        <v>55.341000000000008</v>
      </c>
      <c r="S23" s="323"/>
      <c r="T23" s="39">
        <v>715</v>
      </c>
      <c r="U23" s="318">
        <f>Table7[[#This Row],[KG/M]]/Table7[[#This Row],[£/Tonne]]*1000</f>
        <v>18.04195804195804</v>
      </c>
      <c r="V23" s="313">
        <v>7.6</v>
      </c>
      <c r="W23" s="318">
        <f>Table7[[#This Row],[£Cost /m]]*Table7[[#This Row],[£Cost /m]]</f>
        <v>325.5122499877744</v>
      </c>
      <c r="X23" s="318"/>
      <c r="Y23" s="318">
        <f>Table7[[#This Row],[Cost £/Length]]*(1+Y$2)</f>
        <v>439.44153748349544</v>
      </c>
      <c r="Z23" s="318">
        <f>Table7[[#This Row],[Cost £/Length]]*(1+Z$2)</f>
        <v>455.71714998288411</v>
      </c>
      <c r="AA23" s="318">
        <f>Table7[[#This Row],[Cost £/Length]]*(1+AA$2)</f>
        <v>488.26837498166162</v>
      </c>
      <c r="AB23" s="318">
        <f>Table7[[#This Row],[Cost £/Length]]*(1+AB$2)</f>
        <v>520.81959998043908</v>
      </c>
    </row>
    <row r="24" spans="1:28" ht="25.35" customHeight="1">
      <c r="A24" s="313" t="s">
        <v>49</v>
      </c>
      <c r="B24" s="313" t="str">
        <f t="shared" si="1"/>
        <v>SHS_80_80_8</v>
      </c>
      <c r="C24" s="313" t="str">
        <f t="shared" si="2"/>
        <v>SHS_80_80_8 @ 0Kg/m</v>
      </c>
      <c r="D24" s="70" t="s">
        <v>509</v>
      </c>
      <c r="E24" s="70" t="s">
        <v>509</v>
      </c>
      <c r="F24" s="70" t="s">
        <v>510</v>
      </c>
      <c r="G24" s="313"/>
      <c r="H24" s="320"/>
      <c r="I24" s="319"/>
      <c r="J24" s="321"/>
      <c r="K24" s="320"/>
      <c r="L24" s="319"/>
      <c r="M24" s="321"/>
      <c r="N24" s="320"/>
      <c r="O24" s="319"/>
      <c r="P24" s="319"/>
      <c r="Q24" s="149">
        <f t="shared" si="3"/>
        <v>0</v>
      </c>
      <c r="R24" s="322">
        <f t="shared" si="0"/>
        <v>0</v>
      </c>
      <c r="S24" s="323"/>
      <c r="T24" s="39">
        <v>585</v>
      </c>
      <c r="U24" s="318">
        <f>Table7[[#This Row],[KG/M]]/Table7[[#This Row],[£/Tonne]]*1000</f>
        <v>0</v>
      </c>
      <c r="V24" s="313">
        <v>7.6</v>
      </c>
      <c r="W24" s="318">
        <f>Table7[[#This Row],[£Cost /m]]*Table7[[#This Row],[£Cost /m]]</f>
        <v>0</v>
      </c>
      <c r="X24" s="318"/>
      <c r="Y24" s="318">
        <f>Table7[[#This Row],[Cost £/Length]]*(1+Y$2)</f>
        <v>0</v>
      </c>
      <c r="Z24" s="318">
        <f>Table7[[#This Row],[Cost £/Length]]*(1+Z$2)</f>
        <v>0</v>
      </c>
      <c r="AA24" s="318">
        <f>Table7[[#This Row],[Cost £/Length]]*(1+AA$2)</f>
        <v>0</v>
      </c>
      <c r="AB24" s="318">
        <f>Table7[[#This Row],[Cost £/Length]]*(1+AB$2)</f>
        <v>0</v>
      </c>
    </row>
    <row r="25" spans="1:28" ht="25.35" customHeight="1">
      <c r="A25" s="313" t="s">
        <v>49</v>
      </c>
      <c r="B25" s="313" t="str">
        <f t="shared" si="1"/>
        <v>SHS_80_80_10</v>
      </c>
      <c r="C25" s="313" t="str">
        <f t="shared" si="2"/>
        <v>SHS_80_80_10 @ 21.98Kg/m</v>
      </c>
      <c r="D25" s="70" t="s">
        <v>509</v>
      </c>
      <c r="E25" s="70" t="s">
        <v>509</v>
      </c>
      <c r="F25" s="70" t="s">
        <v>322</v>
      </c>
      <c r="G25" s="313">
        <v>21.98</v>
      </c>
      <c r="H25" s="320">
        <v>5</v>
      </c>
      <c r="I25" s="319">
        <v>1</v>
      </c>
      <c r="J25" s="321" t="s">
        <v>255</v>
      </c>
      <c r="K25" s="320">
        <v>4</v>
      </c>
      <c r="L25" s="319">
        <v>1</v>
      </c>
      <c r="M25" s="321" t="s">
        <v>255</v>
      </c>
      <c r="N25" s="320"/>
      <c r="O25" s="319"/>
      <c r="P25" s="319"/>
      <c r="Q25" s="149">
        <f t="shared" si="3"/>
        <v>9</v>
      </c>
      <c r="R25" s="322">
        <f t="shared" si="0"/>
        <v>127.59389999999999</v>
      </c>
      <c r="S25" s="323"/>
      <c r="T25" s="39">
        <v>645</v>
      </c>
      <c r="U25" s="318">
        <f>Table7[[#This Row],[KG/M]]/Table7[[#This Row],[£/Tonne]]*1000</f>
        <v>34.077519379844965</v>
      </c>
      <c r="V25" s="313">
        <v>7.6</v>
      </c>
      <c r="W25" s="318">
        <f>Table7[[#This Row],[£Cost /m]]*Table7[[#This Row],[£Cost /m]]</f>
        <v>1161.2773270837092</v>
      </c>
      <c r="X25" s="318"/>
      <c r="Y25" s="318">
        <f>Table7[[#This Row],[Cost £/Length]]*(1+Y$2)</f>
        <v>1567.7243915630077</v>
      </c>
      <c r="Z25" s="318">
        <f>Table7[[#This Row],[Cost £/Length]]*(1+Z$2)</f>
        <v>1625.7882579171928</v>
      </c>
      <c r="AA25" s="318">
        <f>Table7[[#This Row],[Cost £/Length]]*(1+AA$2)</f>
        <v>1741.9159906255638</v>
      </c>
      <c r="AB25" s="318">
        <f>Table7[[#This Row],[Cost £/Length]]*(1+AB$2)</f>
        <v>1858.0437233339348</v>
      </c>
    </row>
    <row r="26" spans="1:28" ht="25.35" customHeight="1">
      <c r="A26" s="313" t="s">
        <v>49</v>
      </c>
      <c r="B26" s="313" t="str">
        <f t="shared" si="1"/>
        <v>SHS_90_90_5</v>
      </c>
      <c r="C26" s="313" t="str">
        <f t="shared" si="2"/>
        <v>SHS_90_90_5 @ 13.3Kg/m</v>
      </c>
      <c r="D26" s="70" t="s">
        <v>514</v>
      </c>
      <c r="E26" s="70" t="s">
        <v>514</v>
      </c>
      <c r="F26" s="70" t="s">
        <v>503</v>
      </c>
      <c r="G26" s="313">
        <v>13.3</v>
      </c>
      <c r="H26" s="320"/>
      <c r="I26" s="319"/>
      <c r="J26" s="321"/>
      <c r="K26" s="320"/>
      <c r="L26" s="319"/>
      <c r="M26" s="321"/>
      <c r="N26" s="320"/>
      <c r="O26" s="319"/>
      <c r="P26" s="319"/>
      <c r="Q26" s="149">
        <f t="shared" si="3"/>
        <v>0</v>
      </c>
      <c r="R26" s="322">
        <f t="shared" si="0"/>
        <v>0</v>
      </c>
      <c r="S26" s="323"/>
      <c r="T26" s="39">
        <v>740</v>
      </c>
      <c r="U26" s="318">
        <f>Table7[[#This Row],[KG/M]]/Table7[[#This Row],[£/Tonne]]*1000</f>
        <v>17.972972972972972</v>
      </c>
      <c r="V26" s="313">
        <v>7.6</v>
      </c>
      <c r="W26" s="318">
        <f>Table7[[#This Row],[£Cost /m]]*Table7[[#This Row],[£Cost /m]]</f>
        <v>323.02775748721689</v>
      </c>
      <c r="X26" s="318"/>
      <c r="Y26" s="318">
        <f>Table7[[#This Row],[Cost £/Length]]*(1+Y$2)</f>
        <v>436.08747260774282</v>
      </c>
      <c r="Z26" s="318">
        <f>Table7[[#This Row],[Cost £/Length]]*(1+Z$2)</f>
        <v>452.23886048210363</v>
      </c>
      <c r="AA26" s="318">
        <f>Table7[[#This Row],[Cost £/Length]]*(1+AA$2)</f>
        <v>484.54163623082536</v>
      </c>
      <c r="AB26" s="318">
        <f>Table7[[#This Row],[Cost £/Length]]*(1+AB$2)</f>
        <v>516.84441197954709</v>
      </c>
    </row>
    <row r="27" spans="1:28" ht="25.35" customHeight="1">
      <c r="A27" s="313" t="s">
        <v>49</v>
      </c>
      <c r="B27" s="313" t="str">
        <f t="shared" si="1"/>
        <v>SHS_90_90_6</v>
      </c>
      <c r="C27" s="313" t="str">
        <f t="shared" si="2"/>
        <v>SHS_90_90_6 @ 16.4Kg/m</v>
      </c>
      <c r="D27" s="70" t="s">
        <v>514</v>
      </c>
      <c r="E27" s="70" t="s">
        <v>514</v>
      </c>
      <c r="F27" s="70" t="s">
        <v>505</v>
      </c>
      <c r="G27" s="313">
        <v>16.399999999999999</v>
      </c>
      <c r="H27" s="320">
        <v>7.5</v>
      </c>
      <c r="I27" s="319">
        <v>2</v>
      </c>
      <c r="J27" s="325"/>
      <c r="K27" s="320"/>
      <c r="L27" s="319"/>
      <c r="M27" s="321"/>
      <c r="N27" s="320"/>
      <c r="O27" s="319"/>
      <c r="P27" s="319"/>
      <c r="Q27" s="149">
        <f t="shared" si="3"/>
        <v>15</v>
      </c>
      <c r="R27" s="322">
        <f t="shared" si="0"/>
        <v>126.68999999999998</v>
      </c>
      <c r="S27" s="323"/>
      <c r="T27" s="39">
        <v>515</v>
      </c>
      <c r="U27" s="318">
        <f>Table7[[#This Row],[KG/M]]/Table7[[#This Row],[£/Tonne]]*1000</f>
        <v>31.844660194174757</v>
      </c>
      <c r="V27" s="313">
        <v>7.6</v>
      </c>
      <c r="W27" s="318">
        <f>Table7[[#This Row],[£Cost /m]]*Table7[[#This Row],[£Cost /m]]</f>
        <v>1014.0823828824583</v>
      </c>
      <c r="X27" s="318"/>
      <c r="Y27" s="318">
        <f>Table7[[#This Row],[Cost £/Length]]*(1+Y$2)</f>
        <v>1369.0112168913188</v>
      </c>
      <c r="Z27" s="318">
        <f>Table7[[#This Row],[Cost £/Length]]*(1+Z$2)</f>
        <v>1419.7153360354416</v>
      </c>
      <c r="AA27" s="318">
        <f>Table7[[#This Row],[Cost £/Length]]*(1+AA$2)</f>
        <v>1521.1235743236875</v>
      </c>
      <c r="AB27" s="318">
        <f>Table7[[#This Row],[Cost £/Length]]*(1+AB$2)</f>
        <v>1622.5318126119334</v>
      </c>
    </row>
    <row r="28" spans="1:28" ht="25.35" customHeight="1">
      <c r="A28" s="313" t="s">
        <v>49</v>
      </c>
      <c r="B28" s="313" t="str">
        <f t="shared" si="1"/>
        <v>SHS_100_100_4</v>
      </c>
      <c r="C28" s="313" t="str">
        <f t="shared" si="2"/>
        <v>SHS_100_100_4 @ 11.95Kg/m</v>
      </c>
      <c r="D28" s="70" t="s">
        <v>511</v>
      </c>
      <c r="E28" s="70" t="s">
        <v>511</v>
      </c>
      <c r="F28" s="70" t="s">
        <v>579</v>
      </c>
      <c r="G28" s="313">
        <v>11.95</v>
      </c>
      <c r="H28" s="320">
        <v>7.5</v>
      </c>
      <c r="I28" s="319">
        <v>19</v>
      </c>
      <c r="J28" s="325"/>
      <c r="K28" s="320">
        <v>3.1</v>
      </c>
      <c r="L28" s="319">
        <v>1</v>
      </c>
      <c r="M28" s="321" t="s">
        <v>309</v>
      </c>
      <c r="N28" s="320">
        <v>6.4</v>
      </c>
      <c r="O28" s="319">
        <v>4</v>
      </c>
      <c r="P28" s="319"/>
      <c r="Q28" s="149">
        <f t="shared" si="3"/>
        <v>171.2</v>
      </c>
      <c r="R28" s="322">
        <f t="shared" si="0"/>
        <v>1074.0659999999998</v>
      </c>
      <c r="S28" s="323"/>
      <c r="T28" s="39">
        <v>525</v>
      </c>
      <c r="U28" s="318">
        <f>Table7[[#This Row],[KG/M]]/Table7[[#This Row],[£/Tonne]]*1000</f>
        <v>22.761904761904759</v>
      </c>
      <c r="V28" s="313">
        <v>7.6</v>
      </c>
      <c r="W28" s="318">
        <f>Table7[[#This Row],[£Cost /m]]*Table7[[#This Row],[£Cost /m]]</f>
        <v>518.10430839002254</v>
      </c>
      <c r="X28" s="318"/>
      <c r="Y28" s="318">
        <f>Table7[[#This Row],[Cost £/Length]]*(1+Y$2)</f>
        <v>699.44081632653047</v>
      </c>
      <c r="Z28" s="318">
        <f>Table7[[#This Row],[Cost £/Length]]*(1+Z$2)</f>
        <v>725.34603174603149</v>
      </c>
      <c r="AA28" s="318">
        <f>Table7[[#This Row],[Cost £/Length]]*(1+AA$2)</f>
        <v>777.15646258503375</v>
      </c>
      <c r="AB28" s="318">
        <f>Table7[[#This Row],[Cost £/Length]]*(1+AB$2)</f>
        <v>828.96689342403613</v>
      </c>
    </row>
    <row r="29" spans="1:28" ht="25.35" customHeight="1">
      <c r="A29" s="313" t="s">
        <v>49</v>
      </c>
      <c r="B29" s="313" t="str">
        <f t="shared" ref="B29" si="7">_xlfn.CONCAT(A29,"_",D29,"_",E29,"_",F29)</f>
        <v>SHS_100_100_3</v>
      </c>
      <c r="C29" s="313" t="str">
        <f t="shared" ref="C29" si="8">_xlfn.CONCAT(B29, " @ ",ROUND(G29,2),"Kg/m")</f>
        <v>SHS_100_100_3 @ 11.95Kg/m</v>
      </c>
      <c r="D29" s="70" t="s">
        <v>511</v>
      </c>
      <c r="E29" s="70" t="s">
        <v>511</v>
      </c>
      <c r="F29" s="70">
        <v>3</v>
      </c>
      <c r="G29" s="313">
        <v>11.95</v>
      </c>
      <c r="H29" s="320">
        <v>4.4000000000000004</v>
      </c>
      <c r="I29" s="319">
        <v>1</v>
      </c>
      <c r="J29" s="325"/>
      <c r="K29" s="320"/>
      <c r="L29" s="319"/>
      <c r="M29" s="321" t="s">
        <v>309</v>
      </c>
      <c r="N29" s="320"/>
      <c r="O29" s="319"/>
      <c r="P29" s="319"/>
      <c r="Q29" s="149">
        <f t="shared" ref="Q29" si="9">SUM(H29*I29)+(K29*L29)+(N29*O29)</f>
        <v>4.4000000000000004</v>
      </c>
      <c r="R29" s="322">
        <f t="shared" si="0"/>
        <v>27.604500000000002</v>
      </c>
      <c r="S29" s="323"/>
      <c r="T29" s="39">
        <v>525</v>
      </c>
      <c r="U29" s="318">
        <f>Table7[[#This Row],[KG/M]]/Table7[[#This Row],[£/Tonne]]*1000</f>
        <v>22.761904761904759</v>
      </c>
      <c r="V29" s="313">
        <v>7.6</v>
      </c>
      <c r="W29" s="318">
        <f>Table7[[#This Row],[£Cost /m]]*Table7[[#This Row],[£Cost /m]]</f>
        <v>518.10430839002254</v>
      </c>
      <c r="X29" s="318"/>
      <c r="Y29" s="318">
        <f>Table7[[#This Row],[Cost £/Length]]*(1+Y$2)</f>
        <v>699.44081632653047</v>
      </c>
      <c r="Z29" s="318">
        <f>Table7[[#This Row],[Cost £/Length]]*(1+Z$2)</f>
        <v>725.34603174603149</v>
      </c>
      <c r="AA29" s="318">
        <f>Table7[[#This Row],[Cost £/Length]]*(1+AA$2)</f>
        <v>777.15646258503375</v>
      </c>
      <c r="AB29" s="318">
        <f>Table7[[#This Row],[Cost £/Length]]*(1+AB$2)</f>
        <v>828.96689342403613</v>
      </c>
    </row>
    <row r="30" spans="1:28" ht="25.35" customHeight="1">
      <c r="A30" s="313" t="s">
        <v>49</v>
      </c>
      <c r="B30" s="313" t="str">
        <f t="shared" si="1"/>
        <v>SHS_100_100_5</v>
      </c>
      <c r="C30" s="313" t="str">
        <f t="shared" si="2"/>
        <v>SHS_100_100_5 @ 14.8Kg/m</v>
      </c>
      <c r="D30" s="70" t="s">
        <v>511</v>
      </c>
      <c r="E30" s="70" t="s">
        <v>511</v>
      </c>
      <c r="F30" s="70" t="s">
        <v>503</v>
      </c>
      <c r="G30" s="313">
        <v>14.8</v>
      </c>
      <c r="H30" s="320">
        <v>7.5</v>
      </c>
      <c r="I30" s="319">
        <v>10</v>
      </c>
      <c r="J30" s="325"/>
      <c r="K30" s="320">
        <v>6.4</v>
      </c>
      <c r="L30" s="319">
        <v>1</v>
      </c>
      <c r="M30" s="321" t="s">
        <v>308</v>
      </c>
      <c r="N30" s="320"/>
      <c r="O30" s="319"/>
      <c r="P30" s="319"/>
      <c r="Q30" s="149">
        <f t="shared" si="3"/>
        <v>81.400000000000006</v>
      </c>
      <c r="R30" s="322">
        <f t="shared" si="0"/>
        <v>1011.9648000000002</v>
      </c>
      <c r="S30" s="323"/>
      <c r="T30" s="39">
        <v>840</v>
      </c>
      <c r="U30" s="318">
        <f>Table7[[#This Row],[KG/M]]/Table7[[#This Row],[£/Tonne]]*1000</f>
        <v>17.61904761904762</v>
      </c>
      <c r="V30" s="313">
        <v>7.6</v>
      </c>
      <c r="W30" s="318">
        <f>Table7[[#This Row],[£Cost /m]]*Table7[[#This Row],[£Cost /m]]</f>
        <v>310.43083900226765</v>
      </c>
      <c r="X30" s="318"/>
      <c r="Y30" s="318">
        <f>Table7[[#This Row],[Cost £/Length]]*(1+Y$2)</f>
        <v>419.08163265306138</v>
      </c>
      <c r="Z30" s="318">
        <f>Table7[[#This Row],[Cost £/Length]]*(1+Z$2)</f>
        <v>434.60317460317469</v>
      </c>
      <c r="AA30" s="318">
        <f>Table7[[#This Row],[Cost £/Length]]*(1+AA$2)</f>
        <v>465.64625850340144</v>
      </c>
      <c r="AB30" s="318">
        <f>Table7[[#This Row],[Cost £/Length]]*(1+AB$2)</f>
        <v>496.68934240362825</v>
      </c>
    </row>
    <row r="31" spans="1:28" ht="25.35" customHeight="1">
      <c r="A31" s="313" t="s">
        <v>49</v>
      </c>
      <c r="B31" s="313" t="str">
        <f t="shared" si="1"/>
        <v>SHS_100_100_6</v>
      </c>
      <c r="C31" s="313" t="str">
        <f t="shared" si="2"/>
        <v>SHS_100_100_6 @ 17.63Kg/m</v>
      </c>
      <c r="D31" s="70" t="s">
        <v>511</v>
      </c>
      <c r="E31" s="70" t="s">
        <v>511</v>
      </c>
      <c r="F31" s="70" t="s">
        <v>505</v>
      </c>
      <c r="G31" s="313">
        <v>17.625</v>
      </c>
      <c r="H31" s="320">
        <v>34.6</v>
      </c>
      <c r="I31" s="319">
        <v>1</v>
      </c>
      <c r="J31" s="325"/>
      <c r="K31" s="320"/>
      <c r="L31" s="319"/>
      <c r="M31" s="321"/>
      <c r="N31" s="320"/>
      <c r="O31" s="319"/>
      <c r="P31" s="319"/>
      <c r="Q31" s="149">
        <f t="shared" si="3"/>
        <v>34.6</v>
      </c>
      <c r="R31" s="322">
        <f t="shared" si="0"/>
        <v>442.12312500000007</v>
      </c>
      <c r="S31" s="323"/>
      <c r="T31" s="39">
        <v>725</v>
      </c>
      <c r="U31" s="318">
        <f>Table7[[#This Row],[KG/M]]/Table7[[#This Row],[£/Tonne]]*1000</f>
        <v>24.310344827586206</v>
      </c>
      <c r="V31" s="313">
        <v>7.6</v>
      </c>
      <c r="W31" s="318">
        <f>Table7[[#This Row],[£Cost /m]]*Table7[[#This Row],[£Cost /m]]</f>
        <v>590.99286563614737</v>
      </c>
      <c r="X31" s="318"/>
      <c r="Y31" s="318">
        <f>Table7[[#This Row],[Cost £/Length]]*(1+Y$2)</f>
        <v>797.84036860879905</v>
      </c>
      <c r="Z31" s="318">
        <f>Table7[[#This Row],[Cost £/Length]]*(1+Z$2)</f>
        <v>827.39001189060627</v>
      </c>
      <c r="AA31" s="318">
        <f>Table7[[#This Row],[Cost £/Length]]*(1+AA$2)</f>
        <v>886.48929845422106</v>
      </c>
      <c r="AB31" s="318">
        <f>Table7[[#This Row],[Cost £/Length]]*(1+AB$2)</f>
        <v>945.58858501783584</v>
      </c>
    </row>
    <row r="32" spans="1:28" ht="25.35" customHeight="1">
      <c r="A32" s="313" t="s">
        <v>49</v>
      </c>
      <c r="B32" s="313" t="str">
        <f t="shared" si="1"/>
        <v>SHS_100_100_8</v>
      </c>
      <c r="C32" s="313" t="str">
        <f t="shared" si="2"/>
        <v>SHS_100_100_8 @ 22.9Kg/m</v>
      </c>
      <c r="D32" s="70" t="s">
        <v>511</v>
      </c>
      <c r="E32" s="70" t="s">
        <v>511</v>
      </c>
      <c r="F32" s="70" t="s">
        <v>510</v>
      </c>
      <c r="G32" s="313">
        <v>22.9</v>
      </c>
      <c r="H32" s="320"/>
      <c r="I32" s="319"/>
      <c r="J32" s="321"/>
      <c r="K32" s="320"/>
      <c r="L32" s="319"/>
      <c r="M32" s="321"/>
      <c r="N32" s="320"/>
      <c r="O32" s="319"/>
      <c r="P32" s="319"/>
      <c r="Q32" s="149">
        <f t="shared" si="3"/>
        <v>0</v>
      </c>
      <c r="R32" s="322">
        <f t="shared" si="0"/>
        <v>0</v>
      </c>
      <c r="S32" s="323"/>
      <c r="T32" s="39">
        <v>535</v>
      </c>
      <c r="U32" s="318">
        <f>Table7[[#This Row],[KG/M]]/Table7[[#This Row],[£/Tonne]]*1000</f>
        <v>42.803738317757009</v>
      </c>
      <c r="V32" s="313">
        <v>7.6</v>
      </c>
      <c r="W32" s="318">
        <f>Table7[[#This Row],[£Cost /m]]*Table7[[#This Row],[£Cost /m]]</f>
        <v>1832.1600139750196</v>
      </c>
      <c r="X32" s="318"/>
      <c r="Y32" s="318">
        <f>Table7[[#This Row],[Cost £/Length]]*(1+Y$2)</f>
        <v>2473.4160188662768</v>
      </c>
      <c r="Z32" s="318">
        <f>Table7[[#This Row],[Cost £/Length]]*(1+Z$2)</f>
        <v>2565.0240195650272</v>
      </c>
      <c r="AA32" s="318">
        <f>Table7[[#This Row],[Cost £/Length]]*(1+AA$2)</f>
        <v>2748.2400209625293</v>
      </c>
      <c r="AB32" s="318">
        <f>Table7[[#This Row],[Cost £/Length]]*(1+AB$2)</f>
        <v>2931.4560223600315</v>
      </c>
    </row>
    <row r="33" spans="1:28" ht="25.35" customHeight="1">
      <c r="A33" s="313" t="s">
        <v>49</v>
      </c>
      <c r="B33" s="313" t="str">
        <f t="shared" si="1"/>
        <v>SHS_100_100_10</v>
      </c>
      <c r="C33" s="313" t="str">
        <f t="shared" si="2"/>
        <v>SHS_100_100_10 @ 27.9Kg/m</v>
      </c>
      <c r="D33" s="70" t="s">
        <v>511</v>
      </c>
      <c r="E33" s="70" t="s">
        <v>511</v>
      </c>
      <c r="F33" s="70" t="s">
        <v>322</v>
      </c>
      <c r="G33" s="313">
        <v>27.9</v>
      </c>
      <c r="H33" s="320"/>
      <c r="I33" s="319"/>
      <c r="J33" s="321"/>
      <c r="K33" s="320"/>
      <c r="L33" s="319"/>
      <c r="M33" s="321"/>
      <c r="N33" s="320"/>
      <c r="O33" s="319"/>
      <c r="P33" s="319"/>
      <c r="Q33" s="149">
        <f t="shared" si="3"/>
        <v>0</v>
      </c>
      <c r="R33" s="322">
        <f t="shared" si="0"/>
        <v>0</v>
      </c>
      <c r="S33" s="323"/>
      <c r="T33" s="39">
        <v>630</v>
      </c>
      <c r="U33" s="318">
        <f>Table7[[#This Row],[KG/M]]/Table7[[#This Row],[£/Tonne]]*1000</f>
        <v>44.285714285714285</v>
      </c>
      <c r="V33" s="313">
        <v>7.6</v>
      </c>
      <c r="W33" s="318">
        <f>Table7[[#This Row],[£Cost /m]]*Table7[[#This Row],[£Cost /m]]</f>
        <v>1961.2244897959183</v>
      </c>
      <c r="X33" s="318"/>
      <c r="Y33" s="318">
        <f>Table7[[#This Row],[Cost £/Length]]*(1+Y$2)</f>
        <v>2647.6530612244901</v>
      </c>
      <c r="Z33" s="318">
        <f>Table7[[#This Row],[Cost £/Length]]*(1+Z$2)</f>
        <v>2745.7142857142853</v>
      </c>
      <c r="AA33" s="318">
        <f>Table7[[#This Row],[Cost £/Length]]*(1+AA$2)</f>
        <v>2941.8367346938776</v>
      </c>
      <c r="AB33" s="318">
        <f>Table7[[#This Row],[Cost £/Length]]*(1+AB$2)</f>
        <v>3137.9591836734694</v>
      </c>
    </row>
    <row r="34" spans="1:28" ht="25.35" customHeight="1">
      <c r="A34" s="313" t="s">
        <v>49</v>
      </c>
      <c r="B34" s="313" t="str">
        <f t="shared" si="1"/>
        <v>SHS_120_120_6.3</v>
      </c>
      <c r="C34" s="313" t="str">
        <f t="shared" si="2"/>
        <v>SHS_120_120_6.3 @ 22.3Kg/m</v>
      </c>
      <c r="D34" s="70" t="s">
        <v>515</v>
      </c>
      <c r="E34" s="70" t="s">
        <v>515</v>
      </c>
      <c r="F34" s="70" t="s">
        <v>580</v>
      </c>
      <c r="G34" s="313">
        <v>22.3</v>
      </c>
      <c r="H34" s="320"/>
      <c r="I34" s="319"/>
      <c r="J34" s="321"/>
      <c r="K34" s="320"/>
      <c r="L34" s="319"/>
      <c r="M34" s="321"/>
      <c r="N34" s="320"/>
      <c r="O34" s="319"/>
      <c r="P34" s="319"/>
      <c r="Q34" s="149">
        <f t="shared" si="3"/>
        <v>0</v>
      </c>
      <c r="R34" s="322">
        <f t="shared" si="0"/>
        <v>0</v>
      </c>
      <c r="S34" s="323"/>
      <c r="T34" s="39">
        <v>525</v>
      </c>
      <c r="U34" s="318">
        <f>Table7[[#This Row],[KG/M]]/Table7[[#This Row],[£/Tonne]]*1000</f>
        <v>42.476190476190482</v>
      </c>
      <c r="V34" s="313">
        <v>7.6</v>
      </c>
      <c r="W34" s="318">
        <f>Table7[[#This Row],[£Cost /m]]*Table7[[#This Row],[£Cost /m]]</f>
        <v>1804.2267573696149</v>
      </c>
      <c r="X34" s="318"/>
      <c r="Y34" s="318">
        <f>Table7[[#This Row],[Cost £/Length]]*(1+Y$2)</f>
        <v>2435.7061224489803</v>
      </c>
      <c r="Z34" s="318">
        <f>Table7[[#This Row],[Cost £/Length]]*(1+Z$2)</f>
        <v>2525.9174603174606</v>
      </c>
      <c r="AA34" s="318">
        <f>Table7[[#This Row],[Cost £/Length]]*(1+AA$2)</f>
        <v>2706.3401360544221</v>
      </c>
      <c r="AB34" s="318">
        <f>Table7[[#This Row],[Cost £/Length]]*(1+AB$2)</f>
        <v>2886.7628117913841</v>
      </c>
    </row>
    <row r="35" spans="1:28" ht="25.35" customHeight="1">
      <c r="A35" s="313" t="s">
        <v>49</v>
      </c>
      <c r="B35" s="313" t="str">
        <f t="shared" si="1"/>
        <v>SHS_120_120_8</v>
      </c>
      <c r="C35" s="313" t="str">
        <f t="shared" si="2"/>
        <v>SHS_120_120_8 @ 27.9Kg/m</v>
      </c>
      <c r="D35" s="70" t="s">
        <v>515</v>
      </c>
      <c r="E35" s="70" t="s">
        <v>515</v>
      </c>
      <c r="F35" s="70" t="s">
        <v>510</v>
      </c>
      <c r="G35" s="313">
        <v>27.9</v>
      </c>
      <c r="H35" s="320">
        <v>34.6</v>
      </c>
      <c r="I35" s="319">
        <v>1</v>
      </c>
      <c r="J35" s="325"/>
      <c r="K35" s="320"/>
      <c r="L35" s="319"/>
      <c r="M35" s="321"/>
      <c r="N35" s="320"/>
      <c r="O35" s="319"/>
      <c r="P35" s="319"/>
      <c r="Q35" s="149">
        <f t="shared" si="3"/>
        <v>34.6</v>
      </c>
      <c r="R35" s="322">
        <f t="shared" si="0"/>
        <v>762.61860000000001</v>
      </c>
      <c r="S35" s="323"/>
      <c r="T35" s="39">
        <v>790</v>
      </c>
      <c r="U35" s="318">
        <f>Table7[[#This Row],[KG/M]]/Table7[[#This Row],[£/Tonne]]*1000</f>
        <v>35.316455696202532</v>
      </c>
      <c r="V35" s="313">
        <v>7.6</v>
      </c>
      <c r="W35" s="318">
        <f>Table7[[#This Row],[£Cost /m]]*Table7[[#This Row],[£Cost /m]]</f>
        <v>1247.2520429418362</v>
      </c>
      <c r="X35" s="318"/>
      <c r="Y35" s="318">
        <f>Table7[[#This Row],[Cost £/Length]]*(1+Y$2)</f>
        <v>1683.7902579714789</v>
      </c>
      <c r="Z35" s="318">
        <f>Table7[[#This Row],[Cost £/Length]]*(1+Z$2)</f>
        <v>1746.1528601185705</v>
      </c>
      <c r="AA35" s="318">
        <f>Table7[[#This Row],[Cost £/Length]]*(1+AA$2)</f>
        <v>1870.8780644127542</v>
      </c>
      <c r="AB35" s="318">
        <f>Table7[[#This Row],[Cost £/Length]]*(1+AB$2)</f>
        <v>1995.603268706938</v>
      </c>
    </row>
    <row r="36" spans="1:28" ht="25.35" customHeight="1">
      <c r="A36" s="313" t="s">
        <v>49</v>
      </c>
      <c r="B36" s="313" t="str">
        <f t="shared" si="1"/>
        <v>SHS_120_120_10</v>
      </c>
      <c r="C36" s="313" t="str">
        <f t="shared" si="2"/>
        <v>SHS_120_120_10 @ 34.2Kg/m</v>
      </c>
      <c r="D36" s="70" t="s">
        <v>515</v>
      </c>
      <c r="E36" s="70" t="s">
        <v>515</v>
      </c>
      <c r="F36" s="70" t="s">
        <v>322</v>
      </c>
      <c r="G36" s="313">
        <v>34.200000000000003</v>
      </c>
      <c r="H36" s="320">
        <v>7.6</v>
      </c>
      <c r="I36" s="319">
        <v>1</v>
      </c>
      <c r="J36" s="321" t="s">
        <v>422</v>
      </c>
      <c r="K36" s="320"/>
      <c r="L36" s="319"/>
      <c r="M36" s="321"/>
      <c r="N36" s="320"/>
      <c r="O36" s="319"/>
      <c r="P36" s="319"/>
      <c r="Q36" s="149">
        <f t="shared" si="3"/>
        <v>7.6</v>
      </c>
      <c r="R36" s="322">
        <f t="shared" si="0"/>
        <v>197.53920000000002</v>
      </c>
      <c r="S36" s="323"/>
      <c r="T36" s="39">
        <v>760</v>
      </c>
      <c r="U36" s="318">
        <f>Table7[[#This Row],[KG/M]]/Table7[[#This Row],[£/Tonne]]*1000</f>
        <v>45.000000000000007</v>
      </c>
      <c r="V36" s="313">
        <v>7.6</v>
      </c>
      <c r="W36" s="318">
        <f>Table7[[#This Row],[£Cost /m]]*Table7[[#This Row],[£Cost /m]]</f>
        <v>2025.0000000000007</v>
      </c>
      <c r="X36" s="318"/>
      <c r="Y36" s="318">
        <f>Table7[[#This Row],[Cost £/Length]]*(1+Y$2)</f>
        <v>2733.7500000000009</v>
      </c>
      <c r="Z36" s="318">
        <f>Table7[[#This Row],[Cost £/Length]]*(1+Z$2)</f>
        <v>2835.0000000000009</v>
      </c>
      <c r="AA36" s="318">
        <f>Table7[[#This Row],[Cost £/Length]]*(1+AA$2)</f>
        <v>3037.5000000000009</v>
      </c>
      <c r="AB36" s="318">
        <f>Table7[[#This Row],[Cost £/Length]]*(1+AB$2)</f>
        <v>3240.0000000000014</v>
      </c>
    </row>
    <row r="37" spans="1:28" ht="25.35" customHeight="1">
      <c r="A37" s="313" t="s">
        <v>49</v>
      </c>
      <c r="B37" s="313" t="str">
        <f t="shared" si="1"/>
        <v>SHS_150_150_5</v>
      </c>
      <c r="C37" s="313" t="str">
        <f t="shared" si="2"/>
        <v>SHS_150_150_5 @ 22.7Kg/m</v>
      </c>
      <c r="D37" s="70" t="s">
        <v>517</v>
      </c>
      <c r="E37" s="70" t="s">
        <v>517</v>
      </c>
      <c r="F37" s="70" t="s">
        <v>503</v>
      </c>
      <c r="G37" s="313">
        <v>22.7</v>
      </c>
      <c r="H37" s="320"/>
      <c r="I37" s="319"/>
      <c r="J37" s="321"/>
      <c r="K37" s="320">
        <v>7.6</v>
      </c>
      <c r="L37" s="319">
        <v>1</v>
      </c>
      <c r="M37" s="321" t="s">
        <v>422</v>
      </c>
      <c r="N37" s="320"/>
      <c r="O37" s="319"/>
      <c r="P37" s="319"/>
      <c r="Q37" s="149">
        <f t="shared" si="3"/>
        <v>7.6</v>
      </c>
      <c r="R37" s="322">
        <f t="shared" si="0"/>
        <v>100.06159999999998</v>
      </c>
      <c r="S37" s="323"/>
      <c r="T37" s="39">
        <v>580</v>
      </c>
      <c r="U37" s="318">
        <f>Table7[[#This Row],[KG/M]]/Table7[[#This Row],[£/Tonne]]*1000</f>
        <v>39.137931034482754</v>
      </c>
      <c r="V37" s="313">
        <v>12.1</v>
      </c>
      <c r="W37" s="318">
        <f>Table7[[#This Row],[£Cost /m]]*Table7[[#This Row],[£Cost /m]]</f>
        <v>1531.7776456599283</v>
      </c>
      <c r="X37" s="318"/>
      <c r="Y37" s="318">
        <f>Table7[[#This Row],[Cost £/Length]]*(1+Y$2)</f>
        <v>2067.8998216409036</v>
      </c>
      <c r="Z37" s="318">
        <f>Table7[[#This Row],[Cost £/Length]]*(1+Z$2)</f>
        <v>2144.4887039238997</v>
      </c>
      <c r="AA37" s="318">
        <f>Table7[[#This Row],[Cost £/Length]]*(1+AA$2)</f>
        <v>2297.6664684898924</v>
      </c>
      <c r="AB37" s="318">
        <f>Table7[[#This Row],[Cost £/Length]]*(1+AB$2)</f>
        <v>2450.8442330558855</v>
      </c>
    </row>
    <row r="38" spans="1:28" ht="25.35" customHeight="1">
      <c r="A38" s="313" t="s">
        <v>49</v>
      </c>
      <c r="B38" s="313" t="str">
        <f t="shared" si="1"/>
        <v>SHS_150_150_6</v>
      </c>
      <c r="C38" s="313" t="str">
        <f t="shared" si="2"/>
        <v>SHS_150_150_6 @ 28.3Kg/m</v>
      </c>
      <c r="D38" s="70" t="s">
        <v>517</v>
      </c>
      <c r="E38" s="70" t="s">
        <v>517</v>
      </c>
      <c r="F38" s="70" t="s">
        <v>505</v>
      </c>
      <c r="G38" s="313">
        <v>28.3</v>
      </c>
      <c r="H38" s="320"/>
      <c r="I38" s="319"/>
      <c r="J38" s="321"/>
      <c r="K38" s="320">
        <v>7.8</v>
      </c>
      <c r="L38" s="319">
        <v>1</v>
      </c>
      <c r="M38" s="321" t="s">
        <v>309</v>
      </c>
      <c r="N38" s="320">
        <v>9</v>
      </c>
      <c r="O38" s="319">
        <v>1</v>
      </c>
      <c r="P38" s="321" t="s">
        <v>309</v>
      </c>
      <c r="Q38" s="149">
        <f t="shared" si="3"/>
        <v>16.8</v>
      </c>
      <c r="R38" s="322">
        <f t="shared" si="0"/>
        <v>370.84320000000008</v>
      </c>
      <c r="S38" s="323"/>
      <c r="T38" s="39">
        <v>780</v>
      </c>
      <c r="U38" s="318">
        <f>Table7[[#This Row],[KG/M]]/Table7[[#This Row],[£/Tonne]]*1000</f>
        <v>36.282051282051277</v>
      </c>
      <c r="V38" s="313">
        <v>12.1</v>
      </c>
      <c r="W38" s="318">
        <f>Table7[[#This Row],[£Cost /m]]*Table7[[#This Row],[£Cost /m]]</f>
        <v>1316.3872452333987</v>
      </c>
      <c r="X38" s="318"/>
      <c r="Y38" s="318">
        <f>Table7[[#This Row],[Cost £/Length]]*(1+Y$2)</f>
        <v>1777.1227810650885</v>
      </c>
      <c r="Z38" s="318">
        <f>Table7[[#This Row],[Cost £/Length]]*(1+Z$2)</f>
        <v>1842.942143326758</v>
      </c>
      <c r="AA38" s="318">
        <f>Table7[[#This Row],[Cost £/Length]]*(1+AA$2)</f>
        <v>1974.580867850098</v>
      </c>
      <c r="AB38" s="318">
        <f>Table7[[#This Row],[Cost £/Length]]*(1+AB$2)</f>
        <v>2106.219592373438</v>
      </c>
    </row>
    <row r="39" spans="1:28" ht="25.35" customHeight="1">
      <c r="A39" s="313" t="s">
        <v>49</v>
      </c>
      <c r="B39" s="313" t="str">
        <f t="shared" si="1"/>
        <v>SHS_150_150_8</v>
      </c>
      <c r="C39" s="313" t="str">
        <f t="shared" si="2"/>
        <v>SHS_150_150_8 @ 35.4Kg/m</v>
      </c>
      <c r="D39" s="70" t="s">
        <v>517</v>
      </c>
      <c r="E39" s="70" t="s">
        <v>517</v>
      </c>
      <c r="F39" s="70" t="s">
        <v>510</v>
      </c>
      <c r="G39" s="313">
        <v>35.4</v>
      </c>
      <c r="H39" s="320">
        <v>7.6</v>
      </c>
      <c r="I39" s="319">
        <v>1</v>
      </c>
      <c r="J39" s="321" t="s">
        <v>422</v>
      </c>
      <c r="K39" s="320">
        <v>3.4</v>
      </c>
      <c r="L39" s="319">
        <v>1</v>
      </c>
      <c r="M39" s="321" t="s">
        <v>422</v>
      </c>
      <c r="N39" s="320">
        <v>1.5</v>
      </c>
      <c r="O39" s="319">
        <v>1</v>
      </c>
      <c r="P39" s="321" t="s">
        <v>309</v>
      </c>
      <c r="Q39" s="149">
        <f t="shared" si="3"/>
        <v>12.5</v>
      </c>
      <c r="R39" s="322">
        <f t="shared" si="0"/>
        <v>283.2</v>
      </c>
      <c r="S39" s="323"/>
      <c r="T39" s="39">
        <v>640</v>
      </c>
      <c r="U39" s="318">
        <f>Table7[[#This Row],[KG/M]]/Table7[[#This Row],[£/Tonne]]*1000</f>
        <v>55.3125</v>
      </c>
      <c r="V39" s="313">
        <v>12.1</v>
      </c>
      <c r="W39" s="318">
        <f>Table7[[#This Row],[£Cost /m]]*Table7[[#This Row],[£Cost /m]]</f>
        <v>3059.47265625</v>
      </c>
      <c r="X39" s="318"/>
      <c r="Y39" s="318">
        <f>Table7[[#This Row],[Cost £/Length]]*(1+Y$2)</f>
        <v>4130.2880859375</v>
      </c>
      <c r="Z39" s="318">
        <f>Table7[[#This Row],[Cost £/Length]]*(1+Z$2)</f>
        <v>4283.26171875</v>
      </c>
      <c r="AA39" s="318">
        <f>Table7[[#This Row],[Cost £/Length]]*(1+AA$2)</f>
        <v>4589.208984375</v>
      </c>
      <c r="AB39" s="318">
        <f>Table7[[#This Row],[Cost £/Length]]*(1+AB$2)</f>
        <v>4895.15625</v>
      </c>
    </row>
    <row r="40" spans="1:28" ht="25.35" customHeight="1">
      <c r="A40" s="313" t="s">
        <v>49</v>
      </c>
      <c r="B40" s="313" t="str">
        <f t="shared" si="1"/>
        <v>SHS_150_150_10</v>
      </c>
      <c r="C40" s="313" t="str">
        <f t="shared" si="2"/>
        <v>SHS_150_150_10 @ 43.6Kg/m</v>
      </c>
      <c r="D40" s="70" t="s">
        <v>517</v>
      </c>
      <c r="E40" s="70" t="s">
        <v>517</v>
      </c>
      <c r="F40" s="70" t="s">
        <v>322</v>
      </c>
      <c r="G40" s="313">
        <v>43.6</v>
      </c>
      <c r="H40" s="320">
        <v>2.85</v>
      </c>
      <c r="I40" s="319">
        <v>1</v>
      </c>
      <c r="J40" s="321" t="s">
        <v>422</v>
      </c>
      <c r="K40" s="320"/>
      <c r="L40" s="319"/>
      <c r="M40" s="321"/>
      <c r="N40" s="320"/>
      <c r="O40" s="319"/>
      <c r="P40" s="319"/>
      <c r="Q40" s="149">
        <f t="shared" si="3"/>
        <v>2.85</v>
      </c>
      <c r="R40" s="322">
        <f t="shared" si="0"/>
        <v>91.952400000000011</v>
      </c>
      <c r="S40" s="323"/>
      <c r="T40" s="39">
        <v>740</v>
      </c>
      <c r="U40" s="318">
        <f>Table7[[#This Row],[KG/M]]/Table7[[#This Row],[£/Tonne]]*1000</f>
        <v>58.918918918918919</v>
      </c>
      <c r="V40" s="313">
        <v>12.1</v>
      </c>
      <c r="W40" s="318">
        <f>Table7[[#This Row],[£Cost /m]]*Table7[[#This Row],[£Cost /m]]</f>
        <v>3471.4390065741418</v>
      </c>
      <c r="X40" s="318"/>
      <c r="Y40" s="318">
        <f>Table7[[#This Row],[Cost £/Length]]*(1+Y$2)</f>
        <v>4686.4426588750921</v>
      </c>
      <c r="Z40" s="318">
        <f>Table7[[#This Row],[Cost £/Length]]*(1+Z$2)</f>
        <v>4860.0146092037985</v>
      </c>
      <c r="AA40" s="318">
        <f>Table7[[#This Row],[Cost £/Length]]*(1+AA$2)</f>
        <v>5207.1585098612122</v>
      </c>
      <c r="AB40" s="318">
        <f>Table7[[#This Row],[Cost £/Length]]*(1+AB$2)</f>
        <v>5554.3024105186269</v>
      </c>
    </row>
    <row r="41" spans="1:28" ht="25.35" customHeight="1">
      <c r="A41" s="313" t="s">
        <v>49</v>
      </c>
      <c r="B41" s="313" t="str">
        <f t="shared" si="1"/>
        <v>SHS_200_200_6.3</v>
      </c>
      <c r="C41" s="313" t="str">
        <f t="shared" si="2"/>
        <v>SHS_200_200_6.3 @ 38.2Kg/m</v>
      </c>
      <c r="D41" s="70" t="s">
        <v>512</v>
      </c>
      <c r="E41" s="70" t="s">
        <v>512</v>
      </c>
      <c r="F41" s="70" t="s">
        <v>580</v>
      </c>
      <c r="G41" s="313">
        <v>38.200000000000003</v>
      </c>
      <c r="H41" s="320">
        <v>2.8</v>
      </c>
      <c r="I41" s="319">
        <v>1</v>
      </c>
      <c r="J41" s="325"/>
      <c r="K41" s="320"/>
      <c r="L41" s="319"/>
      <c r="M41" s="321"/>
      <c r="N41" s="320"/>
      <c r="O41" s="319"/>
      <c r="P41" s="319"/>
      <c r="Q41" s="149">
        <f t="shared" si="3"/>
        <v>2.8</v>
      </c>
      <c r="R41" s="322">
        <f t="shared" si="0"/>
        <v>68.454400000000007</v>
      </c>
      <c r="S41" s="323"/>
      <c r="T41" s="39">
        <v>640</v>
      </c>
      <c r="U41" s="318">
        <f>Table7[[#This Row],[KG/M]]/Table7[[#This Row],[£/Tonne]]*1000</f>
        <v>59.687500000000007</v>
      </c>
      <c r="V41" s="313">
        <v>12.1</v>
      </c>
      <c r="W41" s="318">
        <f>Table7[[#This Row],[£Cost /m]]*Table7[[#This Row],[£Cost /m]]</f>
        <v>3562.5976562500009</v>
      </c>
      <c r="X41" s="318"/>
      <c r="Y41" s="318">
        <f>Table7[[#This Row],[Cost £/Length]]*(1+Y$2)</f>
        <v>4809.5068359375018</v>
      </c>
      <c r="Z41" s="318">
        <f>Table7[[#This Row],[Cost £/Length]]*(1+Z$2)</f>
        <v>4987.6367187500009</v>
      </c>
      <c r="AA41" s="318">
        <f>Table7[[#This Row],[Cost £/Length]]*(1+AA$2)</f>
        <v>5343.8964843750018</v>
      </c>
      <c r="AB41" s="318">
        <f>Table7[[#This Row],[Cost £/Length]]*(1+AB$2)</f>
        <v>5700.1562500000018</v>
      </c>
    </row>
    <row r="42" spans="1:28" ht="25.35" customHeight="1">
      <c r="A42" s="313" t="s">
        <v>49</v>
      </c>
      <c r="B42" s="313" t="str">
        <f t="shared" si="1"/>
        <v>SHS_200_200_8</v>
      </c>
      <c r="C42" s="313" t="str">
        <f t="shared" si="2"/>
        <v>SHS_200_200_8 @ 48Kg/m</v>
      </c>
      <c r="D42" s="70" t="s">
        <v>512</v>
      </c>
      <c r="E42" s="70" t="s">
        <v>512</v>
      </c>
      <c r="F42" s="70" t="s">
        <v>510</v>
      </c>
      <c r="G42" s="313">
        <v>48</v>
      </c>
      <c r="H42" s="320"/>
      <c r="I42" s="319"/>
      <c r="J42" s="321"/>
      <c r="K42" s="320"/>
      <c r="L42" s="319"/>
      <c r="M42" s="321"/>
      <c r="N42" s="320"/>
      <c r="O42" s="319"/>
      <c r="P42" s="319"/>
      <c r="Q42" s="149">
        <f t="shared" si="3"/>
        <v>0</v>
      </c>
      <c r="R42" s="322">
        <f t="shared" si="0"/>
        <v>0</v>
      </c>
      <c r="S42" s="323"/>
      <c r="T42" s="39">
        <v>695</v>
      </c>
      <c r="U42" s="318">
        <f>Table7[[#This Row],[KG/M]]/Table7[[#This Row],[£/Tonne]]*1000</f>
        <v>69.064748201438846</v>
      </c>
      <c r="V42" s="313">
        <v>12.1</v>
      </c>
      <c r="W42" s="318">
        <f>Table7[[#This Row],[£Cost /m]]*Table7[[#This Row],[£Cost /m]]</f>
        <v>4769.9394441281502</v>
      </c>
      <c r="X42" s="318"/>
      <c r="Y42" s="318">
        <f>Table7[[#This Row],[Cost £/Length]]*(1+Y$2)</f>
        <v>6439.4182495730029</v>
      </c>
      <c r="Z42" s="318">
        <f>Table7[[#This Row],[Cost £/Length]]*(1+Z$2)</f>
        <v>6677.9152217794099</v>
      </c>
      <c r="AA42" s="318">
        <f>Table7[[#This Row],[Cost £/Length]]*(1+AA$2)</f>
        <v>7154.9091661922248</v>
      </c>
      <c r="AB42" s="318">
        <f>Table7[[#This Row],[Cost £/Length]]*(1+AB$2)</f>
        <v>7631.9031106050406</v>
      </c>
    </row>
    <row r="43" spans="1:28" ht="25.35" customHeight="1">
      <c r="A43" s="313" t="s">
        <v>49</v>
      </c>
      <c r="B43" s="313" t="str">
        <f t="shared" si="1"/>
        <v>SHS_200_200_10</v>
      </c>
      <c r="C43" s="313" t="str">
        <f t="shared" si="2"/>
        <v>SHS_200_200_10 @ 59.3Kg/m</v>
      </c>
      <c r="D43" s="70" t="s">
        <v>512</v>
      </c>
      <c r="E43" s="70" t="s">
        <v>512</v>
      </c>
      <c r="F43" s="70" t="s">
        <v>322</v>
      </c>
      <c r="G43" s="313">
        <v>59.3</v>
      </c>
      <c r="H43" s="320">
        <v>8</v>
      </c>
      <c r="I43" s="319">
        <v>1</v>
      </c>
      <c r="J43" s="325"/>
      <c r="K43" s="320">
        <v>1.9</v>
      </c>
      <c r="L43" s="319">
        <v>1</v>
      </c>
      <c r="M43" s="321" t="s">
        <v>309</v>
      </c>
      <c r="N43" s="320">
        <v>4.7</v>
      </c>
      <c r="O43" s="319">
        <v>1</v>
      </c>
      <c r="P43" s="319" t="s">
        <v>309</v>
      </c>
      <c r="Q43" s="149">
        <f t="shared" si="3"/>
        <v>14.600000000000001</v>
      </c>
      <c r="R43" s="322">
        <f t="shared" si="0"/>
        <v>729.85254000000009</v>
      </c>
      <c r="S43" s="323"/>
      <c r="T43" s="39">
        <v>843</v>
      </c>
      <c r="U43" s="318">
        <f>Table7[[#This Row],[KG/M]]/Table7[[#This Row],[£/Tonne]]*1000</f>
        <v>70.344009489916957</v>
      </c>
      <c r="V43" s="313">
        <v>12.1</v>
      </c>
      <c r="W43" s="318">
        <f>Table7[[#This Row],[£Cost /m]]*Table7[[#This Row],[£Cost /m]]</f>
        <v>4948.279671117527</v>
      </c>
      <c r="X43" s="318"/>
      <c r="Y43" s="318">
        <f>Table7[[#This Row],[Cost £/Length]]*(1+Y$2)</f>
        <v>6680.1775560086617</v>
      </c>
      <c r="Z43" s="318">
        <f>Table7[[#This Row],[Cost £/Length]]*(1+Z$2)</f>
        <v>6927.591539564537</v>
      </c>
      <c r="AA43" s="318">
        <f>Table7[[#This Row],[Cost £/Length]]*(1+AA$2)</f>
        <v>7422.4195066762904</v>
      </c>
      <c r="AB43" s="318">
        <f>Table7[[#This Row],[Cost £/Length]]*(1+AB$2)</f>
        <v>7917.2474737880439</v>
      </c>
    </row>
    <row r="44" spans="1:28" ht="25.35" customHeight="1">
      <c r="A44" s="313" t="s">
        <v>49</v>
      </c>
      <c r="B44" s="313" t="str">
        <f t="shared" ref="B44" si="10">_xlfn.CONCAT(A44,"_",D44,"_",E44,"_",F44)</f>
        <v>SHS_250_250_12</v>
      </c>
      <c r="C44" s="313" t="str">
        <f t="shared" ref="C44" si="11">_xlfn.CONCAT(B44, " @ ",ROUND(G44,2),"Kg/m")</f>
        <v>SHS_250_250_12 @ 59.3Kg/m</v>
      </c>
      <c r="D44" s="70">
        <v>250</v>
      </c>
      <c r="E44" s="70">
        <v>250</v>
      </c>
      <c r="F44" s="70">
        <v>12</v>
      </c>
      <c r="G44" s="313">
        <v>59.3</v>
      </c>
      <c r="H44" s="320">
        <v>3.7</v>
      </c>
      <c r="I44" s="319">
        <v>1</v>
      </c>
      <c r="J44" s="321" t="s">
        <v>255</v>
      </c>
      <c r="K44" s="320"/>
      <c r="L44" s="319"/>
      <c r="M44" s="321"/>
      <c r="N44" s="320"/>
      <c r="O44" s="319"/>
      <c r="P44" s="319"/>
      <c r="Q44" s="149">
        <f t="shared" ref="Q44" si="12">SUM(H44*I44)+(K44*L44)+(N44*O44)</f>
        <v>3.7</v>
      </c>
      <c r="R44" s="322">
        <f t="shared" si="0"/>
        <v>312.65924999999999</v>
      </c>
      <c r="S44" s="323"/>
      <c r="T44" s="39">
        <v>1425</v>
      </c>
      <c r="U44" s="318">
        <f>Table7[[#This Row],[KG/M]]/Table7[[#This Row],[£/Tonne]]*1000</f>
        <v>41.614035087719294</v>
      </c>
      <c r="V44" s="313">
        <v>12.1</v>
      </c>
      <c r="W44" s="318">
        <f>Table7[[#This Row],[£Cost /m]]*Table7[[#This Row],[£Cost /m]]</f>
        <v>1731.7279162819325</v>
      </c>
      <c r="X44" s="318"/>
      <c r="Y44" s="318">
        <f>Table7[[#This Row],[Cost £/Length]]*(1+Y$2)</f>
        <v>2337.8326869806092</v>
      </c>
      <c r="Z44" s="318">
        <f>Table7[[#This Row],[Cost £/Length]]*(1+Z$2)</f>
        <v>2424.4190827947054</v>
      </c>
      <c r="AA44" s="318">
        <f>Table7[[#This Row],[Cost £/Length]]*(1+AA$2)</f>
        <v>2597.5918744228989</v>
      </c>
      <c r="AB44" s="318">
        <f>Table7[[#This Row],[Cost £/Length]]*(1+AB$2)</f>
        <v>2770.7646660510923</v>
      </c>
    </row>
    <row r="45" spans="1:28" ht="25.35" customHeight="1">
      <c r="A45" s="313" t="s">
        <v>49</v>
      </c>
      <c r="B45" s="313" t="str">
        <f t="shared" ref="B45" si="13">_xlfn.CONCAT(A45,"_",D45,"_",E45,"_",F45)</f>
        <v>SHS_300_300_15</v>
      </c>
      <c r="C45" s="313" t="str">
        <f t="shared" ref="C45" si="14">_xlfn.CONCAT(B45, " @ ",ROUND(G45,2),"Kg/m")</f>
        <v>SHS_300_300_15 @ 59.3Kg/m</v>
      </c>
      <c r="D45" s="70">
        <v>300</v>
      </c>
      <c r="E45" s="70">
        <v>300</v>
      </c>
      <c r="F45" s="70">
        <v>15</v>
      </c>
      <c r="G45" s="313">
        <v>59.3</v>
      </c>
      <c r="H45" s="320">
        <v>1.1000000000000001</v>
      </c>
      <c r="I45" s="319">
        <v>1</v>
      </c>
      <c r="J45" s="321" t="s">
        <v>255</v>
      </c>
      <c r="K45" s="320"/>
      <c r="L45" s="319"/>
      <c r="M45" s="321"/>
      <c r="N45" s="320"/>
      <c r="O45" s="319"/>
      <c r="P45" s="319"/>
      <c r="Q45" s="149">
        <f t="shared" ref="Q45" si="15">SUM(H45*I45)+(K45*L45)+(N45*O45)</f>
        <v>1.1000000000000001</v>
      </c>
      <c r="R45" s="322">
        <f t="shared" si="0"/>
        <v>112.1956</v>
      </c>
      <c r="S45" s="323"/>
      <c r="T45" s="39">
        <v>1720</v>
      </c>
      <c r="U45" s="318">
        <f>Table7[[#This Row],[KG/M]]/Table7[[#This Row],[£/Tonne]]*1000</f>
        <v>34.47674418604651</v>
      </c>
      <c r="V45" s="313">
        <v>12.1</v>
      </c>
      <c r="W45" s="318">
        <f>Table7[[#This Row],[£Cost /m]]*Table7[[#This Row],[£Cost /m]]</f>
        <v>1188.6458896700917</v>
      </c>
      <c r="X45" s="318"/>
      <c r="Y45" s="318">
        <f>Table7[[#This Row],[Cost £/Length]]*(1+Y$2)</f>
        <v>1604.6719510546238</v>
      </c>
      <c r="Z45" s="318">
        <f>Table7[[#This Row],[Cost £/Length]]*(1+Z$2)</f>
        <v>1664.1042455381282</v>
      </c>
      <c r="AA45" s="318">
        <f>Table7[[#This Row],[Cost £/Length]]*(1+AA$2)</f>
        <v>1782.9688345051377</v>
      </c>
      <c r="AB45" s="318">
        <f>Table7[[#This Row],[Cost £/Length]]*(1+AB$2)</f>
        <v>1901.8334234721469</v>
      </c>
    </row>
    <row r="46" spans="1:28" ht="25.35" customHeight="1">
      <c r="A46" s="313"/>
      <c r="B46" s="313" t="str">
        <f>_xlfn.CONCAT(A46,"_",D46,"_",E46,"_",F46)</f>
        <v>___</v>
      </c>
      <c r="C46" s="313" t="str">
        <f>_xlfn.CONCAT(B46, " @ ",ROUND(G46,2),"Kg/m")</f>
        <v>___ @ 0Kg/m</v>
      </c>
      <c r="D46" s="70"/>
      <c r="E46" s="70"/>
      <c r="F46" s="70"/>
      <c r="G46" s="313"/>
      <c r="H46" s="320"/>
      <c r="I46" s="319"/>
      <c r="J46" s="321"/>
      <c r="K46" s="320"/>
      <c r="L46" s="319"/>
      <c r="M46" s="321"/>
      <c r="N46" s="320"/>
      <c r="O46" s="319"/>
      <c r="P46" s="319"/>
      <c r="Q46" s="149">
        <f>SUM(H46*I46)+(K46*L46)+(N46*O46)</f>
        <v>0</v>
      </c>
      <c r="R46" s="322">
        <f t="shared" si="0"/>
        <v>0</v>
      </c>
      <c r="S46" s="323"/>
      <c r="T46" s="39"/>
      <c r="U46" s="318" t="e">
        <f>Table7[[#This Row],[KG/M]]/Table7[[#This Row],[£/Tonne]]*1000</f>
        <v>#DIV/0!</v>
      </c>
      <c r="V46" s="313"/>
      <c r="W46" s="318" t="e">
        <f>Table7[[#This Row],[£Cost /m]]*Table7[[#This Row],[£Cost /m]]</f>
        <v>#DIV/0!</v>
      </c>
      <c r="X46" s="318"/>
      <c r="Y46" s="318" t="e">
        <f>Table7[[#This Row],[Cost £/Length]]*(1+Y$2)</f>
        <v>#DIV/0!</v>
      </c>
      <c r="Z46" s="318" t="e">
        <f>Table7[[#This Row],[Cost £/Length]]*(1+Z$2)</f>
        <v>#DIV/0!</v>
      </c>
      <c r="AA46" s="318" t="e">
        <f>Table7[[#This Row],[Cost £/Length]]*(1+AA$2)</f>
        <v>#DIV/0!</v>
      </c>
      <c r="AB46" s="318" t="e">
        <f>Table7[[#This Row],[Cost £/Length]]*(1+AB$2)</f>
        <v>#DIV/0!</v>
      </c>
    </row>
    <row r="47" spans="1:28" ht="25.35" customHeight="1">
      <c r="A47" s="313" t="s">
        <v>9</v>
      </c>
      <c r="B47" s="313" t="str">
        <f t="shared" si="1"/>
        <v>RHS_RHS__</v>
      </c>
      <c r="C47" s="313" t="str">
        <f t="shared" si="2"/>
        <v>RHS_RHS__ @ 0Kg/m</v>
      </c>
      <c r="D47" s="70" t="s">
        <v>9</v>
      </c>
      <c r="E47" s="70"/>
      <c r="F47" s="70"/>
      <c r="G47" s="313"/>
      <c r="H47" s="320"/>
      <c r="I47" s="319"/>
      <c r="J47" s="321"/>
      <c r="K47" s="320"/>
      <c r="L47" s="319"/>
      <c r="M47" s="321"/>
      <c r="N47" s="320"/>
      <c r="O47" s="319"/>
      <c r="P47" s="319"/>
      <c r="Q47" s="149">
        <f t="shared" si="3"/>
        <v>0</v>
      </c>
      <c r="R47" s="322"/>
      <c r="S47" s="323"/>
      <c r="T47" s="39"/>
      <c r="U47" s="318" t="e">
        <f>Table7[[#This Row],[KG/M]]/Table7[[#This Row],[£/Tonne]]*1000</f>
        <v>#DIV/0!</v>
      </c>
      <c r="V47" s="313"/>
      <c r="W47" s="318" t="e">
        <f>Table7[[#This Row],[£Cost /m]]*Table7[[#This Row],[£Cost /m]]</f>
        <v>#DIV/0!</v>
      </c>
      <c r="X47" s="318"/>
      <c r="Y47" s="318" t="e">
        <f>Table7[[#This Row],[Cost £/Length]]*(1+Y$2)</f>
        <v>#DIV/0!</v>
      </c>
      <c r="Z47" s="318" t="e">
        <f>Table7[[#This Row],[Cost £/Length]]*(1+Z$2)</f>
        <v>#DIV/0!</v>
      </c>
      <c r="AA47" s="318" t="e">
        <f>Table7[[#This Row],[Cost £/Length]]*(1+AA$2)</f>
        <v>#DIV/0!</v>
      </c>
      <c r="AB47" s="318" t="e">
        <f>Table7[[#This Row],[Cost £/Length]]*(1+AB$2)</f>
        <v>#DIV/0!</v>
      </c>
    </row>
    <row r="48" spans="1:28" ht="25.35" customHeight="1">
      <c r="A48" s="313" t="s">
        <v>9</v>
      </c>
      <c r="B48" s="313" t="str">
        <f t="shared" si="1"/>
        <v>RHS_50_25_2.5</v>
      </c>
      <c r="C48" s="313" t="str">
        <f t="shared" si="2"/>
        <v>RHS_50_25_2.5 @ 2.66Kg/m</v>
      </c>
      <c r="D48" s="70" t="s">
        <v>506</v>
      </c>
      <c r="E48" s="70" t="s">
        <v>499</v>
      </c>
      <c r="F48" s="70" t="s">
        <v>581</v>
      </c>
      <c r="G48" s="313">
        <v>2.66</v>
      </c>
      <c r="H48" s="320">
        <v>7.5</v>
      </c>
      <c r="I48" s="319">
        <v>46</v>
      </c>
      <c r="J48" s="321" t="s">
        <v>422</v>
      </c>
      <c r="K48" s="320"/>
      <c r="L48" s="319"/>
      <c r="M48" s="321"/>
      <c r="N48" s="320"/>
      <c r="O48" s="319"/>
      <c r="P48" s="319"/>
      <c r="Q48" s="149">
        <f t="shared" si="3"/>
        <v>345</v>
      </c>
      <c r="R48" s="322">
        <f t="shared" ref="R48:R64" si="16">Q48*G48*T48/1000</f>
        <v>688.27499999999998</v>
      </c>
      <c r="S48" s="323"/>
      <c r="T48" s="39">
        <v>750</v>
      </c>
      <c r="U48" s="318">
        <f>Table7[[#This Row],[KG/M]]/Table7[[#This Row],[£/Tonne]]*1000</f>
        <v>3.5466666666666669</v>
      </c>
      <c r="V48" s="313">
        <v>7.6</v>
      </c>
      <c r="W48" s="318">
        <f>Table7[[#This Row],[£Cost /m]]*Table7[[#This Row],[£Cost /m]]</f>
        <v>12.578844444444446</v>
      </c>
      <c r="X48" s="318"/>
      <c r="Y48" s="318">
        <f>Table7[[#This Row],[Cost £/Length]]*(1+Y$2)</f>
        <v>16.981440000000003</v>
      </c>
      <c r="Z48" s="318">
        <f>Table7[[#This Row],[Cost £/Length]]*(1+Z$2)</f>
        <v>17.610382222222224</v>
      </c>
      <c r="AA48" s="318">
        <f>Table7[[#This Row],[Cost £/Length]]*(1+AA$2)</f>
        <v>18.868266666666671</v>
      </c>
      <c r="AB48" s="318">
        <f>Table7[[#This Row],[Cost £/Length]]*(1+AB$2)</f>
        <v>20.126151111111113</v>
      </c>
    </row>
    <row r="49" spans="1:28" ht="25.35" customHeight="1">
      <c r="A49" s="313" t="s">
        <v>9</v>
      </c>
      <c r="B49" s="313" t="str">
        <f t="shared" si="1"/>
        <v>RHS_60_40_3</v>
      </c>
      <c r="C49" s="313" t="str">
        <f t="shared" si="2"/>
        <v>RHS_60_40_3 @ 4.39Kg/m</v>
      </c>
      <c r="D49" s="70" t="s">
        <v>513</v>
      </c>
      <c r="E49" s="70" t="s">
        <v>501</v>
      </c>
      <c r="F49" s="70" t="s">
        <v>498</v>
      </c>
      <c r="G49" s="313">
        <v>4.3899999999999997</v>
      </c>
      <c r="H49" s="320">
        <v>7.5</v>
      </c>
      <c r="I49" s="319">
        <v>10</v>
      </c>
      <c r="J49" s="321" t="s">
        <v>422</v>
      </c>
      <c r="K49" s="320">
        <v>5</v>
      </c>
      <c r="L49" s="319">
        <v>2</v>
      </c>
      <c r="M49" s="321" t="s">
        <v>422</v>
      </c>
      <c r="N49" s="320">
        <v>2</v>
      </c>
      <c r="O49" s="319">
        <v>1</v>
      </c>
      <c r="P49" s="319" t="s">
        <v>309</v>
      </c>
      <c r="Q49" s="149">
        <f t="shared" si="3"/>
        <v>87</v>
      </c>
      <c r="R49" s="322">
        <f t="shared" si="16"/>
        <v>282.62819999999994</v>
      </c>
      <c r="S49" s="323"/>
      <c r="T49" s="39">
        <v>740</v>
      </c>
      <c r="U49" s="318">
        <f>Table7[[#This Row],[KG/M]]/Table7[[#This Row],[£/Tonne]]*1000</f>
        <v>5.9324324324324325</v>
      </c>
      <c r="V49" s="313">
        <v>7.6</v>
      </c>
      <c r="W49" s="318">
        <f>Table7[[#This Row],[£Cost /m]]*Table7[[#This Row],[£Cost /m]]</f>
        <v>35.193754565376189</v>
      </c>
      <c r="X49" s="318"/>
      <c r="Y49" s="318">
        <f>Table7[[#This Row],[Cost £/Length]]*(1+Y$2)</f>
        <v>47.511568663257854</v>
      </c>
      <c r="Z49" s="318">
        <f>Table7[[#This Row],[Cost £/Length]]*(1+Z$2)</f>
        <v>49.271256391526663</v>
      </c>
      <c r="AA49" s="318">
        <f>Table7[[#This Row],[Cost £/Length]]*(1+AA$2)</f>
        <v>52.79063184806428</v>
      </c>
      <c r="AB49" s="318">
        <f>Table7[[#This Row],[Cost £/Length]]*(1+AB$2)</f>
        <v>56.310007304601903</v>
      </c>
    </row>
    <row r="50" spans="1:28" ht="25.35" customHeight="1">
      <c r="A50" s="313" t="s">
        <v>9</v>
      </c>
      <c r="B50" s="313" t="str">
        <f t="shared" si="1"/>
        <v>RHS_60_40_4</v>
      </c>
      <c r="C50" s="313" t="str">
        <f t="shared" si="2"/>
        <v>RHS_60_40_4 @ 5.72Kg/m</v>
      </c>
      <c r="D50" s="70" t="s">
        <v>513</v>
      </c>
      <c r="E50" s="70" t="s">
        <v>501</v>
      </c>
      <c r="F50" s="70" t="s">
        <v>579</v>
      </c>
      <c r="G50" s="313">
        <v>5.72</v>
      </c>
      <c r="H50" s="320">
        <v>7.5</v>
      </c>
      <c r="I50" s="319">
        <v>22</v>
      </c>
      <c r="J50" s="321" t="s">
        <v>422</v>
      </c>
      <c r="K50" s="320"/>
      <c r="L50" s="319"/>
      <c r="M50" s="321"/>
      <c r="N50" s="320"/>
      <c r="O50" s="319"/>
      <c r="P50" s="319"/>
      <c r="Q50" s="149">
        <f t="shared" si="3"/>
        <v>165</v>
      </c>
      <c r="R50" s="322">
        <f t="shared" si="16"/>
        <v>717.28800000000001</v>
      </c>
      <c r="S50" s="323"/>
      <c r="T50" s="39">
        <v>760</v>
      </c>
      <c r="U50" s="318">
        <f>Table7[[#This Row],[KG/M]]/Table7[[#This Row],[£/Tonne]]*1000</f>
        <v>7.5263157894736841</v>
      </c>
      <c r="V50" s="313">
        <v>7.6</v>
      </c>
      <c r="W50" s="318">
        <f>Table7[[#This Row],[£Cost /m]]*Table7[[#This Row],[£Cost /m]]</f>
        <v>56.645429362880883</v>
      </c>
      <c r="X50" s="318"/>
      <c r="Y50" s="318">
        <f>Table7[[#This Row],[Cost £/Length]]*(1+Y$2)</f>
        <v>76.471329639889191</v>
      </c>
      <c r="Z50" s="318">
        <f>Table7[[#This Row],[Cost £/Length]]*(1+Z$2)</f>
        <v>79.303601108033234</v>
      </c>
      <c r="AA50" s="318">
        <f>Table7[[#This Row],[Cost £/Length]]*(1+AA$2)</f>
        <v>84.968144044321321</v>
      </c>
      <c r="AB50" s="318">
        <f>Table7[[#This Row],[Cost £/Length]]*(1+AB$2)</f>
        <v>90.632686980609421</v>
      </c>
    </row>
    <row r="51" spans="1:28" ht="25.35" customHeight="1">
      <c r="A51" s="313" t="s">
        <v>9</v>
      </c>
      <c r="B51" s="313" t="str">
        <f t="shared" si="1"/>
        <v>RHS_80_40_3</v>
      </c>
      <c r="C51" s="313" t="str">
        <f t="shared" si="2"/>
        <v>RHS_80_40_3 @ 5.67Kg/m</v>
      </c>
      <c r="D51" s="70" t="s">
        <v>509</v>
      </c>
      <c r="E51" s="70" t="s">
        <v>501</v>
      </c>
      <c r="F51" s="70" t="s">
        <v>498</v>
      </c>
      <c r="G51" s="313">
        <v>5.67</v>
      </c>
      <c r="H51" s="320">
        <v>7.5</v>
      </c>
      <c r="I51" s="319">
        <v>3</v>
      </c>
      <c r="J51" s="325"/>
      <c r="K51" s="320"/>
      <c r="L51" s="319"/>
      <c r="M51" s="321"/>
      <c r="N51" s="320"/>
      <c r="O51" s="319"/>
      <c r="P51" s="319"/>
      <c r="Q51" s="149">
        <f t="shared" si="3"/>
        <v>22.5</v>
      </c>
      <c r="R51" s="322">
        <f t="shared" si="16"/>
        <v>93.129750000000001</v>
      </c>
      <c r="S51" s="323"/>
      <c r="T51" s="39">
        <v>730</v>
      </c>
      <c r="U51" s="318">
        <f>Table7[[#This Row],[KG/M]]/Table7[[#This Row],[£/Tonne]]*1000</f>
        <v>7.7671232876712333</v>
      </c>
      <c r="V51" s="313">
        <v>7.6</v>
      </c>
      <c r="W51" s="318">
        <f>Table7[[#This Row],[£Cost /m]]*Table7[[#This Row],[£Cost /m]]</f>
        <v>60.328204165884785</v>
      </c>
      <c r="X51" s="318"/>
      <c r="Y51" s="318">
        <f>Table7[[#This Row],[Cost £/Length]]*(1+Y$2)</f>
        <v>81.443075623944466</v>
      </c>
      <c r="Z51" s="318">
        <f>Table7[[#This Row],[Cost £/Length]]*(1+Z$2)</f>
        <v>84.459485832238698</v>
      </c>
      <c r="AA51" s="318">
        <f>Table7[[#This Row],[Cost £/Length]]*(1+AA$2)</f>
        <v>90.492306248827177</v>
      </c>
      <c r="AB51" s="318">
        <f>Table7[[#This Row],[Cost £/Length]]*(1+AB$2)</f>
        <v>96.525126665415655</v>
      </c>
    </row>
    <row r="52" spans="1:28" ht="25.35" customHeight="1">
      <c r="A52" s="313" t="s">
        <v>9</v>
      </c>
      <c r="B52" s="313" t="str">
        <f t="shared" si="1"/>
        <v>RHS_75_50_3</v>
      </c>
      <c r="C52" s="313" t="str">
        <f t="shared" si="2"/>
        <v>RHS_75_50_3 @ 5.43Kg/m</v>
      </c>
      <c r="D52" s="70" t="s">
        <v>508</v>
      </c>
      <c r="E52" s="70" t="s">
        <v>506</v>
      </c>
      <c r="F52" s="70" t="s">
        <v>498</v>
      </c>
      <c r="G52" s="313">
        <v>5.43</v>
      </c>
      <c r="H52" s="320">
        <v>7.5</v>
      </c>
      <c r="I52" s="319">
        <v>9.5</v>
      </c>
      <c r="J52" s="321" t="s">
        <v>422</v>
      </c>
      <c r="K52" s="320">
        <v>7.5</v>
      </c>
      <c r="L52" s="319">
        <v>13</v>
      </c>
      <c r="M52" s="321" t="s">
        <v>422</v>
      </c>
      <c r="N52" s="320">
        <v>6</v>
      </c>
      <c r="O52" s="319">
        <v>19</v>
      </c>
      <c r="P52" s="319" t="s">
        <v>309</v>
      </c>
      <c r="Q52" s="149">
        <f t="shared" si="3"/>
        <v>282.75</v>
      </c>
      <c r="R52" s="322">
        <f t="shared" si="16"/>
        <v>1412.5058999999999</v>
      </c>
      <c r="S52" s="323"/>
      <c r="T52" s="39">
        <v>920</v>
      </c>
      <c r="U52" s="318">
        <f>Table7[[#This Row],[KG/M]]/Table7[[#This Row],[£/Tonne]]*1000</f>
        <v>5.9021739130434776</v>
      </c>
      <c r="V52" s="313">
        <v>7.6</v>
      </c>
      <c r="W52" s="318">
        <f>Table7[[#This Row],[£Cost /m]]*Table7[[#This Row],[£Cost /m]]</f>
        <v>34.835656899810957</v>
      </c>
      <c r="X52" s="318"/>
      <c r="Y52" s="318">
        <f>Table7[[#This Row],[Cost £/Length]]*(1+Y$2)</f>
        <v>47.028136814744798</v>
      </c>
      <c r="Z52" s="318">
        <f>Table7[[#This Row],[Cost £/Length]]*(1+Z$2)</f>
        <v>48.769919659735336</v>
      </c>
      <c r="AA52" s="318">
        <f>Table7[[#This Row],[Cost £/Length]]*(1+AA$2)</f>
        <v>52.253485349716435</v>
      </c>
      <c r="AB52" s="318">
        <f>Table7[[#This Row],[Cost £/Length]]*(1+AB$2)</f>
        <v>55.737051039697533</v>
      </c>
    </row>
    <row r="53" spans="1:28" ht="25.35" customHeight="1">
      <c r="A53" s="313" t="s">
        <v>9</v>
      </c>
      <c r="B53" s="313" t="str">
        <f t="shared" si="1"/>
        <v>RHS_90_50_5</v>
      </c>
      <c r="C53" s="313" t="str">
        <f>_xlfn.CONCAT(B53, " @ ",ROUND(G53,2),"Kg/m")</f>
        <v>RHS_90_50_5 @ 13.3Kg/m</v>
      </c>
      <c r="D53" s="70" t="s">
        <v>514</v>
      </c>
      <c r="E53" s="70">
        <v>50</v>
      </c>
      <c r="F53" s="70" t="s">
        <v>503</v>
      </c>
      <c r="G53" s="313">
        <v>13.3</v>
      </c>
      <c r="H53" s="320">
        <v>3.65</v>
      </c>
      <c r="I53" s="319">
        <v>1</v>
      </c>
      <c r="J53" s="321" t="s">
        <v>255</v>
      </c>
      <c r="K53" s="320"/>
      <c r="L53" s="319"/>
      <c r="M53" s="321"/>
      <c r="N53" s="320"/>
      <c r="O53" s="319"/>
      <c r="P53" s="319"/>
      <c r="Q53" s="149">
        <f>SUM(H53*I53)+(K53*L53)+(N53*O53)</f>
        <v>3.65</v>
      </c>
      <c r="R53" s="322">
        <f t="shared" si="16"/>
        <v>27.670650000000002</v>
      </c>
      <c r="S53" s="323"/>
      <c r="T53" s="39">
        <v>570</v>
      </c>
      <c r="U53" s="318">
        <f>Table7[[#This Row],[KG/M]]/Table7[[#This Row],[£/Tonne]]*1000</f>
        <v>23.333333333333336</v>
      </c>
      <c r="V53" s="313">
        <v>7.6</v>
      </c>
      <c r="W53" s="318">
        <f>Table7[[#This Row],[£Cost /m]]*Table7[[#This Row],[£Cost /m]]</f>
        <v>544.44444444444457</v>
      </c>
      <c r="X53" s="318"/>
      <c r="Y53" s="318">
        <f>Table7[[#This Row],[Cost £/Length]]*(1+Y$2)</f>
        <v>735.00000000000023</v>
      </c>
      <c r="Z53" s="318">
        <f>Table7[[#This Row],[Cost £/Length]]*(1+Z$2)</f>
        <v>762.2222222222224</v>
      </c>
      <c r="AA53" s="318">
        <f>Table7[[#This Row],[Cost £/Length]]*(1+AA$2)</f>
        <v>816.66666666666686</v>
      </c>
      <c r="AB53" s="318">
        <f>Table7[[#This Row],[Cost £/Length]]*(1+AB$2)</f>
        <v>871.11111111111131</v>
      </c>
    </row>
    <row r="54" spans="1:28" ht="25.35" customHeight="1">
      <c r="A54" s="313" t="s">
        <v>9</v>
      </c>
      <c r="B54" s="313" t="str">
        <f t="shared" si="1"/>
        <v>RHS_100_50_3</v>
      </c>
      <c r="C54" s="313" t="str">
        <f t="shared" si="2"/>
        <v>RHS_100_50_3 @ 6.75Kg/m</v>
      </c>
      <c r="D54" s="70" t="s">
        <v>511</v>
      </c>
      <c r="E54" s="70" t="s">
        <v>506</v>
      </c>
      <c r="F54" s="70" t="s">
        <v>498</v>
      </c>
      <c r="G54" s="313">
        <v>6.75</v>
      </c>
      <c r="H54" s="320">
        <v>7.5</v>
      </c>
      <c r="I54" s="319">
        <v>7</v>
      </c>
      <c r="J54" s="321" t="s">
        <v>422</v>
      </c>
      <c r="K54" s="320">
        <v>6.4</v>
      </c>
      <c r="L54" s="319">
        <v>1</v>
      </c>
      <c r="M54" s="321" t="s">
        <v>422</v>
      </c>
      <c r="N54" s="320"/>
      <c r="O54" s="319"/>
      <c r="P54" s="319"/>
      <c r="Q54" s="149">
        <f t="shared" si="3"/>
        <v>58.9</v>
      </c>
      <c r="R54" s="322">
        <f t="shared" si="16"/>
        <v>337.93875000000003</v>
      </c>
      <c r="S54" s="323"/>
      <c r="T54" s="39">
        <v>850</v>
      </c>
      <c r="U54" s="318">
        <f>Table7[[#This Row],[KG/M]]/Table7[[#This Row],[£/Tonne]]*1000</f>
        <v>7.9411764705882346</v>
      </c>
      <c r="V54" s="313">
        <v>7.6</v>
      </c>
      <c r="W54" s="318">
        <f>Table7[[#This Row],[£Cost /m]]*Table7[[#This Row],[£Cost /m]]</f>
        <v>63.06228373702421</v>
      </c>
      <c r="X54" s="318"/>
      <c r="Y54" s="318">
        <f>Table7[[#This Row],[Cost £/Length]]*(1+Y$2)</f>
        <v>85.134083044982688</v>
      </c>
      <c r="Z54" s="318">
        <f>Table7[[#This Row],[Cost £/Length]]*(1+Z$2)</f>
        <v>88.287197231833886</v>
      </c>
      <c r="AA54" s="318">
        <f>Table7[[#This Row],[Cost £/Length]]*(1+AA$2)</f>
        <v>94.593425605536311</v>
      </c>
      <c r="AB54" s="318">
        <f>Table7[[#This Row],[Cost £/Length]]*(1+AB$2)</f>
        <v>100.89965397923874</v>
      </c>
    </row>
    <row r="55" spans="1:28" ht="25.35" customHeight="1">
      <c r="A55" s="313" t="s">
        <v>9</v>
      </c>
      <c r="B55" s="313" t="str">
        <f t="shared" si="1"/>
        <v>RHS_100_50_6</v>
      </c>
      <c r="C55" s="313" t="str">
        <f t="shared" si="2"/>
        <v>RHS_100_50_6 @ 12.3Kg/m</v>
      </c>
      <c r="D55" s="70" t="s">
        <v>511</v>
      </c>
      <c r="E55" s="70" t="s">
        <v>506</v>
      </c>
      <c r="F55" s="70" t="s">
        <v>505</v>
      </c>
      <c r="G55" s="313">
        <v>12.3</v>
      </c>
      <c r="H55" s="320">
        <v>7.5</v>
      </c>
      <c r="I55" s="319">
        <v>5</v>
      </c>
      <c r="J55" s="325"/>
      <c r="K55" s="320"/>
      <c r="L55" s="319"/>
      <c r="M55" s="321"/>
      <c r="N55" s="320"/>
      <c r="O55" s="319"/>
      <c r="P55" s="319"/>
      <c r="Q55" s="149">
        <f t="shared" si="3"/>
        <v>37.5</v>
      </c>
      <c r="R55" s="322">
        <f t="shared" si="16"/>
        <v>334.40625</v>
      </c>
      <c r="S55" s="323"/>
      <c r="T55" s="39">
        <v>725</v>
      </c>
      <c r="U55" s="318">
        <f>Table7[[#This Row],[KG/M]]/Table7[[#This Row],[£/Tonne]]*1000</f>
        <v>16.965517241379313</v>
      </c>
      <c r="V55" s="313">
        <v>7.6</v>
      </c>
      <c r="W55" s="318">
        <f>Table7[[#This Row],[£Cost /m]]*Table7[[#This Row],[£Cost /m]]</f>
        <v>287.82877526753873</v>
      </c>
      <c r="X55" s="318"/>
      <c r="Y55" s="318">
        <f>Table7[[#This Row],[Cost £/Length]]*(1+Y$2)</f>
        <v>388.56884661117732</v>
      </c>
      <c r="Z55" s="318">
        <f>Table7[[#This Row],[Cost £/Length]]*(1+Z$2)</f>
        <v>402.96028537455419</v>
      </c>
      <c r="AA55" s="318">
        <f>Table7[[#This Row],[Cost £/Length]]*(1+AA$2)</f>
        <v>431.7431629013081</v>
      </c>
      <c r="AB55" s="318">
        <f>Table7[[#This Row],[Cost £/Length]]*(1+AB$2)</f>
        <v>460.526040428062</v>
      </c>
    </row>
    <row r="56" spans="1:28" ht="25.35" customHeight="1">
      <c r="A56" s="313" t="s">
        <v>9</v>
      </c>
      <c r="B56" s="313" t="str">
        <f t="shared" ref="B56" si="17">_xlfn.CONCAT(A56,"_",D56,"_",E56,"_",F56)</f>
        <v>RHS_100_60_5</v>
      </c>
      <c r="C56" s="313" t="str">
        <f t="shared" ref="C56" si="18">_xlfn.CONCAT(B56, " @ ",ROUND(G56,2),"Kg/m")</f>
        <v>RHS_100_60_5 @ 12.3Kg/m</v>
      </c>
      <c r="D56" s="70" t="s">
        <v>511</v>
      </c>
      <c r="E56" s="70">
        <v>60</v>
      </c>
      <c r="F56" s="70">
        <v>5</v>
      </c>
      <c r="G56" s="313">
        <v>12.3</v>
      </c>
      <c r="H56" s="320">
        <v>10</v>
      </c>
      <c r="I56" s="319">
        <v>2</v>
      </c>
      <c r="J56" s="325" t="s">
        <v>309</v>
      </c>
      <c r="K56" s="320"/>
      <c r="L56" s="319"/>
      <c r="M56" s="321"/>
      <c r="N56" s="320"/>
      <c r="O56" s="319"/>
      <c r="P56" s="319"/>
      <c r="Q56" s="149">
        <f t="shared" ref="Q56" si="19">SUM(H56*I56)+(K56*L56)+(N56*O56)</f>
        <v>20</v>
      </c>
      <c r="R56" s="322">
        <f t="shared" si="16"/>
        <v>150.06</v>
      </c>
      <c r="S56" s="323"/>
      <c r="T56" s="39">
        <v>610</v>
      </c>
      <c r="U56" s="318">
        <f>Table7[[#This Row],[KG/M]]/Table7[[#This Row],[£/Tonne]]*1000</f>
        <v>20.16393442622951</v>
      </c>
      <c r="V56" s="313">
        <v>7.6</v>
      </c>
      <c r="W56" s="318">
        <f>Table7[[#This Row],[£Cost /m]]*Table7[[#This Row],[£Cost /m]]</f>
        <v>406.58425154528356</v>
      </c>
      <c r="X56" s="318"/>
      <c r="Y56" s="318">
        <f>Table7[[#This Row],[Cost £/Length]]*(1+Y$2)</f>
        <v>548.88873958613283</v>
      </c>
      <c r="Z56" s="318">
        <f>Table7[[#This Row],[Cost £/Length]]*(1+Z$2)</f>
        <v>569.21795216339694</v>
      </c>
      <c r="AA56" s="318">
        <f>Table7[[#This Row],[Cost £/Length]]*(1+AA$2)</f>
        <v>609.87637731792529</v>
      </c>
      <c r="AB56" s="318">
        <f>Table7[[#This Row],[Cost £/Length]]*(1+AB$2)</f>
        <v>650.53480247245375</v>
      </c>
    </row>
    <row r="57" spans="1:28" ht="25.35" customHeight="1">
      <c r="A57" s="313" t="s">
        <v>9</v>
      </c>
      <c r="B57" s="313" t="str">
        <f t="shared" si="1"/>
        <v>RHS_120_60_8</v>
      </c>
      <c r="C57" s="313" t="str">
        <f t="shared" si="2"/>
        <v>RHS_120_60_8 @ 20.4Kg/m</v>
      </c>
      <c r="D57" s="70" t="s">
        <v>515</v>
      </c>
      <c r="E57" s="70" t="s">
        <v>513</v>
      </c>
      <c r="F57" s="70" t="s">
        <v>510</v>
      </c>
      <c r="G57" s="313">
        <v>20.399999999999999</v>
      </c>
      <c r="H57" s="320"/>
      <c r="I57" s="319"/>
      <c r="J57" s="321"/>
      <c r="K57" s="320"/>
      <c r="L57" s="319"/>
      <c r="M57" s="321"/>
      <c r="N57" s="320"/>
      <c r="O57" s="319"/>
      <c r="P57" s="319"/>
      <c r="Q57" s="149">
        <f t="shared" si="3"/>
        <v>0</v>
      </c>
      <c r="R57" s="322">
        <f t="shared" si="16"/>
        <v>0</v>
      </c>
      <c r="S57" s="323"/>
      <c r="T57" s="39">
        <v>540</v>
      </c>
      <c r="U57" s="318">
        <f>Table7[[#This Row],[KG/M]]/Table7[[#This Row],[£/Tonne]]*1000</f>
        <v>37.777777777777779</v>
      </c>
      <c r="V57" s="313">
        <v>7.6</v>
      </c>
      <c r="W57" s="318">
        <f>Table7[[#This Row],[£Cost /m]]*Table7[[#This Row],[£Cost /m]]</f>
        <v>1427.1604938271605</v>
      </c>
      <c r="X57" s="318"/>
      <c r="Y57" s="318">
        <f>Table7[[#This Row],[Cost £/Length]]*(1+Y$2)</f>
        <v>1926.6666666666667</v>
      </c>
      <c r="Z57" s="318">
        <f>Table7[[#This Row],[Cost £/Length]]*(1+Z$2)</f>
        <v>1998.0246913580245</v>
      </c>
      <c r="AA57" s="318">
        <f>Table7[[#This Row],[Cost £/Length]]*(1+AA$2)</f>
        <v>2140.7407407407409</v>
      </c>
      <c r="AB57" s="318">
        <f>Table7[[#This Row],[Cost £/Length]]*(1+AB$2)</f>
        <v>2283.4567901234568</v>
      </c>
    </row>
    <row r="58" spans="1:28" ht="25.35" customHeight="1">
      <c r="A58" s="313" t="s">
        <v>9</v>
      </c>
      <c r="B58" s="313" t="str">
        <f t="shared" si="1"/>
        <v>RHS_120_80_5</v>
      </c>
      <c r="C58" s="313" t="str">
        <f t="shared" si="2"/>
        <v>RHS_120_80_5 @ 14.8Kg/m</v>
      </c>
      <c r="D58" s="70" t="s">
        <v>515</v>
      </c>
      <c r="E58" s="70" t="s">
        <v>509</v>
      </c>
      <c r="F58" s="70" t="s">
        <v>503</v>
      </c>
      <c r="G58" s="313">
        <v>14.8</v>
      </c>
      <c r="H58" s="320">
        <v>12.2</v>
      </c>
      <c r="I58" s="319">
        <v>2</v>
      </c>
      <c r="J58" s="321" t="s">
        <v>422</v>
      </c>
      <c r="K58" s="320"/>
      <c r="L58" s="319"/>
      <c r="M58" s="321"/>
      <c r="N58" s="320"/>
      <c r="O58" s="319"/>
      <c r="P58" s="319"/>
      <c r="Q58" s="149">
        <f t="shared" si="3"/>
        <v>24.4</v>
      </c>
      <c r="R58" s="322">
        <f t="shared" si="16"/>
        <v>343.06400000000002</v>
      </c>
      <c r="S58" s="323"/>
      <c r="T58" s="39">
        <v>950</v>
      </c>
      <c r="U58" s="318">
        <f>Table7[[#This Row],[KG/M]]/Table7[[#This Row],[£/Tonne]]*1000</f>
        <v>15.578947368421053</v>
      </c>
      <c r="V58" s="313">
        <v>7.6</v>
      </c>
      <c r="W58" s="318">
        <f>Table7[[#This Row],[£Cost /m]]*Table7[[#This Row],[£Cost /m]]</f>
        <v>242.70360110803327</v>
      </c>
      <c r="X58" s="318"/>
      <c r="Y58" s="318">
        <f>Table7[[#This Row],[Cost £/Length]]*(1+Y$2)</f>
        <v>327.64986149584496</v>
      </c>
      <c r="Z58" s="318">
        <f>Table7[[#This Row],[Cost £/Length]]*(1+Z$2)</f>
        <v>339.78504155124654</v>
      </c>
      <c r="AA58" s="318">
        <f>Table7[[#This Row],[Cost £/Length]]*(1+AA$2)</f>
        <v>364.05540166204992</v>
      </c>
      <c r="AB58" s="318">
        <f>Table7[[#This Row],[Cost £/Length]]*(1+AB$2)</f>
        <v>388.32576177285324</v>
      </c>
    </row>
    <row r="59" spans="1:28" ht="25.35" customHeight="1">
      <c r="A59" s="313" t="s">
        <v>9</v>
      </c>
      <c r="B59" s="313" t="str">
        <f t="shared" si="1"/>
        <v>RHS_120_80_6</v>
      </c>
      <c r="C59" s="313" t="str">
        <f t="shared" si="2"/>
        <v>RHS_120_80_6 @ 18.4Kg/m</v>
      </c>
      <c r="D59" s="70" t="s">
        <v>515</v>
      </c>
      <c r="E59" s="70" t="s">
        <v>509</v>
      </c>
      <c r="F59" s="70" t="s">
        <v>505</v>
      </c>
      <c r="G59" s="313">
        <v>18.399999999999999</v>
      </c>
      <c r="H59" s="320"/>
      <c r="I59" s="319"/>
      <c r="J59" s="321"/>
      <c r="K59" s="320"/>
      <c r="L59" s="319"/>
      <c r="M59" s="321"/>
      <c r="N59" s="320"/>
      <c r="O59" s="319"/>
      <c r="P59" s="319"/>
      <c r="Q59" s="149">
        <f t="shared" si="3"/>
        <v>0</v>
      </c>
      <c r="R59" s="322">
        <f t="shared" si="16"/>
        <v>0</v>
      </c>
      <c r="S59" s="323"/>
      <c r="T59" s="39">
        <v>510</v>
      </c>
      <c r="U59" s="318">
        <f>Table7[[#This Row],[KG/M]]/Table7[[#This Row],[£/Tonne]]*1000</f>
        <v>36.078431372549012</v>
      </c>
      <c r="V59" s="313">
        <v>7.6</v>
      </c>
      <c r="W59" s="318">
        <f>Table7[[#This Row],[£Cost /m]]*Table7[[#This Row],[£Cost /m]]</f>
        <v>1301.6532103037289</v>
      </c>
      <c r="X59" s="318"/>
      <c r="Y59" s="318">
        <f>Table7[[#This Row],[Cost £/Length]]*(1+Y$2)</f>
        <v>1757.2318339100341</v>
      </c>
      <c r="Z59" s="318">
        <f>Table7[[#This Row],[Cost £/Length]]*(1+Z$2)</f>
        <v>1822.3144944252203</v>
      </c>
      <c r="AA59" s="318">
        <f>Table7[[#This Row],[Cost £/Length]]*(1+AA$2)</f>
        <v>1952.4798154555933</v>
      </c>
      <c r="AB59" s="318">
        <f>Table7[[#This Row],[Cost £/Length]]*(1+AB$2)</f>
        <v>2082.6451364859663</v>
      </c>
    </row>
    <row r="60" spans="1:28" ht="25.35" customHeight="1">
      <c r="A60" s="313" t="s">
        <v>9</v>
      </c>
      <c r="B60" s="313" t="str">
        <f t="shared" ref="B60" si="20">_xlfn.CONCAT(A60,"_",D60,"_",E60,"_",F60)</f>
        <v>RHS_150_100_10</v>
      </c>
      <c r="C60" s="313" t="str">
        <f t="shared" ref="C60" si="21">_xlfn.CONCAT(B60, " @ ",ROUND(G60,2),"Kg/m")</f>
        <v>RHS_150_100_10 @ 19.4Kg/m</v>
      </c>
      <c r="D60" s="70">
        <v>150</v>
      </c>
      <c r="E60" s="70">
        <v>100</v>
      </c>
      <c r="F60" s="70">
        <v>10</v>
      </c>
      <c r="G60" s="313">
        <v>19.399999999999999</v>
      </c>
      <c r="H60" s="320">
        <v>12.2</v>
      </c>
      <c r="I60" s="319">
        <v>2</v>
      </c>
      <c r="J60" s="321" t="s">
        <v>422</v>
      </c>
      <c r="K60" s="320">
        <v>3</v>
      </c>
      <c r="L60" s="319">
        <v>1</v>
      </c>
      <c r="M60" s="321" t="s">
        <v>422</v>
      </c>
      <c r="N60" s="320"/>
      <c r="O60" s="319"/>
      <c r="P60" s="319"/>
      <c r="Q60" s="149">
        <f t="shared" ref="Q60" si="22">SUM(H60*I60)+(K60*L60)+(N60*O60)</f>
        <v>27.4</v>
      </c>
      <c r="R60" s="322">
        <f t="shared" si="16"/>
        <v>446.51039999999995</v>
      </c>
      <c r="S60" s="323"/>
      <c r="T60" s="39">
        <v>840</v>
      </c>
      <c r="U60" s="318">
        <f>Table7[[#This Row],[KG/M]]/Table7[[#This Row],[£/Tonne]]*1000</f>
        <v>23.095238095238091</v>
      </c>
      <c r="V60" s="313">
        <v>12.1</v>
      </c>
      <c r="W60" s="318">
        <f>Table7[[#This Row],[£Cost /m]]*Table7[[#This Row],[£Cost /m]]</f>
        <v>533.39002267573676</v>
      </c>
      <c r="X60" s="318"/>
      <c r="Y60" s="318">
        <f>Table7[[#This Row],[Cost £/Length]]*(1+Y$2)</f>
        <v>720.07653061224471</v>
      </c>
      <c r="Z60" s="318">
        <f>Table7[[#This Row],[Cost £/Length]]*(1+Z$2)</f>
        <v>746.74603174603146</v>
      </c>
      <c r="AA60" s="318">
        <f>Table7[[#This Row],[Cost £/Length]]*(1+AA$2)</f>
        <v>800.08503401360508</v>
      </c>
      <c r="AB60" s="318">
        <f>Table7[[#This Row],[Cost £/Length]]*(1+AB$2)</f>
        <v>853.42403628117881</v>
      </c>
    </row>
    <row r="61" spans="1:28" ht="25.35" customHeight="1">
      <c r="A61" s="313" t="s">
        <v>9</v>
      </c>
      <c r="B61" s="313" t="str">
        <f t="shared" si="1"/>
        <v>RHS_160_80_5</v>
      </c>
      <c r="C61" s="313" t="str">
        <f t="shared" si="2"/>
        <v>RHS_160_80_5 @ 18Kg/m</v>
      </c>
      <c r="D61" s="70" t="s">
        <v>582</v>
      </c>
      <c r="E61" s="70" t="s">
        <v>509</v>
      </c>
      <c r="F61" s="70" t="s">
        <v>503</v>
      </c>
      <c r="G61" s="313">
        <v>18</v>
      </c>
      <c r="H61" s="320">
        <v>2.4</v>
      </c>
      <c r="I61" s="319">
        <v>1</v>
      </c>
      <c r="J61" s="325"/>
      <c r="K61" s="320">
        <v>7.5</v>
      </c>
      <c r="L61" s="319">
        <v>1</v>
      </c>
      <c r="M61" s="321" t="s">
        <v>309</v>
      </c>
      <c r="N61" s="320"/>
      <c r="O61" s="319"/>
      <c r="P61" s="319"/>
      <c r="Q61" s="149">
        <f t="shared" si="3"/>
        <v>9.9</v>
      </c>
      <c r="R61" s="322">
        <f t="shared" si="16"/>
        <v>131.86799999999999</v>
      </c>
      <c r="S61" s="323"/>
      <c r="T61" s="39">
        <v>740</v>
      </c>
      <c r="U61" s="318">
        <f>Table7[[#This Row],[KG/M]]/Table7[[#This Row],[£/Tonne]]*1000</f>
        <v>24.324324324324326</v>
      </c>
      <c r="V61" s="313">
        <v>12.1</v>
      </c>
      <c r="W61" s="318">
        <f>Table7[[#This Row],[£Cost /m]]*Table7[[#This Row],[£Cost /m]]</f>
        <v>591.67275383491608</v>
      </c>
      <c r="X61" s="318"/>
      <c r="Y61" s="318">
        <f>Table7[[#This Row],[Cost £/Length]]*(1+Y$2)</f>
        <v>798.75821767713671</v>
      </c>
      <c r="Z61" s="318">
        <f>Table7[[#This Row],[Cost £/Length]]*(1+Z$2)</f>
        <v>828.34185536888242</v>
      </c>
      <c r="AA61" s="318">
        <f>Table7[[#This Row],[Cost £/Length]]*(1+AA$2)</f>
        <v>887.50913075237418</v>
      </c>
      <c r="AB61" s="318">
        <f>Table7[[#This Row],[Cost £/Length]]*(1+AB$2)</f>
        <v>946.67640613586582</v>
      </c>
    </row>
    <row r="62" spans="1:28" ht="25.35" customHeight="1">
      <c r="A62" s="313" t="s">
        <v>9</v>
      </c>
      <c r="B62" s="313" t="str">
        <f t="shared" si="1"/>
        <v>RHS_160_80_6</v>
      </c>
      <c r="C62" s="313" t="str">
        <f t="shared" si="2"/>
        <v>RHS_160_80_6 @ 22.3Kg/m</v>
      </c>
      <c r="D62" s="70" t="s">
        <v>582</v>
      </c>
      <c r="E62" s="70" t="s">
        <v>509</v>
      </c>
      <c r="F62" s="70" t="s">
        <v>505</v>
      </c>
      <c r="G62" s="313">
        <v>22.3</v>
      </c>
      <c r="H62" s="320"/>
      <c r="I62" s="319"/>
      <c r="J62" s="321"/>
      <c r="K62" s="320"/>
      <c r="L62" s="319"/>
      <c r="M62" s="321"/>
      <c r="N62" s="320"/>
      <c r="O62" s="319"/>
      <c r="P62" s="319"/>
      <c r="Q62" s="149">
        <f t="shared" si="3"/>
        <v>0</v>
      </c>
      <c r="R62" s="322">
        <f t="shared" si="16"/>
        <v>0</v>
      </c>
      <c r="S62" s="323"/>
      <c r="T62" s="39">
        <v>540</v>
      </c>
      <c r="U62" s="318">
        <f>Table7[[#This Row],[KG/M]]/Table7[[#This Row],[£/Tonne]]*1000</f>
        <v>41.296296296296298</v>
      </c>
      <c r="V62" s="313">
        <v>12.1</v>
      </c>
      <c r="W62" s="318">
        <f>Table7[[#This Row],[£Cost /m]]*Table7[[#This Row],[£Cost /m]]</f>
        <v>1705.3840877914954</v>
      </c>
      <c r="X62" s="318"/>
      <c r="Y62" s="318">
        <f>Table7[[#This Row],[Cost £/Length]]*(1+Y$2)</f>
        <v>2302.2685185185192</v>
      </c>
      <c r="Z62" s="318">
        <f>Table7[[#This Row],[Cost £/Length]]*(1+Z$2)</f>
        <v>2387.5377229080932</v>
      </c>
      <c r="AA62" s="318">
        <f>Table7[[#This Row],[Cost £/Length]]*(1+AA$2)</f>
        <v>2558.0761316872431</v>
      </c>
      <c r="AB62" s="318">
        <f>Table7[[#This Row],[Cost £/Length]]*(1+AB$2)</f>
        <v>2728.614540466393</v>
      </c>
    </row>
    <row r="63" spans="1:28" ht="25.35" customHeight="1">
      <c r="A63" s="313" t="s">
        <v>9</v>
      </c>
      <c r="B63" s="313" t="str">
        <f t="shared" si="1"/>
        <v>RHS_200_100_6</v>
      </c>
      <c r="C63" s="313" t="str">
        <f t="shared" si="2"/>
        <v>RHS_200_100_6 @ 27.13Kg/m</v>
      </c>
      <c r="D63" s="70" t="s">
        <v>512</v>
      </c>
      <c r="E63" s="70" t="s">
        <v>511</v>
      </c>
      <c r="F63" s="70" t="s">
        <v>505</v>
      </c>
      <c r="G63" s="313">
        <v>27.13</v>
      </c>
      <c r="H63" s="320">
        <v>2.5</v>
      </c>
      <c r="I63" s="319">
        <v>1</v>
      </c>
      <c r="J63" s="325"/>
      <c r="K63" s="320">
        <v>3.4</v>
      </c>
      <c r="L63" s="319">
        <v>2</v>
      </c>
      <c r="M63" s="321" t="s">
        <v>309</v>
      </c>
      <c r="N63" s="320"/>
      <c r="O63" s="319"/>
      <c r="P63" s="319"/>
      <c r="Q63" s="149">
        <f t="shared" si="3"/>
        <v>9.3000000000000007</v>
      </c>
      <c r="R63" s="322">
        <f t="shared" si="16"/>
        <v>138.76995000000002</v>
      </c>
      <c r="S63" s="323"/>
      <c r="T63" s="39">
        <v>550</v>
      </c>
      <c r="U63" s="318">
        <f>Table7[[#This Row],[KG/M]]/Table7[[#This Row],[£/Tonne]]*1000</f>
        <v>49.327272727272728</v>
      </c>
      <c r="V63" s="313">
        <v>12.1</v>
      </c>
      <c r="W63" s="318">
        <f>Table7[[#This Row],[£Cost /m]]*Table7[[#This Row],[£Cost /m]]</f>
        <v>2433.1798347107438</v>
      </c>
      <c r="X63" s="318"/>
      <c r="Y63" s="318">
        <f>Table7[[#This Row],[Cost £/Length]]*(1+Y$2)</f>
        <v>3284.7927768595041</v>
      </c>
      <c r="Z63" s="318">
        <f>Table7[[#This Row],[Cost £/Length]]*(1+Z$2)</f>
        <v>3406.4517685950409</v>
      </c>
      <c r="AA63" s="318">
        <f>Table7[[#This Row],[Cost £/Length]]*(1+AA$2)</f>
        <v>3649.7697520661159</v>
      </c>
      <c r="AB63" s="318">
        <f>Table7[[#This Row],[Cost £/Length]]*(1+AB$2)</f>
        <v>3893.0877355371904</v>
      </c>
    </row>
    <row r="64" spans="1:28" ht="25.35" customHeight="1">
      <c r="A64" s="313" t="s">
        <v>9</v>
      </c>
      <c r="B64" s="313" t="str">
        <f t="shared" ref="B64" si="23">_xlfn.CONCAT(A64,"_",D64,"_",E64,"_",F64)</f>
        <v>RHS_250_150_5</v>
      </c>
      <c r="C64" s="313" t="str">
        <f t="shared" ref="C64" si="24">_xlfn.CONCAT(B64, " @ ",ROUND(G64,2),"Kg/m")</f>
        <v>RHS_250_150_5 @ 27.13Kg/m</v>
      </c>
      <c r="D64" s="70">
        <v>250</v>
      </c>
      <c r="E64" s="70">
        <v>150</v>
      </c>
      <c r="F64" s="70">
        <v>5</v>
      </c>
      <c r="G64" s="313">
        <v>27.13</v>
      </c>
      <c r="H64" s="320">
        <v>2.8</v>
      </c>
      <c r="I64" s="319">
        <v>1</v>
      </c>
      <c r="J64" s="321" t="s">
        <v>583</v>
      </c>
      <c r="K64" s="320"/>
      <c r="L64" s="319"/>
      <c r="M64" s="321"/>
      <c r="N64" s="320"/>
      <c r="O64" s="319"/>
      <c r="P64" s="319"/>
      <c r="Q64" s="149">
        <f t="shared" ref="Q64" si="25">SUM(H64*I64)+(K64*L64)+(N64*O64)</f>
        <v>2.8</v>
      </c>
      <c r="R64" s="322">
        <f t="shared" si="16"/>
        <v>41.780199999999994</v>
      </c>
      <c r="S64" s="323"/>
      <c r="T64" s="39">
        <v>550</v>
      </c>
      <c r="U64" s="318">
        <f>Table7[[#This Row],[KG/M]]/Table7[[#This Row],[£/Tonne]]*1000</f>
        <v>49.327272727272728</v>
      </c>
      <c r="V64" s="313">
        <v>12.1</v>
      </c>
      <c r="W64" s="318">
        <f>Table7[[#This Row],[£Cost /m]]*Table7[[#This Row],[£Cost /m]]</f>
        <v>2433.1798347107438</v>
      </c>
      <c r="X64" s="318"/>
      <c r="Y64" s="318">
        <f>Table7[[#This Row],[Cost £/Length]]*(1+Y$2)</f>
        <v>3284.7927768595041</v>
      </c>
      <c r="Z64" s="318">
        <f>Table7[[#This Row],[Cost £/Length]]*(1+Z$2)</f>
        <v>3406.4517685950409</v>
      </c>
      <c r="AA64" s="318">
        <f>Table7[[#This Row],[Cost £/Length]]*(1+AA$2)</f>
        <v>3649.7697520661159</v>
      </c>
      <c r="AB64" s="318">
        <f>Table7[[#This Row],[Cost £/Length]]*(1+AB$2)</f>
        <v>3893.0877355371904</v>
      </c>
    </row>
    <row r="65" spans="4:20" ht="25.15">
      <c r="D65" s="184"/>
      <c r="E65" s="184"/>
      <c r="F65" s="184"/>
      <c r="H65" s="186"/>
      <c r="I65" s="185"/>
      <c r="J65" s="187"/>
      <c r="K65" s="186"/>
      <c r="L65" s="185"/>
      <c r="M65" s="187"/>
      <c r="N65" s="186"/>
      <c r="O65" s="185"/>
      <c r="P65" s="185"/>
      <c r="Q65" s="188"/>
      <c r="R65" s="189"/>
      <c r="T65" s="191"/>
    </row>
    <row r="66" spans="4:20" ht="33" customHeight="1">
      <c r="H66" s="186"/>
      <c r="I66" s="185"/>
      <c r="J66" s="187"/>
      <c r="K66" s="186"/>
      <c r="L66" s="185"/>
      <c r="M66" s="187"/>
      <c r="N66" s="186"/>
      <c r="O66" s="185"/>
      <c r="P66" s="185"/>
      <c r="Q66" s="188"/>
      <c r="R66" s="189"/>
    </row>
    <row r="67" spans="4:20" ht="25.15">
      <c r="H67" s="186"/>
      <c r="I67" s="185"/>
      <c r="J67" s="187"/>
      <c r="K67" s="186"/>
      <c r="L67" s="185"/>
      <c r="M67" s="187"/>
      <c r="N67" s="186"/>
      <c r="O67" s="185"/>
      <c r="P67" s="185"/>
      <c r="Q67" s="193" t="s">
        <v>474</v>
      </c>
      <c r="R67" s="192">
        <f>SUM(R3:R66)</f>
        <v>24054.2628</v>
      </c>
    </row>
    <row r="68" spans="4:20">
      <c r="H68" s="186"/>
      <c r="I68" s="185"/>
      <c r="J68" s="187"/>
      <c r="K68" s="186"/>
      <c r="L68" s="185"/>
      <c r="M68" s="187"/>
      <c r="N68" s="186"/>
      <c r="O68" s="185"/>
      <c r="P68" s="185"/>
      <c r="Q68" s="188"/>
    </row>
    <row r="69" spans="4:20">
      <c r="H69" s="186"/>
      <c r="I69" s="185"/>
      <c r="J69" s="187"/>
      <c r="K69" s="186"/>
      <c r="L69" s="185"/>
      <c r="M69" s="187"/>
      <c r="N69" s="186"/>
      <c r="O69" s="185"/>
      <c r="P69" s="185"/>
      <c r="Q69" s="188"/>
    </row>
    <row r="70" spans="4:20">
      <c r="H70" s="186"/>
      <c r="I70" s="185"/>
      <c r="J70" s="187"/>
      <c r="K70" s="186"/>
      <c r="L70" s="185"/>
      <c r="M70" s="187"/>
      <c r="N70" s="186"/>
      <c r="O70" s="185"/>
      <c r="P70" s="185"/>
    </row>
    <row r="71" spans="4:20">
      <c r="H71" s="186"/>
      <c r="I71" s="185"/>
      <c r="J71" s="187"/>
      <c r="K71" s="186"/>
      <c r="L71" s="185"/>
      <c r="M71" s="187"/>
      <c r="N71" s="186"/>
      <c r="O71" s="185"/>
      <c r="P71" s="185"/>
    </row>
    <row r="72" spans="4:20">
      <c r="H72" s="186"/>
      <c r="I72" s="185"/>
      <c r="J72" s="187"/>
      <c r="K72" s="186"/>
      <c r="L72" s="185"/>
      <c r="M72" s="187"/>
      <c r="N72" s="186"/>
      <c r="O72" s="185"/>
      <c r="P72" s="185"/>
    </row>
    <row r="73" spans="4:20">
      <c r="H73" s="186"/>
      <c r="I73" s="185"/>
      <c r="J73" s="187"/>
      <c r="K73" s="186"/>
      <c r="L73" s="185"/>
      <c r="M73" s="187"/>
      <c r="N73" s="186"/>
      <c r="O73" s="185"/>
      <c r="P73" s="185"/>
    </row>
    <row r="74" spans="4:20">
      <c r="H74" s="186"/>
      <c r="I74" s="185"/>
      <c r="J74" s="187"/>
      <c r="K74" s="186"/>
      <c r="L74" s="185"/>
      <c r="M74" s="187"/>
      <c r="N74" s="186"/>
      <c r="O74" s="185"/>
      <c r="P74" s="185"/>
    </row>
    <row r="75" spans="4:20">
      <c r="H75" s="186"/>
      <c r="I75" s="185"/>
      <c r="J75" s="187"/>
      <c r="K75" s="186"/>
      <c r="L75" s="185"/>
      <c r="M75" s="187"/>
      <c r="N75" s="186"/>
      <c r="O75" s="185"/>
      <c r="P75" s="185"/>
    </row>
    <row r="76" spans="4:20">
      <c r="H76" s="186"/>
      <c r="I76" s="185"/>
      <c r="J76" s="187"/>
      <c r="K76" s="186"/>
      <c r="L76" s="185"/>
      <c r="M76" s="187"/>
      <c r="N76" s="186"/>
      <c r="O76" s="185"/>
      <c r="P76" s="185"/>
    </row>
    <row r="77" spans="4:20">
      <c r="H77" s="186"/>
      <c r="I77" s="185"/>
      <c r="J77" s="187"/>
      <c r="K77" s="186"/>
      <c r="L77" s="185"/>
      <c r="M77" s="187"/>
      <c r="N77" s="186"/>
      <c r="O77" s="185"/>
      <c r="P77" s="185"/>
    </row>
    <row r="78" spans="4:20">
      <c r="H78" s="186"/>
      <c r="I78" s="185"/>
      <c r="J78" s="187"/>
      <c r="K78" s="186"/>
      <c r="L78" s="185"/>
      <c r="M78" s="187"/>
      <c r="N78" s="186"/>
      <c r="O78" s="185"/>
      <c r="P78" s="185"/>
    </row>
    <row r="79" spans="4:20">
      <c r="H79" s="186"/>
      <c r="I79" s="185"/>
      <c r="J79" s="187"/>
      <c r="K79" s="186"/>
      <c r="L79" s="185"/>
      <c r="M79" s="187"/>
      <c r="N79" s="186"/>
      <c r="O79" s="185"/>
      <c r="P79" s="185"/>
    </row>
    <row r="80" spans="4:20">
      <c r="H80" s="186"/>
      <c r="I80" s="185"/>
      <c r="J80" s="187"/>
      <c r="K80" s="186"/>
      <c r="L80" s="185"/>
      <c r="M80" s="187"/>
      <c r="N80" s="186"/>
      <c r="O80" s="185"/>
      <c r="P80" s="185"/>
    </row>
    <row r="81" spans="8:16">
      <c r="H81" s="186"/>
      <c r="I81" s="185"/>
      <c r="J81" s="187"/>
      <c r="K81" s="186"/>
      <c r="L81" s="185"/>
      <c r="M81" s="187"/>
      <c r="N81" s="186"/>
      <c r="O81" s="185"/>
      <c r="P81" s="185"/>
    </row>
    <row r="82" spans="8:16">
      <c r="H82" s="186"/>
      <c r="I82" s="185"/>
      <c r="J82" s="187"/>
      <c r="K82" s="186"/>
      <c r="L82" s="185"/>
      <c r="M82" s="187"/>
      <c r="N82" s="186"/>
      <c r="O82" s="185"/>
      <c r="P82" s="185"/>
    </row>
    <row r="83" spans="8:16">
      <c r="H83" s="186"/>
      <c r="I83" s="185"/>
      <c r="J83" s="187"/>
      <c r="K83" s="186"/>
      <c r="L83" s="185"/>
      <c r="M83" s="187"/>
      <c r="N83" s="186"/>
      <c r="O83" s="185"/>
      <c r="P83" s="185"/>
    </row>
    <row r="84" spans="8:16">
      <c r="H84" s="186"/>
      <c r="I84" s="185"/>
      <c r="J84" s="187"/>
      <c r="K84" s="186"/>
      <c r="L84" s="185"/>
      <c r="M84" s="187"/>
      <c r="N84" s="186"/>
      <c r="O84" s="185"/>
      <c r="P84" s="185"/>
    </row>
    <row r="85" spans="8:16">
      <c r="H85" s="186"/>
      <c r="I85" s="185"/>
      <c r="J85" s="187"/>
      <c r="K85" s="186"/>
      <c r="L85" s="185"/>
      <c r="M85" s="187"/>
      <c r="N85" s="186"/>
      <c r="O85" s="185"/>
      <c r="P85" s="185"/>
    </row>
    <row r="86" spans="8:16">
      <c r="H86" s="186"/>
      <c r="I86" s="185"/>
      <c r="J86" s="187"/>
      <c r="K86" s="186"/>
      <c r="L86" s="185"/>
      <c r="M86" s="187"/>
      <c r="N86" s="186"/>
      <c r="O86" s="185"/>
      <c r="P86" s="185"/>
    </row>
    <row r="87" spans="8:16">
      <c r="H87" s="186"/>
      <c r="I87" s="185"/>
      <c r="J87" s="187"/>
      <c r="K87" s="186"/>
      <c r="L87" s="185"/>
      <c r="M87" s="187"/>
      <c r="N87" s="186"/>
      <c r="O87" s="185"/>
      <c r="P87" s="185"/>
    </row>
    <row r="88" spans="8:16">
      <c r="H88" s="186"/>
      <c r="I88" s="185"/>
      <c r="J88" s="187"/>
      <c r="K88" s="186"/>
      <c r="L88" s="185"/>
      <c r="M88" s="187"/>
      <c r="N88" s="186"/>
      <c r="O88" s="185"/>
      <c r="P88" s="185"/>
    </row>
    <row r="89" spans="8:16">
      <c r="H89" s="186"/>
      <c r="I89" s="185"/>
      <c r="J89" s="187"/>
      <c r="K89" s="186"/>
      <c r="L89" s="185"/>
      <c r="M89" s="187"/>
      <c r="N89" s="186"/>
      <c r="O89" s="185"/>
      <c r="P89" s="185"/>
    </row>
    <row r="90" spans="8:16">
      <c r="H90" s="186"/>
      <c r="I90" s="185"/>
      <c r="J90" s="187"/>
      <c r="K90" s="186"/>
      <c r="L90" s="185"/>
      <c r="M90" s="187"/>
      <c r="N90" s="186"/>
      <c r="O90" s="185"/>
      <c r="P90" s="185"/>
    </row>
    <row r="91" spans="8:16">
      <c r="H91" s="186"/>
      <c r="I91" s="185"/>
      <c r="J91" s="187"/>
      <c r="K91" s="186"/>
      <c r="L91" s="185"/>
      <c r="M91" s="187"/>
      <c r="N91" s="186"/>
      <c r="O91" s="185"/>
      <c r="P91" s="185"/>
    </row>
    <row r="92" spans="8:16">
      <c r="H92" s="186"/>
      <c r="I92" s="185"/>
      <c r="J92" s="187"/>
      <c r="K92" s="186"/>
      <c r="L92" s="185"/>
      <c r="M92" s="187"/>
      <c r="N92" s="186"/>
      <c r="O92" s="185"/>
      <c r="P92" s="185"/>
    </row>
    <row r="93" spans="8:16">
      <c r="H93" s="186"/>
      <c r="I93" s="185"/>
      <c r="J93" s="187"/>
      <c r="K93" s="186"/>
      <c r="L93" s="185"/>
      <c r="M93" s="187"/>
      <c r="N93" s="186"/>
      <c r="O93" s="185"/>
      <c r="P93" s="185"/>
    </row>
    <row r="94" spans="8:16">
      <c r="P94" s="182"/>
    </row>
    <row r="95" spans="8:16">
      <c r="P95" s="182"/>
    </row>
    <row r="96" spans="8:16">
      <c r="P96" s="182"/>
    </row>
  </sheetData>
  <phoneticPr fontId="3" type="noConversion"/>
  <dataValidations disablePrompts="1" count="1">
    <dataValidation type="list" allowBlank="1" showInputMessage="1" showErrorMessage="1" error="Select Area from Tab 'Area List'" sqref="J3:J93 P3:P93 M3:M93" xr:uid="{AE23DD42-A5D9-4FC9-9C63-85F1CF83D3D2}">
      <formula1>AreaList2</formula1>
    </dataValidation>
  </dataValidations>
  <printOptions gridLines="1"/>
  <pageMargins left="0.7" right="0.7" top="0.75" bottom="0.75" header="0.3" footer="0.3"/>
  <pageSetup paperSize="9" scale="72" fitToHeight="3" orientation="landscape" r:id="rId1"/>
  <headerFooter alignWithMargins="0">
    <oddFooter>&amp;L&amp;D&amp;C&amp;A&amp;R&amp;P of &amp;N</oddFooter>
  </headerFooter>
  <drawing r:id="rId2"/>
  <legacyDrawing r:id="rId3"/>
  <tableParts count="1"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ED86B-7208-4E6F-B250-1C03A7902C94}">
  <dimension ref="A1:B27"/>
  <sheetViews>
    <sheetView workbookViewId="0"/>
  </sheetViews>
  <sheetFormatPr defaultColWidth="9" defaultRowHeight="14.25"/>
  <cols>
    <col min="1" max="1" width="9.85546875" style="131" customWidth="1"/>
    <col min="2" max="2" width="15.140625" style="131" customWidth="1"/>
    <col min="3" max="13" width="9" style="131"/>
    <col min="14" max="14" width="11.140625" style="131" customWidth="1"/>
    <col min="15" max="16384" width="9" style="131"/>
  </cols>
  <sheetData>
    <row r="1" spans="1:2" ht="56.25" customHeight="1">
      <c r="A1" s="150" t="s">
        <v>584</v>
      </c>
      <c r="B1" s="150" t="s">
        <v>585</v>
      </c>
    </row>
    <row r="2" spans="1:2" ht="20.100000000000001" customHeight="1">
      <c r="A2" s="131" t="s">
        <v>422</v>
      </c>
      <c r="B2" s="131" t="s">
        <v>586</v>
      </c>
    </row>
    <row r="3" spans="1:2" ht="20.100000000000001" customHeight="1">
      <c r="A3" s="131" t="s">
        <v>308</v>
      </c>
      <c r="B3" s="131" t="s">
        <v>587</v>
      </c>
    </row>
    <row r="4" spans="1:2" ht="20.100000000000001" customHeight="1">
      <c r="A4" s="131" t="s">
        <v>552</v>
      </c>
      <c r="B4" s="131" t="s">
        <v>588</v>
      </c>
    </row>
    <row r="5" spans="1:2" ht="20.100000000000001" customHeight="1">
      <c r="A5" s="131" t="s">
        <v>72</v>
      </c>
      <c r="B5" s="131" t="s">
        <v>589</v>
      </c>
    </row>
    <row r="6" spans="1:2" ht="20.100000000000001" customHeight="1">
      <c r="A6" s="131" t="s">
        <v>306</v>
      </c>
      <c r="B6" s="131" t="s">
        <v>590</v>
      </c>
    </row>
    <row r="7" spans="1:2" ht="20.100000000000001" customHeight="1">
      <c r="A7" s="131" t="s">
        <v>239</v>
      </c>
      <c r="B7" s="131" t="s">
        <v>591</v>
      </c>
    </row>
    <row r="8" spans="1:2" ht="20.100000000000001" customHeight="1">
      <c r="A8" s="131" t="s">
        <v>592</v>
      </c>
      <c r="B8" s="131" t="s">
        <v>593</v>
      </c>
    </row>
    <row r="9" spans="1:2" ht="20.100000000000001" customHeight="1">
      <c r="A9" s="131" t="s">
        <v>594</v>
      </c>
      <c r="B9" s="131" t="s">
        <v>595</v>
      </c>
    </row>
    <row r="10" spans="1:2" ht="20.100000000000001" customHeight="1">
      <c r="A10" s="131" t="s">
        <v>596</v>
      </c>
      <c r="B10" s="131" t="s">
        <v>597</v>
      </c>
    </row>
    <row r="11" spans="1:2" ht="20.100000000000001" customHeight="1">
      <c r="A11" s="131" t="s">
        <v>598</v>
      </c>
      <c r="B11" s="131" t="s">
        <v>599</v>
      </c>
    </row>
    <row r="12" spans="1:2" ht="20.100000000000001" customHeight="1">
      <c r="A12" s="131" t="s">
        <v>299</v>
      </c>
      <c r="B12" s="131" t="s">
        <v>600</v>
      </c>
    </row>
    <row r="13" spans="1:2" ht="20.100000000000001" customHeight="1">
      <c r="A13" s="131" t="s">
        <v>601</v>
      </c>
      <c r="B13" s="131" t="s">
        <v>602</v>
      </c>
    </row>
    <row r="14" spans="1:2" ht="20.100000000000001" customHeight="1">
      <c r="A14" s="151">
        <v>81</v>
      </c>
      <c r="B14" s="152" t="s">
        <v>603</v>
      </c>
    </row>
    <row r="15" spans="1:2" ht="25.35" customHeight="1">
      <c r="A15" s="131" t="s">
        <v>243</v>
      </c>
      <c r="B15" s="153" t="s">
        <v>604</v>
      </c>
    </row>
    <row r="16" spans="1:2" ht="20.100000000000001" customHeight="1">
      <c r="A16" s="131" t="s">
        <v>302</v>
      </c>
      <c r="B16" s="153" t="s">
        <v>605</v>
      </c>
    </row>
    <row r="17" spans="1:2" ht="20.100000000000001" customHeight="1">
      <c r="A17" s="131" t="s">
        <v>305</v>
      </c>
      <c r="B17" s="153" t="s">
        <v>606</v>
      </c>
    </row>
    <row r="18" spans="1:2" ht="20.100000000000001" customHeight="1">
      <c r="A18" s="131" t="s">
        <v>607</v>
      </c>
      <c r="B18" s="153" t="s">
        <v>608</v>
      </c>
    </row>
    <row r="19" spans="1:2" ht="20.100000000000001" customHeight="1">
      <c r="A19" s="131" t="s">
        <v>247</v>
      </c>
      <c r="B19" s="131" t="s">
        <v>609</v>
      </c>
    </row>
    <row r="20" spans="1:2" ht="20.100000000000001" customHeight="1">
      <c r="A20" s="131" t="s">
        <v>255</v>
      </c>
      <c r="B20" s="153" t="s">
        <v>610</v>
      </c>
    </row>
    <row r="21" spans="1:2" ht="20.100000000000001" customHeight="1">
      <c r="A21" s="131" t="s">
        <v>228</v>
      </c>
      <c r="B21" s="131" t="s">
        <v>611</v>
      </c>
    </row>
    <row r="22" spans="1:2">
      <c r="A22" s="153" t="s">
        <v>225</v>
      </c>
      <c r="B22" s="153" t="s">
        <v>612</v>
      </c>
    </row>
    <row r="23" spans="1:2">
      <c r="A23" s="153" t="s">
        <v>246</v>
      </c>
      <c r="B23" s="131" t="s">
        <v>613</v>
      </c>
    </row>
    <row r="24" spans="1:2">
      <c r="A24" s="153" t="s">
        <v>309</v>
      </c>
      <c r="B24" s="131" t="s">
        <v>614</v>
      </c>
    </row>
    <row r="25" spans="1:2">
      <c r="A25" s="153" t="s">
        <v>583</v>
      </c>
      <c r="B25" s="131" t="s">
        <v>615</v>
      </c>
    </row>
    <row r="26" spans="1:2">
      <c r="A26" s="153" t="s">
        <v>616</v>
      </c>
      <c r="B26" s="131" t="s">
        <v>617</v>
      </c>
    </row>
    <row r="27" spans="1:2">
      <c r="A27" s="131" t="s">
        <v>484</v>
      </c>
      <c r="B27" s="131" t="s">
        <v>618</v>
      </c>
    </row>
  </sheetData>
  <pageMargins left="0.25" right="0.25" top="0.75" bottom="0.75" header="0.3" footer="0.3"/>
  <pageSetup paperSize="9" scale="75" orientation="landscape" r:id="rId1"/>
  <drawing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47C4-543A-4AEA-9C13-2D07FAFCA9C5}">
  <sheetPr>
    <tabColor theme="0" tint="-0.499984740745262"/>
  </sheetPr>
  <dimension ref="A1:AA51"/>
  <sheetViews>
    <sheetView topLeftCell="B19" zoomScale="80" zoomScaleNormal="80" workbookViewId="0">
      <selection activeCell="I1" sqref="I1:I1048576"/>
    </sheetView>
  </sheetViews>
  <sheetFormatPr defaultColWidth="9" defaultRowHeight="12.75"/>
  <cols>
    <col min="1" max="2" width="9" style="7"/>
    <col min="3" max="3" width="17.140625" style="7" bestFit="1" customWidth="1"/>
    <col min="4" max="4" width="13.28515625" style="7" customWidth="1"/>
    <col min="5" max="14" width="9" style="7"/>
    <col min="15" max="16" width="9" style="217"/>
    <col min="17" max="17" width="9" style="7"/>
    <col min="18" max="18" width="9" style="217"/>
    <col min="19" max="19" width="11.140625" style="7" bestFit="1" customWidth="1"/>
    <col min="20" max="21" width="9" style="7"/>
    <col min="22" max="22" width="11.28515625" style="7" customWidth="1"/>
    <col min="23" max="16384" width="9" style="7"/>
  </cols>
  <sheetData>
    <row r="1" spans="1:27">
      <c r="O1" s="237" t="s">
        <v>619</v>
      </c>
      <c r="P1" s="229"/>
      <c r="Q1" s="167"/>
      <c r="R1" s="229"/>
      <c r="S1" s="167"/>
      <c r="T1" s="219"/>
      <c r="V1" s="175"/>
      <c r="W1" s="167"/>
      <c r="X1" s="167"/>
      <c r="Y1" s="241" t="s">
        <v>620</v>
      </c>
      <c r="Z1" s="167"/>
      <c r="AA1" s="219"/>
    </row>
    <row r="2" spans="1:27" ht="25.9" thickBot="1">
      <c r="A2" s="7" t="s">
        <v>621</v>
      </c>
      <c r="E2" s="7" t="s">
        <v>622</v>
      </c>
      <c r="F2" s="7" t="s">
        <v>623</v>
      </c>
      <c r="G2" s="7" t="s">
        <v>139</v>
      </c>
      <c r="H2" s="7" t="s">
        <v>624</v>
      </c>
      <c r="I2" s="7" t="s">
        <v>625</v>
      </c>
      <c r="O2" s="230" t="s">
        <v>530</v>
      </c>
      <c r="P2" s="217" t="s">
        <v>411</v>
      </c>
      <c r="Q2" s="11" t="s">
        <v>406</v>
      </c>
      <c r="R2" s="217" t="s">
        <v>491</v>
      </c>
      <c r="S2" s="7" t="s">
        <v>626</v>
      </c>
      <c r="T2" s="55" t="s">
        <v>356</v>
      </c>
      <c r="V2" s="230" t="s">
        <v>530</v>
      </c>
      <c r="W2" s="217" t="s">
        <v>411</v>
      </c>
      <c r="X2" s="11" t="s">
        <v>406</v>
      </c>
      <c r="Y2" s="217" t="s">
        <v>491</v>
      </c>
      <c r="Z2" s="7" t="s">
        <v>626</v>
      </c>
      <c r="AA2" s="55" t="s">
        <v>356</v>
      </c>
    </row>
    <row r="3" spans="1:27" s="277" customFormat="1">
      <c r="A3" s="276" t="s">
        <v>627</v>
      </c>
      <c r="H3" s="280" t="s">
        <v>624</v>
      </c>
      <c r="O3" s="281"/>
      <c r="P3" s="279"/>
      <c r="R3" s="279"/>
      <c r="T3" s="280"/>
      <c r="V3" s="292"/>
      <c r="AA3" s="280"/>
    </row>
    <row r="4" spans="1:27">
      <c r="A4" s="141"/>
      <c r="E4" s="7" t="s">
        <v>628</v>
      </c>
      <c r="H4" s="55"/>
      <c r="O4" s="230"/>
      <c r="T4" s="55"/>
      <c r="V4" s="45"/>
      <c r="AA4" s="55"/>
    </row>
    <row r="5" spans="1:27">
      <c r="A5" s="141" t="s">
        <v>87</v>
      </c>
      <c r="E5" s="7">
        <v>30</v>
      </c>
      <c r="H5" s="225">
        <f>PI()*SUMSQ(($E5)/2)*Density!$E$45/1000000</f>
        <v>5.548838024402972</v>
      </c>
      <c r="O5" s="235">
        <v>770</v>
      </c>
      <c r="P5" s="217">
        <f>O5/1000*H5</f>
        <v>4.2726052787902882</v>
      </c>
      <c r="Q5" s="7">
        <v>6.1</v>
      </c>
      <c r="R5" s="217">
        <f>Q5*P5</f>
        <v>26.062892200620755</v>
      </c>
      <c r="T5" s="55"/>
      <c r="V5" s="230">
        <f>(W5/(H5))*1000</f>
        <v>768.14191786140952</v>
      </c>
      <c r="W5" s="217">
        <f>Y5/X5</f>
        <v>4.2622950819672134</v>
      </c>
      <c r="X5" s="7">
        <v>6.1</v>
      </c>
      <c r="Y5" s="242">
        <v>26</v>
      </c>
      <c r="Z5" s="217"/>
      <c r="AA5" s="231"/>
    </row>
    <row r="6" spans="1:27">
      <c r="A6" s="141" t="s">
        <v>87</v>
      </c>
      <c r="E6" s="7">
        <v>23</v>
      </c>
      <c r="F6" s="96"/>
      <c r="H6" s="225">
        <f>(PI()*SUMSQ(($E6)/2)*Density!$E$45/1000000)</f>
        <v>3.2614836832324134</v>
      </c>
      <c r="O6" s="235">
        <v>771</v>
      </c>
      <c r="P6" s="217">
        <f>O6/1000*H6</f>
        <v>2.514603919772191</v>
      </c>
      <c r="Q6" s="7">
        <v>6.1</v>
      </c>
      <c r="R6" s="217">
        <f t="shared" ref="R6:R18" si="0">Q6*P6</f>
        <v>15.339083910610364</v>
      </c>
      <c r="T6" s="55"/>
      <c r="V6" s="230">
        <f>(W6/(H6))*1000</f>
        <v>897.20807840944781</v>
      </c>
      <c r="W6" s="217">
        <f>Y6/X6</f>
        <v>2.9262295081967218</v>
      </c>
      <c r="X6" s="7">
        <v>6.1</v>
      </c>
      <c r="Y6" s="242">
        <v>17.850000000000001</v>
      </c>
      <c r="Z6" s="217"/>
      <c r="AA6" s="231"/>
    </row>
    <row r="7" spans="1:27" ht="15">
      <c r="A7" s="141"/>
      <c r="E7" s="8" t="s">
        <v>573</v>
      </c>
      <c r="F7" s="8"/>
      <c r="H7" s="226"/>
      <c r="O7" s="235"/>
      <c r="T7" s="55"/>
      <c r="V7" s="45"/>
      <c r="Y7" s="217"/>
      <c r="Z7" s="217"/>
      <c r="AA7" s="231"/>
    </row>
    <row r="8" spans="1:27">
      <c r="A8" s="141"/>
      <c r="E8" s="7" t="s">
        <v>574</v>
      </c>
      <c r="F8" s="95" t="s">
        <v>575</v>
      </c>
      <c r="H8" s="55" t="s">
        <v>489</v>
      </c>
      <c r="O8" s="235"/>
      <c r="T8" s="55"/>
      <c r="V8" s="45"/>
      <c r="Y8" s="217"/>
      <c r="Z8" s="217"/>
      <c r="AA8" s="231"/>
    </row>
    <row r="9" spans="1:27">
      <c r="A9" s="141" t="s">
        <v>99</v>
      </c>
      <c r="E9" s="7">
        <v>38</v>
      </c>
      <c r="F9" s="96">
        <v>25.4</v>
      </c>
      <c r="H9" s="225">
        <f>(PI()*SUMSQ(($E9)/2)*Density!$E$45/1000000)-(PI()*SUMSQ(($F9)/2)*Density!$E$45/1000000)</f>
        <v>4.9251486304600771</v>
      </c>
      <c r="O9" s="235">
        <v>774</v>
      </c>
      <c r="P9" s="217">
        <f>O9/1000*H9</f>
        <v>3.8120650399760998</v>
      </c>
      <c r="Q9" s="7">
        <v>6.1</v>
      </c>
      <c r="R9" s="217">
        <f t="shared" si="0"/>
        <v>23.253596743854207</v>
      </c>
      <c r="T9" s="55"/>
      <c r="V9" s="230">
        <f>(W9/(H9))*1000</f>
        <v>773.5807151964251</v>
      </c>
      <c r="W9" s="242">
        <v>3.81</v>
      </c>
      <c r="X9" s="7">
        <v>6.1</v>
      </c>
      <c r="Y9" s="217">
        <f>W9*X9</f>
        <v>23.241</v>
      </c>
      <c r="Z9" s="217"/>
      <c r="AA9" s="231"/>
    </row>
    <row r="10" spans="1:27">
      <c r="A10" s="141"/>
      <c r="H10" s="55"/>
      <c r="O10" s="235"/>
      <c r="T10" s="55"/>
      <c r="V10" s="45"/>
      <c r="Y10" s="217"/>
      <c r="Z10" s="217"/>
      <c r="AA10" s="231"/>
    </row>
    <row r="11" spans="1:27" ht="41.65">
      <c r="A11" s="293" t="s">
        <v>337</v>
      </c>
      <c r="B11" s="42"/>
      <c r="E11" s="238" t="s">
        <v>475</v>
      </c>
      <c r="F11" s="238" t="s">
        <v>476</v>
      </c>
      <c r="G11" s="239" t="s">
        <v>477</v>
      </c>
      <c r="H11" s="240" t="s">
        <v>478</v>
      </c>
      <c r="O11" s="235"/>
      <c r="T11" s="55"/>
      <c r="V11" s="45"/>
      <c r="Y11" s="217"/>
      <c r="Z11" s="217"/>
      <c r="AA11" s="231"/>
    </row>
    <row r="12" spans="1:27" ht="15">
      <c r="A12" s="294"/>
      <c r="B12" s="56"/>
      <c r="E12" s="64" t="s">
        <v>482</v>
      </c>
      <c r="F12" s="65" t="s">
        <v>483</v>
      </c>
      <c r="G12" s="66"/>
      <c r="H12" s="227"/>
      <c r="O12" s="235"/>
      <c r="T12" s="55"/>
      <c r="V12" s="45"/>
      <c r="Y12" s="217"/>
      <c r="Z12" s="217"/>
      <c r="AA12" s="231"/>
    </row>
    <row r="13" spans="1:27" ht="13.15">
      <c r="A13" s="141" t="s">
        <v>75</v>
      </c>
      <c r="E13" s="69">
        <v>16</v>
      </c>
      <c r="F13" s="70">
        <f>E13-G13*2</f>
        <v>12</v>
      </c>
      <c r="G13" s="16">
        <v>2</v>
      </c>
      <c r="H13" s="225">
        <f>(PI()*SUMSQ(($E13)/2)*Density!$E$45/1000000)-(PI()*SUMSQ(($F13)/2)*Density!$E$45/1000000)</f>
        <v>0.69052206525903637</v>
      </c>
      <c r="O13" s="235">
        <v>778</v>
      </c>
      <c r="P13" s="217">
        <f>O13/1000*H13</f>
        <v>0.53722616677153034</v>
      </c>
      <c r="Q13" s="7">
        <v>7.6</v>
      </c>
      <c r="R13" s="217">
        <f t="shared" si="0"/>
        <v>4.0829188674636301</v>
      </c>
      <c r="T13" s="55"/>
      <c r="V13" s="230">
        <f>(W13/(H13))*1000</f>
        <v>1443.3947368421054</v>
      </c>
      <c r="W13" s="217">
        <f>Y13/X13</f>
        <v>0.99669591466823393</v>
      </c>
      <c r="X13" s="7">
        <v>7.6</v>
      </c>
      <c r="Y13" s="242">
        <v>7.5748889514785773</v>
      </c>
      <c r="Z13" s="217"/>
      <c r="AA13" s="231"/>
    </row>
    <row r="14" spans="1:27" ht="13.15">
      <c r="A14" s="141" t="s">
        <v>75</v>
      </c>
      <c r="E14" s="69">
        <v>21</v>
      </c>
      <c r="F14" s="70">
        <v>16</v>
      </c>
      <c r="G14" s="16">
        <v>2.5</v>
      </c>
      <c r="H14" s="225">
        <f>(PI()*SUMSQ(($E14)/2)*Density!$E$45/1000000)-(PI()*SUMSQ(($F14)/2)*Density!$E$45/1000000)</f>
        <v>1.1405944827939445</v>
      </c>
      <c r="O14" s="235">
        <v>779</v>
      </c>
      <c r="P14" s="217">
        <f>O14/1000*H14</f>
        <v>0.88852310209648278</v>
      </c>
      <c r="Q14" s="7">
        <v>7.6</v>
      </c>
      <c r="R14" s="217">
        <f t="shared" si="0"/>
        <v>6.7527755759332688</v>
      </c>
      <c r="T14" s="55"/>
      <c r="V14" s="230">
        <f>(W14/(H14))*1000</f>
        <v>1547.7500000000002</v>
      </c>
      <c r="W14" s="217">
        <f>Y14/X14</f>
        <v>1.7653551107443277</v>
      </c>
      <c r="X14" s="7">
        <v>7.6</v>
      </c>
      <c r="Y14" s="242">
        <v>13.41669884165689</v>
      </c>
      <c r="Z14" s="217"/>
      <c r="AA14" s="231"/>
    </row>
    <row r="15" spans="1:27">
      <c r="A15" s="141"/>
      <c r="H15" s="55"/>
      <c r="O15" s="235"/>
      <c r="T15" s="55"/>
      <c r="V15" s="45"/>
      <c r="Y15" s="217"/>
      <c r="Z15" s="217"/>
      <c r="AA15" s="231"/>
    </row>
    <row r="16" spans="1:27">
      <c r="A16" s="141"/>
      <c r="H16" s="55"/>
      <c r="O16" s="235"/>
      <c r="T16" s="55"/>
      <c r="V16" s="45"/>
      <c r="Y16" s="217"/>
      <c r="Z16" s="217"/>
      <c r="AA16" s="231"/>
    </row>
    <row r="17" spans="1:27">
      <c r="A17" s="141" t="s">
        <v>7</v>
      </c>
      <c r="H17" s="55"/>
      <c r="O17" s="235"/>
      <c r="T17" s="55"/>
      <c r="V17" s="230"/>
      <c r="W17" s="217"/>
      <c r="Y17" s="217"/>
      <c r="Z17" s="217"/>
      <c r="AA17" s="231"/>
    </row>
    <row r="18" spans="1:27" s="285" customFormat="1" ht="13.15" thickBot="1">
      <c r="A18" s="284" t="str">
        <f>FLTS!A10</f>
        <v>FL</v>
      </c>
      <c r="C18" s="285" t="str">
        <f>FLTS!B10</f>
        <v>FL_25_5</v>
      </c>
      <c r="D18" s="285" t="str">
        <f>FLTS!C10</f>
        <v>FL_25_5 @ 0.98Kg/m</v>
      </c>
      <c r="E18" s="285" t="str">
        <f>FLTS!D10</f>
        <v>25</v>
      </c>
      <c r="F18" s="285" t="str">
        <f>FLTS!E10</f>
        <v>5</v>
      </c>
      <c r="H18" s="288">
        <f>(E18*F18/1000000)*E45</f>
        <v>0.98125000000000007</v>
      </c>
      <c r="O18" s="286">
        <v>783</v>
      </c>
      <c r="P18" s="287">
        <f>O18/1000*H18</f>
        <v>0.76831875000000005</v>
      </c>
      <c r="Q18" s="285">
        <v>6.1</v>
      </c>
      <c r="R18" s="287">
        <f t="shared" si="0"/>
        <v>4.686744375</v>
      </c>
      <c r="T18" s="288"/>
      <c r="V18" s="289">
        <f>(W18/(H18))*1000</f>
        <v>784.7133757961783</v>
      </c>
      <c r="W18" s="290">
        <v>0.77</v>
      </c>
      <c r="X18" s="285">
        <v>6.1</v>
      </c>
      <c r="Y18" s="287">
        <f>X18*W18</f>
        <v>4.6970000000000001</v>
      </c>
      <c r="Z18" s="287"/>
      <c r="AA18" s="291"/>
    </row>
    <row r="19" spans="1:27">
      <c r="O19" s="235"/>
      <c r="T19" s="55"/>
      <c r="V19" s="45"/>
      <c r="Y19" s="217"/>
      <c r="Z19" s="217"/>
      <c r="AA19" s="231"/>
    </row>
    <row r="20" spans="1:27">
      <c r="O20" s="235"/>
      <c r="T20" s="55"/>
      <c r="V20" s="45"/>
      <c r="Y20" s="217"/>
      <c r="Z20" s="217"/>
      <c r="AA20" s="231"/>
    </row>
    <row r="21" spans="1:27" ht="13.15" thickBot="1">
      <c r="O21" s="235"/>
      <c r="T21" s="55"/>
      <c r="V21" s="45"/>
      <c r="Y21" s="217"/>
      <c r="Z21" s="217"/>
      <c r="AA21" s="231"/>
    </row>
    <row r="22" spans="1:27" s="277" customFormat="1">
      <c r="A22" s="276" t="str">
        <f>RHS!A11</f>
        <v>SHS</v>
      </c>
      <c r="C22" s="277" t="str">
        <f>RHS!B11</f>
        <v>SHS_50_50_3</v>
      </c>
      <c r="D22" s="277" t="str">
        <f>RHS!C11</f>
        <v>SHS_50_50_3 @ 4.39Kg/m</v>
      </c>
      <c r="E22" s="277">
        <f>RHS!D11</f>
        <v>50</v>
      </c>
      <c r="F22" s="277">
        <f>RHS!E11</f>
        <v>50</v>
      </c>
      <c r="G22" s="277">
        <f>RHS!F11</f>
        <v>3</v>
      </c>
      <c r="H22" s="277">
        <f>RHS!G11</f>
        <v>4.3899999999999997</v>
      </c>
      <c r="O22" s="278">
        <v>783</v>
      </c>
      <c r="P22" s="279">
        <f>O22/1000*H22</f>
        <v>3.43737</v>
      </c>
      <c r="Q22" s="277">
        <v>7.6</v>
      </c>
      <c r="R22" s="279">
        <f t="shared" ref="R22:R24" si="1">Q22*P22</f>
        <v>26.124012</v>
      </c>
      <c r="T22" s="280"/>
      <c r="V22" s="281">
        <f t="shared" ref="V22:V24" si="2">(W22/(H22))*1000</f>
        <v>783</v>
      </c>
      <c r="W22" s="279">
        <f t="shared" ref="W22:W24" si="3">Y22/X22</f>
        <v>3.43737</v>
      </c>
      <c r="X22" s="277">
        <v>7.6</v>
      </c>
      <c r="Y22" s="282">
        <v>26.124012</v>
      </c>
      <c r="Z22" s="279"/>
      <c r="AA22" s="283"/>
    </row>
    <row r="23" spans="1:27">
      <c r="A23" s="141" t="str">
        <f>'Angles+T'!A11</f>
        <v>EA</v>
      </c>
      <c r="C23" s="7" t="str">
        <f>'Angles+T'!B11</f>
        <v>EA_50_50_3</v>
      </c>
      <c r="D23" s="7" t="str">
        <f>'Angles+T'!C11</f>
        <v>EA_50_50_3 @ 2.26Kg/m</v>
      </c>
      <c r="E23" s="7" t="str">
        <f>'Angles+T'!D11</f>
        <v>50</v>
      </c>
      <c r="F23" s="7" t="str">
        <f>'Angles+T'!E11</f>
        <v>50</v>
      </c>
      <c r="G23" s="7" t="str">
        <f>'Angles+T'!F11</f>
        <v>3</v>
      </c>
      <c r="H23" s="7">
        <f>'Angles+T'!G11</f>
        <v>2.262</v>
      </c>
      <c r="O23" s="235">
        <v>783</v>
      </c>
      <c r="P23" s="217">
        <f>O23/1000*H23</f>
        <v>1.7711460000000001</v>
      </c>
      <c r="Q23" s="7">
        <v>6.1</v>
      </c>
      <c r="R23" s="217">
        <f t="shared" si="1"/>
        <v>10.803990600000001</v>
      </c>
      <c r="T23" s="55"/>
      <c r="V23" s="230">
        <f t="shared" si="2"/>
        <v>783</v>
      </c>
      <c r="W23" s="217">
        <f t="shared" si="3"/>
        <v>1.7711460000000001</v>
      </c>
      <c r="X23" s="7">
        <v>6.1</v>
      </c>
      <c r="Y23" s="242">
        <v>10.803990600000001</v>
      </c>
      <c r="Z23" s="217"/>
      <c r="AA23" s="231"/>
    </row>
    <row r="24" spans="1:27" s="285" customFormat="1" ht="13.15" thickBot="1">
      <c r="A24" s="284" t="str">
        <f>'Chan &amp; Bms'!A25</f>
        <v>UB</v>
      </c>
      <c r="C24" s="285" t="str">
        <f>'Chan &amp; Bms'!B25</f>
        <v>UB_203x133_UB25</v>
      </c>
      <c r="D24" s="285" t="str">
        <f>'Chan &amp; Bms'!C25</f>
        <v>UB_203x133_UB25 @ 25Kg/m</v>
      </c>
      <c r="E24" s="285" t="str">
        <f>'Chan &amp; Bms'!D25</f>
        <v>8"x 5 1/4"</v>
      </c>
      <c r="F24" s="285" t="str">
        <f>'Chan &amp; Bms'!E25</f>
        <v>203x133_UB25</v>
      </c>
      <c r="H24" s="285">
        <f>'Chan &amp; Bms'!F25</f>
        <v>25</v>
      </c>
      <c r="O24" s="286">
        <v>783</v>
      </c>
      <c r="P24" s="287">
        <f>O24/1000*H24</f>
        <v>19.574999999999999</v>
      </c>
      <c r="Q24" s="285">
        <v>12.1</v>
      </c>
      <c r="R24" s="287">
        <f t="shared" si="1"/>
        <v>236.85749999999999</v>
      </c>
      <c r="T24" s="288"/>
      <c r="V24" s="289">
        <f t="shared" si="2"/>
        <v>782.99999999999989</v>
      </c>
      <c r="W24" s="287">
        <f t="shared" si="3"/>
        <v>19.574999999999999</v>
      </c>
      <c r="X24" s="285">
        <v>12.1</v>
      </c>
      <c r="Y24" s="290">
        <v>236.85749999999999</v>
      </c>
      <c r="Z24" s="287"/>
      <c r="AA24" s="291"/>
    </row>
    <row r="25" spans="1:27">
      <c r="O25" s="235"/>
      <c r="T25" s="55"/>
      <c r="V25" s="45"/>
      <c r="Y25" s="217"/>
      <c r="Z25" s="217"/>
      <c r="AA25" s="231"/>
    </row>
    <row r="26" spans="1:27">
      <c r="O26" s="235"/>
      <c r="T26" s="55"/>
      <c r="V26" s="45"/>
      <c r="Y26" s="217"/>
      <c r="Z26" s="217"/>
      <c r="AA26" s="231"/>
    </row>
    <row r="27" spans="1:27" ht="13.15" thickBot="1">
      <c r="O27" s="235"/>
      <c r="T27" s="55"/>
      <c r="V27" s="45"/>
      <c r="Y27" s="217"/>
      <c r="Z27" s="217"/>
      <c r="AA27" s="231"/>
    </row>
    <row r="28" spans="1:27" s="277" customFormat="1" ht="14.25">
      <c r="A28" s="276" t="s">
        <v>629</v>
      </c>
      <c r="E28" s="277" t="s">
        <v>259</v>
      </c>
      <c r="F28" s="277" t="s">
        <v>117</v>
      </c>
      <c r="G28" s="277" t="s">
        <v>139</v>
      </c>
      <c r="I28" s="277" t="s">
        <v>625</v>
      </c>
      <c r="J28" s="277" t="s">
        <v>630</v>
      </c>
      <c r="O28" s="278"/>
      <c r="P28" s="279"/>
      <c r="R28" s="279"/>
      <c r="T28" s="280"/>
      <c r="V28" s="292"/>
      <c r="Y28" s="279"/>
      <c r="AA28" s="280"/>
    </row>
    <row r="29" spans="1:27" s="285" customFormat="1" ht="13.15" thickBot="1">
      <c r="A29" s="284" t="str">
        <f>'PLT &amp; SHEET'!B24</f>
        <v>PL</v>
      </c>
      <c r="C29" s="285" t="str">
        <f>'PLT &amp; SHEET'!C24</f>
        <v>PL_3_1900_1640</v>
      </c>
      <c r="D29" s="285" t="str">
        <f>'PLT &amp; SHEET'!D24</f>
        <v>PL_3_1900_1640 @ 23.55Kg/m2</v>
      </c>
      <c r="E29" s="285">
        <f>'PLT &amp; SHEET'!E24</f>
        <v>1900</v>
      </c>
      <c r="F29" s="285">
        <f>'PLT &amp; SHEET'!F24</f>
        <v>1640</v>
      </c>
      <c r="G29" s="285">
        <f>'PLT &amp; SHEET'!G24</f>
        <v>3</v>
      </c>
      <c r="I29" s="285">
        <f>(G29/1000)*E49</f>
        <v>23.580000000000002</v>
      </c>
      <c r="J29" s="285">
        <f>(E29*F29*G29/1000000000)*E49</f>
        <v>73.475279999999998</v>
      </c>
      <c r="O29" s="286">
        <v>606</v>
      </c>
      <c r="P29" s="287"/>
      <c r="R29" s="287"/>
      <c r="S29" s="287">
        <f>O29/1000*I29</f>
        <v>14.289480000000001</v>
      </c>
      <c r="T29" s="291">
        <f>O29/1000*(J29)</f>
        <v>44.526019679999997</v>
      </c>
      <c r="V29" s="289">
        <f>(Z29/(I29)*1000)</f>
        <v>606.05417223316465</v>
      </c>
      <c r="Y29" s="287"/>
      <c r="Z29" s="287">
        <f>AA29/(E29*F29)*1000000</f>
        <v>14.290757381258024</v>
      </c>
      <c r="AA29" s="295">
        <v>44.53</v>
      </c>
    </row>
    <row r="30" spans="1:27">
      <c r="O30" s="230"/>
      <c r="T30" s="55"/>
      <c r="V30" s="45"/>
      <c r="Y30" s="217"/>
      <c r="Z30" s="217"/>
      <c r="AA30" s="231"/>
    </row>
    <row r="31" spans="1:27">
      <c r="O31" s="230"/>
      <c r="T31" s="55"/>
      <c r="V31" s="45"/>
      <c r="Y31" s="217"/>
      <c r="Z31" s="217"/>
      <c r="AA31" s="231"/>
    </row>
    <row r="32" spans="1:27">
      <c r="O32" s="232"/>
      <c r="P32" s="233"/>
      <c r="Q32" s="220"/>
      <c r="R32" s="233"/>
      <c r="S32" s="220"/>
      <c r="T32" s="228"/>
      <c r="V32" s="176"/>
      <c r="W32" s="220"/>
      <c r="X32" s="220"/>
      <c r="Y32" s="233"/>
      <c r="Z32" s="233"/>
      <c r="AA32" s="234"/>
    </row>
    <row r="33" spans="1:27">
      <c r="Y33" s="217"/>
      <c r="Z33" s="217"/>
      <c r="AA33" s="217"/>
    </row>
    <row r="34" spans="1:27">
      <c r="Y34" s="217"/>
      <c r="Z34" s="217"/>
      <c r="AA34" s="217"/>
    </row>
    <row r="35" spans="1:27" ht="13.15" thickBot="1">
      <c r="Y35" s="217"/>
      <c r="Z35" s="217"/>
      <c r="AA35" s="217"/>
    </row>
    <row r="36" spans="1:27" s="277" customFormat="1">
      <c r="A36" s="276" t="s">
        <v>631</v>
      </c>
      <c r="B36" s="277" t="str">
        <f>'Msh &amp; Exp.Metal'!D6</f>
        <v>50x50x10G</v>
      </c>
      <c r="C36" s="277" t="str">
        <f>'Msh &amp; Exp.Metal'!E6</f>
        <v>2"x2"x10G</v>
      </c>
      <c r="D36" s="277" t="str">
        <f>'Msh &amp; Exp.Metal'!F6</f>
        <v>8' x 4'</v>
      </c>
      <c r="E36" s="277">
        <f>'Msh &amp; Exp.Metal'!G6</f>
        <v>2500</v>
      </c>
      <c r="F36" s="277">
        <f>'Msh &amp; Exp.Metal'!H6</f>
        <v>1250</v>
      </c>
      <c r="I36" s="280"/>
      <c r="O36" s="279"/>
      <c r="P36" s="279"/>
      <c r="R36" s="279"/>
      <c r="S36" s="296">
        <f>T36/(E36*F36/1000000)</f>
        <v>3.8080000000000003</v>
      </c>
      <c r="T36" s="297">
        <v>11.9</v>
      </c>
      <c r="V36" s="292"/>
      <c r="Y36" s="279"/>
      <c r="Z36" s="279">
        <v>3.81</v>
      </c>
      <c r="AA36" s="283">
        <f>S36*E36*F36/1000000</f>
        <v>11.9</v>
      </c>
    </row>
    <row r="37" spans="1:27">
      <c r="A37" s="141" t="s">
        <v>46</v>
      </c>
      <c r="B37" s="7" t="str">
        <f>'Msh &amp; Exp.Metal'!D11</f>
        <v>Ref.4896</v>
      </c>
      <c r="C37" s="7" t="str">
        <f>'Msh &amp; Exp.Metal'!E11</f>
        <v>WALKWAY Ref. 4896</v>
      </c>
      <c r="D37" s="7">
        <f>'Msh &amp; Exp.Metal'!F11</f>
        <v>0</v>
      </c>
      <c r="E37" s="7">
        <f>'Msh &amp; Exp.Metal'!G11</f>
        <v>3000</v>
      </c>
      <c r="F37" s="7">
        <f>'Msh &amp; Exp.Metal'!H11</f>
        <v>610</v>
      </c>
      <c r="I37" s="55"/>
      <c r="S37" s="18">
        <f>T37/(E37*F37/1000000)</f>
        <v>11.748633879781421</v>
      </c>
      <c r="T37" s="236">
        <v>21.5</v>
      </c>
      <c r="V37" s="45"/>
      <c r="Y37" s="217"/>
      <c r="Z37" s="217">
        <v>11.85</v>
      </c>
      <c r="AA37" s="231">
        <f>S37*E37*F37/1000000</f>
        <v>21.5</v>
      </c>
    </row>
    <row r="38" spans="1:27" s="285" customFormat="1" ht="13.15" thickBot="1">
      <c r="A38" s="284" t="s">
        <v>632</v>
      </c>
      <c r="C38" s="285" t="str">
        <f>Alum!C12</f>
        <v>ALCHQ_3_2500_1250</v>
      </c>
      <c r="D38" s="285" t="str">
        <f>Alum!D12</f>
        <v>3mm Tread-Plate</v>
      </c>
      <c r="E38" s="285">
        <f>Alum!E12</f>
        <v>2500</v>
      </c>
      <c r="F38" s="285">
        <f>Alum!F12</f>
        <v>1250</v>
      </c>
      <c r="G38" s="285">
        <f>Alum!G12</f>
        <v>3</v>
      </c>
      <c r="I38" s="288"/>
      <c r="O38" s="287"/>
      <c r="P38" s="287"/>
      <c r="R38" s="287"/>
      <c r="S38" s="298">
        <f>T38/(E38*F38/1000000)</f>
        <v>30.4</v>
      </c>
      <c r="T38" s="299">
        <v>95</v>
      </c>
      <c r="V38" s="300"/>
      <c r="Y38" s="287"/>
      <c r="Z38" s="287">
        <v>30.4</v>
      </c>
      <c r="AA38" s="291">
        <f>S38*E38*F38/1000000</f>
        <v>95</v>
      </c>
    </row>
    <row r="42" spans="1:27">
      <c r="C42" s="305" t="s">
        <v>621</v>
      </c>
      <c r="D42" s="307" t="s">
        <v>633</v>
      </c>
      <c r="E42" s="308"/>
      <c r="F42" s="309"/>
    </row>
    <row r="43" spans="1:27">
      <c r="C43" s="306"/>
      <c r="D43" s="99" t="s">
        <v>634</v>
      </c>
      <c r="E43" s="99" t="s">
        <v>635</v>
      </c>
      <c r="F43" s="100" t="s">
        <v>636</v>
      </c>
    </row>
    <row r="44" spans="1:27" ht="20.25">
      <c r="C44" s="310" t="s">
        <v>637</v>
      </c>
      <c r="D44" s="311"/>
      <c r="E44" s="311"/>
      <c r="F44" s="312"/>
    </row>
    <row r="45" spans="1:27" ht="15.4">
      <c r="C45" s="101" t="s">
        <v>638</v>
      </c>
      <c r="D45" s="101">
        <v>7.85</v>
      </c>
      <c r="E45" s="124">
        <v>7850</v>
      </c>
      <c r="F45" s="101">
        <v>0.28399999999999997</v>
      </c>
    </row>
    <row r="46" spans="1:27">
      <c r="C46" s="101" t="s">
        <v>639</v>
      </c>
      <c r="D46" s="101">
        <v>7.87</v>
      </c>
      <c r="E46" s="101">
        <v>7870</v>
      </c>
      <c r="F46" s="101">
        <v>0.28399999999999997</v>
      </c>
    </row>
    <row r="47" spans="1:27">
      <c r="C47" s="101" t="s">
        <v>640</v>
      </c>
      <c r="D47" s="101">
        <v>7.87</v>
      </c>
      <c r="E47" s="101">
        <v>7870</v>
      </c>
      <c r="F47" s="101">
        <v>0.28399999999999997</v>
      </c>
    </row>
    <row r="48" spans="1:27">
      <c r="C48" s="101" t="s">
        <v>641</v>
      </c>
      <c r="D48" s="101">
        <v>7.87</v>
      </c>
      <c r="E48" s="101">
        <v>7870</v>
      </c>
      <c r="F48" s="101">
        <v>0.28399999999999997</v>
      </c>
    </row>
    <row r="49" spans="3:6">
      <c r="C49" s="101" t="s">
        <v>642</v>
      </c>
      <c r="D49" s="101">
        <v>7.86</v>
      </c>
      <c r="E49" s="101">
        <v>7860</v>
      </c>
      <c r="F49" s="101">
        <v>0.28399999999999997</v>
      </c>
    </row>
    <row r="50" spans="3:6">
      <c r="C50" s="101" t="s">
        <v>643</v>
      </c>
      <c r="D50" s="101">
        <v>7.8449999999999998</v>
      </c>
      <c r="E50" s="101">
        <v>7845</v>
      </c>
      <c r="F50" s="101">
        <v>0.28339999999999999</v>
      </c>
    </row>
    <row r="51" spans="3:6">
      <c r="C51" s="101" t="s">
        <v>644</v>
      </c>
      <c r="D51" s="101">
        <v>7.87</v>
      </c>
      <c r="E51" s="101">
        <v>7870</v>
      </c>
      <c r="F51" s="101">
        <v>0.28399999999999997</v>
      </c>
    </row>
  </sheetData>
  <mergeCells count="3">
    <mergeCell ref="C42:C43"/>
    <mergeCell ref="D42:F42"/>
    <mergeCell ref="C44:F4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65"/>
  <sheetViews>
    <sheetView topLeftCell="C2" workbookViewId="0">
      <selection activeCell="E11" sqref="E11"/>
    </sheetView>
  </sheetViews>
  <sheetFormatPr defaultRowHeight="14.25"/>
  <cols>
    <col min="1" max="1" width="2.85546875" customWidth="1"/>
    <col min="2" max="2" width="30" customWidth="1"/>
    <col min="3" max="3" width="47.85546875" customWidth="1"/>
    <col min="4" max="4" width="7.85546875" customWidth="1"/>
    <col min="5" max="5" width="28.85546875" bestFit="1" customWidth="1"/>
    <col min="6" max="6" width="22.42578125" customWidth="1"/>
    <col min="7" max="8" width="10.85546875" customWidth="1"/>
    <col min="10" max="10" width="10.85546875" customWidth="1"/>
    <col min="11" max="11" width="21.5703125" customWidth="1"/>
    <col min="13" max="13" width="21.140625" customWidth="1"/>
    <col min="14" max="14" width="38" customWidth="1"/>
    <col min="15" max="15" width="20.85546875" customWidth="1"/>
    <col min="16" max="16" width="17.85546875" bestFit="1" customWidth="1"/>
    <col min="18" max="18" width="16.42578125" bestFit="1" customWidth="1"/>
    <col min="20" max="20" width="16.42578125" bestFit="1" customWidth="1"/>
  </cols>
  <sheetData>
    <row r="1" spans="2:15" ht="59.25" customHeight="1">
      <c r="B1" t="s">
        <v>10</v>
      </c>
      <c r="C1" t="s">
        <v>11</v>
      </c>
      <c r="D1" t="s">
        <v>12</v>
      </c>
      <c r="E1" t="s">
        <v>13</v>
      </c>
      <c r="G1" s="5"/>
      <c r="H1" s="5"/>
      <c r="J1" s="5"/>
      <c r="K1" s="5"/>
    </row>
    <row r="2" spans="2:15" s="2" customFormat="1" ht="62.45" customHeight="1">
      <c r="B2" s="3" t="s">
        <v>14</v>
      </c>
      <c r="C2" s="4" t="s">
        <v>15</v>
      </c>
      <c r="D2" s="1" t="s">
        <v>16</v>
      </c>
      <c r="E2" s="1" t="s">
        <v>17</v>
      </c>
      <c r="F2" s="1" t="s">
        <v>18</v>
      </c>
      <c r="K2" s="2" t="s">
        <v>19</v>
      </c>
      <c r="L2" s="2" t="s">
        <v>20</v>
      </c>
    </row>
    <row r="3" spans="2:15">
      <c r="D3">
        <v>1</v>
      </c>
      <c r="E3" t="s">
        <v>21</v>
      </c>
      <c r="F3" t="s">
        <v>22</v>
      </c>
      <c r="K3" t="s">
        <v>23</v>
      </c>
      <c r="L3" t="s">
        <v>24</v>
      </c>
      <c r="N3" t="str">
        <f t="shared" ref="N3:N28" si="0">_xlfn.CONCAT(L3,"_",O3)</f>
        <v>PL_Plate Mild Steel</v>
      </c>
      <c r="O3" t="s">
        <v>25</v>
      </c>
    </row>
    <row r="4" spans="2:15">
      <c r="D4">
        <v>2</v>
      </c>
      <c r="E4" t="s">
        <v>26</v>
      </c>
      <c r="F4" t="s">
        <v>22</v>
      </c>
      <c r="K4" t="s">
        <v>23</v>
      </c>
      <c r="L4" t="s">
        <v>27</v>
      </c>
      <c r="N4" t="str">
        <f t="shared" si="0"/>
        <v>PLCHQ_Chequer Plate Mild Steel</v>
      </c>
      <c r="O4" t="s">
        <v>28</v>
      </c>
    </row>
    <row r="5" spans="2:15">
      <c r="D5">
        <v>3</v>
      </c>
      <c r="E5" t="s">
        <v>29</v>
      </c>
      <c r="K5" t="s">
        <v>23</v>
      </c>
      <c r="L5" t="s">
        <v>30</v>
      </c>
      <c r="N5" t="str">
        <f t="shared" si="0"/>
        <v>HD_Hardox Plate</v>
      </c>
      <c r="O5" t="s">
        <v>31</v>
      </c>
    </row>
    <row r="6" spans="2:15">
      <c r="D6">
        <v>4</v>
      </c>
      <c r="E6" t="s">
        <v>32</v>
      </c>
      <c r="K6" t="s">
        <v>23</v>
      </c>
      <c r="L6" t="s">
        <v>33</v>
      </c>
      <c r="N6" t="str">
        <f t="shared" si="0"/>
        <v>GS_Galvanised Sheet</v>
      </c>
      <c r="O6" t="s">
        <v>34</v>
      </c>
    </row>
    <row r="7" spans="2:15">
      <c r="D7">
        <v>5</v>
      </c>
      <c r="E7" t="s">
        <v>35</v>
      </c>
      <c r="K7" t="s">
        <v>23</v>
      </c>
      <c r="L7" t="s">
        <v>36</v>
      </c>
      <c r="N7" t="str">
        <f t="shared" si="0"/>
        <v>ALSH_Aluminium Sheet</v>
      </c>
      <c r="O7" t="s">
        <v>37</v>
      </c>
    </row>
    <row r="8" spans="2:15">
      <c r="D8">
        <v>6</v>
      </c>
      <c r="E8" t="s">
        <v>38</v>
      </c>
      <c r="K8" t="s">
        <v>23</v>
      </c>
      <c r="L8" t="s">
        <v>39</v>
      </c>
      <c r="N8" t="str">
        <f t="shared" si="0"/>
        <v>ALCHQ_Aluminium Chequer Plate</v>
      </c>
      <c r="O8" t="s">
        <v>40</v>
      </c>
    </row>
    <row r="9" spans="2:15">
      <c r="D9">
        <v>25</v>
      </c>
      <c r="E9" t="s">
        <v>41</v>
      </c>
      <c r="K9" t="s">
        <v>23</v>
      </c>
      <c r="L9" t="s">
        <v>42</v>
      </c>
      <c r="N9" t="str">
        <f>_xlfn.CONCAT(L9,"_",O9)</f>
        <v>MSH_Wire Weld Mesh</v>
      </c>
      <c r="O9" t="s">
        <v>43</v>
      </c>
    </row>
    <row r="10" spans="2:15">
      <c r="D10">
        <v>26</v>
      </c>
      <c r="E10" t="s">
        <v>44</v>
      </c>
      <c r="K10" t="s">
        <v>23</v>
      </c>
      <c r="L10" t="s">
        <v>45</v>
      </c>
      <c r="N10" t="str">
        <f>_xlfn.CONCAT(L10,"_",O10)</f>
        <v>EX_MET_Expanded Metal</v>
      </c>
      <c r="O10" t="s">
        <v>46</v>
      </c>
    </row>
    <row r="11" spans="2:15">
      <c r="D11">
        <v>7</v>
      </c>
      <c r="E11" t="s">
        <v>47</v>
      </c>
      <c r="K11" t="s">
        <v>48</v>
      </c>
      <c r="L11" t="s">
        <v>49</v>
      </c>
      <c r="N11" t="str">
        <f t="shared" si="0"/>
        <v>SHS_Square Hollow Section</v>
      </c>
      <c r="O11" t="s">
        <v>50</v>
      </c>
    </row>
    <row r="12" spans="2:15">
      <c r="D12">
        <v>8</v>
      </c>
      <c r="E12" t="s">
        <v>51</v>
      </c>
      <c r="K12" t="s">
        <v>48</v>
      </c>
      <c r="L12" t="s">
        <v>9</v>
      </c>
      <c r="N12" t="str">
        <f t="shared" si="0"/>
        <v>RHS_Rectangular Hollow Section</v>
      </c>
      <c r="O12" t="s">
        <v>52</v>
      </c>
    </row>
    <row r="13" spans="2:15">
      <c r="D13">
        <v>9</v>
      </c>
      <c r="E13" t="s">
        <v>53</v>
      </c>
      <c r="K13" t="s">
        <v>48</v>
      </c>
      <c r="L13" t="s">
        <v>54</v>
      </c>
      <c r="N13" t="str">
        <f t="shared" si="0"/>
        <v>PFC_Parallel Flange Channel</v>
      </c>
      <c r="O13" t="s">
        <v>55</v>
      </c>
    </row>
    <row r="14" spans="2:15">
      <c r="D14">
        <v>10</v>
      </c>
      <c r="E14" t="s">
        <v>56</v>
      </c>
      <c r="K14" t="s">
        <v>48</v>
      </c>
      <c r="L14" t="s">
        <v>57</v>
      </c>
      <c r="N14" t="str">
        <f t="shared" si="0"/>
        <v>UB_Universal Beam</v>
      </c>
      <c r="O14" t="s">
        <v>58</v>
      </c>
    </row>
    <row r="15" spans="2:15">
      <c r="D15">
        <v>11</v>
      </c>
      <c r="E15" t="s">
        <v>59</v>
      </c>
      <c r="K15" t="s">
        <v>48</v>
      </c>
      <c r="L15" t="s">
        <v>60</v>
      </c>
      <c r="N15" t="str">
        <f t="shared" si="0"/>
        <v>UC_Universal Column</v>
      </c>
      <c r="O15" t="s">
        <v>61</v>
      </c>
    </row>
    <row r="16" spans="2:15">
      <c r="D16">
        <v>12</v>
      </c>
      <c r="E16" t="s">
        <v>62</v>
      </c>
      <c r="K16" t="s">
        <v>48</v>
      </c>
      <c r="L16" t="s">
        <v>63</v>
      </c>
      <c r="N16" t="str">
        <f t="shared" si="0"/>
        <v>IPE_Continental I Beams (I-Sections)</v>
      </c>
      <c r="O16" t="s">
        <v>64</v>
      </c>
    </row>
    <row r="17" spans="4:21">
      <c r="D17">
        <v>13</v>
      </c>
      <c r="E17" t="s">
        <v>65</v>
      </c>
      <c r="K17" t="s">
        <v>48</v>
      </c>
      <c r="L17" t="s">
        <v>66</v>
      </c>
      <c r="N17" t="str">
        <f t="shared" si="0"/>
        <v>EA_Equal Angles</v>
      </c>
      <c r="O17" t="s">
        <v>67</v>
      </c>
    </row>
    <row r="18" spans="4:21">
      <c r="D18">
        <v>14</v>
      </c>
      <c r="E18" t="s">
        <v>68</v>
      </c>
      <c r="K18" t="s">
        <v>48</v>
      </c>
      <c r="L18" t="s">
        <v>69</v>
      </c>
      <c r="N18" t="str">
        <f t="shared" si="0"/>
        <v>UA_Unequal Angles</v>
      </c>
      <c r="O18" t="s">
        <v>70</v>
      </c>
    </row>
    <row r="19" spans="4:21">
      <c r="D19">
        <v>15</v>
      </c>
      <c r="E19" t="s">
        <v>71</v>
      </c>
      <c r="K19" t="s">
        <v>48</v>
      </c>
      <c r="L19" t="s">
        <v>72</v>
      </c>
      <c r="N19" t="str">
        <f t="shared" si="0"/>
        <v>TS_T-Section T-Bar</v>
      </c>
      <c r="O19" t="s">
        <v>73</v>
      </c>
    </row>
    <row r="20" spans="4:21">
      <c r="D20">
        <v>16</v>
      </c>
      <c r="E20" t="s">
        <v>74</v>
      </c>
      <c r="K20" t="s">
        <v>48</v>
      </c>
      <c r="L20" t="s">
        <v>75</v>
      </c>
      <c r="N20" t="str">
        <f t="shared" si="0"/>
        <v>CHS_Circular Hollow Section</v>
      </c>
      <c r="O20" t="s">
        <v>76</v>
      </c>
    </row>
    <row r="21" spans="4:21">
      <c r="D21">
        <v>17</v>
      </c>
      <c r="E21" t="s">
        <v>77</v>
      </c>
      <c r="K21" t="s">
        <v>48</v>
      </c>
      <c r="L21" t="s">
        <v>78</v>
      </c>
      <c r="N21" t="str">
        <f t="shared" si="0"/>
        <v>GCHS_Galv Cirular Hollow Section</v>
      </c>
      <c r="O21" t="s">
        <v>79</v>
      </c>
    </row>
    <row r="22" spans="4:21">
      <c r="D22">
        <v>18</v>
      </c>
      <c r="E22" t="s">
        <v>80</v>
      </c>
      <c r="K22" t="s">
        <v>48</v>
      </c>
      <c r="L22" t="s">
        <v>81</v>
      </c>
      <c r="N22" t="str">
        <f t="shared" si="0"/>
        <v>FL_Flat Bar Mild Steel</v>
      </c>
      <c r="O22" t="s">
        <v>82</v>
      </c>
    </row>
    <row r="23" spans="4:21">
      <c r="D23">
        <v>19</v>
      </c>
      <c r="E23" t="s">
        <v>83</v>
      </c>
      <c r="K23" t="s">
        <v>48</v>
      </c>
      <c r="L23" t="s">
        <v>84</v>
      </c>
      <c r="N23" t="str">
        <f t="shared" si="0"/>
        <v>FLB_Flat Bar Bright</v>
      </c>
      <c r="O23" t="s">
        <v>85</v>
      </c>
    </row>
    <row r="24" spans="4:21">
      <c r="D24">
        <v>20</v>
      </c>
      <c r="E24" t="s">
        <v>86</v>
      </c>
      <c r="K24" t="s">
        <v>48</v>
      </c>
      <c r="L24" t="s">
        <v>87</v>
      </c>
      <c r="N24" t="str">
        <f t="shared" si="0"/>
        <v>RB_BLK_Black Round Bar</v>
      </c>
      <c r="O24" t="s">
        <v>88</v>
      </c>
    </row>
    <row r="25" spans="4:21">
      <c r="D25">
        <v>21</v>
      </c>
      <c r="E25" t="s">
        <v>89</v>
      </c>
      <c r="K25" t="s">
        <v>48</v>
      </c>
      <c r="L25" t="s">
        <v>90</v>
      </c>
      <c r="N25" t="str">
        <f t="shared" si="0"/>
        <v>RB_BRI_Bright Round Bar</v>
      </c>
      <c r="O25" t="s">
        <v>91</v>
      </c>
    </row>
    <row r="26" spans="4:21">
      <c r="D26">
        <v>22</v>
      </c>
      <c r="E26" t="s">
        <v>92</v>
      </c>
      <c r="K26" t="s">
        <v>48</v>
      </c>
      <c r="L26" t="s">
        <v>93</v>
      </c>
      <c r="N26" t="str">
        <f t="shared" si="0"/>
        <v>SQ_BLK_Square Bar Black</v>
      </c>
      <c r="O26" t="s">
        <v>94</v>
      </c>
    </row>
    <row r="27" spans="4:21">
      <c r="D27">
        <v>23</v>
      </c>
      <c r="E27" t="s">
        <v>95</v>
      </c>
      <c r="K27" t="s">
        <v>48</v>
      </c>
      <c r="L27" t="s">
        <v>96</v>
      </c>
      <c r="N27" t="str">
        <f t="shared" si="0"/>
        <v>SQ_BRI_Square Bar Bright</v>
      </c>
      <c r="O27" t="s">
        <v>97</v>
      </c>
    </row>
    <row r="28" spans="4:21">
      <c r="D28">
        <v>24</v>
      </c>
      <c r="E28" t="s">
        <v>98</v>
      </c>
      <c r="K28" t="s">
        <v>48</v>
      </c>
      <c r="L28" t="s">
        <v>99</v>
      </c>
      <c r="N28" t="str">
        <f t="shared" si="0"/>
        <v>HB_Hollow Bore Bar</v>
      </c>
      <c r="O28" t="s">
        <v>100</v>
      </c>
    </row>
    <row r="32" spans="4:21">
      <c r="P32" t="s">
        <v>101</v>
      </c>
      <c r="Q32" t="s">
        <v>102</v>
      </c>
      <c r="R32" t="s">
        <v>101</v>
      </c>
      <c r="S32" t="s">
        <v>102</v>
      </c>
      <c r="T32" t="s">
        <v>101</v>
      </c>
      <c r="U32" t="s">
        <v>102</v>
      </c>
    </row>
    <row r="34" spans="4:21">
      <c r="D34">
        <v>101</v>
      </c>
      <c r="E34" t="s">
        <v>103</v>
      </c>
      <c r="K34" t="s">
        <v>104</v>
      </c>
      <c r="L34" t="s">
        <v>105</v>
      </c>
      <c r="M34" t="s">
        <v>106</v>
      </c>
      <c r="N34" t="str">
        <f t="shared" ref="N34:N65" si="1">_xlfn.CONCAT(L34,"_",M34,O34)</f>
        <v>F_BH_Finished_Bale Handlers</v>
      </c>
      <c r="O34" t="s">
        <v>107</v>
      </c>
      <c r="P34" t="s">
        <v>108</v>
      </c>
      <c r="Q34" t="s">
        <v>109</v>
      </c>
      <c r="R34" t="s">
        <v>110</v>
      </c>
      <c r="S34" t="s">
        <v>111</v>
      </c>
      <c r="T34" t="s">
        <v>112</v>
      </c>
      <c r="U34" t="s">
        <v>113</v>
      </c>
    </row>
    <row r="35" spans="4:21">
      <c r="D35">
        <v>102</v>
      </c>
      <c r="E35" t="s">
        <v>114</v>
      </c>
      <c r="K35" t="s">
        <v>104</v>
      </c>
      <c r="L35" t="s">
        <v>115</v>
      </c>
      <c r="M35" t="s">
        <v>106</v>
      </c>
      <c r="N35" t="str">
        <f t="shared" si="1"/>
        <v>F_PB_Finished_Power Boxes</v>
      </c>
      <c r="O35" t="s">
        <v>116</v>
      </c>
      <c r="P35" t="s">
        <v>117</v>
      </c>
      <c r="R35" t="s">
        <v>118</v>
      </c>
      <c r="S35" t="s">
        <v>119</v>
      </c>
      <c r="T35" t="s">
        <v>112</v>
      </c>
      <c r="U35" t="s">
        <v>113</v>
      </c>
    </row>
    <row r="36" spans="4:21">
      <c r="D36">
        <v>103</v>
      </c>
      <c r="E36" t="s">
        <v>120</v>
      </c>
      <c r="K36" t="s">
        <v>104</v>
      </c>
      <c r="L36" t="s">
        <v>121</v>
      </c>
      <c r="M36" t="s">
        <v>106</v>
      </c>
      <c r="N36" t="str">
        <f t="shared" si="1"/>
        <v>F_TB_Finished_Transport Boxes</v>
      </c>
      <c r="O36" t="s">
        <v>122</v>
      </c>
      <c r="P36" t="s">
        <v>117</v>
      </c>
      <c r="R36" t="s">
        <v>112</v>
      </c>
      <c r="S36" t="s">
        <v>123</v>
      </c>
      <c r="T36" t="s">
        <v>112</v>
      </c>
      <c r="U36" t="s">
        <v>113</v>
      </c>
    </row>
    <row r="37" spans="4:21">
      <c r="D37">
        <v>104</v>
      </c>
      <c r="E37" t="s">
        <v>124</v>
      </c>
      <c r="K37" t="s">
        <v>104</v>
      </c>
      <c r="L37" t="s">
        <v>125</v>
      </c>
      <c r="M37" t="s">
        <v>106</v>
      </c>
      <c r="N37" t="str">
        <f t="shared" si="1"/>
        <v>F_PS_Finished_Power Scoop</v>
      </c>
      <c r="O37" t="s">
        <v>126</v>
      </c>
      <c r="P37" t="s">
        <v>117</v>
      </c>
      <c r="R37" t="s">
        <v>118</v>
      </c>
      <c r="S37" t="s">
        <v>119</v>
      </c>
      <c r="T37" t="s">
        <v>112</v>
      </c>
      <c r="U37" t="s">
        <v>113</v>
      </c>
    </row>
    <row r="38" spans="4:21">
      <c r="D38">
        <v>105</v>
      </c>
      <c r="E38" t="s">
        <v>127</v>
      </c>
      <c r="K38" t="s">
        <v>104</v>
      </c>
      <c r="L38" t="s">
        <v>128</v>
      </c>
      <c r="M38" t="s">
        <v>106</v>
      </c>
      <c r="N38" t="str">
        <f t="shared" si="1"/>
        <v>F_LL_Finished_Land Leveller</v>
      </c>
      <c r="O38" t="s">
        <v>129</v>
      </c>
      <c r="P38" t="s">
        <v>117</v>
      </c>
      <c r="R38" t="s">
        <v>112</v>
      </c>
      <c r="S38" t="s">
        <v>113</v>
      </c>
      <c r="T38" t="s">
        <v>130</v>
      </c>
      <c r="U38" t="s">
        <v>113</v>
      </c>
    </row>
    <row r="39" spans="4:21">
      <c r="D39">
        <v>106</v>
      </c>
      <c r="E39" t="s">
        <v>131</v>
      </c>
      <c r="K39" t="s">
        <v>104</v>
      </c>
      <c r="L39" t="s">
        <v>132</v>
      </c>
      <c r="M39" t="s">
        <v>106</v>
      </c>
      <c r="N39" t="str">
        <f t="shared" si="1"/>
        <v>F_TS_Finished_Tip Skip</v>
      </c>
      <c r="O39" t="s">
        <v>133</v>
      </c>
      <c r="P39" t="s">
        <v>117</v>
      </c>
      <c r="R39" t="s">
        <v>112</v>
      </c>
      <c r="S39" t="s">
        <v>113</v>
      </c>
      <c r="T39" t="s">
        <v>130</v>
      </c>
      <c r="U39" t="s">
        <v>113</v>
      </c>
    </row>
    <row r="40" spans="4:21">
      <c r="D40">
        <v>107</v>
      </c>
      <c r="E40" t="s">
        <v>134</v>
      </c>
      <c r="K40" t="s">
        <v>104</v>
      </c>
      <c r="L40" t="s">
        <v>135</v>
      </c>
      <c r="M40" t="s">
        <v>106</v>
      </c>
      <c r="N40" t="str">
        <f t="shared" si="1"/>
        <v>F_LR_Finished_Land Rollers</v>
      </c>
      <c r="O40" t="s">
        <v>136</v>
      </c>
      <c r="P40" t="s">
        <v>117</v>
      </c>
      <c r="Q40" t="s">
        <v>137</v>
      </c>
      <c r="R40" t="s">
        <v>138</v>
      </c>
      <c r="S40" t="s">
        <v>137</v>
      </c>
      <c r="T40" t="s">
        <v>139</v>
      </c>
      <c r="U40" t="s">
        <v>137</v>
      </c>
    </row>
    <row r="41" spans="4:21">
      <c r="D41">
        <v>108</v>
      </c>
      <c r="E41" t="s">
        <v>140</v>
      </c>
      <c r="K41" t="s">
        <v>104</v>
      </c>
      <c r="L41" t="s">
        <v>141</v>
      </c>
      <c r="M41" t="s">
        <v>106</v>
      </c>
      <c r="N41" t="str">
        <f t="shared" si="1"/>
        <v>F_CF_Finished_Circular Feeders</v>
      </c>
      <c r="O41" t="s">
        <v>142</v>
      </c>
      <c r="P41" t="s">
        <v>143</v>
      </c>
      <c r="Q41" t="s">
        <v>144</v>
      </c>
      <c r="R41" t="s">
        <v>112</v>
      </c>
      <c r="S41" t="s">
        <v>113</v>
      </c>
      <c r="T41" t="s">
        <v>130</v>
      </c>
      <c r="U41" t="s">
        <v>113</v>
      </c>
    </row>
    <row r="42" spans="4:21">
      <c r="D42">
        <v>110</v>
      </c>
      <c r="E42" t="s">
        <v>145</v>
      </c>
      <c r="K42" t="s">
        <v>104</v>
      </c>
      <c r="L42" t="s">
        <v>146</v>
      </c>
      <c r="M42" t="s">
        <v>106</v>
      </c>
      <c r="N42" t="str">
        <f t="shared" si="1"/>
        <v>F_BT_Finished_Bale Trailer</v>
      </c>
      <c r="O42" t="s">
        <v>147</v>
      </c>
      <c r="P42" t="s">
        <v>108</v>
      </c>
      <c r="Q42" t="s">
        <v>148</v>
      </c>
      <c r="R42" t="s">
        <v>112</v>
      </c>
      <c r="S42" t="s">
        <v>113</v>
      </c>
      <c r="T42" t="s">
        <v>130</v>
      </c>
      <c r="U42" t="s">
        <v>113</v>
      </c>
    </row>
    <row r="43" spans="4:21">
      <c r="D43">
        <v>111</v>
      </c>
      <c r="E43" t="s">
        <v>149</v>
      </c>
      <c r="K43" t="s">
        <v>104</v>
      </c>
      <c r="L43" t="s">
        <v>150</v>
      </c>
      <c r="M43" t="s">
        <v>106</v>
      </c>
      <c r="N43" t="str">
        <f t="shared" si="1"/>
        <v>F_FT_Finished_Feeding Troughs</v>
      </c>
      <c r="O43" t="s">
        <v>151</v>
      </c>
      <c r="P43" t="s">
        <v>117</v>
      </c>
      <c r="R43" t="s">
        <v>152</v>
      </c>
      <c r="S43" t="s">
        <v>152</v>
      </c>
      <c r="T43" t="s">
        <v>112</v>
      </c>
      <c r="U43" t="s">
        <v>113</v>
      </c>
    </row>
    <row r="44" spans="4:21">
      <c r="D44">
        <v>112</v>
      </c>
      <c r="E44" t="s">
        <v>153</v>
      </c>
      <c r="K44" t="s">
        <v>104</v>
      </c>
      <c r="L44" t="s">
        <v>154</v>
      </c>
      <c r="M44" t="s">
        <v>106</v>
      </c>
      <c r="N44" t="str">
        <f t="shared" si="1"/>
        <v>F_PL_Finished_Pallet Lifter</v>
      </c>
      <c r="O44" t="s">
        <v>155</v>
      </c>
      <c r="P44" t="s">
        <v>130</v>
      </c>
      <c r="Q44" t="s">
        <v>113</v>
      </c>
      <c r="R44" t="s">
        <v>130</v>
      </c>
      <c r="S44" t="s">
        <v>113</v>
      </c>
      <c r="T44" t="s">
        <v>130</v>
      </c>
      <c r="U44" t="s">
        <v>113</v>
      </c>
    </row>
    <row r="45" spans="4:21">
      <c r="D45">
        <v>113</v>
      </c>
      <c r="E45" t="s">
        <v>156</v>
      </c>
      <c r="K45" t="s">
        <v>104</v>
      </c>
      <c r="L45" t="s">
        <v>157</v>
      </c>
      <c r="M45" t="s">
        <v>106</v>
      </c>
      <c r="N45" t="str">
        <f t="shared" si="1"/>
        <v>F_FLB_Finished_Fork Lift Bucket</v>
      </c>
      <c r="O45" t="s">
        <v>158</v>
      </c>
      <c r="P45" t="s">
        <v>130</v>
      </c>
      <c r="Q45" t="s">
        <v>113</v>
      </c>
      <c r="R45" t="s">
        <v>130</v>
      </c>
      <c r="S45" t="s">
        <v>113</v>
      </c>
      <c r="T45" t="s">
        <v>130</v>
      </c>
      <c r="U45" t="s">
        <v>113</v>
      </c>
    </row>
    <row r="46" spans="4:21">
      <c r="D46">
        <v>114</v>
      </c>
      <c r="E46" t="s">
        <v>159</v>
      </c>
      <c r="K46" t="s">
        <v>104</v>
      </c>
      <c r="L46" t="s">
        <v>160</v>
      </c>
      <c r="M46" t="s">
        <v>106</v>
      </c>
      <c r="N46" t="str">
        <f t="shared" si="1"/>
        <v>F_YS_Finished_Yardscraper</v>
      </c>
      <c r="O46" t="s">
        <v>161</v>
      </c>
      <c r="P46" t="s">
        <v>130</v>
      </c>
      <c r="Q46" t="s">
        <v>113</v>
      </c>
      <c r="R46" t="s">
        <v>130</v>
      </c>
      <c r="S46" t="s">
        <v>113</v>
      </c>
      <c r="T46" t="s">
        <v>130</v>
      </c>
      <c r="U46" t="s">
        <v>113</v>
      </c>
    </row>
    <row r="47" spans="4:21">
      <c r="D47">
        <v>115</v>
      </c>
      <c r="E47" t="s">
        <v>162</v>
      </c>
      <c r="K47" t="s">
        <v>104</v>
      </c>
      <c r="L47" t="s">
        <v>163</v>
      </c>
      <c r="M47" t="s">
        <v>106</v>
      </c>
      <c r="N47" t="str">
        <f t="shared" si="1"/>
        <v>F_SP_Finished_Snow Plough</v>
      </c>
      <c r="O47" t="s">
        <v>164</v>
      </c>
      <c r="P47" t="s">
        <v>130</v>
      </c>
      <c r="Q47" t="s">
        <v>113</v>
      </c>
      <c r="R47" t="s">
        <v>130</v>
      </c>
      <c r="S47" t="s">
        <v>113</v>
      </c>
      <c r="T47" t="s">
        <v>130</v>
      </c>
      <c r="U47" t="s">
        <v>113</v>
      </c>
    </row>
    <row r="48" spans="4:21">
      <c r="D48">
        <v>201</v>
      </c>
      <c r="E48" t="s">
        <v>165</v>
      </c>
      <c r="K48" t="s">
        <v>104</v>
      </c>
      <c r="L48" t="s">
        <v>166</v>
      </c>
      <c r="M48" t="s">
        <v>167</v>
      </c>
      <c r="N48" t="str">
        <f t="shared" si="1"/>
        <v>PF_BH_Part Finished_Bale Handlers</v>
      </c>
      <c r="O48" t="s">
        <v>107</v>
      </c>
      <c r="P48" t="s">
        <v>168</v>
      </c>
      <c r="Q48" t="s">
        <v>113</v>
      </c>
      <c r="R48" t="s">
        <v>130</v>
      </c>
      <c r="S48" t="s">
        <v>113</v>
      </c>
      <c r="T48" t="s">
        <v>130</v>
      </c>
      <c r="U48" t="s">
        <v>113</v>
      </c>
    </row>
    <row r="49" spans="4:21">
      <c r="D49">
        <v>202</v>
      </c>
      <c r="E49" t="s">
        <v>169</v>
      </c>
      <c r="K49" t="s">
        <v>104</v>
      </c>
      <c r="L49" t="s">
        <v>170</v>
      </c>
      <c r="M49" t="s">
        <v>167</v>
      </c>
      <c r="N49" t="str">
        <f t="shared" si="1"/>
        <v>PF_PB_Part Finished_Power Boxes</v>
      </c>
      <c r="O49" t="s">
        <v>116</v>
      </c>
      <c r="P49" t="s">
        <v>168</v>
      </c>
      <c r="Q49" t="s">
        <v>113</v>
      </c>
      <c r="R49" t="s">
        <v>130</v>
      </c>
      <c r="S49" t="s">
        <v>113</v>
      </c>
      <c r="T49" t="s">
        <v>130</v>
      </c>
      <c r="U49" t="s">
        <v>113</v>
      </c>
    </row>
    <row r="50" spans="4:21">
      <c r="D50">
        <v>203</v>
      </c>
      <c r="E50" t="s">
        <v>171</v>
      </c>
      <c r="K50" t="s">
        <v>104</v>
      </c>
      <c r="L50" t="s">
        <v>172</v>
      </c>
      <c r="M50" t="s">
        <v>167</v>
      </c>
      <c r="N50" t="str">
        <f t="shared" si="1"/>
        <v>PF_TB_Part Finished_Transport Boxes</v>
      </c>
      <c r="O50" t="s">
        <v>122</v>
      </c>
      <c r="P50" t="s">
        <v>168</v>
      </c>
      <c r="Q50" t="s">
        <v>113</v>
      </c>
      <c r="R50" t="s">
        <v>130</v>
      </c>
      <c r="S50" t="s">
        <v>113</v>
      </c>
      <c r="T50" t="s">
        <v>130</v>
      </c>
      <c r="U50" t="s">
        <v>113</v>
      </c>
    </row>
    <row r="51" spans="4:21">
      <c r="D51">
        <v>204</v>
      </c>
      <c r="E51" t="s">
        <v>173</v>
      </c>
      <c r="K51" t="s">
        <v>104</v>
      </c>
      <c r="L51" t="s">
        <v>174</v>
      </c>
      <c r="M51" t="s">
        <v>167</v>
      </c>
      <c r="N51" t="str">
        <f t="shared" si="1"/>
        <v>PF_PS_Part Finished_Power Scoop</v>
      </c>
      <c r="O51" t="s">
        <v>126</v>
      </c>
      <c r="P51" t="s">
        <v>168</v>
      </c>
      <c r="Q51" t="s">
        <v>113</v>
      </c>
      <c r="R51" t="s">
        <v>130</v>
      </c>
      <c r="S51" t="s">
        <v>113</v>
      </c>
      <c r="T51" t="s">
        <v>130</v>
      </c>
      <c r="U51" t="s">
        <v>113</v>
      </c>
    </row>
    <row r="52" spans="4:21">
      <c r="D52">
        <v>205</v>
      </c>
      <c r="E52" t="s">
        <v>175</v>
      </c>
      <c r="K52" t="s">
        <v>104</v>
      </c>
      <c r="L52" t="s">
        <v>176</v>
      </c>
      <c r="M52" t="s">
        <v>167</v>
      </c>
      <c r="N52" t="str">
        <f t="shared" si="1"/>
        <v>PF_LL_Part Finished_Land Leveller</v>
      </c>
      <c r="O52" t="s">
        <v>129</v>
      </c>
      <c r="P52" t="s">
        <v>168</v>
      </c>
      <c r="Q52" t="s">
        <v>113</v>
      </c>
      <c r="R52" t="s">
        <v>130</v>
      </c>
      <c r="S52" t="s">
        <v>113</v>
      </c>
      <c r="T52" t="s">
        <v>130</v>
      </c>
      <c r="U52" t="s">
        <v>113</v>
      </c>
    </row>
    <row r="53" spans="4:21">
      <c r="D53">
        <v>206</v>
      </c>
      <c r="E53" t="s">
        <v>177</v>
      </c>
      <c r="K53" t="s">
        <v>104</v>
      </c>
      <c r="L53" t="s">
        <v>178</v>
      </c>
      <c r="M53" t="s">
        <v>167</v>
      </c>
      <c r="N53" t="str">
        <f t="shared" si="1"/>
        <v>PF_TS_Part Finished_Tip Skip</v>
      </c>
      <c r="O53" t="s">
        <v>133</v>
      </c>
      <c r="P53" t="s">
        <v>168</v>
      </c>
      <c r="Q53" t="s">
        <v>113</v>
      </c>
      <c r="R53" t="s">
        <v>130</v>
      </c>
      <c r="S53" t="s">
        <v>113</v>
      </c>
      <c r="T53" t="s">
        <v>130</v>
      </c>
      <c r="U53" t="s">
        <v>113</v>
      </c>
    </row>
    <row r="54" spans="4:21">
      <c r="D54">
        <v>207</v>
      </c>
      <c r="E54" t="s">
        <v>179</v>
      </c>
      <c r="K54" t="s">
        <v>104</v>
      </c>
      <c r="L54" t="s">
        <v>180</v>
      </c>
      <c r="M54" t="s">
        <v>167</v>
      </c>
      <c r="N54" t="str">
        <f t="shared" si="1"/>
        <v>PF_LR_Part Finished_Land Rollers</v>
      </c>
      <c r="O54" t="s">
        <v>136</v>
      </c>
      <c r="P54" t="s">
        <v>168</v>
      </c>
      <c r="Q54" t="s">
        <v>113</v>
      </c>
      <c r="R54" t="s">
        <v>130</v>
      </c>
      <c r="S54" t="s">
        <v>113</v>
      </c>
      <c r="T54" t="s">
        <v>130</v>
      </c>
      <c r="U54" t="s">
        <v>113</v>
      </c>
    </row>
    <row r="55" spans="4:21">
      <c r="D55">
        <v>208</v>
      </c>
      <c r="E55" t="s">
        <v>181</v>
      </c>
      <c r="K55" t="s">
        <v>104</v>
      </c>
      <c r="L55" t="s">
        <v>182</v>
      </c>
      <c r="M55" t="s">
        <v>167</v>
      </c>
      <c r="N55" t="str">
        <f t="shared" si="1"/>
        <v>PF_CF_Part Finished_Circular Feeders</v>
      </c>
      <c r="O55" t="s">
        <v>142</v>
      </c>
      <c r="P55" t="s">
        <v>168</v>
      </c>
      <c r="Q55" t="s">
        <v>113</v>
      </c>
      <c r="R55" t="s">
        <v>130</v>
      </c>
      <c r="S55" t="s">
        <v>113</v>
      </c>
      <c r="T55" t="s">
        <v>130</v>
      </c>
      <c r="U55" t="s">
        <v>113</v>
      </c>
    </row>
    <row r="56" spans="4:21">
      <c r="D56">
        <v>209</v>
      </c>
      <c r="E56" t="s">
        <v>183</v>
      </c>
      <c r="K56" t="s">
        <v>104</v>
      </c>
      <c r="L56" t="s">
        <v>184</v>
      </c>
      <c r="M56" t="s">
        <v>167</v>
      </c>
      <c r="N56" t="str">
        <f t="shared" si="1"/>
        <v>PF_CA_Part Finished_Crush Assemblies</v>
      </c>
      <c r="O56" t="s">
        <v>185</v>
      </c>
      <c r="P56" t="s">
        <v>168</v>
      </c>
      <c r="Q56" t="s">
        <v>113</v>
      </c>
      <c r="R56" t="s">
        <v>130</v>
      </c>
      <c r="S56" t="s">
        <v>113</v>
      </c>
      <c r="T56" t="s">
        <v>130</v>
      </c>
      <c r="U56" t="s">
        <v>113</v>
      </c>
    </row>
    <row r="57" spans="4:21">
      <c r="D57">
        <v>210</v>
      </c>
      <c r="E57" t="s">
        <v>186</v>
      </c>
      <c r="K57" t="s">
        <v>104</v>
      </c>
      <c r="L57" t="s">
        <v>187</v>
      </c>
      <c r="M57" t="s">
        <v>167</v>
      </c>
      <c r="N57" t="str">
        <f t="shared" si="1"/>
        <v>PF_BT_Part Finished_Bale Trailer</v>
      </c>
      <c r="O57" t="s">
        <v>147</v>
      </c>
      <c r="P57" t="s">
        <v>168</v>
      </c>
      <c r="Q57" t="s">
        <v>113</v>
      </c>
      <c r="R57" t="s">
        <v>130</v>
      </c>
      <c r="S57" t="s">
        <v>113</v>
      </c>
      <c r="T57" t="s">
        <v>130</v>
      </c>
      <c r="U57" t="s">
        <v>113</v>
      </c>
    </row>
    <row r="58" spans="4:21">
      <c r="D58">
        <v>211</v>
      </c>
      <c r="E58" t="s">
        <v>188</v>
      </c>
      <c r="K58" t="s">
        <v>104</v>
      </c>
      <c r="L58" t="s">
        <v>189</v>
      </c>
      <c r="M58" t="s">
        <v>167</v>
      </c>
      <c r="N58" t="str">
        <f t="shared" si="1"/>
        <v>PF_FT_Part Finished_Feeding Troughs</v>
      </c>
      <c r="O58" t="s">
        <v>151</v>
      </c>
      <c r="P58" t="s">
        <v>168</v>
      </c>
      <c r="Q58" t="s">
        <v>113</v>
      </c>
      <c r="R58" t="s">
        <v>130</v>
      </c>
      <c r="S58" t="s">
        <v>113</v>
      </c>
      <c r="T58" t="s">
        <v>130</v>
      </c>
      <c r="U58" t="s">
        <v>113</v>
      </c>
    </row>
    <row r="59" spans="4:21">
      <c r="D59">
        <v>212</v>
      </c>
      <c r="E59" t="s">
        <v>190</v>
      </c>
      <c r="K59" t="s">
        <v>104</v>
      </c>
      <c r="L59" t="s">
        <v>191</v>
      </c>
      <c r="M59" t="s">
        <v>167</v>
      </c>
      <c r="N59" t="str">
        <f t="shared" si="1"/>
        <v>PF_PL_Part Finished_Pallet Lifter</v>
      </c>
      <c r="O59" t="s">
        <v>155</v>
      </c>
      <c r="P59" t="s">
        <v>168</v>
      </c>
      <c r="Q59" t="s">
        <v>113</v>
      </c>
      <c r="R59" t="s">
        <v>130</v>
      </c>
      <c r="S59" t="s">
        <v>113</v>
      </c>
      <c r="T59" t="s">
        <v>130</v>
      </c>
      <c r="U59" t="s">
        <v>113</v>
      </c>
    </row>
    <row r="60" spans="4:21">
      <c r="D60">
        <v>213</v>
      </c>
      <c r="E60" t="s">
        <v>192</v>
      </c>
      <c r="K60" t="s">
        <v>104</v>
      </c>
      <c r="L60" t="s">
        <v>193</v>
      </c>
      <c r="M60" t="s">
        <v>167</v>
      </c>
      <c r="N60" t="str">
        <f t="shared" si="1"/>
        <v>PF_FLB_Part Finished_Fork Lift Bucket</v>
      </c>
      <c r="O60" t="s">
        <v>158</v>
      </c>
      <c r="P60" t="s">
        <v>168</v>
      </c>
      <c r="Q60" t="s">
        <v>113</v>
      </c>
      <c r="R60" t="s">
        <v>130</v>
      </c>
      <c r="S60" t="s">
        <v>113</v>
      </c>
      <c r="T60" t="s">
        <v>130</v>
      </c>
      <c r="U60" t="s">
        <v>113</v>
      </c>
    </row>
    <row r="61" spans="4:21">
      <c r="D61">
        <v>214</v>
      </c>
      <c r="E61" t="s">
        <v>194</v>
      </c>
      <c r="K61" t="s">
        <v>104</v>
      </c>
      <c r="L61" t="s">
        <v>195</v>
      </c>
      <c r="M61" t="s">
        <v>167</v>
      </c>
      <c r="N61" t="str">
        <f t="shared" si="1"/>
        <v>PF_YS_Part Finished_Yardscraper</v>
      </c>
      <c r="O61" t="s">
        <v>161</v>
      </c>
      <c r="P61" t="s">
        <v>168</v>
      </c>
      <c r="Q61" t="s">
        <v>113</v>
      </c>
      <c r="R61" t="s">
        <v>130</v>
      </c>
      <c r="S61" t="s">
        <v>113</v>
      </c>
      <c r="T61" t="s">
        <v>130</v>
      </c>
      <c r="U61" t="s">
        <v>113</v>
      </c>
    </row>
    <row r="62" spans="4:21">
      <c r="D62">
        <v>215</v>
      </c>
      <c r="E62" t="s">
        <v>196</v>
      </c>
      <c r="K62" t="s">
        <v>104</v>
      </c>
      <c r="L62" t="s">
        <v>197</v>
      </c>
      <c r="M62" t="s">
        <v>167</v>
      </c>
      <c r="N62" t="str">
        <f t="shared" si="1"/>
        <v>PF_SP_Part Finished_Snow Plough</v>
      </c>
      <c r="O62" t="s">
        <v>164</v>
      </c>
      <c r="P62" t="s">
        <v>168</v>
      </c>
      <c r="Q62" t="s">
        <v>113</v>
      </c>
      <c r="R62" t="s">
        <v>130</v>
      </c>
      <c r="S62" t="s">
        <v>113</v>
      </c>
      <c r="T62" t="s">
        <v>130</v>
      </c>
      <c r="U62" t="s">
        <v>113</v>
      </c>
    </row>
    <row r="63" spans="4:21">
      <c r="D63">
        <v>301</v>
      </c>
      <c r="E63" t="s">
        <v>198</v>
      </c>
      <c r="K63" t="s">
        <v>199</v>
      </c>
      <c r="L63" t="s">
        <v>200</v>
      </c>
      <c r="N63" t="str">
        <f t="shared" si="1"/>
        <v>RAM__Rams</v>
      </c>
      <c r="O63" t="s">
        <v>201</v>
      </c>
      <c r="P63" t="s">
        <v>202</v>
      </c>
      <c r="Q63" t="s">
        <v>137</v>
      </c>
      <c r="R63" t="s">
        <v>203</v>
      </c>
      <c r="S63" t="s">
        <v>137</v>
      </c>
      <c r="T63" t="s">
        <v>130</v>
      </c>
      <c r="U63" t="s">
        <v>113</v>
      </c>
    </row>
    <row r="64" spans="4:21">
      <c r="D64">
        <v>302</v>
      </c>
      <c r="E64" t="s">
        <v>204</v>
      </c>
      <c r="K64" t="s">
        <v>199</v>
      </c>
      <c r="L64" t="s">
        <v>205</v>
      </c>
      <c r="N64" t="str">
        <f t="shared" si="1"/>
        <v>PAI_Paint</v>
      </c>
      <c r="O64" t="s">
        <v>206</v>
      </c>
      <c r="P64" t="s">
        <v>207</v>
      </c>
      <c r="R64" t="s">
        <v>208</v>
      </c>
      <c r="S64" t="s">
        <v>113</v>
      </c>
      <c r="T64" t="s">
        <v>130</v>
      </c>
      <c r="U64" t="s">
        <v>113</v>
      </c>
    </row>
    <row r="65" spans="4:21">
      <c r="D65">
        <v>303</v>
      </c>
      <c r="E65" t="s">
        <v>209</v>
      </c>
      <c r="K65" t="s">
        <v>199</v>
      </c>
      <c r="L65" t="s">
        <v>210</v>
      </c>
      <c r="N65" t="str">
        <f t="shared" si="1"/>
        <v>CON_Consumables</v>
      </c>
      <c r="O65" t="s">
        <v>211</v>
      </c>
      <c r="P65" t="s">
        <v>130</v>
      </c>
      <c r="Q65" t="s">
        <v>113</v>
      </c>
      <c r="R65" t="s">
        <v>130</v>
      </c>
      <c r="S65" t="s">
        <v>113</v>
      </c>
      <c r="T65" t="s">
        <v>130</v>
      </c>
      <c r="U65" t="s">
        <v>113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88D86-BA7E-4DFA-9CE0-D5BEB6BD8D58}">
  <dimension ref="A1:WUM200"/>
  <sheetViews>
    <sheetView workbookViewId="0"/>
  </sheetViews>
  <sheetFormatPr defaultRowHeight="13.9"/>
  <cols>
    <col min="1" max="1" width="7.85546875" style="7" customWidth="1"/>
    <col min="2" max="2" width="34.140625" style="7" bestFit="1" customWidth="1"/>
    <col min="3" max="3" width="40.140625" style="7" customWidth="1"/>
    <col min="4" max="4" width="10.140625" style="27" customWidth="1"/>
    <col min="5" max="5" width="12" style="27" customWidth="1"/>
    <col min="6" max="6" width="14.140625" style="32" bestFit="1" customWidth="1"/>
    <col min="7" max="7" width="8.140625" style="32" customWidth="1"/>
    <col min="8" max="8" width="11.5703125" style="160" customWidth="1"/>
    <col min="9" max="9" width="8.140625" style="117" customWidth="1"/>
    <col min="10" max="10" width="11.5703125" style="155" customWidth="1"/>
    <col min="11" max="11" width="8.140625" style="155" customWidth="1"/>
    <col min="12" max="12" width="9" style="7"/>
    <col min="13" max="13" width="10.140625" style="217" bestFit="1" customWidth="1"/>
    <col min="14" max="14" width="11.140625" style="7" bestFit="1" customWidth="1"/>
    <col min="15" max="218" width="9" style="7"/>
    <col min="219" max="220" width="20.140625" style="7" customWidth="1"/>
    <col min="221" max="221" width="5.5703125" style="7" customWidth="1"/>
    <col min="222" max="222" width="6.42578125" style="7" customWidth="1"/>
    <col min="223" max="223" width="1.42578125" style="7" customWidth="1"/>
    <col min="224" max="235" width="0" style="7" hidden="1" customWidth="1"/>
    <col min="236" max="237" width="10.85546875" style="7" customWidth="1"/>
    <col min="238" max="238" width="4.140625" style="7" customWidth="1"/>
    <col min="239" max="239" width="7.42578125" style="7" customWidth="1"/>
    <col min="240" max="241" width="11.140625" style="7" customWidth="1"/>
    <col min="242" max="242" width="5.42578125" style="7" customWidth="1"/>
    <col min="243" max="243" width="10.85546875" style="7" customWidth="1"/>
    <col min="244" max="244" width="11.85546875" style="7" customWidth="1"/>
    <col min="245" max="245" width="4.42578125" style="7" customWidth="1"/>
    <col min="246" max="246" width="5.42578125" style="7" customWidth="1"/>
    <col min="247" max="247" width="7.85546875" style="7" customWidth="1"/>
    <col min="248" max="248" width="8.5703125" style="7" customWidth="1"/>
    <col min="249" max="249" width="12.5703125" style="7" customWidth="1"/>
    <col min="250" max="250" width="6.42578125" style="7" customWidth="1"/>
    <col min="251" max="251" width="6" style="7" customWidth="1"/>
    <col min="252" max="252" width="8.140625" style="7" customWidth="1"/>
    <col min="253" max="253" width="7.140625" style="7" customWidth="1"/>
    <col min="254" max="254" width="10.5703125" style="7" customWidth="1"/>
    <col min="255" max="255" width="12.140625" style="7" customWidth="1"/>
    <col min="256" max="256" width="4.42578125" style="7" customWidth="1"/>
    <col min="257" max="259" width="10.140625" style="7" customWidth="1"/>
    <col min="260" max="260" width="10.42578125" style="7" customWidth="1"/>
    <col min="261" max="261" width="9" style="7"/>
    <col min="262" max="262" width="17.5703125" style="7" customWidth="1"/>
    <col min="263" max="263" width="17.85546875" style="7" customWidth="1"/>
    <col min="264" max="264" width="19.140625" style="7" customWidth="1"/>
    <col min="265" max="267" width="19" style="7" customWidth="1"/>
    <col min="268" max="474" width="9" style="7"/>
    <col min="475" max="476" width="20.140625" style="7" customWidth="1"/>
    <col min="477" max="477" width="5.5703125" style="7" customWidth="1"/>
    <col min="478" max="478" width="6.42578125" style="7" customWidth="1"/>
    <col min="479" max="479" width="1.42578125" style="7" customWidth="1"/>
    <col min="480" max="491" width="0" style="7" hidden="1" customWidth="1"/>
    <col min="492" max="493" width="10.85546875" style="7" customWidth="1"/>
    <col min="494" max="494" width="4.140625" style="7" customWidth="1"/>
    <col min="495" max="495" width="7.42578125" style="7" customWidth="1"/>
    <col min="496" max="497" width="11.140625" style="7" customWidth="1"/>
    <col min="498" max="498" width="5.42578125" style="7" customWidth="1"/>
    <col min="499" max="499" width="10.85546875" style="7" customWidth="1"/>
    <col min="500" max="500" width="11.85546875" style="7" customWidth="1"/>
    <col min="501" max="501" width="4.42578125" style="7" customWidth="1"/>
    <col min="502" max="502" width="5.42578125" style="7" customWidth="1"/>
    <col min="503" max="503" width="7.85546875" style="7" customWidth="1"/>
    <col min="504" max="504" width="8.5703125" style="7" customWidth="1"/>
    <col min="505" max="505" width="12.5703125" style="7" customWidth="1"/>
    <col min="506" max="506" width="6.42578125" style="7" customWidth="1"/>
    <col min="507" max="507" width="6" style="7" customWidth="1"/>
    <col min="508" max="508" width="8.140625" style="7" customWidth="1"/>
    <col min="509" max="509" width="7.140625" style="7" customWidth="1"/>
    <col min="510" max="510" width="10.5703125" style="7" customWidth="1"/>
    <col min="511" max="511" width="12.140625" style="7" customWidth="1"/>
    <col min="512" max="512" width="4.42578125" style="7" customWidth="1"/>
    <col min="513" max="515" width="10.140625" style="7" customWidth="1"/>
    <col min="516" max="516" width="10.42578125" style="7" customWidth="1"/>
    <col min="517" max="517" width="9" style="7"/>
    <col min="518" max="518" width="17.5703125" style="7" customWidth="1"/>
    <col min="519" max="519" width="17.85546875" style="7" customWidth="1"/>
    <col min="520" max="520" width="19.140625" style="7" customWidth="1"/>
    <col min="521" max="523" width="19" style="7" customWidth="1"/>
    <col min="524" max="730" width="9" style="7"/>
    <col min="731" max="732" width="20.140625" style="7" customWidth="1"/>
    <col min="733" max="733" width="5.5703125" style="7" customWidth="1"/>
    <col min="734" max="734" width="6.42578125" style="7" customWidth="1"/>
    <col min="735" max="735" width="1.42578125" style="7" customWidth="1"/>
    <col min="736" max="747" width="0" style="7" hidden="1" customWidth="1"/>
    <col min="748" max="749" width="10.85546875" style="7" customWidth="1"/>
    <col min="750" max="750" width="4.140625" style="7" customWidth="1"/>
    <col min="751" max="751" width="7.42578125" style="7" customWidth="1"/>
    <col min="752" max="753" width="11.140625" style="7" customWidth="1"/>
    <col min="754" max="754" width="5.42578125" style="7" customWidth="1"/>
    <col min="755" max="755" width="10.85546875" style="7" customWidth="1"/>
    <col min="756" max="756" width="11.85546875" style="7" customWidth="1"/>
    <col min="757" max="757" width="4.42578125" style="7" customWidth="1"/>
    <col min="758" max="758" width="5.42578125" style="7" customWidth="1"/>
    <col min="759" max="759" width="7.85546875" style="7" customWidth="1"/>
    <col min="760" max="760" width="8.5703125" style="7" customWidth="1"/>
    <col min="761" max="761" width="12.5703125" style="7" customWidth="1"/>
    <col min="762" max="762" width="6.42578125" style="7" customWidth="1"/>
    <col min="763" max="763" width="6" style="7" customWidth="1"/>
    <col min="764" max="764" width="8.140625" style="7" customWidth="1"/>
    <col min="765" max="765" width="7.140625" style="7" customWidth="1"/>
    <col min="766" max="766" width="10.5703125" style="7" customWidth="1"/>
    <col min="767" max="767" width="12.140625" style="7" customWidth="1"/>
    <col min="768" max="768" width="4.42578125" style="7" customWidth="1"/>
    <col min="769" max="771" width="10.140625" style="7" customWidth="1"/>
    <col min="772" max="772" width="10.42578125" style="7" customWidth="1"/>
    <col min="773" max="773" width="9" style="7"/>
    <col min="774" max="774" width="17.5703125" style="7" customWidth="1"/>
    <col min="775" max="775" width="17.85546875" style="7" customWidth="1"/>
    <col min="776" max="776" width="19.140625" style="7" customWidth="1"/>
    <col min="777" max="779" width="19" style="7" customWidth="1"/>
    <col min="780" max="986" width="9" style="7"/>
    <col min="987" max="988" width="20.140625" style="7" customWidth="1"/>
    <col min="989" max="989" width="5.5703125" style="7" customWidth="1"/>
    <col min="990" max="990" width="6.42578125" style="7" customWidth="1"/>
    <col min="991" max="991" width="1.42578125" style="7" customWidth="1"/>
    <col min="992" max="1003" width="0" style="7" hidden="1" customWidth="1"/>
    <col min="1004" max="1005" width="10.85546875" style="7" customWidth="1"/>
    <col min="1006" max="1006" width="4.140625" style="7" customWidth="1"/>
    <col min="1007" max="1007" width="7.42578125" style="7" customWidth="1"/>
    <col min="1008" max="1009" width="11.140625" style="7" customWidth="1"/>
    <col min="1010" max="1010" width="5.42578125" style="7" customWidth="1"/>
    <col min="1011" max="1011" width="10.85546875" style="7" customWidth="1"/>
    <col min="1012" max="1012" width="11.85546875" style="7" customWidth="1"/>
    <col min="1013" max="1013" width="4.42578125" style="7" customWidth="1"/>
    <col min="1014" max="1014" width="5.42578125" style="7" customWidth="1"/>
    <col min="1015" max="1015" width="7.85546875" style="7" customWidth="1"/>
    <col min="1016" max="1016" width="8.5703125" style="7" customWidth="1"/>
    <col min="1017" max="1017" width="12.5703125" style="7" customWidth="1"/>
    <col min="1018" max="1018" width="6.42578125" style="7" customWidth="1"/>
    <col min="1019" max="1019" width="6" style="7" customWidth="1"/>
    <col min="1020" max="1020" width="8.140625" style="7" customWidth="1"/>
    <col min="1021" max="1021" width="7.140625" style="7" customWidth="1"/>
    <col min="1022" max="1022" width="10.5703125" style="7" customWidth="1"/>
    <col min="1023" max="1023" width="12.140625" style="7" customWidth="1"/>
    <col min="1024" max="1024" width="4.42578125" style="7" customWidth="1"/>
    <col min="1025" max="1027" width="10.140625" style="7" customWidth="1"/>
    <col min="1028" max="1028" width="10.42578125" style="7" customWidth="1"/>
    <col min="1029" max="1029" width="9" style="7"/>
    <col min="1030" max="1030" width="17.5703125" style="7" customWidth="1"/>
    <col min="1031" max="1031" width="17.85546875" style="7" customWidth="1"/>
    <col min="1032" max="1032" width="19.140625" style="7" customWidth="1"/>
    <col min="1033" max="1035" width="19" style="7" customWidth="1"/>
    <col min="1036" max="1242" width="9" style="7"/>
    <col min="1243" max="1244" width="20.140625" style="7" customWidth="1"/>
    <col min="1245" max="1245" width="5.5703125" style="7" customWidth="1"/>
    <col min="1246" max="1246" width="6.42578125" style="7" customWidth="1"/>
    <col min="1247" max="1247" width="1.42578125" style="7" customWidth="1"/>
    <col min="1248" max="1259" width="0" style="7" hidden="1" customWidth="1"/>
    <col min="1260" max="1261" width="10.85546875" style="7" customWidth="1"/>
    <col min="1262" max="1262" width="4.140625" style="7" customWidth="1"/>
    <col min="1263" max="1263" width="7.42578125" style="7" customWidth="1"/>
    <col min="1264" max="1265" width="11.140625" style="7" customWidth="1"/>
    <col min="1266" max="1266" width="5.42578125" style="7" customWidth="1"/>
    <col min="1267" max="1267" width="10.85546875" style="7" customWidth="1"/>
    <col min="1268" max="1268" width="11.85546875" style="7" customWidth="1"/>
    <col min="1269" max="1269" width="4.42578125" style="7" customWidth="1"/>
    <col min="1270" max="1270" width="5.42578125" style="7" customWidth="1"/>
    <col min="1271" max="1271" width="7.85546875" style="7" customWidth="1"/>
    <col min="1272" max="1272" width="8.5703125" style="7" customWidth="1"/>
    <col min="1273" max="1273" width="12.5703125" style="7" customWidth="1"/>
    <col min="1274" max="1274" width="6.42578125" style="7" customWidth="1"/>
    <col min="1275" max="1275" width="6" style="7" customWidth="1"/>
    <col min="1276" max="1276" width="8.140625" style="7" customWidth="1"/>
    <col min="1277" max="1277" width="7.140625" style="7" customWidth="1"/>
    <col min="1278" max="1278" width="10.5703125" style="7" customWidth="1"/>
    <col min="1279" max="1279" width="12.140625" style="7" customWidth="1"/>
    <col min="1280" max="1280" width="4.42578125" style="7" customWidth="1"/>
    <col min="1281" max="1283" width="10.140625" style="7" customWidth="1"/>
    <col min="1284" max="1284" width="10.42578125" style="7" customWidth="1"/>
    <col min="1285" max="1285" width="9" style="7"/>
    <col min="1286" max="1286" width="17.5703125" style="7" customWidth="1"/>
    <col min="1287" max="1287" width="17.85546875" style="7" customWidth="1"/>
    <col min="1288" max="1288" width="19.140625" style="7" customWidth="1"/>
    <col min="1289" max="1291" width="19" style="7" customWidth="1"/>
    <col min="1292" max="1498" width="9" style="7"/>
    <col min="1499" max="1500" width="20.140625" style="7" customWidth="1"/>
    <col min="1501" max="1501" width="5.5703125" style="7" customWidth="1"/>
    <col min="1502" max="1502" width="6.42578125" style="7" customWidth="1"/>
    <col min="1503" max="1503" width="1.42578125" style="7" customWidth="1"/>
    <col min="1504" max="1515" width="0" style="7" hidden="1" customWidth="1"/>
    <col min="1516" max="1517" width="10.85546875" style="7" customWidth="1"/>
    <col min="1518" max="1518" width="4.140625" style="7" customWidth="1"/>
    <col min="1519" max="1519" width="7.42578125" style="7" customWidth="1"/>
    <col min="1520" max="1521" width="11.140625" style="7" customWidth="1"/>
    <col min="1522" max="1522" width="5.42578125" style="7" customWidth="1"/>
    <col min="1523" max="1523" width="10.85546875" style="7" customWidth="1"/>
    <col min="1524" max="1524" width="11.85546875" style="7" customWidth="1"/>
    <col min="1525" max="1525" width="4.42578125" style="7" customWidth="1"/>
    <col min="1526" max="1526" width="5.42578125" style="7" customWidth="1"/>
    <col min="1527" max="1527" width="7.85546875" style="7" customWidth="1"/>
    <col min="1528" max="1528" width="8.5703125" style="7" customWidth="1"/>
    <col min="1529" max="1529" width="12.5703125" style="7" customWidth="1"/>
    <col min="1530" max="1530" width="6.42578125" style="7" customWidth="1"/>
    <col min="1531" max="1531" width="6" style="7" customWidth="1"/>
    <col min="1532" max="1532" width="8.140625" style="7" customWidth="1"/>
    <col min="1533" max="1533" width="7.140625" style="7" customWidth="1"/>
    <col min="1534" max="1534" width="10.5703125" style="7" customWidth="1"/>
    <col min="1535" max="1535" width="12.140625" style="7" customWidth="1"/>
    <col min="1536" max="1536" width="4.42578125" style="7" customWidth="1"/>
    <col min="1537" max="1539" width="10.140625" style="7" customWidth="1"/>
    <col min="1540" max="1540" width="10.42578125" style="7" customWidth="1"/>
    <col min="1541" max="1541" width="9" style="7"/>
    <col min="1542" max="1542" width="17.5703125" style="7" customWidth="1"/>
    <col min="1543" max="1543" width="17.85546875" style="7" customWidth="1"/>
    <col min="1544" max="1544" width="19.140625" style="7" customWidth="1"/>
    <col min="1545" max="1547" width="19" style="7" customWidth="1"/>
    <col min="1548" max="1754" width="9" style="7"/>
    <col min="1755" max="1756" width="20.140625" style="7" customWidth="1"/>
    <col min="1757" max="1757" width="5.5703125" style="7" customWidth="1"/>
    <col min="1758" max="1758" width="6.42578125" style="7" customWidth="1"/>
    <col min="1759" max="1759" width="1.42578125" style="7" customWidth="1"/>
    <col min="1760" max="1771" width="0" style="7" hidden="1" customWidth="1"/>
    <col min="1772" max="1773" width="10.85546875" style="7" customWidth="1"/>
    <col min="1774" max="1774" width="4.140625" style="7" customWidth="1"/>
    <col min="1775" max="1775" width="7.42578125" style="7" customWidth="1"/>
    <col min="1776" max="1777" width="11.140625" style="7" customWidth="1"/>
    <col min="1778" max="1778" width="5.42578125" style="7" customWidth="1"/>
    <col min="1779" max="1779" width="10.85546875" style="7" customWidth="1"/>
    <col min="1780" max="1780" width="11.85546875" style="7" customWidth="1"/>
    <col min="1781" max="1781" width="4.42578125" style="7" customWidth="1"/>
    <col min="1782" max="1782" width="5.42578125" style="7" customWidth="1"/>
    <col min="1783" max="1783" width="7.85546875" style="7" customWidth="1"/>
    <col min="1784" max="1784" width="8.5703125" style="7" customWidth="1"/>
    <col min="1785" max="1785" width="12.5703125" style="7" customWidth="1"/>
    <col min="1786" max="1786" width="6.42578125" style="7" customWidth="1"/>
    <col min="1787" max="1787" width="6" style="7" customWidth="1"/>
    <col min="1788" max="1788" width="8.140625" style="7" customWidth="1"/>
    <col min="1789" max="1789" width="7.140625" style="7" customWidth="1"/>
    <col min="1790" max="1790" width="10.5703125" style="7" customWidth="1"/>
    <col min="1791" max="1791" width="12.140625" style="7" customWidth="1"/>
    <col min="1792" max="1792" width="4.42578125" style="7" customWidth="1"/>
    <col min="1793" max="1795" width="10.140625" style="7" customWidth="1"/>
    <col min="1796" max="1796" width="10.42578125" style="7" customWidth="1"/>
    <col min="1797" max="1797" width="9" style="7"/>
    <col min="1798" max="1798" width="17.5703125" style="7" customWidth="1"/>
    <col min="1799" max="1799" width="17.85546875" style="7" customWidth="1"/>
    <col min="1800" max="1800" width="19.140625" style="7" customWidth="1"/>
    <col min="1801" max="1803" width="19" style="7" customWidth="1"/>
    <col min="1804" max="2010" width="9" style="7"/>
    <col min="2011" max="2012" width="20.140625" style="7" customWidth="1"/>
    <col min="2013" max="2013" width="5.5703125" style="7" customWidth="1"/>
    <col min="2014" max="2014" width="6.42578125" style="7" customWidth="1"/>
    <col min="2015" max="2015" width="1.42578125" style="7" customWidth="1"/>
    <col min="2016" max="2027" width="0" style="7" hidden="1" customWidth="1"/>
    <col min="2028" max="2029" width="10.85546875" style="7" customWidth="1"/>
    <col min="2030" max="2030" width="4.140625" style="7" customWidth="1"/>
    <col min="2031" max="2031" width="7.42578125" style="7" customWidth="1"/>
    <col min="2032" max="2033" width="11.140625" style="7" customWidth="1"/>
    <col min="2034" max="2034" width="5.42578125" style="7" customWidth="1"/>
    <col min="2035" max="2035" width="10.85546875" style="7" customWidth="1"/>
    <col min="2036" max="2036" width="11.85546875" style="7" customWidth="1"/>
    <col min="2037" max="2037" width="4.42578125" style="7" customWidth="1"/>
    <col min="2038" max="2038" width="5.42578125" style="7" customWidth="1"/>
    <col min="2039" max="2039" width="7.85546875" style="7" customWidth="1"/>
    <col min="2040" max="2040" width="8.5703125" style="7" customWidth="1"/>
    <col min="2041" max="2041" width="12.5703125" style="7" customWidth="1"/>
    <col min="2042" max="2042" width="6.42578125" style="7" customWidth="1"/>
    <col min="2043" max="2043" width="6" style="7" customWidth="1"/>
    <col min="2044" max="2044" width="8.140625" style="7" customWidth="1"/>
    <col min="2045" max="2045" width="7.140625" style="7" customWidth="1"/>
    <col min="2046" max="2046" width="10.5703125" style="7" customWidth="1"/>
    <col min="2047" max="2047" width="12.140625" style="7" customWidth="1"/>
    <col min="2048" max="2048" width="4.42578125" style="7" customWidth="1"/>
    <col min="2049" max="2051" width="10.140625" style="7" customWidth="1"/>
    <col min="2052" max="2052" width="10.42578125" style="7" customWidth="1"/>
    <col min="2053" max="2053" width="9" style="7"/>
    <col min="2054" max="2054" width="17.5703125" style="7" customWidth="1"/>
    <col min="2055" max="2055" width="17.85546875" style="7" customWidth="1"/>
    <col min="2056" max="2056" width="19.140625" style="7" customWidth="1"/>
    <col min="2057" max="2059" width="19" style="7" customWidth="1"/>
    <col min="2060" max="2266" width="9" style="7"/>
    <col min="2267" max="2268" width="20.140625" style="7" customWidth="1"/>
    <col min="2269" max="2269" width="5.5703125" style="7" customWidth="1"/>
    <col min="2270" max="2270" width="6.42578125" style="7" customWidth="1"/>
    <col min="2271" max="2271" width="1.42578125" style="7" customWidth="1"/>
    <col min="2272" max="2283" width="0" style="7" hidden="1" customWidth="1"/>
    <col min="2284" max="2285" width="10.85546875" style="7" customWidth="1"/>
    <col min="2286" max="2286" width="4.140625" style="7" customWidth="1"/>
    <col min="2287" max="2287" width="7.42578125" style="7" customWidth="1"/>
    <col min="2288" max="2289" width="11.140625" style="7" customWidth="1"/>
    <col min="2290" max="2290" width="5.42578125" style="7" customWidth="1"/>
    <col min="2291" max="2291" width="10.85546875" style="7" customWidth="1"/>
    <col min="2292" max="2292" width="11.85546875" style="7" customWidth="1"/>
    <col min="2293" max="2293" width="4.42578125" style="7" customWidth="1"/>
    <col min="2294" max="2294" width="5.42578125" style="7" customWidth="1"/>
    <col min="2295" max="2295" width="7.85546875" style="7" customWidth="1"/>
    <col min="2296" max="2296" width="8.5703125" style="7" customWidth="1"/>
    <col min="2297" max="2297" width="12.5703125" style="7" customWidth="1"/>
    <col min="2298" max="2298" width="6.42578125" style="7" customWidth="1"/>
    <col min="2299" max="2299" width="6" style="7" customWidth="1"/>
    <col min="2300" max="2300" width="8.140625" style="7" customWidth="1"/>
    <col min="2301" max="2301" width="7.140625" style="7" customWidth="1"/>
    <col min="2302" max="2302" width="10.5703125" style="7" customWidth="1"/>
    <col min="2303" max="2303" width="12.140625" style="7" customWidth="1"/>
    <col min="2304" max="2304" width="4.42578125" style="7" customWidth="1"/>
    <col min="2305" max="2307" width="10.140625" style="7" customWidth="1"/>
    <col min="2308" max="2308" width="10.42578125" style="7" customWidth="1"/>
    <col min="2309" max="2309" width="9" style="7"/>
    <col min="2310" max="2310" width="17.5703125" style="7" customWidth="1"/>
    <col min="2311" max="2311" width="17.85546875" style="7" customWidth="1"/>
    <col min="2312" max="2312" width="19.140625" style="7" customWidth="1"/>
    <col min="2313" max="2315" width="19" style="7" customWidth="1"/>
    <col min="2316" max="2522" width="9" style="7"/>
    <col min="2523" max="2524" width="20.140625" style="7" customWidth="1"/>
    <col min="2525" max="2525" width="5.5703125" style="7" customWidth="1"/>
    <col min="2526" max="2526" width="6.42578125" style="7" customWidth="1"/>
    <col min="2527" max="2527" width="1.42578125" style="7" customWidth="1"/>
    <col min="2528" max="2539" width="0" style="7" hidden="1" customWidth="1"/>
    <col min="2540" max="2541" width="10.85546875" style="7" customWidth="1"/>
    <col min="2542" max="2542" width="4.140625" style="7" customWidth="1"/>
    <col min="2543" max="2543" width="7.42578125" style="7" customWidth="1"/>
    <col min="2544" max="2545" width="11.140625" style="7" customWidth="1"/>
    <col min="2546" max="2546" width="5.42578125" style="7" customWidth="1"/>
    <col min="2547" max="2547" width="10.85546875" style="7" customWidth="1"/>
    <col min="2548" max="2548" width="11.85546875" style="7" customWidth="1"/>
    <col min="2549" max="2549" width="4.42578125" style="7" customWidth="1"/>
    <col min="2550" max="2550" width="5.42578125" style="7" customWidth="1"/>
    <col min="2551" max="2551" width="7.85546875" style="7" customWidth="1"/>
    <col min="2552" max="2552" width="8.5703125" style="7" customWidth="1"/>
    <col min="2553" max="2553" width="12.5703125" style="7" customWidth="1"/>
    <col min="2554" max="2554" width="6.42578125" style="7" customWidth="1"/>
    <col min="2555" max="2555" width="6" style="7" customWidth="1"/>
    <col min="2556" max="2556" width="8.140625" style="7" customWidth="1"/>
    <col min="2557" max="2557" width="7.140625" style="7" customWidth="1"/>
    <col min="2558" max="2558" width="10.5703125" style="7" customWidth="1"/>
    <col min="2559" max="2559" width="12.140625" style="7" customWidth="1"/>
    <col min="2560" max="2560" width="4.42578125" style="7" customWidth="1"/>
    <col min="2561" max="2563" width="10.140625" style="7" customWidth="1"/>
    <col min="2564" max="2564" width="10.42578125" style="7" customWidth="1"/>
    <col min="2565" max="2565" width="9" style="7"/>
    <col min="2566" max="2566" width="17.5703125" style="7" customWidth="1"/>
    <col min="2567" max="2567" width="17.85546875" style="7" customWidth="1"/>
    <col min="2568" max="2568" width="19.140625" style="7" customWidth="1"/>
    <col min="2569" max="2571" width="19" style="7" customWidth="1"/>
    <col min="2572" max="2778" width="9" style="7"/>
    <col min="2779" max="2780" width="20.140625" style="7" customWidth="1"/>
    <col min="2781" max="2781" width="5.5703125" style="7" customWidth="1"/>
    <col min="2782" max="2782" width="6.42578125" style="7" customWidth="1"/>
    <col min="2783" max="2783" width="1.42578125" style="7" customWidth="1"/>
    <col min="2784" max="2795" width="0" style="7" hidden="1" customWidth="1"/>
    <col min="2796" max="2797" width="10.85546875" style="7" customWidth="1"/>
    <col min="2798" max="2798" width="4.140625" style="7" customWidth="1"/>
    <col min="2799" max="2799" width="7.42578125" style="7" customWidth="1"/>
    <col min="2800" max="2801" width="11.140625" style="7" customWidth="1"/>
    <col min="2802" max="2802" width="5.42578125" style="7" customWidth="1"/>
    <col min="2803" max="2803" width="10.85546875" style="7" customWidth="1"/>
    <col min="2804" max="2804" width="11.85546875" style="7" customWidth="1"/>
    <col min="2805" max="2805" width="4.42578125" style="7" customWidth="1"/>
    <col min="2806" max="2806" width="5.42578125" style="7" customWidth="1"/>
    <col min="2807" max="2807" width="7.85546875" style="7" customWidth="1"/>
    <col min="2808" max="2808" width="8.5703125" style="7" customWidth="1"/>
    <col min="2809" max="2809" width="12.5703125" style="7" customWidth="1"/>
    <col min="2810" max="2810" width="6.42578125" style="7" customWidth="1"/>
    <col min="2811" max="2811" width="6" style="7" customWidth="1"/>
    <col min="2812" max="2812" width="8.140625" style="7" customWidth="1"/>
    <col min="2813" max="2813" width="7.140625" style="7" customWidth="1"/>
    <col min="2814" max="2814" width="10.5703125" style="7" customWidth="1"/>
    <col min="2815" max="2815" width="12.140625" style="7" customWidth="1"/>
    <col min="2816" max="2816" width="4.42578125" style="7" customWidth="1"/>
    <col min="2817" max="2819" width="10.140625" style="7" customWidth="1"/>
    <col min="2820" max="2820" width="10.42578125" style="7" customWidth="1"/>
    <col min="2821" max="2821" width="9" style="7"/>
    <col min="2822" max="2822" width="17.5703125" style="7" customWidth="1"/>
    <col min="2823" max="2823" width="17.85546875" style="7" customWidth="1"/>
    <col min="2824" max="2824" width="19.140625" style="7" customWidth="1"/>
    <col min="2825" max="2827" width="19" style="7" customWidth="1"/>
    <col min="2828" max="3034" width="9" style="7"/>
    <col min="3035" max="3036" width="20.140625" style="7" customWidth="1"/>
    <col min="3037" max="3037" width="5.5703125" style="7" customWidth="1"/>
    <col min="3038" max="3038" width="6.42578125" style="7" customWidth="1"/>
    <col min="3039" max="3039" width="1.42578125" style="7" customWidth="1"/>
    <col min="3040" max="3051" width="0" style="7" hidden="1" customWidth="1"/>
    <col min="3052" max="3053" width="10.85546875" style="7" customWidth="1"/>
    <col min="3054" max="3054" width="4.140625" style="7" customWidth="1"/>
    <col min="3055" max="3055" width="7.42578125" style="7" customWidth="1"/>
    <col min="3056" max="3057" width="11.140625" style="7" customWidth="1"/>
    <col min="3058" max="3058" width="5.42578125" style="7" customWidth="1"/>
    <col min="3059" max="3059" width="10.85546875" style="7" customWidth="1"/>
    <col min="3060" max="3060" width="11.85546875" style="7" customWidth="1"/>
    <col min="3061" max="3061" width="4.42578125" style="7" customWidth="1"/>
    <col min="3062" max="3062" width="5.42578125" style="7" customWidth="1"/>
    <col min="3063" max="3063" width="7.85546875" style="7" customWidth="1"/>
    <col min="3064" max="3064" width="8.5703125" style="7" customWidth="1"/>
    <col min="3065" max="3065" width="12.5703125" style="7" customWidth="1"/>
    <col min="3066" max="3066" width="6.42578125" style="7" customWidth="1"/>
    <col min="3067" max="3067" width="6" style="7" customWidth="1"/>
    <col min="3068" max="3068" width="8.140625" style="7" customWidth="1"/>
    <col min="3069" max="3069" width="7.140625" style="7" customWidth="1"/>
    <col min="3070" max="3070" width="10.5703125" style="7" customWidth="1"/>
    <col min="3071" max="3071" width="12.140625" style="7" customWidth="1"/>
    <col min="3072" max="3072" width="4.42578125" style="7" customWidth="1"/>
    <col min="3073" max="3075" width="10.140625" style="7" customWidth="1"/>
    <col min="3076" max="3076" width="10.42578125" style="7" customWidth="1"/>
    <col min="3077" max="3077" width="9" style="7"/>
    <col min="3078" max="3078" width="17.5703125" style="7" customWidth="1"/>
    <col min="3079" max="3079" width="17.85546875" style="7" customWidth="1"/>
    <col min="3080" max="3080" width="19.140625" style="7" customWidth="1"/>
    <col min="3081" max="3083" width="19" style="7" customWidth="1"/>
    <col min="3084" max="3290" width="9" style="7"/>
    <col min="3291" max="3292" width="20.140625" style="7" customWidth="1"/>
    <col min="3293" max="3293" width="5.5703125" style="7" customWidth="1"/>
    <col min="3294" max="3294" width="6.42578125" style="7" customWidth="1"/>
    <col min="3295" max="3295" width="1.42578125" style="7" customWidth="1"/>
    <col min="3296" max="3307" width="0" style="7" hidden="1" customWidth="1"/>
    <col min="3308" max="3309" width="10.85546875" style="7" customWidth="1"/>
    <col min="3310" max="3310" width="4.140625" style="7" customWidth="1"/>
    <col min="3311" max="3311" width="7.42578125" style="7" customWidth="1"/>
    <col min="3312" max="3313" width="11.140625" style="7" customWidth="1"/>
    <col min="3314" max="3314" width="5.42578125" style="7" customWidth="1"/>
    <col min="3315" max="3315" width="10.85546875" style="7" customWidth="1"/>
    <col min="3316" max="3316" width="11.85546875" style="7" customWidth="1"/>
    <col min="3317" max="3317" width="4.42578125" style="7" customWidth="1"/>
    <col min="3318" max="3318" width="5.42578125" style="7" customWidth="1"/>
    <col min="3319" max="3319" width="7.85546875" style="7" customWidth="1"/>
    <col min="3320" max="3320" width="8.5703125" style="7" customWidth="1"/>
    <col min="3321" max="3321" width="12.5703125" style="7" customWidth="1"/>
    <col min="3322" max="3322" width="6.42578125" style="7" customWidth="1"/>
    <col min="3323" max="3323" width="6" style="7" customWidth="1"/>
    <col min="3324" max="3324" width="8.140625" style="7" customWidth="1"/>
    <col min="3325" max="3325" width="7.140625" style="7" customWidth="1"/>
    <col min="3326" max="3326" width="10.5703125" style="7" customWidth="1"/>
    <col min="3327" max="3327" width="12.140625" style="7" customWidth="1"/>
    <col min="3328" max="3328" width="4.42578125" style="7" customWidth="1"/>
    <col min="3329" max="3331" width="10.140625" style="7" customWidth="1"/>
    <col min="3332" max="3332" width="10.42578125" style="7" customWidth="1"/>
    <col min="3333" max="3333" width="9" style="7"/>
    <col min="3334" max="3334" width="17.5703125" style="7" customWidth="1"/>
    <col min="3335" max="3335" width="17.85546875" style="7" customWidth="1"/>
    <col min="3336" max="3336" width="19.140625" style="7" customWidth="1"/>
    <col min="3337" max="3339" width="19" style="7" customWidth="1"/>
    <col min="3340" max="3546" width="9" style="7"/>
    <col min="3547" max="3548" width="20.140625" style="7" customWidth="1"/>
    <col min="3549" max="3549" width="5.5703125" style="7" customWidth="1"/>
    <col min="3550" max="3550" width="6.42578125" style="7" customWidth="1"/>
    <col min="3551" max="3551" width="1.42578125" style="7" customWidth="1"/>
    <col min="3552" max="3563" width="0" style="7" hidden="1" customWidth="1"/>
    <col min="3564" max="3565" width="10.85546875" style="7" customWidth="1"/>
    <col min="3566" max="3566" width="4.140625" style="7" customWidth="1"/>
    <col min="3567" max="3567" width="7.42578125" style="7" customWidth="1"/>
    <col min="3568" max="3569" width="11.140625" style="7" customWidth="1"/>
    <col min="3570" max="3570" width="5.42578125" style="7" customWidth="1"/>
    <col min="3571" max="3571" width="10.85546875" style="7" customWidth="1"/>
    <col min="3572" max="3572" width="11.85546875" style="7" customWidth="1"/>
    <col min="3573" max="3573" width="4.42578125" style="7" customWidth="1"/>
    <col min="3574" max="3574" width="5.42578125" style="7" customWidth="1"/>
    <col min="3575" max="3575" width="7.85546875" style="7" customWidth="1"/>
    <col min="3576" max="3576" width="8.5703125" style="7" customWidth="1"/>
    <col min="3577" max="3577" width="12.5703125" style="7" customWidth="1"/>
    <col min="3578" max="3578" width="6.42578125" style="7" customWidth="1"/>
    <col min="3579" max="3579" width="6" style="7" customWidth="1"/>
    <col min="3580" max="3580" width="8.140625" style="7" customWidth="1"/>
    <col min="3581" max="3581" width="7.140625" style="7" customWidth="1"/>
    <col min="3582" max="3582" width="10.5703125" style="7" customWidth="1"/>
    <col min="3583" max="3583" width="12.140625" style="7" customWidth="1"/>
    <col min="3584" max="3584" width="4.42578125" style="7" customWidth="1"/>
    <col min="3585" max="3587" width="10.140625" style="7" customWidth="1"/>
    <col min="3588" max="3588" width="10.42578125" style="7" customWidth="1"/>
    <col min="3589" max="3589" width="9" style="7"/>
    <col min="3590" max="3590" width="17.5703125" style="7" customWidth="1"/>
    <col min="3591" max="3591" width="17.85546875" style="7" customWidth="1"/>
    <col min="3592" max="3592" width="19.140625" style="7" customWidth="1"/>
    <col min="3593" max="3595" width="19" style="7" customWidth="1"/>
    <col min="3596" max="3802" width="9" style="7"/>
    <col min="3803" max="3804" width="20.140625" style="7" customWidth="1"/>
    <col min="3805" max="3805" width="5.5703125" style="7" customWidth="1"/>
    <col min="3806" max="3806" width="6.42578125" style="7" customWidth="1"/>
    <col min="3807" max="3807" width="1.42578125" style="7" customWidth="1"/>
    <col min="3808" max="3819" width="0" style="7" hidden="1" customWidth="1"/>
    <col min="3820" max="3821" width="10.85546875" style="7" customWidth="1"/>
    <col min="3822" max="3822" width="4.140625" style="7" customWidth="1"/>
    <col min="3823" max="3823" width="7.42578125" style="7" customWidth="1"/>
    <col min="3824" max="3825" width="11.140625" style="7" customWidth="1"/>
    <col min="3826" max="3826" width="5.42578125" style="7" customWidth="1"/>
    <col min="3827" max="3827" width="10.85546875" style="7" customWidth="1"/>
    <col min="3828" max="3828" width="11.85546875" style="7" customWidth="1"/>
    <col min="3829" max="3829" width="4.42578125" style="7" customWidth="1"/>
    <col min="3830" max="3830" width="5.42578125" style="7" customWidth="1"/>
    <col min="3831" max="3831" width="7.85546875" style="7" customWidth="1"/>
    <col min="3832" max="3832" width="8.5703125" style="7" customWidth="1"/>
    <col min="3833" max="3833" width="12.5703125" style="7" customWidth="1"/>
    <col min="3834" max="3834" width="6.42578125" style="7" customWidth="1"/>
    <col min="3835" max="3835" width="6" style="7" customWidth="1"/>
    <col min="3836" max="3836" width="8.140625" style="7" customWidth="1"/>
    <col min="3837" max="3837" width="7.140625" style="7" customWidth="1"/>
    <col min="3838" max="3838" width="10.5703125" style="7" customWidth="1"/>
    <col min="3839" max="3839" width="12.140625" style="7" customWidth="1"/>
    <col min="3840" max="3840" width="4.42578125" style="7" customWidth="1"/>
    <col min="3841" max="3843" width="10.140625" style="7" customWidth="1"/>
    <col min="3844" max="3844" width="10.42578125" style="7" customWidth="1"/>
    <col min="3845" max="3845" width="9" style="7"/>
    <col min="3846" max="3846" width="17.5703125" style="7" customWidth="1"/>
    <col min="3847" max="3847" width="17.85546875" style="7" customWidth="1"/>
    <col min="3848" max="3848" width="19.140625" style="7" customWidth="1"/>
    <col min="3849" max="3851" width="19" style="7" customWidth="1"/>
    <col min="3852" max="4058" width="9" style="7"/>
    <col min="4059" max="4060" width="20.140625" style="7" customWidth="1"/>
    <col min="4061" max="4061" width="5.5703125" style="7" customWidth="1"/>
    <col min="4062" max="4062" width="6.42578125" style="7" customWidth="1"/>
    <col min="4063" max="4063" width="1.42578125" style="7" customWidth="1"/>
    <col min="4064" max="4075" width="0" style="7" hidden="1" customWidth="1"/>
    <col min="4076" max="4077" width="10.85546875" style="7" customWidth="1"/>
    <col min="4078" max="4078" width="4.140625" style="7" customWidth="1"/>
    <col min="4079" max="4079" width="7.42578125" style="7" customWidth="1"/>
    <col min="4080" max="4081" width="11.140625" style="7" customWidth="1"/>
    <col min="4082" max="4082" width="5.42578125" style="7" customWidth="1"/>
    <col min="4083" max="4083" width="10.85546875" style="7" customWidth="1"/>
    <col min="4084" max="4084" width="11.85546875" style="7" customWidth="1"/>
    <col min="4085" max="4085" width="4.42578125" style="7" customWidth="1"/>
    <col min="4086" max="4086" width="5.42578125" style="7" customWidth="1"/>
    <col min="4087" max="4087" width="7.85546875" style="7" customWidth="1"/>
    <col min="4088" max="4088" width="8.5703125" style="7" customWidth="1"/>
    <col min="4089" max="4089" width="12.5703125" style="7" customWidth="1"/>
    <col min="4090" max="4090" width="6.42578125" style="7" customWidth="1"/>
    <col min="4091" max="4091" width="6" style="7" customWidth="1"/>
    <col min="4092" max="4092" width="8.140625" style="7" customWidth="1"/>
    <col min="4093" max="4093" width="7.140625" style="7" customWidth="1"/>
    <col min="4094" max="4094" width="10.5703125" style="7" customWidth="1"/>
    <col min="4095" max="4095" width="12.140625" style="7" customWidth="1"/>
    <col min="4096" max="4096" width="4.42578125" style="7" customWidth="1"/>
    <col min="4097" max="4099" width="10.140625" style="7" customWidth="1"/>
    <col min="4100" max="4100" width="10.42578125" style="7" customWidth="1"/>
    <col min="4101" max="4101" width="9" style="7"/>
    <col min="4102" max="4102" width="17.5703125" style="7" customWidth="1"/>
    <col min="4103" max="4103" width="17.85546875" style="7" customWidth="1"/>
    <col min="4104" max="4104" width="19.140625" style="7" customWidth="1"/>
    <col min="4105" max="4107" width="19" style="7" customWidth="1"/>
    <col min="4108" max="4314" width="9" style="7"/>
    <col min="4315" max="4316" width="20.140625" style="7" customWidth="1"/>
    <col min="4317" max="4317" width="5.5703125" style="7" customWidth="1"/>
    <col min="4318" max="4318" width="6.42578125" style="7" customWidth="1"/>
    <col min="4319" max="4319" width="1.42578125" style="7" customWidth="1"/>
    <col min="4320" max="4331" width="0" style="7" hidden="1" customWidth="1"/>
    <col min="4332" max="4333" width="10.85546875" style="7" customWidth="1"/>
    <col min="4334" max="4334" width="4.140625" style="7" customWidth="1"/>
    <col min="4335" max="4335" width="7.42578125" style="7" customWidth="1"/>
    <col min="4336" max="4337" width="11.140625" style="7" customWidth="1"/>
    <col min="4338" max="4338" width="5.42578125" style="7" customWidth="1"/>
    <col min="4339" max="4339" width="10.85546875" style="7" customWidth="1"/>
    <col min="4340" max="4340" width="11.85546875" style="7" customWidth="1"/>
    <col min="4341" max="4341" width="4.42578125" style="7" customWidth="1"/>
    <col min="4342" max="4342" width="5.42578125" style="7" customWidth="1"/>
    <col min="4343" max="4343" width="7.85546875" style="7" customWidth="1"/>
    <col min="4344" max="4344" width="8.5703125" style="7" customWidth="1"/>
    <col min="4345" max="4345" width="12.5703125" style="7" customWidth="1"/>
    <col min="4346" max="4346" width="6.42578125" style="7" customWidth="1"/>
    <col min="4347" max="4347" width="6" style="7" customWidth="1"/>
    <col min="4348" max="4348" width="8.140625" style="7" customWidth="1"/>
    <col min="4349" max="4349" width="7.140625" style="7" customWidth="1"/>
    <col min="4350" max="4350" width="10.5703125" style="7" customWidth="1"/>
    <col min="4351" max="4351" width="12.140625" style="7" customWidth="1"/>
    <col min="4352" max="4352" width="4.42578125" style="7" customWidth="1"/>
    <col min="4353" max="4355" width="10.140625" style="7" customWidth="1"/>
    <col min="4356" max="4356" width="10.42578125" style="7" customWidth="1"/>
    <col min="4357" max="4357" width="9" style="7"/>
    <col min="4358" max="4358" width="17.5703125" style="7" customWidth="1"/>
    <col min="4359" max="4359" width="17.85546875" style="7" customWidth="1"/>
    <col min="4360" max="4360" width="19.140625" style="7" customWidth="1"/>
    <col min="4361" max="4363" width="19" style="7" customWidth="1"/>
    <col min="4364" max="4570" width="9" style="7"/>
    <col min="4571" max="4572" width="20.140625" style="7" customWidth="1"/>
    <col min="4573" max="4573" width="5.5703125" style="7" customWidth="1"/>
    <col min="4574" max="4574" width="6.42578125" style="7" customWidth="1"/>
    <col min="4575" max="4575" width="1.42578125" style="7" customWidth="1"/>
    <col min="4576" max="4587" width="0" style="7" hidden="1" customWidth="1"/>
    <col min="4588" max="4589" width="10.85546875" style="7" customWidth="1"/>
    <col min="4590" max="4590" width="4.140625" style="7" customWidth="1"/>
    <col min="4591" max="4591" width="7.42578125" style="7" customWidth="1"/>
    <col min="4592" max="4593" width="11.140625" style="7" customWidth="1"/>
    <col min="4594" max="4594" width="5.42578125" style="7" customWidth="1"/>
    <col min="4595" max="4595" width="10.85546875" style="7" customWidth="1"/>
    <col min="4596" max="4596" width="11.85546875" style="7" customWidth="1"/>
    <col min="4597" max="4597" width="4.42578125" style="7" customWidth="1"/>
    <col min="4598" max="4598" width="5.42578125" style="7" customWidth="1"/>
    <col min="4599" max="4599" width="7.85546875" style="7" customWidth="1"/>
    <col min="4600" max="4600" width="8.5703125" style="7" customWidth="1"/>
    <col min="4601" max="4601" width="12.5703125" style="7" customWidth="1"/>
    <col min="4602" max="4602" width="6.42578125" style="7" customWidth="1"/>
    <col min="4603" max="4603" width="6" style="7" customWidth="1"/>
    <col min="4604" max="4604" width="8.140625" style="7" customWidth="1"/>
    <col min="4605" max="4605" width="7.140625" style="7" customWidth="1"/>
    <col min="4606" max="4606" width="10.5703125" style="7" customWidth="1"/>
    <col min="4607" max="4607" width="12.140625" style="7" customWidth="1"/>
    <col min="4608" max="4608" width="4.42578125" style="7" customWidth="1"/>
    <col min="4609" max="4611" width="10.140625" style="7" customWidth="1"/>
    <col min="4612" max="4612" width="10.42578125" style="7" customWidth="1"/>
    <col min="4613" max="4613" width="9" style="7"/>
    <col min="4614" max="4614" width="17.5703125" style="7" customWidth="1"/>
    <col min="4615" max="4615" width="17.85546875" style="7" customWidth="1"/>
    <col min="4616" max="4616" width="19.140625" style="7" customWidth="1"/>
    <col min="4617" max="4619" width="19" style="7" customWidth="1"/>
    <col min="4620" max="4826" width="9" style="7"/>
    <col min="4827" max="4828" width="20.140625" style="7" customWidth="1"/>
    <col min="4829" max="4829" width="5.5703125" style="7" customWidth="1"/>
    <col min="4830" max="4830" width="6.42578125" style="7" customWidth="1"/>
    <col min="4831" max="4831" width="1.42578125" style="7" customWidth="1"/>
    <col min="4832" max="4843" width="0" style="7" hidden="1" customWidth="1"/>
    <col min="4844" max="4845" width="10.85546875" style="7" customWidth="1"/>
    <col min="4846" max="4846" width="4.140625" style="7" customWidth="1"/>
    <col min="4847" max="4847" width="7.42578125" style="7" customWidth="1"/>
    <col min="4848" max="4849" width="11.140625" style="7" customWidth="1"/>
    <col min="4850" max="4850" width="5.42578125" style="7" customWidth="1"/>
    <col min="4851" max="4851" width="10.85546875" style="7" customWidth="1"/>
    <col min="4852" max="4852" width="11.85546875" style="7" customWidth="1"/>
    <col min="4853" max="4853" width="4.42578125" style="7" customWidth="1"/>
    <col min="4854" max="4854" width="5.42578125" style="7" customWidth="1"/>
    <col min="4855" max="4855" width="7.85546875" style="7" customWidth="1"/>
    <col min="4856" max="4856" width="8.5703125" style="7" customWidth="1"/>
    <col min="4857" max="4857" width="12.5703125" style="7" customWidth="1"/>
    <col min="4858" max="4858" width="6.42578125" style="7" customWidth="1"/>
    <col min="4859" max="4859" width="6" style="7" customWidth="1"/>
    <col min="4860" max="4860" width="8.140625" style="7" customWidth="1"/>
    <col min="4861" max="4861" width="7.140625" style="7" customWidth="1"/>
    <col min="4862" max="4862" width="10.5703125" style="7" customWidth="1"/>
    <col min="4863" max="4863" width="12.140625" style="7" customWidth="1"/>
    <col min="4864" max="4864" width="4.42578125" style="7" customWidth="1"/>
    <col min="4865" max="4867" width="10.140625" style="7" customWidth="1"/>
    <col min="4868" max="4868" width="10.42578125" style="7" customWidth="1"/>
    <col min="4869" max="4869" width="9" style="7"/>
    <col min="4870" max="4870" width="17.5703125" style="7" customWidth="1"/>
    <col min="4871" max="4871" width="17.85546875" style="7" customWidth="1"/>
    <col min="4872" max="4872" width="19.140625" style="7" customWidth="1"/>
    <col min="4873" max="4875" width="19" style="7" customWidth="1"/>
    <col min="4876" max="5082" width="9" style="7"/>
    <col min="5083" max="5084" width="20.140625" style="7" customWidth="1"/>
    <col min="5085" max="5085" width="5.5703125" style="7" customWidth="1"/>
    <col min="5086" max="5086" width="6.42578125" style="7" customWidth="1"/>
    <col min="5087" max="5087" width="1.42578125" style="7" customWidth="1"/>
    <col min="5088" max="5099" width="0" style="7" hidden="1" customWidth="1"/>
    <col min="5100" max="5101" width="10.85546875" style="7" customWidth="1"/>
    <col min="5102" max="5102" width="4.140625" style="7" customWidth="1"/>
    <col min="5103" max="5103" width="7.42578125" style="7" customWidth="1"/>
    <col min="5104" max="5105" width="11.140625" style="7" customWidth="1"/>
    <col min="5106" max="5106" width="5.42578125" style="7" customWidth="1"/>
    <col min="5107" max="5107" width="10.85546875" style="7" customWidth="1"/>
    <col min="5108" max="5108" width="11.85546875" style="7" customWidth="1"/>
    <col min="5109" max="5109" width="4.42578125" style="7" customWidth="1"/>
    <col min="5110" max="5110" width="5.42578125" style="7" customWidth="1"/>
    <col min="5111" max="5111" width="7.85546875" style="7" customWidth="1"/>
    <col min="5112" max="5112" width="8.5703125" style="7" customWidth="1"/>
    <col min="5113" max="5113" width="12.5703125" style="7" customWidth="1"/>
    <col min="5114" max="5114" width="6.42578125" style="7" customWidth="1"/>
    <col min="5115" max="5115" width="6" style="7" customWidth="1"/>
    <col min="5116" max="5116" width="8.140625" style="7" customWidth="1"/>
    <col min="5117" max="5117" width="7.140625" style="7" customWidth="1"/>
    <col min="5118" max="5118" width="10.5703125" style="7" customWidth="1"/>
    <col min="5119" max="5119" width="12.140625" style="7" customWidth="1"/>
    <col min="5120" max="5120" width="4.42578125" style="7" customWidth="1"/>
    <col min="5121" max="5123" width="10.140625" style="7" customWidth="1"/>
    <col min="5124" max="5124" width="10.42578125" style="7" customWidth="1"/>
    <col min="5125" max="5125" width="9" style="7"/>
    <col min="5126" max="5126" width="17.5703125" style="7" customWidth="1"/>
    <col min="5127" max="5127" width="17.85546875" style="7" customWidth="1"/>
    <col min="5128" max="5128" width="19.140625" style="7" customWidth="1"/>
    <col min="5129" max="5131" width="19" style="7" customWidth="1"/>
    <col min="5132" max="5338" width="9" style="7"/>
    <col min="5339" max="5340" width="20.140625" style="7" customWidth="1"/>
    <col min="5341" max="5341" width="5.5703125" style="7" customWidth="1"/>
    <col min="5342" max="5342" width="6.42578125" style="7" customWidth="1"/>
    <col min="5343" max="5343" width="1.42578125" style="7" customWidth="1"/>
    <col min="5344" max="5355" width="0" style="7" hidden="1" customWidth="1"/>
    <col min="5356" max="5357" width="10.85546875" style="7" customWidth="1"/>
    <col min="5358" max="5358" width="4.140625" style="7" customWidth="1"/>
    <col min="5359" max="5359" width="7.42578125" style="7" customWidth="1"/>
    <col min="5360" max="5361" width="11.140625" style="7" customWidth="1"/>
    <col min="5362" max="5362" width="5.42578125" style="7" customWidth="1"/>
    <col min="5363" max="5363" width="10.85546875" style="7" customWidth="1"/>
    <col min="5364" max="5364" width="11.85546875" style="7" customWidth="1"/>
    <col min="5365" max="5365" width="4.42578125" style="7" customWidth="1"/>
    <col min="5366" max="5366" width="5.42578125" style="7" customWidth="1"/>
    <col min="5367" max="5367" width="7.85546875" style="7" customWidth="1"/>
    <col min="5368" max="5368" width="8.5703125" style="7" customWidth="1"/>
    <col min="5369" max="5369" width="12.5703125" style="7" customWidth="1"/>
    <col min="5370" max="5370" width="6.42578125" style="7" customWidth="1"/>
    <col min="5371" max="5371" width="6" style="7" customWidth="1"/>
    <col min="5372" max="5372" width="8.140625" style="7" customWidth="1"/>
    <col min="5373" max="5373" width="7.140625" style="7" customWidth="1"/>
    <col min="5374" max="5374" width="10.5703125" style="7" customWidth="1"/>
    <col min="5375" max="5375" width="12.140625" style="7" customWidth="1"/>
    <col min="5376" max="5376" width="4.42578125" style="7" customWidth="1"/>
    <col min="5377" max="5379" width="10.140625" style="7" customWidth="1"/>
    <col min="5380" max="5380" width="10.42578125" style="7" customWidth="1"/>
    <col min="5381" max="5381" width="9" style="7"/>
    <col min="5382" max="5382" width="17.5703125" style="7" customWidth="1"/>
    <col min="5383" max="5383" width="17.85546875" style="7" customWidth="1"/>
    <col min="5384" max="5384" width="19.140625" style="7" customWidth="1"/>
    <col min="5385" max="5387" width="19" style="7" customWidth="1"/>
    <col min="5388" max="5594" width="9" style="7"/>
    <col min="5595" max="5596" width="20.140625" style="7" customWidth="1"/>
    <col min="5597" max="5597" width="5.5703125" style="7" customWidth="1"/>
    <col min="5598" max="5598" width="6.42578125" style="7" customWidth="1"/>
    <col min="5599" max="5599" width="1.42578125" style="7" customWidth="1"/>
    <col min="5600" max="5611" width="0" style="7" hidden="1" customWidth="1"/>
    <col min="5612" max="5613" width="10.85546875" style="7" customWidth="1"/>
    <col min="5614" max="5614" width="4.140625" style="7" customWidth="1"/>
    <col min="5615" max="5615" width="7.42578125" style="7" customWidth="1"/>
    <col min="5616" max="5617" width="11.140625" style="7" customWidth="1"/>
    <col min="5618" max="5618" width="5.42578125" style="7" customWidth="1"/>
    <col min="5619" max="5619" width="10.85546875" style="7" customWidth="1"/>
    <col min="5620" max="5620" width="11.85546875" style="7" customWidth="1"/>
    <col min="5621" max="5621" width="4.42578125" style="7" customWidth="1"/>
    <col min="5622" max="5622" width="5.42578125" style="7" customWidth="1"/>
    <col min="5623" max="5623" width="7.85546875" style="7" customWidth="1"/>
    <col min="5624" max="5624" width="8.5703125" style="7" customWidth="1"/>
    <col min="5625" max="5625" width="12.5703125" style="7" customWidth="1"/>
    <col min="5626" max="5626" width="6.42578125" style="7" customWidth="1"/>
    <col min="5627" max="5627" width="6" style="7" customWidth="1"/>
    <col min="5628" max="5628" width="8.140625" style="7" customWidth="1"/>
    <col min="5629" max="5629" width="7.140625" style="7" customWidth="1"/>
    <col min="5630" max="5630" width="10.5703125" style="7" customWidth="1"/>
    <col min="5631" max="5631" width="12.140625" style="7" customWidth="1"/>
    <col min="5632" max="5632" width="4.42578125" style="7" customWidth="1"/>
    <col min="5633" max="5635" width="10.140625" style="7" customWidth="1"/>
    <col min="5636" max="5636" width="10.42578125" style="7" customWidth="1"/>
    <col min="5637" max="5637" width="9" style="7"/>
    <col min="5638" max="5638" width="17.5703125" style="7" customWidth="1"/>
    <col min="5639" max="5639" width="17.85546875" style="7" customWidth="1"/>
    <col min="5640" max="5640" width="19.140625" style="7" customWidth="1"/>
    <col min="5641" max="5643" width="19" style="7" customWidth="1"/>
    <col min="5644" max="5850" width="9" style="7"/>
    <col min="5851" max="5852" width="20.140625" style="7" customWidth="1"/>
    <col min="5853" max="5853" width="5.5703125" style="7" customWidth="1"/>
    <col min="5854" max="5854" width="6.42578125" style="7" customWidth="1"/>
    <col min="5855" max="5855" width="1.42578125" style="7" customWidth="1"/>
    <col min="5856" max="5867" width="0" style="7" hidden="1" customWidth="1"/>
    <col min="5868" max="5869" width="10.85546875" style="7" customWidth="1"/>
    <col min="5870" max="5870" width="4.140625" style="7" customWidth="1"/>
    <col min="5871" max="5871" width="7.42578125" style="7" customWidth="1"/>
    <col min="5872" max="5873" width="11.140625" style="7" customWidth="1"/>
    <col min="5874" max="5874" width="5.42578125" style="7" customWidth="1"/>
    <col min="5875" max="5875" width="10.85546875" style="7" customWidth="1"/>
    <col min="5876" max="5876" width="11.85546875" style="7" customWidth="1"/>
    <col min="5877" max="5877" width="4.42578125" style="7" customWidth="1"/>
    <col min="5878" max="5878" width="5.42578125" style="7" customWidth="1"/>
    <col min="5879" max="5879" width="7.85546875" style="7" customWidth="1"/>
    <col min="5880" max="5880" width="8.5703125" style="7" customWidth="1"/>
    <col min="5881" max="5881" width="12.5703125" style="7" customWidth="1"/>
    <col min="5882" max="5882" width="6.42578125" style="7" customWidth="1"/>
    <col min="5883" max="5883" width="6" style="7" customWidth="1"/>
    <col min="5884" max="5884" width="8.140625" style="7" customWidth="1"/>
    <col min="5885" max="5885" width="7.140625" style="7" customWidth="1"/>
    <col min="5886" max="5886" width="10.5703125" style="7" customWidth="1"/>
    <col min="5887" max="5887" width="12.140625" style="7" customWidth="1"/>
    <col min="5888" max="5888" width="4.42578125" style="7" customWidth="1"/>
    <col min="5889" max="5891" width="10.140625" style="7" customWidth="1"/>
    <col min="5892" max="5892" width="10.42578125" style="7" customWidth="1"/>
    <col min="5893" max="5893" width="9" style="7"/>
    <col min="5894" max="5894" width="17.5703125" style="7" customWidth="1"/>
    <col min="5895" max="5895" width="17.85546875" style="7" customWidth="1"/>
    <col min="5896" max="5896" width="19.140625" style="7" customWidth="1"/>
    <col min="5897" max="5899" width="19" style="7" customWidth="1"/>
    <col min="5900" max="6106" width="9" style="7"/>
    <col min="6107" max="6108" width="20.140625" style="7" customWidth="1"/>
    <col min="6109" max="6109" width="5.5703125" style="7" customWidth="1"/>
    <col min="6110" max="6110" width="6.42578125" style="7" customWidth="1"/>
    <col min="6111" max="6111" width="1.42578125" style="7" customWidth="1"/>
    <col min="6112" max="6123" width="0" style="7" hidden="1" customWidth="1"/>
    <col min="6124" max="6125" width="10.85546875" style="7" customWidth="1"/>
    <col min="6126" max="6126" width="4.140625" style="7" customWidth="1"/>
    <col min="6127" max="6127" width="7.42578125" style="7" customWidth="1"/>
    <col min="6128" max="6129" width="11.140625" style="7" customWidth="1"/>
    <col min="6130" max="6130" width="5.42578125" style="7" customWidth="1"/>
    <col min="6131" max="6131" width="10.85546875" style="7" customWidth="1"/>
    <col min="6132" max="6132" width="11.85546875" style="7" customWidth="1"/>
    <col min="6133" max="6133" width="4.42578125" style="7" customWidth="1"/>
    <col min="6134" max="6134" width="5.42578125" style="7" customWidth="1"/>
    <col min="6135" max="6135" width="7.85546875" style="7" customWidth="1"/>
    <col min="6136" max="6136" width="8.5703125" style="7" customWidth="1"/>
    <col min="6137" max="6137" width="12.5703125" style="7" customWidth="1"/>
    <col min="6138" max="6138" width="6.42578125" style="7" customWidth="1"/>
    <col min="6139" max="6139" width="6" style="7" customWidth="1"/>
    <col min="6140" max="6140" width="8.140625" style="7" customWidth="1"/>
    <col min="6141" max="6141" width="7.140625" style="7" customWidth="1"/>
    <col min="6142" max="6142" width="10.5703125" style="7" customWidth="1"/>
    <col min="6143" max="6143" width="12.140625" style="7" customWidth="1"/>
    <col min="6144" max="6144" width="4.42578125" style="7" customWidth="1"/>
    <col min="6145" max="6147" width="10.140625" style="7" customWidth="1"/>
    <col min="6148" max="6148" width="10.42578125" style="7" customWidth="1"/>
    <col min="6149" max="6149" width="9" style="7"/>
    <col min="6150" max="6150" width="17.5703125" style="7" customWidth="1"/>
    <col min="6151" max="6151" width="17.85546875" style="7" customWidth="1"/>
    <col min="6152" max="6152" width="19.140625" style="7" customWidth="1"/>
    <col min="6153" max="6155" width="19" style="7" customWidth="1"/>
    <col min="6156" max="6362" width="9" style="7"/>
    <col min="6363" max="6364" width="20.140625" style="7" customWidth="1"/>
    <col min="6365" max="6365" width="5.5703125" style="7" customWidth="1"/>
    <col min="6366" max="6366" width="6.42578125" style="7" customWidth="1"/>
    <col min="6367" max="6367" width="1.42578125" style="7" customWidth="1"/>
    <col min="6368" max="6379" width="0" style="7" hidden="1" customWidth="1"/>
    <col min="6380" max="6381" width="10.85546875" style="7" customWidth="1"/>
    <col min="6382" max="6382" width="4.140625" style="7" customWidth="1"/>
    <col min="6383" max="6383" width="7.42578125" style="7" customWidth="1"/>
    <col min="6384" max="6385" width="11.140625" style="7" customWidth="1"/>
    <col min="6386" max="6386" width="5.42578125" style="7" customWidth="1"/>
    <col min="6387" max="6387" width="10.85546875" style="7" customWidth="1"/>
    <col min="6388" max="6388" width="11.85546875" style="7" customWidth="1"/>
    <col min="6389" max="6389" width="4.42578125" style="7" customWidth="1"/>
    <col min="6390" max="6390" width="5.42578125" style="7" customWidth="1"/>
    <col min="6391" max="6391" width="7.85546875" style="7" customWidth="1"/>
    <col min="6392" max="6392" width="8.5703125" style="7" customWidth="1"/>
    <col min="6393" max="6393" width="12.5703125" style="7" customWidth="1"/>
    <col min="6394" max="6394" width="6.42578125" style="7" customWidth="1"/>
    <col min="6395" max="6395" width="6" style="7" customWidth="1"/>
    <col min="6396" max="6396" width="8.140625" style="7" customWidth="1"/>
    <col min="6397" max="6397" width="7.140625" style="7" customWidth="1"/>
    <col min="6398" max="6398" width="10.5703125" style="7" customWidth="1"/>
    <col min="6399" max="6399" width="12.140625" style="7" customWidth="1"/>
    <col min="6400" max="6400" width="4.42578125" style="7" customWidth="1"/>
    <col min="6401" max="6403" width="10.140625" style="7" customWidth="1"/>
    <col min="6404" max="6404" width="10.42578125" style="7" customWidth="1"/>
    <col min="6405" max="6405" width="9" style="7"/>
    <col min="6406" max="6406" width="17.5703125" style="7" customWidth="1"/>
    <col min="6407" max="6407" width="17.85546875" style="7" customWidth="1"/>
    <col min="6408" max="6408" width="19.140625" style="7" customWidth="1"/>
    <col min="6409" max="6411" width="19" style="7" customWidth="1"/>
    <col min="6412" max="6618" width="9" style="7"/>
    <col min="6619" max="6620" width="20.140625" style="7" customWidth="1"/>
    <col min="6621" max="6621" width="5.5703125" style="7" customWidth="1"/>
    <col min="6622" max="6622" width="6.42578125" style="7" customWidth="1"/>
    <col min="6623" max="6623" width="1.42578125" style="7" customWidth="1"/>
    <col min="6624" max="6635" width="0" style="7" hidden="1" customWidth="1"/>
    <col min="6636" max="6637" width="10.85546875" style="7" customWidth="1"/>
    <col min="6638" max="6638" width="4.140625" style="7" customWidth="1"/>
    <col min="6639" max="6639" width="7.42578125" style="7" customWidth="1"/>
    <col min="6640" max="6641" width="11.140625" style="7" customWidth="1"/>
    <col min="6642" max="6642" width="5.42578125" style="7" customWidth="1"/>
    <col min="6643" max="6643" width="10.85546875" style="7" customWidth="1"/>
    <col min="6644" max="6644" width="11.85546875" style="7" customWidth="1"/>
    <col min="6645" max="6645" width="4.42578125" style="7" customWidth="1"/>
    <col min="6646" max="6646" width="5.42578125" style="7" customWidth="1"/>
    <col min="6647" max="6647" width="7.85546875" style="7" customWidth="1"/>
    <col min="6648" max="6648" width="8.5703125" style="7" customWidth="1"/>
    <col min="6649" max="6649" width="12.5703125" style="7" customWidth="1"/>
    <col min="6650" max="6650" width="6.42578125" style="7" customWidth="1"/>
    <col min="6651" max="6651" width="6" style="7" customWidth="1"/>
    <col min="6652" max="6652" width="8.140625" style="7" customWidth="1"/>
    <col min="6653" max="6653" width="7.140625" style="7" customWidth="1"/>
    <col min="6654" max="6654" width="10.5703125" style="7" customWidth="1"/>
    <col min="6655" max="6655" width="12.140625" style="7" customWidth="1"/>
    <col min="6656" max="6656" width="4.42578125" style="7" customWidth="1"/>
    <col min="6657" max="6659" width="10.140625" style="7" customWidth="1"/>
    <col min="6660" max="6660" width="10.42578125" style="7" customWidth="1"/>
    <col min="6661" max="6661" width="9" style="7"/>
    <col min="6662" max="6662" width="17.5703125" style="7" customWidth="1"/>
    <col min="6663" max="6663" width="17.85546875" style="7" customWidth="1"/>
    <col min="6664" max="6664" width="19.140625" style="7" customWidth="1"/>
    <col min="6665" max="6667" width="19" style="7" customWidth="1"/>
    <col min="6668" max="6874" width="9" style="7"/>
    <col min="6875" max="6876" width="20.140625" style="7" customWidth="1"/>
    <col min="6877" max="6877" width="5.5703125" style="7" customWidth="1"/>
    <col min="6878" max="6878" width="6.42578125" style="7" customWidth="1"/>
    <col min="6879" max="6879" width="1.42578125" style="7" customWidth="1"/>
    <col min="6880" max="6891" width="0" style="7" hidden="1" customWidth="1"/>
    <col min="6892" max="6893" width="10.85546875" style="7" customWidth="1"/>
    <col min="6894" max="6894" width="4.140625" style="7" customWidth="1"/>
    <col min="6895" max="6895" width="7.42578125" style="7" customWidth="1"/>
    <col min="6896" max="6897" width="11.140625" style="7" customWidth="1"/>
    <col min="6898" max="6898" width="5.42578125" style="7" customWidth="1"/>
    <col min="6899" max="6899" width="10.85546875" style="7" customWidth="1"/>
    <col min="6900" max="6900" width="11.85546875" style="7" customWidth="1"/>
    <col min="6901" max="6901" width="4.42578125" style="7" customWidth="1"/>
    <col min="6902" max="6902" width="5.42578125" style="7" customWidth="1"/>
    <col min="6903" max="6903" width="7.85546875" style="7" customWidth="1"/>
    <col min="6904" max="6904" width="8.5703125" style="7" customWidth="1"/>
    <col min="6905" max="6905" width="12.5703125" style="7" customWidth="1"/>
    <col min="6906" max="6906" width="6.42578125" style="7" customWidth="1"/>
    <col min="6907" max="6907" width="6" style="7" customWidth="1"/>
    <col min="6908" max="6908" width="8.140625" style="7" customWidth="1"/>
    <col min="6909" max="6909" width="7.140625" style="7" customWidth="1"/>
    <col min="6910" max="6910" width="10.5703125" style="7" customWidth="1"/>
    <col min="6911" max="6911" width="12.140625" style="7" customWidth="1"/>
    <col min="6912" max="6912" width="4.42578125" style="7" customWidth="1"/>
    <col min="6913" max="6915" width="10.140625" style="7" customWidth="1"/>
    <col min="6916" max="6916" width="10.42578125" style="7" customWidth="1"/>
    <col min="6917" max="6917" width="9" style="7"/>
    <col min="6918" max="6918" width="17.5703125" style="7" customWidth="1"/>
    <col min="6919" max="6919" width="17.85546875" style="7" customWidth="1"/>
    <col min="6920" max="6920" width="19.140625" style="7" customWidth="1"/>
    <col min="6921" max="6923" width="19" style="7" customWidth="1"/>
    <col min="6924" max="7130" width="9" style="7"/>
    <col min="7131" max="7132" width="20.140625" style="7" customWidth="1"/>
    <col min="7133" max="7133" width="5.5703125" style="7" customWidth="1"/>
    <col min="7134" max="7134" width="6.42578125" style="7" customWidth="1"/>
    <col min="7135" max="7135" width="1.42578125" style="7" customWidth="1"/>
    <col min="7136" max="7147" width="0" style="7" hidden="1" customWidth="1"/>
    <col min="7148" max="7149" width="10.85546875" style="7" customWidth="1"/>
    <col min="7150" max="7150" width="4.140625" style="7" customWidth="1"/>
    <col min="7151" max="7151" width="7.42578125" style="7" customWidth="1"/>
    <col min="7152" max="7153" width="11.140625" style="7" customWidth="1"/>
    <col min="7154" max="7154" width="5.42578125" style="7" customWidth="1"/>
    <col min="7155" max="7155" width="10.85546875" style="7" customWidth="1"/>
    <col min="7156" max="7156" width="11.85546875" style="7" customWidth="1"/>
    <col min="7157" max="7157" width="4.42578125" style="7" customWidth="1"/>
    <col min="7158" max="7158" width="5.42578125" style="7" customWidth="1"/>
    <col min="7159" max="7159" width="7.85546875" style="7" customWidth="1"/>
    <col min="7160" max="7160" width="8.5703125" style="7" customWidth="1"/>
    <col min="7161" max="7161" width="12.5703125" style="7" customWidth="1"/>
    <col min="7162" max="7162" width="6.42578125" style="7" customWidth="1"/>
    <col min="7163" max="7163" width="6" style="7" customWidth="1"/>
    <col min="7164" max="7164" width="8.140625" style="7" customWidth="1"/>
    <col min="7165" max="7165" width="7.140625" style="7" customWidth="1"/>
    <col min="7166" max="7166" width="10.5703125" style="7" customWidth="1"/>
    <col min="7167" max="7167" width="12.140625" style="7" customWidth="1"/>
    <col min="7168" max="7168" width="4.42578125" style="7" customWidth="1"/>
    <col min="7169" max="7171" width="10.140625" style="7" customWidth="1"/>
    <col min="7172" max="7172" width="10.42578125" style="7" customWidth="1"/>
    <col min="7173" max="7173" width="9" style="7"/>
    <col min="7174" max="7174" width="17.5703125" style="7" customWidth="1"/>
    <col min="7175" max="7175" width="17.85546875" style="7" customWidth="1"/>
    <col min="7176" max="7176" width="19.140625" style="7" customWidth="1"/>
    <col min="7177" max="7179" width="19" style="7" customWidth="1"/>
    <col min="7180" max="7386" width="9" style="7"/>
    <col min="7387" max="7388" width="20.140625" style="7" customWidth="1"/>
    <col min="7389" max="7389" width="5.5703125" style="7" customWidth="1"/>
    <col min="7390" max="7390" width="6.42578125" style="7" customWidth="1"/>
    <col min="7391" max="7391" width="1.42578125" style="7" customWidth="1"/>
    <col min="7392" max="7403" width="0" style="7" hidden="1" customWidth="1"/>
    <col min="7404" max="7405" width="10.85546875" style="7" customWidth="1"/>
    <col min="7406" max="7406" width="4.140625" style="7" customWidth="1"/>
    <col min="7407" max="7407" width="7.42578125" style="7" customWidth="1"/>
    <col min="7408" max="7409" width="11.140625" style="7" customWidth="1"/>
    <col min="7410" max="7410" width="5.42578125" style="7" customWidth="1"/>
    <col min="7411" max="7411" width="10.85546875" style="7" customWidth="1"/>
    <col min="7412" max="7412" width="11.85546875" style="7" customWidth="1"/>
    <col min="7413" max="7413" width="4.42578125" style="7" customWidth="1"/>
    <col min="7414" max="7414" width="5.42578125" style="7" customWidth="1"/>
    <col min="7415" max="7415" width="7.85546875" style="7" customWidth="1"/>
    <col min="7416" max="7416" width="8.5703125" style="7" customWidth="1"/>
    <col min="7417" max="7417" width="12.5703125" style="7" customWidth="1"/>
    <col min="7418" max="7418" width="6.42578125" style="7" customWidth="1"/>
    <col min="7419" max="7419" width="6" style="7" customWidth="1"/>
    <col min="7420" max="7420" width="8.140625" style="7" customWidth="1"/>
    <col min="7421" max="7421" width="7.140625" style="7" customWidth="1"/>
    <col min="7422" max="7422" width="10.5703125" style="7" customWidth="1"/>
    <col min="7423" max="7423" width="12.140625" style="7" customWidth="1"/>
    <col min="7424" max="7424" width="4.42578125" style="7" customWidth="1"/>
    <col min="7425" max="7427" width="10.140625" style="7" customWidth="1"/>
    <col min="7428" max="7428" width="10.42578125" style="7" customWidth="1"/>
    <col min="7429" max="7429" width="9" style="7"/>
    <col min="7430" max="7430" width="17.5703125" style="7" customWidth="1"/>
    <col min="7431" max="7431" width="17.85546875" style="7" customWidth="1"/>
    <col min="7432" max="7432" width="19.140625" style="7" customWidth="1"/>
    <col min="7433" max="7435" width="19" style="7" customWidth="1"/>
    <col min="7436" max="7642" width="9" style="7"/>
    <col min="7643" max="7644" width="20.140625" style="7" customWidth="1"/>
    <col min="7645" max="7645" width="5.5703125" style="7" customWidth="1"/>
    <col min="7646" max="7646" width="6.42578125" style="7" customWidth="1"/>
    <col min="7647" max="7647" width="1.42578125" style="7" customWidth="1"/>
    <col min="7648" max="7659" width="0" style="7" hidden="1" customWidth="1"/>
    <col min="7660" max="7661" width="10.85546875" style="7" customWidth="1"/>
    <col min="7662" max="7662" width="4.140625" style="7" customWidth="1"/>
    <col min="7663" max="7663" width="7.42578125" style="7" customWidth="1"/>
    <col min="7664" max="7665" width="11.140625" style="7" customWidth="1"/>
    <col min="7666" max="7666" width="5.42578125" style="7" customWidth="1"/>
    <col min="7667" max="7667" width="10.85546875" style="7" customWidth="1"/>
    <col min="7668" max="7668" width="11.85546875" style="7" customWidth="1"/>
    <col min="7669" max="7669" width="4.42578125" style="7" customWidth="1"/>
    <col min="7670" max="7670" width="5.42578125" style="7" customWidth="1"/>
    <col min="7671" max="7671" width="7.85546875" style="7" customWidth="1"/>
    <col min="7672" max="7672" width="8.5703125" style="7" customWidth="1"/>
    <col min="7673" max="7673" width="12.5703125" style="7" customWidth="1"/>
    <col min="7674" max="7674" width="6.42578125" style="7" customWidth="1"/>
    <col min="7675" max="7675" width="6" style="7" customWidth="1"/>
    <col min="7676" max="7676" width="8.140625" style="7" customWidth="1"/>
    <col min="7677" max="7677" width="7.140625" style="7" customWidth="1"/>
    <col min="7678" max="7678" width="10.5703125" style="7" customWidth="1"/>
    <col min="7679" max="7679" width="12.140625" style="7" customWidth="1"/>
    <col min="7680" max="7680" width="4.42578125" style="7" customWidth="1"/>
    <col min="7681" max="7683" width="10.140625" style="7" customWidth="1"/>
    <col min="7684" max="7684" width="10.42578125" style="7" customWidth="1"/>
    <col min="7685" max="7685" width="9" style="7"/>
    <col min="7686" max="7686" width="17.5703125" style="7" customWidth="1"/>
    <col min="7687" max="7687" width="17.85546875" style="7" customWidth="1"/>
    <col min="7688" max="7688" width="19.140625" style="7" customWidth="1"/>
    <col min="7689" max="7691" width="19" style="7" customWidth="1"/>
    <col min="7692" max="7898" width="9" style="7"/>
    <col min="7899" max="7900" width="20.140625" style="7" customWidth="1"/>
    <col min="7901" max="7901" width="5.5703125" style="7" customWidth="1"/>
    <col min="7902" max="7902" width="6.42578125" style="7" customWidth="1"/>
    <col min="7903" max="7903" width="1.42578125" style="7" customWidth="1"/>
    <col min="7904" max="7915" width="0" style="7" hidden="1" customWidth="1"/>
    <col min="7916" max="7917" width="10.85546875" style="7" customWidth="1"/>
    <col min="7918" max="7918" width="4.140625" style="7" customWidth="1"/>
    <col min="7919" max="7919" width="7.42578125" style="7" customWidth="1"/>
    <col min="7920" max="7921" width="11.140625" style="7" customWidth="1"/>
    <col min="7922" max="7922" width="5.42578125" style="7" customWidth="1"/>
    <col min="7923" max="7923" width="10.85546875" style="7" customWidth="1"/>
    <col min="7924" max="7924" width="11.85546875" style="7" customWidth="1"/>
    <col min="7925" max="7925" width="4.42578125" style="7" customWidth="1"/>
    <col min="7926" max="7926" width="5.42578125" style="7" customWidth="1"/>
    <col min="7927" max="7927" width="7.85546875" style="7" customWidth="1"/>
    <col min="7928" max="7928" width="8.5703125" style="7" customWidth="1"/>
    <col min="7929" max="7929" width="12.5703125" style="7" customWidth="1"/>
    <col min="7930" max="7930" width="6.42578125" style="7" customWidth="1"/>
    <col min="7931" max="7931" width="6" style="7" customWidth="1"/>
    <col min="7932" max="7932" width="8.140625" style="7" customWidth="1"/>
    <col min="7933" max="7933" width="7.140625" style="7" customWidth="1"/>
    <col min="7934" max="7934" width="10.5703125" style="7" customWidth="1"/>
    <col min="7935" max="7935" width="12.140625" style="7" customWidth="1"/>
    <col min="7936" max="7936" width="4.42578125" style="7" customWidth="1"/>
    <col min="7937" max="7939" width="10.140625" style="7" customWidth="1"/>
    <col min="7940" max="7940" width="10.42578125" style="7" customWidth="1"/>
    <col min="7941" max="7941" width="9" style="7"/>
    <col min="7942" max="7942" width="17.5703125" style="7" customWidth="1"/>
    <col min="7943" max="7943" width="17.85546875" style="7" customWidth="1"/>
    <col min="7944" max="7944" width="19.140625" style="7" customWidth="1"/>
    <col min="7945" max="7947" width="19" style="7" customWidth="1"/>
    <col min="7948" max="8154" width="9" style="7"/>
    <col min="8155" max="8156" width="20.140625" style="7" customWidth="1"/>
    <col min="8157" max="8157" width="5.5703125" style="7" customWidth="1"/>
    <col min="8158" max="8158" width="6.42578125" style="7" customWidth="1"/>
    <col min="8159" max="8159" width="1.42578125" style="7" customWidth="1"/>
    <col min="8160" max="8171" width="0" style="7" hidden="1" customWidth="1"/>
    <col min="8172" max="8173" width="10.85546875" style="7" customWidth="1"/>
    <col min="8174" max="8174" width="4.140625" style="7" customWidth="1"/>
    <col min="8175" max="8175" width="7.42578125" style="7" customWidth="1"/>
    <col min="8176" max="8177" width="11.140625" style="7" customWidth="1"/>
    <col min="8178" max="8178" width="5.42578125" style="7" customWidth="1"/>
    <col min="8179" max="8179" width="10.85546875" style="7" customWidth="1"/>
    <col min="8180" max="8180" width="11.85546875" style="7" customWidth="1"/>
    <col min="8181" max="8181" width="4.42578125" style="7" customWidth="1"/>
    <col min="8182" max="8182" width="5.42578125" style="7" customWidth="1"/>
    <col min="8183" max="8183" width="7.85546875" style="7" customWidth="1"/>
    <col min="8184" max="8184" width="8.5703125" style="7" customWidth="1"/>
    <col min="8185" max="8185" width="12.5703125" style="7" customWidth="1"/>
    <col min="8186" max="8186" width="6.42578125" style="7" customWidth="1"/>
    <col min="8187" max="8187" width="6" style="7" customWidth="1"/>
    <col min="8188" max="8188" width="8.140625" style="7" customWidth="1"/>
    <col min="8189" max="8189" width="7.140625" style="7" customWidth="1"/>
    <col min="8190" max="8190" width="10.5703125" style="7" customWidth="1"/>
    <col min="8191" max="8191" width="12.140625" style="7" customWidth="1"/>
    <col min="8192" max="8192" width="4.42578125" style="7" customWidth="1"/>
    <col min="8193" max="8195" width="10.140625" style="7" customWidth="1"/>
    <col min="8196" max="8196" width="10.42578125" style="7" customWidth="1"/>
    <col min="8197" max="8197" width="9" style="7"/>
    <col min="8198" max="8198" width="17.5703125" style="7" customWidth="1"/>
    <col min="8199" max="8199" width="17.85546875" style="7" customWidth="1"/>
    <col min="8200" max="8200" width="19.140625" style="7" customWidth="1"/>
    <col min="8201" max="8203" width="19" style="7" customWidth="1"/>
    <col min="8204" max="8410" width="9" style="7"/>
    <col min="8411" max="8412" width="20.140625" style="7" customWidth="1"/>
    <col min="8413" max="8413" width="5.5703125" style="7" customWidth="1"/>
    <col min="8414" max="8414" width="6.42578125" style="7" customWidth="1"/>
    <col min="8415" max="8415" width="1.42578125" style="7" customWidth="1"/>
    <col min="8416" max="8427" width="0" style="7" hidden="1" customWidth="1"/>
    <col min="8428" max="8429" width="10.85546875" style="7" customWidth="1"/>
    <col min="8430" max="8430" width="4.140625" style="7" customWidth="1"/>
    <col min="8431" max="8431" width="7.42578125" style="7" customWidth="1"/>
    <col min="8432" max="8433" width="11.140625" style="7" customWidth="1"/>
    <col min="8434" max="8434" width="5.42578125" style="7" customWidth="1"/>
    <col min="8435" max="8435" width="10.85546875" style="7" customWidth="1"/>
    <col min="8436" max="8436" width="11.85546875" style="7" customWidth="1"/>
    <col min="8437" max="8437" width="4.42578125" style="7" customWidth="1"/>
    <col min="8438" max="8438" width="5.42578125" style="7" customWidth="1"/>
    <col min="8439" max="8439" width="7.85546875" style="7" customWidth="1"/>
    <col min="8440" max="8440" width="8.5703125" style="7" customWidth="1"/>
    <col min="8441" max="8441" width="12.5703125" style="7" customWidth="1"/>
    <col min="8442" max="8442" width="6.42578125" style="7" customWidth="1"/>
    <col min="8443" max="8443" width="6" style="7" customWidth="1"/>
    <col min="8444" max="8444" width="8.140625" style="7" customWidth="1"/>
    <col min="8445" max="8445" width="7.140625" style="7" customWidth="1"/>
    <col min="8446" max="8446" width="10.5703125" style="7" customWidth="1"/>
    <col min="8447" max="8447" width="12.140625" style="7" customWidth="1"/>
    <col min="8448" max="8448" width="4.42578125" style="7" customWidth="1"/>
    <col min="8449" max="8451" width="10.140625" style="7" customWidth="1"/>
    <col min="8452" max="8452" width="10.42578125" style="7" customWidth="1"/>
    <col min="8453" max="8453" width="9" style="7"/>
    <col min="8454" max="8454" width="17.5703125" style="7" customWidth="1"/>
    <col min="8455" max="8455" width="17.85546875" style="7" customWidth="1"/>
    <col min="8456" max="8456" width="19.140625" style="7" customWidth="1"/>
    <col min="8457" max="8459" width="19" style="7" customWidth="1"/>
    <col min="8460" max="8666" width="9" style="7"/>
    <col min="8667" max="8668" width="20.140625" style="7" customWidth="1"/>
    <col min="8669" max="8669" width="5.5703125" style="7" customWidth="1"/>
    <col min="8670" max="8670" width="6.42578125" style="7" customWidth="1"/>
    <col min="8671" max="8671" width="1.42578125" style="7" customWidth="1"/>
    <col min="8672" max="8683" width="0" style="7" hidden="1" customWidth="1"/>
    <col min="8684" max="8685" width="10.85546875" style="7" customWidth="1"/>
    <col min="8686" max="8686" width="4.140625" style="7" customWidth="1"/>
    <col min="8687" max="8687" width="7.42578125" style="7" customWidth="1"/>
    <col min="8688" max="8689" width="11.140625" style="7" customWidth="1"/>
    <col min="8690" max="8690" width="5.42578125" style="7" customWidth="1"/>
    <col min="8691" max="8691" width="10.85546875" style="7" customWidth="1"/>
    <col min="8692" max="8692" width="11.85546875" style="7" customWidth="1"/>
    <col min="8693" max="8693" width="4.42578125" style="7" customWidth="1"/>
    <col min="8694" max="8694" width="5.42578125" style="7" customWidth="1"/>
    <col min="8695" max="8695" width="7.85546875" style="7" customWidth="1"/>
    <col min="8696" max="8696" width="8.5703125" style="7" customWidth="1"/>
    <col min="8697" max="8697" width="12.5703125" style="7" customWidth="1"/>
    <col min="8698" max="8698" width="6.42578125" style="7" customWidth="1"/>
    <col min="8699" max="8699" width="6" style="7" customWidth="1"/>
    <col min="8700" max="8700" width="8.140625" style="7" customWidth="1"/>
    <col min="8701" max="8701" width="7.140625" style="7" customWidth="1"/>
    <col min="8702" max="8702" width="10.5703125" style="7" customWidth="1"/>
    <col min="8703" max="8703" width="12.140625" style="7" customWidth="1"/>
    <col min="8704" max="8704" width="4.42578125" style="7" customWidth="1"/>
    <col min="8705" max="8707" width="10.140625" style="7" customWidth="1"/>
    <col min="8708" max="8708" width="10.42578125" style="7" customWidth="1"/>
    <col min="8709" max="8709" width="9" style="7"/>
    <col min="8710" max="8710" width="17.5703125" style="7" customWidth="1"/>
    <col min="8711" max="8711" width="17.85546875" style="7" customWidth="1"/>
    <col min="8712" max="8712" width="19.140625" style="7" customWidth="1"/>
    <col min="8713" max="8715" width="19" style="7" customWidth="1"/>
    <col min="8716" max="8922" width="9" style="7"/>
    <col min="8923" max="8924" width="20.140625" style="7" customWidth="1"/>
    <col min="8925" max="8925" width="5.5703125" style="7" customWidth="1"/>
    <col min="8926" max="8926" width="6.42578125" style="7" customWidth="1"/>
    <col min="8927" max="8927" width="1.42578125" style="7" customWidth="1"/>
    <col min="8928" max="8939" width="0" style="7" hidden="1" customWidth="1"/>
    <col min="8940" max="8941" width="10.85546875" style="7" customWidth="1"/>
    <col min="8942" max="8942" width="4.140625" style="7" customWidth="1"/>
    <col min="8943" max="8943" width="7.42578125" style="7" customWidth="1"/>
    <col min="8944" max="8945" width="11.140625" style="7" customWidth="1"/>
    <col min="8946" max="8946" width="5.42578125" style="7" customWidth="1"/>
    <col min="8947" max="8947" width="10.85546875" style="7" customWidth="1"/>
    <col min="8948" max="8948" width="11.85546875" style="7" customWidth="1"/>
    <col min="8949" max="8949" width="4.42578125" style="7" customWidth="1"/>
    <col min="8950" max="8950" width="5.42578125" style="7" customWidth="1"/>
    <col min="8951" max="8951" width="7.85546875" style="7" customWidth="1"/>
    <col min="8952" max="8952" width="8.5703125" style="7" customWidth="1"/>
    <col min="8953" max="8953" width="12.5703125" style="7" customWidth="1"/>
    <col min="8954" max="8954" width="6.42578125" style="7" customWidth="1"/>
    <col min="8955" max="8955" width="6" style="7" customWidth="1"/>
    <col min="8956" max="8956" width="8.140625" style="7" customWidth="1"/>
    <col min="8957" max="8957" width="7.140625" style="7" customWidth="1"/>
    <col min="8958" max="8958" width="10.5703125" style="7" customWidth="1"/>
    <col min="8959" max="8959" width="12.140625" style="7" customWidth="1"/>
    <col min="8960" max="8960" width="4.42578125" style="7" customWidth="1"/>
    <col min="8961" max="8963" width="10.140625" style="7" customWidth="1"/>
    <col min="8964" max="8964" width="10.42578125" style="7" customWidth="1"/>
    <col min="8965" max="8965" width="9" style="7"/>
    <col min="8966" max="8966" width="17.5703125" style="7" customWidth="1"/>
    <col min="8967" max="8967" width="17.85546875" style="7" customWidth="1"/>
    <col min="8968" max="8968" width="19.140625" style="7" customWidth="1"/>
    <col min="8969" max="8971" width="19" style="7" customWidth="1"/>
    <col min="8972" max="9178" width="9" style="7"/>
    <col min="9179" max="9180" width="20.140625" style="7" customWidth="1"/>
    <col min="9181" max="9181" width="5.5703125" style="7" customWidth="1"/>
    <col min="9182" max="9182" width="6.42578125" style="7" customWidth="1"/>
    <col min="9183" max="9183" width="1.42578125" style="7" customWidth="1"/>
    <col min="9184" max="9195" width="0" style="7" hidden="1" customWidth="1"/>
    <col min="9196" max="9197" width="10.85546875" style="7" customWidth="1"/>
    <col min="9198" max="9198" width="4.140625" style="7" customWidth="1"/>
    <col min="9199" max="9199" width="7.42578125" style="7" customWidth="1"/>
    <col min="9200" max="9201" width="11.140625" style="7" customWidth="1"/>
    <col min="9202" max="9202" width="5.42578125" style="7" customWidth="1"/>
    <col min="9203" max="9203" width="10.85546875" style="7" customWidth="1"/>
    <col min="9204" max="9204" width="11.85546875" style="7" customWidth="1"/>
    <col min="9205" max="9205" width="4.42578125" style="7" customWidth="1"/>
    <col min="9206" max="9206" width="5.42578125" style="7" customWidth="1"/>
    <col min="9207" max="9207" width="7.85546875" style="7" customWidth="1"/>
    <col min="9208" max="9208" width="8.5703125" style="7" customWidth="1"/>
    <col min="9209" max="9209" width="12.5703125" style="7" customWidth="1"/>
    <col min="9210" max="9210" width="6.42578125" style="7" customWidth="1"/>
    <col min="9211" max="9211" width="6" style="7" customWidth="1"/>
    <col min="9212" max="9212" width="8.140625" style="7" customWidth="1"/>
    <col min="9213" max="9213" width="7.140625" style="7" customWidth="1"/>
    <col min="9214" max="9214" width="10.5703125" style="7" customWidth="1"/>
    <col min="9215" max="9215" width="12.140625" style="7" customWidth="1"/>
    <col min="9216" max="9216" width="4.42578125" style="7" customWidth="1"/>
    <col min="9217" max="9219" width="10.140625" style="7" customWidth="1"/>
    <col min="9220" max="9220" width="10.42578125" style="7" customWidth="1"/>
    <col min="9221" max="9221" width="9" style="7"/>
    <col min="9222" max="9222" width="17.5703125" style="7" customWidth="1"/>
    <col min="9223" max="9223" width="17.85546875" style="7" customWidth="1"/>
    <col min="9224" max="9224" width="19.140625" style="7" customWidth="1"/>
    <col min="9225" max="9227" width="19" style="7" customWidth="1"/>
    <col min="9228" max="9434" width="9" style="7"/>
    <col min="9435" max="9436" width="20.140625" style="7" customWidth="1"/>
    <col min="9437" max="9437" width="5.5703125" style="7" customWidth="1"/>
    <col min="9438" max="9438" width="6.42578125" style="7" customWidth="1"/>
    <col min="9439" max="9439" width="1.42578125" style="7" customWidth="1"/>
    <col min="9440" max="9451" width="0" style="7" hidden="1" customWidth="1"/>
    <col min="9452" max="9453" width="10.85546875" style="7" customWidth="1"/>
    <col min="9454" max="9454" width="4.140625" style="7" customWidth="1"/>
    <col min="9455" max="9455" width="7.42578125" style="7" customWidth="1"/>
    <col min="9456" max="9457" width="11.140625" style="7" customWidth="1"/>
    <col min="9458" max="9458" width="5.42578125" style="7" customWidth="1"/>
    <col min="9459" max="9459" width="10.85546875" style="7" customWidth="1"/>
    <col min="9460" max="9460" width="11.85546875" style="7" customWidth="1"/>
    <col min="9461" max="9461" width="4.42578125" style="7" customWidth="1"/>
    <col min="9462" max="9462" width="5.42578125" style="7" customWidth="1"/>
    <col min="9463" max="9463" width="7.85546875" style="7" customWidth="1"/>
    <col min="9464" max="9464" width="8.5703125" style="7" customWidth="1"/>
    <col min="9465" max="9465" width="12.5703125" style="7" customWidth="1"/>
    <col min="9466" max="9466" width="6.42578125" style="7" customWidth="1"/>
    <col min="9467" max="9467" width="6" style="7" customWidth="1"/>
    <col min="9468" max="9468" width="8.140625" style="7" customWidth="1"/>
    <col min="9469" max="9469" width="7.140625" style="7" customWidth="1"/>
    <col min="9470" max="9470" width="10.5703125" style="7" customWidth="1"/>
    <col min="9471" max="9471" width="12.140625" style="7" customWidth="1"/>
    <col min="9472" max="9472" width="4.42578125" style="7" customWidth="1"/>
    <col min="9473" max="9475" width="10.140625" style="7" customWidth="1"/>
    <col min="9476" max="9476" width="10.42578125" style="7" customWidth="1"/>
    <col min="9477" max="9477" width="9" style="7"/>
    <col min="9478" max="9478" width="17.5703125" style="7" customWidth="1"/>
    <col min="9479" max="9479" width="17.85546875" style="7" customWidth="1"/>
    <col min="9480" max="9480" width="19.140625" style="7" customWidth="1"/>
    <col min="9481" max="9483" width="19" style="7" customWidth="1"/>
    <col min="9484" max="9690" width="9" style="7"/>
    <col min="9691" max="9692" width="20.140625" style="7" customWidth="1"/>
    <col min="9693" max="9693" width="5.5703125" style="7" customWidth="1"/>
    <col min="9694" max="9694" width="6.42578125" style="7" customWidth="1"/>
    <col min="9695" max="9695" width="1.42578125" style="7" customWidth="1"/>
    <col min="9696" max="9707" width="0" style="7" hidden="1" customWidth="1"/>
    <col min="9708" max="9709" width="10.85546875" style="7" customWidth="1"/>
    <col min="9710" max="9710" width="4.140625" style="7" customWidth="1"/>
    <col min="9711" max="9711" width="7.42578125" style="7" customWidth="1"/>
    <col min="9712" max="9713" width="11.140625" style="7" customWidth="1"/>
    <col min="9714" max="9714" width="5.42578125" style="7" customWidth="1"/>
    <col min="9715" max="9715" width="10.85546875" style="7" customWidth="1"/>
    <col min="9716" max="9716" width="11.85546875" style="7" customWidth="1"/>
    <col min="9717" max="9717" width="4.42578125" style="7" customWidth="1"/>
    <col min="9718" max="9718" width="5.42578125" style="7" customWidth="1"/>
    <col min="9719" max="9719" width="7.85546875" style="7" customWidth="1"/>
    <col min="9720" max="9720" width="8.5703125" style="7" customWidth="1"/>
    <col min="9721" max="9721" width="12.5703125" style="7" customWidth="1"/>
    <col min="9722" max="9722" width="6.42578125" style="7" customWidth="1"/>
    <col min="9723" max="9723" width="6" style="7" customWidth="1"/>
    <col min="9724" max="9724" width="8.140625" style="7" customWidth="1"/>
    <col min="9725" max="9725" width="7.140625" style="7" customWidth="1"/>
    <col min="9726" max="9726" width="10.5703125" style="7" customWidth="1"/>
    <col min="9727" max="9727" width="12.140625" style="7" customWidth="1"/>
    <col min="9728" max="9728" width="4.42578125" style="7" customWidth="1"/>
    <col min="9729" max="9731" width="10.140625" style="7" customWidth="1"/>
    <col min="9732" max="9732" width="10.42578125" style="7" customWidth="1"/>
    <col min="9733" max="9733" width="9" style="7"/>
    <col min="9734" max="9734" width="17.5703125" style="7" customWidth="1"/>
    <col min="9735" max="9735" width="17.85546875" style="7" customWidth="1"/>
    <col min="9736" max="9736" width="19.140625" style="7" customWidth="1"/>
    <col min="9737" max="9739" width="19" style="7" customWidth="1"/>
    <col min="9740" max="9946" width="9" style="7"/>
    <col min="9947" max="9948" width="20.140625" style="7" customWidth="1"/>
    <col min="9949" max="9949" width="5.5703125" style="7" customWidth="1"/>
    <col min="9950" max="9950" width="6.42578125" style="7" customWidth="1"/>
    <col min="9951" max="9951" width="1.42578125" style="7" customWidth="1"/>
    <col min="9952" max="9963" width="0" style="7" hidden="1" customWidth="1"/>
    <col min="9964" max="9965" width="10.85546875" style="7" customWidth="1"/>
    <col min="9966" max="9966" width="4.140625" style="7" customWidth="1"/>
    <col min="9967" max="9967" width="7.42578125" style="7" customWidth="1"/>
    <col min="9968" max="9969" width="11.140625" style="7" customWidth="1"/>
    <col min="9970" max="9970" width="5.42578125" style="7" customWidth="1"/>
    <col min="9971" max="9971" width="10.85546875" style="7" customWidth="1"/>
    <col min="9972" max="9972" width="11.85546875" style="7" customWidth="1"/>
    <col min="9973" max="9973" width="4.42578125" style="7" customWidth="1"/>
    <col min="9974" max="9974" width="5.42578125" style="7" customWidth="1"/>
    <col min="9975" max="9975" width="7.85546875" style="7" customWidth="1"/>
    <col min="9976" max="9976" width="8.5703125" style="7" customWidth="1"/>
    <col min="9977" max="9977" width="12.5703125" style="7" customWidth="1"/>
    <col min="9978" max="9978" width="6.42578125" style="7" customWidth="1"/>
    <col min="9979" max="9979" width="6" style="7" customWidth="1"/>
    <col min="9980" max="9980" width="8.140625" style="7" customWidth="1"/>
    <col min="9981" max="9981" width="7.140625" style="7" customWidth="1"/>
    <col min="9982" max="9982" width="10.5703125" style="7" customWidth="1"/>
    <col min="9983" max="9983" width="12.140625" style="7" customWidth="1"/>
    <col min="9984" max="9984" width="4.42578125" style="7" customWidth="1"/>
    <col min="9985" max="9987" width="10.140625" style="7" customWidth="1"/>
    <col min="9988" max="9988" width="10.42578125" style="7" customWidth="1"/>
    <col min="9989" max="9989" width="9" style="7"/>
    <col min="9990" max="9990" width="17.5703125" style="7" customWidth="1"/>
    <col min="9991" max="9991" width="17.85546875" style="7" customWidth="1"/>
    <col min="9992" max="9992" width="19.140625" style="7" customWidth="1"/>
    <col min="9993" max="9995" width="19" style="7" customWidth="1"/>
    <col min="9996" max="10202" width="9" style="7"/>
    <col min="10203" max="10204" width="20.140625" style="7" customWidth="1"/>
    <col min="10205" max="10205" width="5.5703125" style="7" customWidth="1"/>
    <col min="10206" max="10206" width="6.42578125" style="7" customWidth="1"/>
    <col min="10207" max="10207" width="1.42578125" style="7" customWidth="1"/>
    <col min="10208" max="10219" width="0" style="7" hidden="1" customWidth="1"/>
    <col min="10220" max="10221" width="10.85546875" style="7" customWidth="1"/>
    <col min="10222" max="10222" width="4.140625" style="7" customWidth="1"/>
    <col min="10223" max="10223" width="7.42578125" style="7" customWidth="1"/>
    <col min="10224" max="10225" width="11.140625" style="7" customWidth="1"/>
    <col min="10226" max="10226" width="5.42578125" style="7" customWidth="1"/>
    <col min="10227" max="10227" width="10.85546875" style="7" customWidth="1"/>
    <col min="10228" max="10228" width="11.85546875" style="7" customWidth="1"/>
    <col min="10229" max="10229" width="4.42578125" style="7" customWidth="1"/>
    <col min="10230" max="10230" width="5.42578125" style="7" customWidth="1"/>
    <col min="10231" max="10231" width="7.85546875" style="7" customWidth="1"/>
    <col min="10232" max="10232" width="8.5703125" style="7" customWidth="1"/>
    <col min="10233" max="10233" width="12.5703125" style="7" customWidth="1"/>
    <col min="10234" max="10234" width="6.42578125" style="7" customWidth="1"/>
    <col min="10235" max="10235" width="6" style="7" customWidth="1"/>
    <col min="10236" max="10236" width="8.140625" style="7" customWidth="1"/>
    <col min="10237" max="10237" width="7.140625" style="7" customWidth="1"/>
    <col min="10238" max="10238" width="10.5703125" style="7" customWidth="1"/>
    <col min="10239" max="10239" width="12.140625" style="7" customWidth="1"/>
    <col min="10240" max="10240" width="4.42578125" style="7" customWidth="1"/>
    <col min="10241" max="10243" width="10.140625" style="7" customWidth="1"/>
    <col min="10244" max="10244" width="10.42578125" style="7" customWidth="1"/>
    <col min="10245" max="10245" width="9" style="7"/>
    <col min="10246" max="10246" width="17.5703125" style="7" customWidth="1"/>
    <col min="10247" max="10247" width="17.85546875" style="7" customWidth="1"/>
    <col min="10248" max="10248" width="19.140625" style="7" customWidth="1"/>
    <col min="10249" max="10251" width="19" style="7" customWidth="1"/>
    <col min="10252" max="10458" width="9" style="7"/>
    <col min="10459" max="10460" width="20.140625" style="7" customWidth="1"/>
    <col min="10461" max="10461" width="5.5703125" style="7" customWidth="1"/>
    <col min="10462" max="10462" width="6.42578125" style="7" customWidth="1"/>
    <col min="10463" max="10463" width="1.42578125" style="7" customWidth="1"/>
    <col min="10464" max="10475" width="0" style="7" hidden="1" customWidth="1"/>
    <col min="10476" max="10477" width="10.85546875" style="7" customWidth="1"/>
    <col min="10478" max="10478" width="4.140625" style="7" customWidth="1"/>
    <col min="10479" max="10479" width="7.42578125" style="7" customWidth="1"/>
    <col min="10480" max="10481" width="11.140625" style="7" customWidth="1"/>
    <col min="10482" max="10482" width="5.42578125" style="7" customWidth="1"/>
    <col min="10483" max="10483" width="10.85546875" style="7" customWidth="1"/>
    <col min="10484" max="10484" width="11.85546875" style="7" customWidth="1"/>
    <col min="10485" max="10485" width="4.42578125" style="7" customWidth="1"/>
    <col min="10486" max="10486" width="5.42578125" style="7" customWidth="1"/>
    <col min="10487" max="10487" width="7.85546875" style="7" customWidth="1"/>
    <col min="10488" max="10488" width="8.5703125" style="7" customWidth="1"/>
    <col min="10489" max="10489" width="12.5703125" style="7" customWidth="1"/>
    <col min="10490" max="10490" width="6.42578125" style="7" customWidth="1"/>
    <col min="10491" max="10491" width="6" style="7" customWidth="1"/>
    <col min="10492" max="10492" width="8.140625" style="7" customWidth="1"/>
    <col min="10493" max="10493" width="7.140625" style="7" customWidth="1"/>
    <col min="10494" max="10494" width="10.5703125" style="7" customWidth="1"/>
    <col min="10495" max="10495" width="12.140625" style="7" customWidth="1"/>
    <col min="10496" max="10496" width="4.42578125" style="7" customWidth="1"/>
    <col min="10497" max="10499" width="10.140625" style="7" customWidth="1"/>
    <col min="10500" max="10500" width="10.42578125" style="7" customWidth="1"/>
    <col min="10501" max="10501" width="9" style="7"/>
    <col min="10502" max="10502" width="17.5703125" style="7" customWidth="1"/>
    <col min="10503" max="10503" width="17.85546875" style="7" customWidth="1"/>
    <col min="10504" max="10504" width="19.140625" style="7" customWidth="1"/>
    <col min="10505" max="10507" width="19" style="7" customWidth="1"/>
    <col min="10508" max="10714" width="9" style="7"/>
    <col min="10715" max="10716" width="20.140625" style="7" customWidth="1"/>
    <col min="10717" max="10717" width="5.5703125" style="7" customWidth="1"/>
    <col min="10718" max="10718" width="6.42578125" style="7" customWidth="1"/>
    <col min="10719" max="10719" width="1.42578125" style="7" customWidth="1"/>
    <col min="10720" max="10731" width="0" style="7" hidden="1" customWidth="1"/>
    <col min="10732" max="10733" width="10.85546875" style="7" customWidth="1"/>
    <col min="10734" max="10734" width="4.140625" style="7" customWidth="1"/>
    <col min="10735" max="10735" width="7.42578125" style="7" customWidth="1"/>
    <col min="10736" max="10737" width="11.140625" style="7" customWidth="1"/>
    <col min="10738" max="10738" width="5.42578125" style="7" customWidth="1"/>
    <col min="10739" max="10739" width="10.85546875" style="7" customWidth="1"/>
    <col min="10740" max="10740" width="11.85546875" style="7" customWidth="1"/>
    <col min="10741" max="10741" width="4.42578125" style="7" customWidth="1"/>
    <col min="10742" max="10742" width="5.42578125" style="7" customWidth="1"/>
    <col min="10743" max="10743" width="7.85546875" style="7" customWidth="1"/>
    <col min="10744" max="10744" width="8.5703125" style="7" customWidth="1"/>
    <col min="10745" max="10745" width="12.5703125" style="7" customWidth="1"/>
    <col min="10746" max="10746" width="6.42578125" style="7" customWidth="1"/>
    <col min="10747" max="10747" width="6" style="7" customWidth="1"/>
    <col min="10748" max="10748" width="8.140625" style="7" customWidth="1"/>
    <col min="10749" max="10749" width="7.140625" style="7" customWidth="1"/>
    <col min="10750" max="10750" width="10.5703125" style="7" customWidth="1"/>
    <col min="10751" max="10751" width="12.140625" style="7" customWidth="1"/>
    <col min="10752" max="10752" width="4.42578125" style="7" customWidth="1"/>
    <col min="10753" max="10755" width="10.140625" style="7" customWidth="1"/>
    <col min="10756" max="10756" width="10.42578125" style="7" customWidth="1"/>
    <col min="10757" max="10757" width="9" style="7"/>
    <col min="10758" max="10758" width="17.5703125" style="7" customWidth="1"/>
    <col min="10759" max="10759" width="17.85546875" style="7" customWidth="1"/>
    <col min="10760" max="10760" width="19.140625" style="7" customWidth="1"/>
    <col min="10761" max="10763" width="19" style="7" customWidth="1"/>
    <col min="10764" max="10970" width="9" style="7"/>
    <col min="10971" max="10972" width="20.140625" style="7" customWidth="1"/>
    <col min="10973" max="10973" width="5.5703125" style="7" customWidth="1"/>
    <col min="10974" max="10974" width="6.42578125" style="7" customWidth="1"/>
    <col min="10975" max="10975" width="1.42578125" style="7" customWidth="1"/>
    <col min="10976" max="10987" width="0" style="7" hidden="1" customWidth="1"/>
    <col min="10988" max="10989" width="10.85546875" style="7" customWidth="1"/>
    <col min="10990" max="10990" width="4.140625" style="7" customWidth="1"/>
    <col min="10991" max="10991" width="7.42578125" style="7" customWidth="1"/>
    <col min="10992" max="10993" width="11.140625" style="7" customWidth="1"/>
    <col min="10994" max="10994" width="5.42578125" style="7" customWidth="1"/>
    <col min="10995" max="10995" width="10.85546875" style="7" customWidth="1"/>
    <col min="10996" max="10996" width="11.85546875" style="7" customWidth="1"/>
    <col min="10997" max="10997" width="4.42578125" style="7" customWidth="1"/>
    <col min="10998" max="10998" width="5.42578125" style="7" customWidth="1"/>
    <col min="10999" max="10999" width="7.85546875" style="7" customWidth="1"/>
    <col min="11000" max="11000" width="8.5703125" style="7" customWidth="1"/>
    <col min="11001" max="11001" width="12.5703125" style="7" customWidth="1"/>
    <col min="11002" max="11002" width="6.42578125" style="7" customWidth="1"/>
    <col min="11003" max="11003" width="6" style="7" customWidth="1"/>
    <col min="11004" max="11004" width="8.140625" style="7" customWidth="1"/>
    <col min="11005" max="11005" width="7.140625" style="7" customWidth="1"/>
    <col min="11006" max="11006" width="10.5703125" style="7" customWidth="1"/>
    <col min="11007" max="11007" width="12.140625" style="7" customWidth="1"/>
    <col min="11008" max="11008" width="4.42578125" style="7" customWidth="1"/>
    <col min="11009" max="11011" width="10.140625" style="7" customWidth="1"/>
    <col min="11012" max="11012" width="10.42578125" style="7" customWidth="1"/>
    <col min="11013" max="11013" width="9" style="7"/>
    <col min="11014" max="11014" width="17.5703125" style="7" customWidth="1"/>
    <col min="11015" max="11015" width="17.85546875" style="7" customWidth="1"/>
    <col min="11016" max="11016" width="19.140625" style="7" customWidth="1"/>
    <col min="11017" max="11019" width="19" style="7" customWidth="1"/>
    <col min="11020" max="11226" width="9" style="7"/>
    <col min="11227" max="11228" width="20.140625" style="7" customWidth="1"/>
    <col min="11229" max="11229" width="5.5703125" style="7" customWidth="1"/>
    <col min="11230" max="11230" width="6.42578125" style="7" customWidth="1"/>
    <col min="11231" max="11231" width="1.42578125" style="7" customWidth="1"/>
    <col min="11232" max="11243" width="0" style="7" hidden="1" customWidth="1"/>
    <col min="11244" max="11245" width="10.85546875" style="7" customWidth="1"/>
    <col min="11246" max="11246" width="4.140625" style="7" customWidth="1"/>
    <col min="11247" max="11247" width="7.42578125" style="7" customWidth="1"/>
    <col min="11248" max="11249" width="11.140625" style="7" customWidth="1"/>
    <col min="11250" max="11250" width="5.42578125" style="7" customWidth="1"/>
    <col min="11251" max="11251" width="10.85546875" style="7" customWidth="1"/>
    <col min="11252" max="11252" width="11.85546875" style="7" customWidth="1"/>
    <col min="11253" max="11253" width="4.42578125" style="7" customWidth="1"/>
    <col min="11254" max="11254" width="5.42578125" style="7" customWidth="1"/>
    <col min="11255" max="11255" width="7.85546875" style="7" customWidth="1"/>
    <col min="11256" max="11256" width="8.5703125" style="7" customWidth="1"/>
    <col min="11257" max="11257" width="12.5703125" style="7" customWidth="1"/>
    <col min="11258" max="11258" width="6.42578125" style="7" customWidth="1"/>
    <col min="11259" max="11259" width="6" style="7" customWidth="1"/>
    <col min="11260" max="11260" width="8.140625" style="7" customWidth="1"/>
    <col min="11261" max="11261" width="7.140625" style="7" customWidth="1"/>
    <col min="11262" max="11262" width="10.5703125" style="7" customWidth="1"/>
    <col min="11263" max="11263" width="12.140625" style="7" customWidth="1"/>
    <col min="11264" max="11264" width="4.42578125" style="7" customWidth="1"/>
    <col min="11265" max="11267" width="10.140625" style="7" customWidth="1"/>
    <col min="11268" max="11268" width="10.42578125" style="7" customWidth="1"/>
    <col min="11269" max="11269" width="9" style="7"/>
    <col min="11270" max="11270" width="17.5703125" style="7" customWidth="1"/>
    <col min="11271" max="11271" width="17.85546875" style="7" customWidth="1"/>
    <col min="11272" max="11272" width="19.140625" style="7" customWidth="1"/>
    <col min="11273" max="11275" width="19" style="7" customWidth="1"/>
    <col min="11276" max="11482" width="9" style="7"/>
    <col min="11483" max="11484" width="20.140625" style="7" customWidth="1"/>
    <col min="11485" max="11485" width="5.5703125" style="7" customWidth="1"/>
    <col min="11486" max="11486" width="6.42578125" style="7" customWidth="1"/>
    <col min="11487" max="11487" width="1.42578125" style="7" customWidth="1"/>
    <col min="11488" max="11499" width="0" style="7" hidden="1" customWidth="1"/>
    <col min="11500" max="11501" width="10.85546875" style="7" customWidth="1"/>
    <col min="11502" max="11502" width="4.140625" style="7" customWidth="1"/>
    <col min="11503" max="11503" width="7.42578125" style="7" customWidth="1"/>
    <col min="11504" max="11505" width="11.140625" style="7" customWidth="1"/>
    <col min="11506" max="11506" width="5.42578125" style="7" customWidth="1"/>
    <col min="11507" max="11507" width="10.85546875" style="7" customWidth="1"/>
    <col min="11508" max="11508" width="11.85546875" style="7" customWidth="1"/>
    <col min="11509" max="11509" width="4.42578125" style="7" customWidth="1"/>
    <col min="11510" max="11510" width="5.42578125" style="7" customWidth="1"/>
    <col min="11511" max="11511" width="7.85546875" style="7" customWidth="1"/>
    <col min="11512" max="11512" width="8.5703125" style="7" customWidth="1"/>
    <col min="11513" max="11513" width="12.5703125" style="7" customWidth="1"/>
    <col min="11514" max="11514" width="6.42578125" style="7" customWidth="1"/>
    <col min="11515" max="11515" width="6" style="7" customWidth="1"/>
    <col min="11516" max="11516" width="8.140625" style="7" customWidth="1"/>
    <col min="11517" max="11517" width="7.140625" style="7" customWidth="1"/>
    <col min="11518" max="11518" width="10.5703125" style="7" customWidth="1"/>
    <col min="11519" max="11519" width="12.140625" style="7" customWidth="1"/>
    <col min="11520" max="11520" width="4.42578125" style="7" customWidth="1"/>
    <col min="11521" max="11523" width="10.140625" style="7" customWidth="1"/>
    <col min="11524" max="11524" width="10.42578125" style="7" customWidth="1"/>
    <col min="11525" max="11525" width="9" style="7"/>
    <col min="11526" max="11526" width="17.5703125" style="7" customWidth="1"/>
    <col min="11527" max="11527" width="17.85546875" style="7" customWidth="1"/>
    <col min="11528" max="11528" width="19.140625" style="7" customWidth="1"/>
    <col min="11529" max="11531" width="19" style="7" customWidth="1"/>
    <col min="11532" max="11738" width="9" style="7"/>
    <col min="11739" max="11740" width="20.140625" style="7" customWidth="1"/>
    <col min="11741" max="11741" width="5.5703125" style="7" customWidth="1"/>
    <col min="11742" max="11742" width="6.42578125" style="7" customWidth="1"/>
    <col min="11743" max="11743" width="1.42578125" style="7" customWidth="1"/>
    <col min="11744" max="11755" width="0" style="7" hidden="1" customWidth="1"/>
    <col min="11756" max="11757" width="10.85546875" style="7" customWidth="1"/>
    <col min="11758" max="11758" width="4.140625" style="7" customWidth="1"/>
    <col min="11759" max="11759" width="7.42578125" style="7" customWidth="1"/>
    <col min="11760" max="11761" width="11.140625" style="7" customWidth="1"/>
    <col min="11762" max="11762" width="5.42578125" style="7" customWidth="1"/>
    <col min="11763" max="11763" width="10.85546875" style="7" customWidth="1"/>
    <col min="11764" max="11764" width="11.85546875" style="7" customWidth="1"/>
    <col min="11765" max="11765" width="4.42578125" style="7" customWidth="1"/>
    <col min="11766" max="11766" width="5.42578125" style="7" customWidth="1"/>
    <col min="11767" max="11767" width="7.85546875" style="7" customWidth="1"/>
    <col min="11768" max="11768" width="8.5703125" style="7" customWidth="1"/>
    <col min="11769" max="11769" width="12.5703125" style="7" customWidth="1"/>
    <col min="11770" max="11770" width="6.42578125" style="7" customWidth="1"/>
    <col min="11771" max="11771" width="6" style="7" customWidth="1"/>
    <col min="11772" max="11772" width="8.140625" style="7" customWidth="1"/>
    <col min="11773" max="11773" width="7.140625" style="7" customWidth="1"/>
    <col min="11774" max="11774" width="10.5703125" style="7" customWidth="1"/>
    <col min="11775" max="11775" width="12.140625" style="7" customWidth="1"/>
    <col min="11776" max="11776" width="4.42578125" style="7" customWidth="1"/>
    <col min="11777" max="11779" width="10.140625" style="7" customWidth="1"/>
    <col min="11780" max="11780" width="10.42578125" style="7" customWidth="1"/>
    <col min="11781" max="11781" width="9" style="7"/>
    <col min="11782" max="11782" width="17.5703125" style="7" customWidth="1"/>
    <col min="11783" max="11783" width="17.85546875" style="7" customWidth="1"/>
    <col min="11784" max="11784" width="19.140625" style="7" customWidth="1"/>
    <col min="11785" max="11787" width="19" style="7" customWidth="1"/>
    <col min="11788" max="11994" width="9" style="7"/>
    <col min="11995" max="11996" width="20.140625" style="7" customWidth="1"/>
    <col min="11997" max="11997" width="5.5703125" style="7" customWidth="1"/>
    <col min="11998" max="11998" width="6.42578125" style="7" customWidth="1"/>
    <col min="11999" max="11999" width="1.42578125" style="7" customWidth="1"/>
    <col min="12000" max="12011" width="0" style="7" hidden="1" customWidth="1"/>
    <col min="12012" max="12013" width="10.85546875" style="7" customWidth="1"/>
    <col min="12014" max="12014" width="4.140625" style="7" customWidth="1"/>
    <col min="12015" max="12015" width="7.42578125" style="7" customWidth="1"/>
    <col min="12016" max="12017" width="11.140625" style="7" customWidth="1"/>
    <col min="12018" max="12018" width="5.42578125" style="7" customWidth="1"/>
    <col min="12019" max="12019" width="10.85546875" style="7" customWidth="1"/>
    <col min="12020" max="12020" width="11.85546875" style="7" customWidth="1"/>
    <col min="12021" max="12021" width="4.42578125" style="7" customWidth="1"/>
    <col min="12022" max="12022" width="5.42578125" style="7" customWidth="1"/>
    <col min="12023" max="12023" width="7.85546875" style="7" customWidth="1"/>
    <col min="12024" max="12024" width="8.5703125" style="7" customWidth="1"/>
    <col min="12025" max="12025" width="12.5703125" style="7" customWidth="1"/>
    <col min="12026" max="12026" width="6.42578125" style="7" customWidth="1"/>
    <col min="12027" max="12027" width="6" style="7" customWidth="1"/>
    <col min="12028" max="12028" width="8.140625" style="7" customWidth="1"/>
    <col min="12029" max="12029" width="7.140625" style="7" customWidth="1"/>
    <col min="12030" max="12030" width="10.5703125" style="7" customWidth="1"/>
    <col min="12031" max="12031" width="12.140625" style="7" customWidth="1"/>
    <col min="12032" max="12032" width="4.42578125" style="7" customWidth="1"/>
    <col min="12033" max="12035" width="10.140625" style="7" customWidth="1"/>
    <col min="12036" max="12036" width="10.42578125" style="7" customWidth="1"/>
    <col min="12037" max="12037" width="9" style="7"/>
    <col min="12038" max="12038" width="17.5703125" style="7" customWidth="1"/>
    <col min="12039" max="12039" width="17.85546875" style="7" customWidth="1"/>
    <col min="12040" max="12040" width="19.140625" style="7" customWidth="1"/>
    <col min="12041" max="12043" width="19" style="7" customWidth="1"/>
    <col min="12044" max="12250" width="9" style="7"/>
    <col min="12251" max="12252" width="20.140625" style="7" customWidth="1"/>
    <col min="12253" max="12253" width="5.5703125" style="7" customWidth="1"/>
    <col min="12254" max="12254" width="6.42578125" style="7" customWidth="1"/>
    <col min="12255" max="12255" width="1.42578125" style="7" customWidth="1"/>
    <col min="12256" max="12267" width="0" style="7" hidden="1" customWidth="1"/>
    <col min="12268" max="12269" width="10.85546875" style="7" customWidth="1"/>
    <col min="12270" max="12270" width="4.140625" style="7" customWidth="1"/>
    <col min="12271" max="12271" width="7.42578125" style="7" customWidth="1"/>
    <col min="12272" max="12273" width="11.140625" style="7" customWidth="1"/>
    <col min="12274" max="12274" width="5.42578125" style="7" customWidth="1"/>
    <col min="12275" max="12275" width="10.85546875" style="7" customWidth="1"/>
    <col min="12276" max="12276" width="11.85546875" style="7" customWidth="1"/>
    <col min="12277" max="12277" width="4.42578125" style="7" customWidth="1"/>
    <col min="12278" max="12278" width="5.42578125" style="7" customWidth="1"/>
    <col min="12279" max="12279" width="7.85546875" style="7" customWidth="1"/>
    <col min="12280" max="12280" width="8.5703125" style="7" customWidth="1"/>
    <col min="12281" max="12281" width="12.5703125" style="7" customWidth="1"/>
    <col min="12282" max="12282" width="6.42578125" style="7" customWidth="1"/>
    <col min="12283" max="12283" width="6" style="7" customWidth="1"/>
    <col min="12284" max="12284" width="8.140625" style="7" customWidth="1"/>
    <col min="12285" max="12285" width="7.140625" style="7" customWidth="1"/>
    <col min="12286" max="12286" width="10.5703125" style="7" customWidth="1"/>
    <col min="12287" max="12287" width="12.140625" style="7" customWidth="1"/>
    <col min="12288" max="12288" width="4.42578125" style="7" customWidth="1"/>
    <col min="12289" max="12291" width="10.140625" style="7" customWidth="1"/>
    <col min="12292" max="12292" width="10.42578125" style="7" customWidth="1"/>
    <col min="12293" max="12293" width="9" style="7"/>
    <col min="12294" max="12294" width="17.5703125" style="7" customWidth="1"/>
    <col min="12295" max="12295" width="17.85546875" style="7" customWidth="1"/>
    <col min="12296" max="12296" width="19.140625" style="7" customWidth="1"/>
    <col min="12297" max="12299" width="19" style="7" customWidth="1"/>
    <col min="12300" max="12506" width="9" style="7"/>
    <col min="12507" max="12508" width="20.140625" style="7" customWidth="1"/>
    <col min="12509" max="12509" width="5.5703125" style="7" customWidth="1"/>
    <col min="12510" max="12510" width="6.42578125" style="7" customWidth="1"/>
    <col min="12511" max="12511" width="1.42578125" style="7" customWidth="1"/>
    <col min="12512" max="12523" width="0" style="7" hidden="1" customWidth="1"/>
    <col min="12524" max="12525" width="10.85546875" style="7" customWidth="1"/>
    <col min="12526" max="12526" width="4.140625" style="7" customWidth="1"/>
    <col min="12527" max="12527" width="7.42578125" style="7" customWidth="1"/>
    <col min="12528" max="12529" width="11.140625" style="7" customWidth="1"/>
    <col min="12530" max="12530" width="5.42578125" style="7" customWidth="1"/>
    <col min="12531" max="12531" width="10.85546875" style="7" customWidth="1"/>
    <col min="12532" max="12532" width="11.85546875" style="7" customWidth="1"/>
    <col min="12533" max="12533" width="4.42578125" style="7" customWidth="1"/>
    <col min="12534" max="12534" width="5.42578125" style="7" customWidth="1"/>
    <col min="12535" max="12535" width="7.85546875" style="7" customWidth="1"/>
    <col min="12536" max="12536" width="8.5703125" style="7" customWidth="1"/>
    <col min="12537" max="12537" width="12.5703125" style="7" customWidth="1"/>
    <col min="12538" max="12538" width="6.42578125" style="7" customWidth="1"/>
    <col min="12539" max="12539" width="6" style="7" customWidth="1"/>
    <col min="12540" max="12540" width="8.140625" style="7" customWidth="1"/>
    <col min="12541" max="12541" width="7.140625" style="7" customWidth="1"/>
    <col min="12542" max="12542" width="10.5703125" style="7" customWidth="1"/>
    <col min="12543" max="12543" width="12.140625" style="7" customWidth="1"/>
    <col min="12544" max="12544" width="4.42578125" style="7" customWidth="1"/>
    <col min="12545" max="12547" width="10.140625" style="7" customWidth="1"/>
    <col min="12548" max="12548" width="10.42578125" style="7" customWidth="1"/>
    <col min="12549" max="12549" width="9" style="7"/>
    <col min="12550" max="12550" width="17.5703125" style="7" customWidth="1"/>
    <col min="12551" max="12551" width="17.85546875" style="7" customWidth="1"/>
    <col min="12552" max="12552" width="19.140625" style="7" customWidth="1"/>
    <col min="12553" max="12555" width="19" style="7" customWidth="1"/>
    <col min="12556" max="12762" width="9" style="7"/>
    <col min="12763" max="12764" width="20.140625" style="7" customWidth="1"/>
    <col min="12765" max="12765" width="5.5703125" style="7" customWidth="1"/>
    <col min="12766" max="12766" width="6.42578125" style="7" customWidth="1"/>
    <col min="12767" max="12767" width="1.42578125" style="7" customWidth="1"/>
    <col min="12768" max="12779" width="0" style="7" hidden="1" customWidth="1"/>
    <col min="12780" max="12781" width="10.85546875" style="7" customWidth="1"/>
    <col min="12782" max="12782" width="4.140625" style="7" customWidth="1"/>
    <col min="12783" max="12783" width="7.42578125" style="7" customWidth="1"/>
    <col min="12784" max="12785" width="11.140625" style="7" customWidth="1"/>
    <col min="12786" max="12786" width="5.42578125" style="7" customWidth="1"/>
    <col min="12787" max="12787" width="10.85546875" style="7" customWidth="1"/>
    <col min="12788" max="12788" width="11.85546875" style="7" customWidth="1"/>
    <col min="12789" max="12789" width="4.42578125" style="7" customWidth="1"/>
    <col min="12790" max="12790" width="5.42578125" style="7" customWidth="1"/>
    <col min="12791" max="12791" width="7.85546875" style="7" customWidth="1"/>
    <col min="12792" max="12792" width="8.5703125" style="7" customWidth="1"/>
    <col min="12793" max="12793" width="12.5703125" style="7" customWidth="1"/>
    <col min="12794" max="12794" width="6.42578125" style="7" customWidth="1"/>
    <col min="12795" max="12795" width="6" style="7" customWidth="1"/>
    <col min="12796" max="12796" width="8.140625" style="7" customWidth="1"/>
    <col min="12797" max="12797" width="7.140625" style="7" customWidth="1"/>
    <col min="12798" max="12798" width="10.5703125" style="7" customWidth="1"/>
    <col min="12799" max="12799" width="12.140625" style="7" customWidth="1"/>
    <col min="12800" max="12800" width="4.42578125" style="7" customWidth="1"/>
    <col min="12801" max="12803" width="10.140625" style="7" customWidth="1"/>
    <col min="12804" max="12804" width="10.42578125" style="7" customWidth="1"/>
    <col min="12805" max="12805" width="9" style="7"/>
    <col min="12806" max="12806" width="17.5703125" style="7" customWidth="1"/>
    <col min="12807" max="12807" width="17.85546875" style="7" customWidth="1"/>
    <col min="12808" max="12808" width="19.140625" style="7" customWidth="1"/>
    <col min="12809" max="12811" width="19" style="7" customWidth="1"/>
    <col min="12812" max="13018" width="9" style="7"/>
    <col min="13019" max="13020" width="20.140625" style="7" customWidth="1"/>
    <col min="13021" max="13021" width="5.5703125" style="7" customWidth="1"/>
    <col min="13022" max="13022" width="6.42578125" style="7" customWidth="1"/>
    <col min="13023" max="13023" width="1.42578125" style="7" customWidth="1"/>
    <col min="13024" max="13035" width="0" style="7" hidden="1" customWidth="1"/>
    <col min="13036" max="13037" width="10.85546875" style="7" customWidth="1"/>
    <col min="13038" max="13038" width="4.140625" style="7" customWidth="1"/>
    <col min="13039" max="13039" width="7.42578125" style="7" customWidth="1"/>
    <col min="13040" max="13041" width="11.140625" style="7" customWidth="1"/>
    <col min="13042" max="13042" width="5.42578125" style="7" customWidth="1"/>
    <col min="13043" max="13043" width="10.85546875" style="7" customWidth="1"/>
    <col min="13044" max="13044" width="11.85546875" style="7" customWidth="1"/>
    <col min="13045" max="13045" width="4.42578125" style="7" customWidth="1"/>
    <col min="13046" max="13046" width="5.42578125" style="7" customWidth="1"/>
    <col min="13047" max="13047" width="7.85546875" style="7" customWidth="1"/>
    <col min="13048" max="13048" width="8.5703125" style="7" customWidth="1"/>
    <col min="13049" max="13049" width="12.5703125" style="7" customWidth="1"/>
    <col min="13050" max="13050" width="6.42578125" style="7" customWidth="1"/>
    <col min="13051" max="13051" width="6" style="7" customWidth="1"/>
    <col min="13052" max="13052" width="8.140625" style="7" customWidth="1"/>
    <col min="13053" max="13053" width="7.140625" style="7" customWidth="1"/>
    <col min="13054" max="13054" width="10.5703125" style="7" customWidth="1"/>
    <col min="13055" max="13055" width="12.140625" style="7" customWidth="1"/>
    <col min="13056" max="13056" width="4.42578125" style="7" customWidth="1"/>
    <col min="13057" max="13059" width="10.140625" style="7" customWidth="1"/>
    <col min="13060" max="13060" width="10.42578125" style="7" customWidth="1"/>
    <col min="13061" max="13061" width="9" style="7"/>
    <col min="13062" max="13062" width="17.5703125" style="7" customWidth="1"/>
    <col min="13063" max="13063" width="17.85546875" style="7" customWidth="1"/>
    <col min="13064" max="13064" width="19.140625" style="7" customWidth="1"/>
    <col min="13065" max="13067" width="19" style="7" customWidth="1"/>
    <col min="13068" max="13274" width="9" style="7"/>
    <col min="13275" max="13276" width="20.140625" style="7" customWidth="1"/>
    <col min="13277" max="13277" width="5.5703125" style="7" customWidth="1"/>
    <col min="13278" max="13278" width="6.42578125" style="7" customWidth="1"/>
    <col min="13279" max="13279" width="1.42578125" style="7" customWidth="1"/>
    <col min="13280" max="13291" width="0" style="7" hidden="1" customWidth="1"/>
    <col min="13292" max="13293" width="10.85546875" style="7" customWidth="1"/>
    <col min="13294" max="13294" width="4.140625" style="7" customWidth="1"/>
    <col min="13295" max="13295" width="7.42578125" style="7" customWidth="1"/>
    <col min="13296" max="13297" width="11.140625" style="7" customWidth="1"/>
    <col min="13298" max="13298" width="5.42578125" style="7" customWidth="1"/>
    <col min="13299" max="13299" width="10.85546875" style="7" customWidth="1"/>
    <col min="13300" max="13300" width="11.85546875" style="7" customWidth="1"/>
    <col min="13301" max="13301" width="4.42578125" style="7" customWidth="1"/>
    <col min="13302" max="13302" width="5.42578125" style="7" customWidth="1"/>
    <col min="13303" max="13303" width="7.85546875" style="7" customWidth="1"/>
    <col min="13304" max="13304" width="8.5703125" style="7" customWidth="1"/>
    <col min="13305" max="13305" width="12.5703125" style="7" customWidth="1"/>
    <col min="13306" max="13306" width="6.42578125" style="7" customWidth="1"/>
    <col min="13307" max="13307" width="6" style="7" customWidth="1"/>
    <col min="13308" max="13308" width="8.140625" style="7" customWidth="1"/>
    <col min="13309" max="13309" width="7.140625" style="7" customWidth="1"/>
    <col min="13310" max="13310" width="10.5703125" style="7" customWidth="1"/>
    <col min="13311" max="13311" width="12.140625" style="7" customWidth="1"/>
    <col min="13312" max="13312" width="4.42578125" style="7" customWidth="1"/>
    <col min="13313" max="13315" width="10.140625" style="7" customWidth="1"/>
    <col min="13316" max="13316" width="10.42578125" style="7" customWidth="1"/>
    <col min="13317" max="13317" width="9" style="7"/>
    <col min="13318" max="13318" width="17.5703125" style="7" customWidth="1"/>
    <col min="13319" max="13319" width="17.85546875" style="7" customWidth="1"/>
    <col min="13320" max="13320" width="19.140625" style="7" customWidth="1"/>
    <col min="13321" max="13323" width="19" style="7" customWidth="1"/>
    <col min="13324" max="13530" width="9" style="7"/>
    <col min="13531" max="13532" width="20.140625" style="7" customWidth="1"/>
    <col min="13533" max="13533" width="5.5703125" style="7" customWidth="1"/>
    <col min="13534" max="13534" width="6.42578125" style="7" customWidth="1"/>
    <col min="13535" max="13535" width="1.42578125" style="7" customWidth="1"/>
    <col min="13536" max="13547" width="0" style="7" hidden="1" customWidth="1"/>
    <col min="13548" max="13549" width="10.85546875" style="7" customWidth="1"/>
    <col min="13550" max="13550" width="4.140625" style="7" customWidth="1"/>
    <col min="13551" max="13551" width="7.42578125" style="7" customWidth="1"/>
    <col min="13552" max="13553" width="11.140625" style="7" customWidth="1"/>
    <col min="13554" max="13554" width="5.42578125" style="7" customWidth="1"/>
    <col min="13555" max="13555" width="10.85546875" style="7" customWidth="1"/>
    <col min="13556" max="13556" width="11.85546875" style="7" customWidth="1"/>
    <col min="13557" max="13557" width="4.42578125" style="7" customWidth="1"/>
    <col min="13558" max="13558" width="5.42578125" style="7" customWidth="1"/>
    <col min="13559" max="13559" width="7.85546875" style="7" customWidth="1"/>
    <col min="13560" max="13560" width="8.5703125" style="7" customWidth="1"/>
    <col min="13561" max="13561" width="12.5703125" style="7" customWidth="1"/>
    <col min="13562" max="13562" width="6.42578125" style="7" customWidth="1"/>
    <col min="13563" max="13563" width="6" style="7" customWidth="1"/>
    <col min="13564" max="13564" width="8.140625" style="7" customWidth="1"/>
    <col min="13565" max="13565" width="7.140625" style="7" customWidth="1"/>
    <col min="13566" max="13566" width="10.5703125" style="7" customWidth="1"/>
    <col min="13567" max="13567" width="12.140625" style="7" customWidth="1"/>
    <col min="13568" max="13568" width="4.42578125" style="7" customWidth="1"/>
    <col min="13569" max="13571" width="10.140625" style="7" customWidth="1"/>
    <col min="13572" max="13572" width="10.42578125" style="7" customWidth="1"/>
    <col min="13573" max="13573" width="9" style="7"/>
    <col min="13574" max="13574" width="17.5703125" style="7" customWidth="1"/>
    <col min="13575" max="13575" width="17.85546875" style="7" customWidth="1"/>
    <col min="13576" max="13576" width="19.140625" style="7" customWidth="1"/>
    <col min="13577" max="13579" width="19" style="7" customWidth="1"/>
    <col min="13580" max="13786" width="9" style="7"/>
    <col min="13787" max="13788" width="20.140625" style="7" customWidth="1"/>
    <col min="13789" max="13789" width="5.5703125" style="7" customWidth="1"/>
    <col min="13790" max="13790" width="6.42578125" style="7" customWidth="1"/>
    <col min="13791" max="13791" width="1.42578125" style="7" customWidth="1"/>
    <col min="13792" max="13803" width="0" style="7" hidden="1" customWidth="1"/>
    <col min="13804" max="13805" width="10.85546875" style="7" customWidth="1"/>
    <col min="13806" max="13806" width="4.140625" style="7" customWidth="1"/>
    <col min="13807" max="13807" width="7.42578125" style="7" customWidth="1"/>
    <col min="13808" max="13809" width="11.140625" style="7" customWidth="1"/>
    <col min="13810" max="13810" width="5.42578125" style="7" customWidth="1"/>
    <col min="13811" max="13811" width="10.85546875" style="7" customWidth="1"/>
    <col min="13812" max="13812" width="11.85546875" style="7" customWidth="1"/>
    <col min="13813" max="13813" width="4.42578125" style="7" customWidth="1"/>
    <col min="13814" max="13814" width="5.42578125" style="7" customWidth="1"/>
    <col min="13815" max="13815" width="7.85546875" style="7" customWidth="1"/>
    <col min="13816" max="13816" width="8.5703125" style="7" customWidth="1"/>
    <col min="13817" max="13817" width="12.5703125" style="7" customWidth="1"/>
    <col min="13818" max="13818" width="6.42578125" style="7" customWidth="1"/>
    <col min="13819" max="13819" width="6" style="7" customWidth="1"/>
    <col min="13820" max="13820" width="8.140625" style="7" customWidth="1"/>
    <col min="13821" max="13821" width="7.140625" style="7" customWidth="1"/>
    <col min="13822" max="13822" width="10.5703125" style="7" customWidth="1"/>
    <col min="13823" max="13823" width="12.140625" style="7" customWidth="1"/>
    <col min="13824" max="13824" width="4.42578125" style="7" customWidth="1"/>
    <col min="13825" max="13827" width="10.140625" style="7" customWidth="1"/>
    <col min="13828" max="13828" width="10.42578125" style="7" customWidth="1"/>
    <col min="13829" max="13829" width="9" style="7"/>
    <col min="13830" max="13830" width="17.5703125" style="7" customWidth="1"/>
    <col min="13831" max="13831" width="17.85546875" style="7" customWidth="1"/>
    <col min="13832" max="13832" width="19.140625" style="7" customWidth="1"/>
    <col min="13833" max="13835" width="19" style="7" customWidth="1"/>
    <col min="13836" max="14042" width="9" style="7"/>
    <col min="14043" max="14044" width="20.140625" style="7" customWidth="1"/>
    <col min="14045" max="14045" width="5.5703125" style="7" customWidth="1"/>
    <col min="14046" max="14046" width="6.42578125" style="7" customWidth="1"/>
    <col min="14047" max="14047" width="1.42578125" style="7" customWidth="1"/>
    <col min="14048" max="14059" width="0" style="7" hidden="1" customWidth="1"/>
    <col min="14060" max="14061" width="10.85546875" style="7" customWidth="1"/>
    <col min="14062" max="14062" width="4.140625" style="7" customWidth="1"/>
    <col min="14063" max="14063" width="7.42578125" style="7" customWidth="1"/>
    <col min="14064" max="14065" width="11.140625" style="7" customWidth="1"/>
    <col min="14066" max="14066" width="5.42578125" style="7" customWidth="1"/>
    <col min="14067" max="14067" width="10.85546875" style="7" customWidth="1"/>
    <col min="14068" max="14068" width="11.85546875" style="7" customWidth="1"/>
    <col min="14069" max="14069" width="4.42578125" style="7" customWidth="1"/>
    <col min="14070" max="14070" width="5.42578125" style="7" customWidth="1"/>
    <col min="14071" max="14071" width="7.85546875" style="7" customWidth="1"/>
    <col min="14072" max="14072" width="8.5703125" style="7" customWidth="1"/>
    <col min="14073" max="14073" width="12.5703125" style="7" customWidth="1"/>
    <col min="14074" max="14074" width="6.42578125" style="7" customWidth="1"/>
    <col min="14075" max="14075" width="6" style="7" customWidth="1"/>
    <col min="14076" max="14076" width="8.140625" style="7" customWidth="1"/>
    <col min="14077" max="14077" width="7.140625" style="7" customWidth="1"/>
    <col min="14078" max="14078" width="10.5703125" style="7" customWidth="1"/>
    <col min="14079" max="14079" width="12.140625" style="7" customWidth="1"/>
    <col min="14080" max="14080" width="4.42578125" style="7" customWidth="1"/>
    <col min="14081" max="14083" width="10.140625" style="7" customWidth="1"/>
    <col min="14084" max="14084" width="10.42578125" style="7" customWidth="1"/>
    <col min="14085" max="14085" width="9" style="7"/>
    <col min="14086" max="14086" width="17.5703125" style="7" customWidth="1"/>
    <col min="14087" max="14087" width="17.85546875" style="7" customWidth="1"/>
    <col min="14088" max="14088" width="19.140625" style="7" customWidth="1"/>
    <col min="14089" max="14091" width="19" style="7" customWidth="1"/>
    <col min="14092" max="14298" width="9" style="7"/>
    <col min="14299" max="14300" width="20.140625" style="7" customWidth="1"/>
    <col min="14301" max="14301" width="5.5703125" style="7" customWidth="1"/>
    <col min="14302" max="14302" width="6.42578125" style="7" customWidth="1"/>
    <col min="14303" max="14303" width="1.42578125" style="7" customWidth="1"/>
    <col min="14304" max="14315" width="0" style="7" hidden="1" customWidth="1"/>
    <col min="14316" max="14317" width="10.85546875" style="7" customWidth="1"/>
    <col min="14318" max="14318" width="4.140625" style="7" customWidth="1"/>
    <col min="14319" max="14319" width="7.42578125" style="7" customWidth="1"/>
    <col min="14320" max="14321" width="11.140625" style="7" customWidth="1"/>
    <col min="14322" max="14322" width="5.42578125" style="7" customWidth="1"/>
    <col min="14323" max="14323" width="10.85546875" style="7" customWidth="1"/>
    <col min="14324" max="14324" width="11.85546875" style="7" customWidth="1"/>
    <col min="14325" max="14325" width="4.42578125" style="7" customWidth="1"/>
    <col min="14326" max="14326" width="5.42578125" style="7" customWidth="1"/>
    <col min="14327" max="14327" width="7.85546875" style="7" customWidth="1"/>
    <col min="14328" max="14328" width="8.5703125" style="7" customWidth="1"/>
    <col min="14329" max="14329" width="12.5703125" style="7" customWidth="1"/>
    <col min="14330" max="14330" width="6.42578125" style="7" customWidth="1"/>
    <col min="14331" max="14331" width="6" style="7" customWidth="1"/>
    <col min="14332" max="14332" width="8.140625" style="7" customWidth="1"/>
    <col min="14333" max="14333" width="7.140625" style="7" customWidth="1"/>
    <col min="14334" max="14334" width="10.5703125" style="7" customWidth="1"/>
    <col min="14335" max="14335" width="12.140625" style="7" customWidth="1"/>
    <col min="14336" max="14336" width="4.42578125" style="7" customWidth="1"/>
    <col min="14337" max="14339" width="10.140625" style="7" customWidth="1"/>
    <col min="14340" max="14340" width="10.42578125" style="7" customWidth="1"/>
    <col min="14341" max="14341" width="9" style="7"/>
    <col min="14342" max="14342" width="17.5703125" style="7" customWidth="1"/>
    <col min="14343" max="14343" width="17.85546875" style="7" customWidth="1"/>
    <col min="14344" max="14344" width="19.140625" style="7" customWidth="1"/>
    <col min="14345" max="14347" width="19" style="7" customWidth="1"/>
    <col min="14348" max="14554" width="9" style="7"/>
    <col min="14555" max="14556" width="20.140625" style="7" customWidth="1"/>
    <col min="14557" max="14557" width="5.5703125" style="7" customWidth="1"/>
    <col min="14558" max="14558" width="6.42578125" style="7" customWidth="1"/>
    <col min="14559" max="14559" width="1.42578125" style="7" customWidth="1"/>
    <col min="14560" max="14571" width="0" style="7" hidden="1" customWidth="1"/>
    <col min="14572" max="14573" width="10.85546875" style="7" customWidth="1"/>
    <col min="14574" max="14574" width="4.140625" style="7" customWidth="1"/>
    <col min="14575" max="14575" width="7.42578125" style="7" customWidth="1"/>
    <col min="14576" max="14577" width="11.140625" style="7" customWidth="1"/>
    <col min="14578" max="14578" width="5.42578125" style="7" customWidth="1"/>
    <col min="14579" max="14579" width="10.85546875" style="7" customWidth="1"/>
    <col min="14580" max="14580" width="11.85546875" style="7" customWidth="1"/>
    <col min="14581" max="14581" width="4.42578125" style="7" customWidth="1"/>
    <col min="14582" max="14582" width="5.42578125" style="7" customWidth="1"/>
    <col min="14583" max="14583" width="7.85546875" style="7" customWidth="1"/>
    <col min="14584" max="14584" width="8.5703125" style="7" customWidth="1"/>
    <col min="14585" max="14585" width="12.5703125" style="7" customWidth="1"/>
    <col min="14586" max="14586" width="6.42578125" style="7" customWidth="1"/>
    <col min="14587" max="14587" width="6" style="7" customWidth="1"/>
    <col min="14588" max="14588" width="8.140625" style="7" customWidth="1"/>
    <col min="14589" max="14589" width="7.140625" style="7" customWidth="1"/>
    <col min="14590" max="14590" width="10.5703125" style="7" customWidth="1"/>
    <col min="14591" max="14591" width="12.140625" style="7" customWidth="1"/>
    <col min="14592" max="14592" width="4.42578125" style="7" customWidth="1"/>
    <col min="14593" max="14595" width="10.140625" style="7" customWidth="1"/>
    <col min="14596" max="14596" width="10.42578125" style="7" customWidth="1"/>
    <col min="14597" max="14597" width="9" style="7"/>
    <col min="14598" max="14598" width="17.5703125" style="7" customWidth="1"/>
    <col min="14599" max="14599" width="17.85546875" style="7" customWidth="1"/>
    <col min="14600" max="14600" width="19.140625" style="7" customWidth="1"/>
    <col min="14601" max="14603" width="19" style="7" customWidth="1"/>
    <col min="14604" max="14810" width="9" style="7"/>
    <col min="14811" max="14812" width="20.140625" style="7" customWidth="1"/>
    <col min="14813" max="14813" width="5.5703125" style="7" customWidth="1"/>
    <col min="14814" max="14814" width="6.42578125" style="7" customWidth="1"/>
    <col min="14815" max="14815" width="1.42578125" style="7" customWidth="1"/>
    <col min="14816" max="14827" width="0" style="7" hidden="1" customWidth="1"/>
    <col min="14828" max="14829" width="10.85546875" style="7" customWidth="1"/>
    <col min="14830" max="14830" width="4.140625" style="7" customWidth="1"/>
    <col min="14831" max="14831" width="7.42578125" style="7" customWidth="1"/>
    <col min="14832" max="14833" width="11.140625" style="7" customWidth="1"/>
    <col min="14834" max="14834" width="5.42578125" style="7" customWidth="1"/>
    <col min="14835" max="14835" width="10.85546875" style="7" customWidth="1"/>
    <col min="14836" max="14836" width="11.85546875" style="7" customWidth="1"/>
    <col min="14837" max="14837" width="4.42578125" style="7" customWidth="1"/>
    <col min="14838" max="14838" width="5.42578125" style="7" customWidth="1"/>
    <col min="14839" max="14839" width="7.85546875" style="7" customWidth="1"/>
    <col min="14840" max="14840" width="8.5703125" style="7" customWidth="1"/>
    <col min="14841" max="14841" width="12.5703125" style="7" customWidth="1"/>
    <col min="14842" max="14842" width="6.42578125" style="7" customWidth="1"/>
    <col min="14843" max="14843" width="6" style="7" customWidth="1"/>
    <col min="14844" max="14844" width="8.140625" style="7" customWidth="1"/>
    <col min="14845" max="14845" width="7.140625" style="7" customWidth="1"/>
    <col min="14846" max="14846" width="10.5703125" style="7" customWidth="1"/>
    <col min="14847" max="14847" width="12.140625" style="7" customWidth="1"/>
    <col min="14848" max="14848" width="4.42578125" style="7" customWidth="1"/>
    <col min="14849" max="14851" width="10.140625" style="7" customWidth="1"/>
    <col min="14852" max="14852" width="10.42578125" style="7" customWidth="1"/>
    <col min="14853" max="14853" width="9" style="7"/>
    <col min="14854" max="14854" width="17.5703125" style="7" customWidth="1"/>
    <col min="14855" max="14855" width="17.85546875" style="7" customWidth="1"/>
    <col min="14856" max="14856" width="19.140625" style="7" customWidth="1"/>
    <col min="14857" max="14859" width="19" style="7" customWidth="1"/>
    <col min="14860" max="15066" width="9" style="7"/>
    <col min="15067" max="15068" width="20.140625" style="7" customWidth="1"/>
    <col min="15069" max="15069" width="5.5703125" style="7" customWidth="1"/>
    <col min="15070" max="15070" width="6.42578125" style="7" customWidth="1"/>
    <col min="15071" max="15071" width="1.42578125" style="7" customWidth="1"/>
    <col min="15072" max="15083" width="0" style="7" hidden="1" customWidth="1"/>
    <col min="15084" max="15085" width="10.85546875" style="7" customWidth="1"/>
    <col min="15086" max="15086" width="4.140625" style="7" customWidth="1"/>
    <col min="15087" max="15087" width="7.42578125" style="7" customWidth="1"/>
    <col min="15088" max="15089" width="11.140625" style="7" customWidth="1"/>
    <col min="15090" max="15090" width="5.42578125" style="7" customWidth="1"/>
    <col min="15091" max="15091" width="10.85546875" style="7" customWidth="1"/>
    <col min="15092" max="15092" width="11.85546875" style="7" customWidth="1"/>
    <col min="15093" max="15093" width="4.42578125" style="7" customWidth="1"/>
    <col min="15094" max="15094" width="5.42578125" style="7" customWidth="1"/>
    <col min="15095" max="15095" width="7.85546875" style="7" customWidth="1"/>
    <col min="15096" max="15096" width="8.5703125" style="7" customWidth="1"/>
    <col min="15097" max="15097" width="12.5703125" style="7" customWidth="1"/>
    <col min="15098" max="15098" width="6.42578125" style="7" customWidth="1"/>
    <col min="15099" max="15099" width="6" style="7" customWidth="1"/>
    <col min="15100" max="15100" width="8.140625" style="7" customWidth="1"/>
    <col min="15101" max="15101" width="7.140625" style="7" customWidth="1"/>
    <col min="15102" max="15102" width="10.5703125" style="7" customWidth="1"/>
    <col min="15103" max="15103" width="12.140625" style="7" customWidth="1"/>
    <col min="15104" max="15104" width="4.42578125" style="7" customWidth="1"/>
    <col min="15105" max="15107" width="10.140625" style="7" customWidth="1"/>
    <col min="15108" max="15108" width="10.42578125" style="7" customWidth="1"/>
    <col min="15109" max="15109" width="9" style="7"/>
    <col min="15110" max="15110" width="17.5703125" style="7" customWidth="1"/>
    <col min="15111" max="15111" width="17.85546875" style="7" customWidth="1"/>
    <col min="15112" max="15112" width="19.140625" style="7" customWidth="1"/>
    <col min="15113" max="15115" width="19" style="7" customWidth="1"/>
    <col min="15116" max="15322" width="9" style="7"/>
    <col min="15323" max="15324" width="20.140625" style="7" customWidth="1"/>
    <col min="15325" max="15325" width="5.5703125" style="7" customWidth="1"/>
    <col min="15326" max="15326" width="6.42578125" style="7" customWidth="1"/>
    <col min="15327" max="15327" width="1.42578125" style="7" customWidth="1"/>
    <col min="15328" max="15339" width="0" style="7" hidden="1" customWidth="1"/>
    <col min="15340" max="15341" width="10.85546875" style="7" customWidth="1"/>
    <col min="15342" max="15342" width="4.140625" style="7" customWidth="1"/>
    <col min="15343" max="15343" width="7.42578125" style="7" customWidth="1"/>
    <col min="15344" max="15345" width="11.140625" style="7" customWidth="1"/>
    <col min="15346" max="15346" width="5.42578125" style="7" customWidth="1"/>
    <col min="15347" max="15347" width="10.85546875" style="7" customWidth="1"/>
    <col min="15348" max="15348" width="11.85546875" style="7" customWidth="1"/>
    <col min="15349" max="15349" width="4.42578125" style="7" customWidth="1"/>
    <col min="15350" max="15350" width="5.42578125" style="7" customWidth="1"/>
    <col min="15351" max="15351" width="7.85546875" style="7" customWidth="1"/>
    <col min="15352" max="15352" width="8.5703125" style="7" customWidth="1"/>
    <col min="15353" max="15353" width="12.5703125" style="7" customWidth="1"/>
    <col min="15354" max="15354" width="6.42578125" style="7" customWidth="1"/>
    <col min="15355" max="15355" width="6" style="7" customWidth="1"/>
    <col min="15356" max="15356" width="8.140625" style="7" customWidth="1"/>
    <col min="15357" max="15357" width="7.140625" style="7" customWidth="1"/>
    <col min="15358" max="15358" width="10.5703125" style="7" customWidth="1"/>
    <col min="15359" max="15359" width="12.140625" style="7" customWidth="1"/>
    <col min="15360" max="15360" width="4.42578125" style="7" customWidth="1"/>
    <col min="15361" max="15363" width="10.140625" style="7" customWidth="1"/>
    <col min="15364" max="15364" width="10.42578125" style="7" customWidth="1"/>
    <col min="15365" max="15365" width="9" style="7"/>
    <col min="15366" max="15366" width="17.5703125" style="7" customWidth="1"/>
    <col min="15367" max="15367" width="17.85546875" style="7" customWidth="1"/>
    <col min="15368" max="15368" width="19.140625" style="7" customWidth="1"/>
    <col min="15369" max="15371" width="19" style="7" customWidth="1"/>
    <col min="15372" max="15578" width="9" style="7"/>
    <col min="15579" max="15580" width="20.140625" style="7" customWidth="1"/>
    <col min="15581" max="15581" width="5.5703125" style="7" customWidth="1"/>
    <col min="15582" max="15582" width="6.42578125" style="7" customWidth="1"/>
    <col min="15583" max="15583" width="1.42578125" style="7" customWidth="1"/>
    <col min="15584" max="15595" width="0" style="7" hidden="1" customWidth="1"/>
    <col min="15596" max="15597" width="10.85546875" style="7" customWidth="1"/>
    <col min="15598" max="15598" width="4.140625" style="7" customWidth="1"/>
    <col min="15599" max="15599" width="7.42578125" style="7" customWidth="1"/>
    <col min="15600" max="15601" width="11.140625" style="7" customWidth="1"/>
    <col min="15602" max="15602" width="5.42578125" style="7" customWidth="1"/>
    <col min="15603" max="15603" width="10.85546875" style="7" customWidth="1"/>
    <col min="15604" max="15604" width="11.85546875" style="7" customWidth="1"/>
    <col min="15605" max="15605" width="4.42578125" style="7" customWidth="1"/>
    <col min="15606" max="15606" width="5.42578125" style="7" customWidth="1"/>
    <col min="15607" max="15607" width="7.85546875" style="7" customWidth="1"/>
    <col min="15608" max="15608" width="8.5703125" style="7" customWidth="1"/>
    <col min="15609" max="15609" width="12.5703125" style="7" customWidth="1"/>
    <col min="15610" max="15610" width="6.42578125" style="7" customWidth="1"/>
    <col min="15611" max="15611" width="6" style="7" customWidth="1"/>
    <col min="15612" max="15612" width="8.140625" style="7" customWidth="1"/>
    <col min="15613" max="15613" width="7.140625" style="7" customWidth="1"/>
    <col min="15614" max="15614" width="10.5703125" style="7" customWidth="1"/>
    <col min="15615" max="15615" width="12.140625" style="7" customWidth="1"/>
    <col min="15616" max="15616" width="4.42578125" style="7" customWidth="1"/>
    <col min="15617" max="15619" width="10.140625" style="7" customWidth="1"/>
    <col min="15620" max="15620" width="10.42578125" style="7" customWidth="1"/>
    <col min="15621" max="15621" width="9" style="7"/>
    <col min="15622" max="15622" width="17.5703125" style="7" customWidth="1"/>
    <col min="15623" max="15623" width="17.85546875" style="7" customWidth="1"/>
    <col min="15624" max="15624" width="19.140625" style="7" customWidth="1"/>
    <col min="15625" max="15627" width="19" style="7" customWidth="1"/>
    <col min="15628" max="15834" width="9" style="7"/>
    <col min="15835" max="15836" width="20.140625" style="7" customWidth="1"/>
    <col min="15837" max="15837" width="5.5703125" style="7" customWidth="1"/>
    <col min="15838" max="15838" width="6.42578125" style="7" customWidth="1"/>
    <col min="15839" max="15839" width="1.42578125" style="7" customWidth="1"/>
    <col min="15840" max="15851" width="0" style="7" hidden="1" customWidth="1"/>
    <col min="15852" max="15853" width="10.85546875" style="7" customWidth="1"/>
    <col min="15854" max="15854" width="4.140625" style="7" customWidth="1"/>
    <col min="15855" max="15855" width="7.42578125" style="7" customWidth="1"/>
    <col min="15856" max="15857" width="11.140625" style="7" customWidth="1"/>
    <col min="15858" max="15858" width="5.42578125" style="7" customWidth="1"/>
    <col min="15859" max="15859" width="10.85546875" style="7" customWidth="1"/>
    <col min="15860" max="15860" width="11.85546875" style="7" customWidth="1"/>
    <col min="15861" max="15861" width="4.42578125" style="7" customWidth="1"/>
    <col min="15862" max="15862" width="5.42578125" style="7" customWidth="1"/>
    <col min="15863" max="15863" width="7.85546875" style="7" customWidth="1"/>
    <col min="15864" max="15864" width="8.5703125" style="7" customWidth="1"/>
    <col min="15865" max="15865" width="12.5703125" style="7" customWidth="1"/>
    <col min="15866" max="15866" width="6.42578125" style="7" customWidth="1"/>
    <col min="15867" max="15867" width="6" style="7" customWidth="1"/>
    <col min="15868" max="15868" width="8.140625" style="7" customWidth="1"/>
    <col min="15869" max="15869" width="7.140625" style="7" customWidth="1"/>
    <col min="15870" max="15870" width="10.5703125" style="7" customWidth="1"/>
    <col min="15871" max="15871" width="12.140625" style="7" customWidth="1"/>
    <col min="15872" max="15872" width="4.42578125" style="7" customWidth="1"/>
    <col min="15873" max="15875" width="10.140625" style="7" customWidth="1"/>
    <col min="15876" max="15876" width="10.42578125" style="7" customWidth="1"/>
    <col min="15877" max="15877" width="9" style="7"/>
    <col min="15878" max="15878" width="17.5703125" style="7" customWidth="1"/>
    <col min="15879" max="15879" width="17.85546875" style="7" customWidth="1"/>
    <col min="15880" max="15880" width="19.140625" style="7" customWidth="1"/>
    <col min="15881" max="15883" width="19" style="7" customWidth="1"/>
    <col min="15884" max="16090" width="9" style="7"/>
    <col min="16091" max="16092" width="20.140625" style="7" customWidth="1"/>
    <col min="16093" max="16093" width="5.5703125" style="7" customWidth="1"/>
    <col min="16094" max="16094" width="6.42578125" style="7" customWidth="1"/>
    <col min="16095" max="16095" width="1.42578125" style="7" customWidth="1"/>
    <col min="16096" max="16107" width="0" style="7" hidden="1" customWidth="1"/>
    <col min="16108" max="16109" width="10.85546875" style="7" customWidth="1"/>
    <col min="16110" max="16110" width="4.140625" style="7" customWidth="1"/>
    <col min="16111" max="16111" width="7.42578125" style="7" customWidth="1"/>
    <col min="16112" max="16113" width="11.140625" style="7" customWidth="1"/>
    <col min="16114" max="16114" width="5.42578125" style="7" customWidth="1"/>
    <col min="16115" max="16115" width="10.85546875" style="7" customWidth="1"/>
    <col min="16116" max="16116" width="11.85546875" style="7" customWidth="1"/>
    <col min="16117" max="16117" width="4.42578125" style="7" customWidth="1"/>
    <col min="16118" max="16118" width="5.42578125" style="7" customWidth="1"/>
    <col min="16119" max="16119" width="7.85546875" style="7" customWidth="1"/>
    <col min="16120" max="16120" width="8.5703125" style="7" customWidth="1"/>
    <col min="16121" max="16121" width="12.5703125" style="7" customWidth="1"/>
    <col min="16122" max="16122" width="6.42578125" style="7" customWidth="1"/>
    <col min="16123" max="16123" width="6" style="7" customWidth="1"/>
    <col min="16124" max="16124" width="8.140625" style="7" customWidth="1"/>
    <col min="16125" max="16125" width="7.140625" style="7" customWidth="1"/>
    <col min="16126" max="16126" width="10.5703125" style="7" customWidth="1"/>
    <col min="16127" max="16127" width="12.140625" style="7" customWidth="1"/>
    <col min="16128" max="16128" width="4.42578125" style="7" customWidth="1"/>
    <col min="16129" max="16131" width="10.140625" style="7" customWidth="1"/>
    <col min="16132" max="16132" width="10.42578125" style="7" customWidth="1"/>
    <col min="16133" max="16133" width="9" style="7"/>
    <col min="16134" max="16134" width="17.5703125" style="7" customWidth="1"/>
    <col min="16135" max="16135" width="17.85546875" style="7" customWidth="1"/>
    <col min="16136" max="16136" width="19.140625" style="7" customWidth="1"/>
    <col min="16137" max="16139" width="19" style="7" customWidth="1"/>
    <col min="16140" max="16375" width="9" style="7"/>
    <col min="16376" max="16384" width="9" style="7" customWidth="1"/>
  </cols>
  <sheetData>
    <row r="1" spans="1:1003 1248:2027 2272:3051 3296:4075 4320:5099 5344:6123 6368:7147 7392:8171 8416:9195 9440:10219 10464:11243 11488:12267 12512:13291 13536:14315 14560:15339 15584:16107" s="102" customFormat="1" ht="54.6" customHeight="1">
      <c r="A1" s="102" t="s">
        <v>212</v>
      </c>
      <c r="B1" s="3" t="s">
        <v>14</v>
      </c>
      <c r="C1" s="4" t="s">
        <v>15</v>
      </c>
      <c r="D1" s="103" t="s">
        <v>213</v>
      </c>
      <c r="E1" s="103" t="s">
        <v>214</v>
      </c>
      <c r="F1" s="171" t="s">
        <v>215</v>
      </c>
      <c r="G1" s="171" t="s">
        <v>216</v>
      </c>
      <c r="H1" s="170" t="s">
        <v>217</v>
      </c>
      <c r="I1" s="163" t="s">
        <v>218</v>
      </c>
      <c r="J1" s="162" t="s">
        <v>219</v>
      </c>
      <c r="K1" s="163" t="s">
        <v>220</v>
      </c>
      <c r="L1" s="301" t="s">
        <v>221</v>
      </c>
      <c r="M1" s="302" t="s">
        <v>222</v>
      </c>
      <c r="N1" s="223" t="s">
        <v>223</v>
      </c>
    </row>
    <row r="2" spans="1:1003 1248:2027 2272:3051 3296:4075 4320:5099 5344:6123 6368:7147 7392:8171 8416:9195 9440:10219 10464:11243 11488:12267 12512:13291 13536:14315 14560:15339 15584:16107" ht="24.75" customHeight="1">
      <c r="D2" s="106"/>
      <c r="E2" s="106"/>
      <c r="F2" s="107"/>
      <c r="G2" s="107"/>
      <c r="H2" s="157"/>
      <c r="I2" s="158"/>
      <c r="J2" s="156"/>
      <c r="K2" s="158"/>
      <c r="L2" s="212">
        <f>Table113[[#This Row],[Qty 2]]+Table113[[#This Row],[Qty 1]]</f>
        <v>0</v>
      </c>
      <c r="M2" s="214"/>
      <c r="N2" s="214">
        <f>Table113[[#This Row],[Unit Cost]]*Table113[[#This Row],[Total Qty All Areas]]</f>
        <v>0</v>
      </c>
      <c r="O2" s="11"/>
      <c r="P2" s="11"/>
      <c r="Q2" s="11"/>
      <c r="R2" s="11"/>
    </row>
    <row r="3" spans="1:1003 1248:2027 2272:3051 3296:4075 4320:5099 5344:6123 6368:7147 7392:8171 8416:9195 9440:10219 10464:11243 11488:12267 12512:13291 13536:14315 14560:15339 15584:16107" s="167" customFormat="1" ht="30" customHeight="1">
      <c r="A3" s="175" t="str">
        <f>'Category Setup'!L34</f>
        <v>F_BH</v>
      </c>
      <c r="B3" s="167" t="str">
        <f>'Category Setup'!E34</f>
        <v>F_BH_Finished_Bale Handlers</v>
      </c>
      <c r="C3" s="167" t="str">
        <f>'Category Setup'!N34</f>
        <v>F_BH_Finished_Bale Handlers</v>
      </c>
      <c r="D3" s="168"/>
      <c r="E3" s="168"/>
      <c r="F3" s="172"/>
      <c r="G3" s="172"/>
      <c r="H3" s="173"/>
      <c r="I3" s="197"/>
      <c r="J3" s="174"/>
      <c r="K3" s="197"/>
      <c r="L3" s="213">
        <f>Table113[[#This Row],[Qty 2]]+Table113[[#This Row],[Qty 1]]</f>
        <v>0</v>
      </c>
      <c r="M3" s="215"/>
      <c r="N3" s="215">
        <f>Table113[[#This Row],[Unit Cost]]*Table113[[#This Row],[Total Qty All Areas]]</f>
        <v>0</v>
      </c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RL3" s="7"/>
      <c r="RM3" s="7"/>
      <c r="RN3" s="7"/>
      <c r="RO3" s="7"/>
      <c r="RP3" s="7"/>
      <c r="RQ3" s="7"/>
      <c r="RR3" s="7"/>
      <c r="RS3" s="7"/>
      <c r="RT3" s="7"/>
      <c r="RU3" s="7"/>
      <c r="RV3" s="7"/>
      <c r="RW3" s="7"/>
      <c r="ABH3" s="7"/>
      <c r="ABI3" s="7"/>
      <c r="ABJ3" s="7"/>
      <c r="ABK3" s="7"/>
      <c r="ABL3" s="7"/>
      <c r="ABM3" s="7"/>
      <c r="ABN3" s="7"/>
      <c r="ABO3" s="7"/>
      <c r="ABP3" s="7"/>
      <c r="ABQ3" s="7"/>
      <c r="ABR3" s="7"/>
      <c r="ABS3" s="7"/>
      <c r="ALD3" s="7"/>
      <c r="ALE3" s="7"/>
      <c r="ALF3" s="7"/>
      <c r="ALG3" s="7"/>
      <c r="ALH3" s="7"/>
      <c r="ALI3" s="7"/>
      <c r="ALJ3" s="7"/>
      <c r="ALK3" s="7"/>
      <c r="ALL3" s="7"/>
      <c r="ALM3" s="7"/>
      <c r="ALN3" s="7"/>
      <c r="ALO3" s="7"/>
      <c r="AUZ3" s="7"/>
      <c r="AVA3" s="7"/>
      <c r="AVB3" s="7"/>
      <c r="AVC3" s="7"/>
      <c r="AVD3" s="7"/>
      <c r="AVE3" s="7"/>
      <c r="AVF3" s="7"/>
      <c r="AVG3" s="7"/>
      <c r="AVH3" s="7"/>
      <c r="AVI3" s="7"/>
      <c r="AVJ3" s="7"/>
      <c r="AVK3" s="7"/>
      <c r="BEV3" s="7"/>
      <c r="BEW3" s="7"/>
      <c r="BEX3" s="7"/>
      <c r="BEY3" s="7"/>
      <c r="BEZ3" s="7"/>
      <c r="BFA3" s="7"/>
      <c r="BFB3" s="7"/>
      <c r="BFC3" s="7"/>
      <c r="BFD3" s="7"/>
      <c r="BFE3" s="7"/>
      <c r="BFF3" s="7"/>
      <c r="BFG3" s="7"/>
      <c r="BOR3" s="7"/>
      <c r="BOS3" s="7"/>
      <c r="BOT3" s="7"/>
      <c r="BOU3" s="7"/>
      <c r="BOV3" s="7"/>
      <c r="BOW3" s="7"/>
      <c r="BOX3" s="7"/>
      <c r="BOY3" s="7"/>
      <c r="BOZ3" s="7"/>
      <c r="BPA3" s="7"/>
      <c r="BPB3" s="7"/>
      <c r="BPC3" s="7"/>
      <c r="BYN3" s="7"/>
      <c r="BYO3" s="7"/>
      <c r="BYP3" s="7"/>
      <c r="BYQ3" s="7"/>
      <c r="BYR3" s="7"/>
      <c r="BYS3" s="7"/>
      <c r="BYT3" s="7"/>
      <c r="BYU3" s="7"/>
      <c r="BYV3" s="7"/>
      <c r="BYW3" s="7"/>
      <c r="BYX3" s="7"/>
      <c r="BYY3" s="7"/>
      <c r="CIJ3" s="7"/>
      <c r="CIK3" s="7"/>
      <c r="CIL3" s="7"/>
      <c r="CIM3" s="7"/>
      <c r="CIN3" s="7"/>
      <c r="CIO3" s="7"/>
      <c r="CIP3" s="7"/>
      <c r="CIQ3" s="7"/>
      <c r="CIR3" s="7"/>
      <c r="CIS3" s="7"/>
      <c r="CIT3" s="7"/>
      <c r="CIU3" s="7"/>
      <c r="CSF3" s="7"/>
      <c r="CSG3" s="7"/>
      <c r="CSH3" s="7"/>
      <c r="CSI3" s="7"/>
      <c r="CSJ3" s="7"/>
      <c r="CSK3" s="7"/>
      <c r="CSL3" s="7"/>
      <c r="CSM3" s="7"/>
      <c r="CSN3" s="7"/>
      <c r="CSO3" s="7"/>
      <c r="CSP3" s="7"/>
      <c r="CSQ3" s="7"/>
      <c r="DCB3" s="7"/>
      <c r="DCC3" s="7"/>
      <c r="DCD3" s="7"/>
      <c r="DCE3" s="7"/>
      <c r="DCF3" s="7"/>
      <c r="DCG3" s="7"/>
      <c r="DCH3" s="7"/>
      <c r="DCI3" s="7"/>
      <c r="DCJ3" s="7"/>
      <c r="DCK3" s="7"/>
      <c r="DCL3" s="7"/>
      <c r="DCM3" s="7"/>
      <c r="DLX3" s="7"/>
      <c r="DLY3" s="7"/>
      <c r="DLZ3" s="7"/>
      <c r="DMA3" s="7"/>
      <c r="DMB3" s="7"/>
      <c r="DMC3" s="7"/>
      <c r="DMD3" s="7"/>
      <c r="DME3" s="7"/>
      <c r="DMF3" s="7"/>
      <c r="DMG3" s="7"/>
      <c r="DMH3" s="7"/>
      <c r="DMI3" s="7"/>
      <c r="DVT3" s="7"/>
      <c r="DVU3" s="7"/>
      <c r="DVV3" s="7"/>
      <c r="DVW3" s="7"/>
      <c r="DVX3" s="7"/>
      <c r="DVY3" s="7"/>
      <c r="DVZ3" s="7"/>
      <c r="DWA3" s="7"/>
      <c r="DWB3" s="7"/>
      <c r="DWC3" s="7"/>
      <c r="DWD3" s="7"/>
      <c r="DWE3" s="7"/>
      <c r="EFP3" s="7"/>
      <c r="EFQ3" s="7"/>
      <c r="EFR3" s="7"/>
      <c r="EFS3" s="7"/>
      <c r="EFT3" s="7"/>
      <c r="EFU3" s="7"/>
      <c r="EFV3" s="7"/>
      <c r="EFW3" s="7"/>
      <c r="EFX3" s="7"/>
      <c r="EFY3" s="7"/>
      <c r="EFZ3" s="7"/>
      <c r="EGA3" s="7"/>
      <c r="EPL3" s="7"/>
      <c r="EPM3" s="7"/>
      <c r="EPN3" s="7"/>
      <c r="EPO3" s="7"/>
      <c r="EPP3" s="7"/>
      <c r="EPQ3" s="7"/>
      <c r="EPR3" s="7"/>
      <c r="EPS3" s="7"/>
      <c r="EPT3" s="7"/>
      <c r="EPU3" s="7"/>
      <c r="EPV3" s="7"/>
      <c r="EPW3" s="7"/>
      <c r="EZH3" s="7"/>
      <c r="EZI3" s="7"/>
      <c r="EZJ3" s="7"/>
      <c r="EZK3" s="7"/>
      <c r="EZL3" s="7"/>
      <c r="EZM3" s="7"/>
      <c r="EZN3" s="7"/>
      <c r="EZO3" s="7"/>
      <c r="EZP3" s="7"/>
      <c r="EZQ3" s="7"/>
      <c r="EZR3" s="7"/>
      <c r="EZS3" s="7"/>
      <c r="FJD3" s="7"/>
      <c r="FJE3" s="7"/>
      <c r="FJF3" s="7"/>
      <c r="FJG3" s="7"/>
      <c r="FJH3" s="7"/>
      <c r="FJI3" s="7"/>
      <c r="FJJ3" s="7"/>
      <c r="FJK3" s="7"/>
      <c r="FJL3" s="7"/>
      <c r="FJM3" s="7"/>
      <c r="FJN3" s="7"/>
      <c r="FJO3" s="7"/>
      <c r="FSZ3" s="7"/>
      <c r="FTA3" s="7"/>
      <c r="FTB3" s="7"/>
      <c r="FTC3" s="7"/>
      <c r="FTD3" s="7"/>
      <c r="FTE3" s="7"/>
      <c r="FTF3" s="7"/>
      <c r="FTG3" s="7"/>
      <c r="FTH3" s="7"/>
      <c r="FTI3" s="7"/>
      <c r="FTJ3" s="7"/>
      <c r="FTK3" s="7"/>
      <c r="GCV3" s="7"/>
      <c r="GCW3" s="7"/>
      <c r="GCX3" s="7"/>
      <c r="GCY3" s="7"/>
      <c r="GCZ3" s="7"/>
      <c r="GDA3" s="7"/>
      <c r="GDB3" s="7"/>
      <c r="GDC3" s="7"/>
      <c r="GDD3" s="7"/>
      <c r="GDE3" s="7"/>
      <c r="GDF3" s="7"/>
      <c r="GDG3" s="7"/>
      <c r="GMR3" s="7"/>
      <c r="GMS3" s="7"/>
      <c r="GMT3" s="7"/>
      <c r="GMU3" s="7"/>
      <c r="GMV3" s="7"/>
      <c r="GMW3" s="7"/>
      <c r="GMX3" s="7"/>
      <c r="GMY3" s="7"/>
      <c r="GMZ3" s="7"/>
      <c r="GNA3" s="7"/>
      <c r="GNB3" s="7"/>
      <c r="GNC3" s="7"/>
      <c r="GWN3" s="7"/>
      <c r="GWO3" s="7"/>
      <c r="GWP3" s="7"/>
      <c r="GWQ3" s="7"/>
      <c r="GWR3" s="7"/>
      <c r="GWS3" s="7"/>
      <c r="GWT3" s="7"/>
      <c r="GWU3" s="7"/>
      <c r="GWV3" s="7"/>
      <c r="GWW3" s="7"/>
      <c r="GWX3" s="7"/>
      <c r="GWY3" s="7"/>
      <c r="HGJ3" s="7"/>
      <c r="HGK3" s="7"/>
      <c r="HGL3" s="7"/>
      <c r="HGM3" s="7"/>
      <c r="HGN3" s="7"/>
      <c r="HGO3" s="7"/>
      <c r="HGP3" s="7"/>
      <c r="HGQ3" s="7"/>
      <c r="HGR3" s="7"/>
      <c r="HGS3" s="7"/>
      <c r="HGT3" s="7"/>
      <c r="HGU3" s="7"/>
      <c r="HQF3" s="7"/>
      <c r="HQG3" s="7"/>
      <c r="HQH3" s="7"/>
      <c r="HQI3" s="7"/>
      <c r="HQJ3" s="7"/>
      <c r="HQK3" s="7"/>
      <c r="HQL3" s="7"/>
      <c r="HQM3" s="7"/>
      <c r="HQN3" s="7"/>
      <c r="HQO3" s="7"/>
      <c r="HQP3" s="7"/>
      <c r="HQQ3" s="7"/>
      <c r="IAB3" s="7"/>
      <c r="IAC3" s="7"/>
      <c r="IAD3" s="7"/>
      <c r="IAE3" s="7"/>
      <c r="IAF3" s="7"/>
      <c r="IAG3" s="7"/>
      <c r="IAH3" s="7"/>
      <c r="IAI3" s="7"/>
      <c r="IAJ3" s="7"/>
      <c r="IAK3" s="7"/>
      <c r="IAL3" s="7"/>
      <c r="IAM3" s="7"/>
      <c r="IJX3" s="7"/>
      <c r="IJY3" s="7"/>
      <c r="IJZ3" s="7"/>
      <c r="IKA3" s="7"/>
      <c r="IKB3" s="7"/>
      <c r="IKC3" s="7"/>
      <c r="IKD3" s="7"/>
      <c r="IKE3" s="7"/>
      <c r="IKF3" s="7"/>
      <c r="IKG3" s="7"/>
      <c r="IKH3" s="7"/>
      <c r="IKI3" s="7"/>
      <c r="ITT3" s="7"/>
      <c r="ITU3" s="7"/>
      <c r="ITV3" s="7"/>
      <c r="ITW3" s="7"/>
      <c r="ITX3" s="7"/>
      <c r="ITY3" s="7"/>
      <c r="ITZ3" s="7"/>
      <c r="IUA3" s="7"/>
      <c r="IUB3" s="7"/>
      <c r="IUC3" s="7"/>
      <c r="IUD3" s="7"/>
      <c r="IUE3" s="7"/>
      <c r="JDP3" s="7"/>
      <c r="JDQ3" s="7"/>
      <c r="JDR3" s="7"/>
      <c r="JDS3" s="7"/>
      <c r="JDT3" s="7"/>
      <c r="JDU3" s="7"/>
      <c r="JDV3" s="7"/>
      <c r="JDW3" s="7"/>
      <c r="JDX3" s="7"/>
      <c r="JDY3" s="7"/>
      <c r="JDZ3" s="7"/>
      <c r="JEA3" s="7"/>
      <c r="JNL3" s="7"/>
      <c r="JNM3" s="7"/>
      <c r="JNN3" s="7"/>
      <c r="JNO3" s="7"/>
      <c r="JNP3" s="7"/>
      <c r="JNQ3" s="7"/>
      <c r="JNR3" s="7"/>
      <c r="JNS3" s="7"/>
      <c r="JNT3" s="7"/>
      <c r="JNU3" s="7"/>
      <c r="JNV3" s="7"/>
      <c r="JNW3" s="7"/>
      <c r="JXH3" s="7"/>
      <c r="JXI3" s="7"/>
      <c r="JXJ3" s="7"/>
      <c r="JXK3" s="7"/>
      <c r="JXL3" s="7"/>
      <c r="JXM3" s="7"/>
      <c r="JXN3" s="7"/>
      <c r="JXO3" s="7"/>
      <c r="JXP3" s="7"/>
      <c r="JXQ3" s="7"/>
      <c r="JXR3" s="7"/>
      <c r="JXS3" s="7"/>
      <c r="KHD3" s="7"/>
      <c r="KHE3" s="7"/>
      <c r="KHF3" s="7"/>
      <c r="KHG3" s="7"/>
      <c r="KHH3" s="7"/>
      <c r="KHI3" s="7"/>
      <c r="KHJ3" s="7"/>
      <c r="KHK3" s="7"/>
      <c r="KHL3" s="7"/>
      <c r="KHM3" s="7"/>
      <c r="KHN3" s="7"/>
      <c r="KHO3" s="7"/>
      <c r="KQZ3" s="7"/>
      <c r="KRA3" s="7"/>
      <c r="KRB3" s="7"/>
      <c r="KRC3" s="7"/>
      <c r="KRD3" s="7"/>
      <c r="KRE3" s="7"/>
      <c r="KRF3" s="7"/>
      <c r="KRG3" s="7"/>
      <c r="KRH3" s="7"/>
      <c r="KRI3" s="7"/>
      <c r="KRJ3" s="7"/>
      <c r="KRK3" s="7"/>
      <c r="LAV3" s="7"/>
      <c r="LAW3" s="7"/>
      <c r="LAX3" s="7"/>
      <c r="LAY3" s="7"/>
      <c r="LAZ3" s="7"/>
      <c r="LBA3" s="7"/>
      <c r="LBB3" s="7"/>
      <c r="LBC3" s="7"/>
      <c r="LBD3" s="7"/>
      <c r="LBE3" s="7"/>
      <c r="LBF3" s="7"/>
      <c r="LBG3" s="7"/>
      <c r="LKR3" s="7"/>
      <c r="LKS3" s="7"/>
      <c r="LKT3" s="7"/>
      <c r="LKU3" s="7"/>
      <c r="LKV3" s="7"/>
      <c r="LKW3" s="7"/>
      <c r="LKX3" s="7"/>
      <c r="LKY3" s="7"/>
      <c r="LKZ3" s="7"/>
      <c r="LLA3" s="7"/>
      <c r="LLB3" s="7"/>
      <c r="LLC3" s="7"/>
      <c r="LUN3" s="7"/>
      <c r="LUO3" s="7"/>
      <c r="LUP3" s="7"/>
      <c r="LUQ3" s="7"/>
      <c r="LUR3" s="7"/>
      <c r="LUS3" s="7"/>
      <c r="LUT3" s="7"/>
      <c r="LUU3" s="7"/>
      <c r="LUV3" s="7"/>
      <c r="LUW3" s="7"/>
      <c r="LUX3" s="7"/>
      <c r="LUY3" s="7"/>
      <c r="MEJ3" s="7"/>
      <c r="MEK3" s="7"/>
      <c r="MEL3" s="7"/>
      <c r="MEM3" s="7"/>
      <c r="MEN3" s="7"/>
      <c r="MEO3" s="7"/>
      <c r="MEP3" s="7"/>
      <c r="MEQ3" s="7"/>
      <c r="MER3" s="7"/>
      <c r="MES3" s="7"/>
      <c r="MET3" s="7"/>
      <c r="MEU3" s="7"/>
      <c r="MOF3" s="7"/>
      <c r="MOG3" s="7"/>
      <c r="MOH3" s="7"/>
      <c r="MOI3" s="7"/>
      <c r="MOJ3" s="7"/>
      <c r="MOK3" s="7"/>
      <c r="MOL3" s="7"/>
      <c r="MOM3" s="7"/>
      <c r="MON3" s="7"/>
      <c r="MOO3" s="7"/>
      <c r="MOP3" s="7"/>
      <c r="MOQ3" s="7"/>
      <c r="MYB3" s="7"/>
      <c r="MYC3" s="7"/>
      <c r="MYD3" s="7"/>
      <c r="MYE3" s="7"/>
      <c r="MYF3" s="7"/>
      <c r="MYG3" s="7"/>
      <c r="MYH3" s="7"/>
      <c r="MYI3" s="7"/>
      <c r="MYJ3" s="7"/>
      <c r="MYK3" s="7"/>
      <c r="MYL3" s="7"/>
      <c r="MYM3" s="7"/>
      <c r="NHX3" s="7"/>
      <c r="NHY3" s="7"/>
      <c r="NHZ3" s="7"/>
      <c r="NIA3" s="7"/>
      <c r="NIB3" s="7"/>
      <c r="NIC3" s="7"/>
      <c r="NID3" s="7"/>
      <c r="NIE3" s="7"/>
      <c r="NIF3" s="7"/>
      <c r="NIG3" s="7"/>
      <c r="NIH3" s="7"/>
      <c r="NII3" s="7"/>
      <c r="NRT3" s="7"/>
      <c r="NRU3" s="7"/>
      <c r="NRV3" s="7"/>
      <c r="NRW3" s="7"/>
      <c r="NRX3" s="7"/>
      <c r="NRY3" s="7"/>
      <c r="NRZ3" s="7"/>
      <c r="NSA3" s="7"/>
      <c r="NSB3" s="7"/>
      <c r="NSC3" s="7"/>
      <c r="NSD3" s="7"/>
      <c r="NSE3" s="7"/>
      <c r="OBP3" s="7"/>
      <c r="OBQ3" s="7"/>
      <c r="OBR3" s="7"/>
      <c r="OBS3" s="7"/>
      <c r="OBT3" s="7"/>
      <c r="OBU3" s="7"/>
      <c r="OBV3" s="7"/>
      <c r="OBW3" s="7"/>
      <c r="OBX3" s="7"/>
      <c r="OBY3" s="7"/>
      <c r="OBZ3" s="7"/>
      <c r="OCA3" s="7"/>
      <c r="OLL3" s="7"/>
      <c r="OLM3" s="7"/>
      <c r="OLN3" s="7"/>
      <c r="OLO3" s="7"/>
      <c r="OLP3" s="7"/>
      <c r="OLQ3" s="7"/>
      <c r="OLR3" s="7"/>
      <c r="OLS3" s="7"/>
      <c r="OLT3" s="7"/>
      <c r="OLU3" s="7"/>
      <c r="OLV3" s="7"/>
      <c r="OLW3" s="7"/>
      <c r="OVH3" s="7"/>
      <c r="OVI3" s="7"/>
      <c r="OVJ3" s="7"/>
      <c r="OVK3" s="7"/>
      <c r="OVL3" s="7"/>
      <c r="OVM3" s="7"/>
      <c r="OVN3" s="7"/>
      <c r="OVO3" s="7"/>
      <c r="OVP3" s="7"/>
      <c r="OVQ3" s="7"/>
      <c r="OVR3" s="7"/>
      <c r="OVS3" s="7"/>
      <c r="PFD3" s="7"/>
      <c r="PFE3" s="7"/>
      <c r="PFF3" s="7"/>
      <c r="PFG3" s="7"/>
      <c r="PFH3" s="7"/>
      <c r="PFI3" s="7"/>
      <c r="PFJ3" s="7"/>
      <c r="PFK3" s="7"/>
      <c r="PFL3" s="7"/>
      <c r="PFM3" s="7"/>
      <c r="PFN3" s="7"/>
      <c r="PFO3" s="7"/>
      <c r="POZ3" s="7"/>
      <c r="PPA3" s="7"/>
      <c r="PPB3" s="7"/>
      <c r="PPC3" s="7"/>
      <c r="PPD3" s="7"/>
      <c r="PPE3" s="7"/>
      <c r="PPF3" s="7"/>
      <c r="PPG3" s="7"/>
      <c r="PPH3" s="7"/>
      <c r="PPI3" s="7"/>
      <c r="PPJ3" s="7"/>
      <c r="PPK3" s="7"/>
      <c r="PYV3" s="7"/>
      <c r="PYW3" s="7"/>
      <c r="PYX3" s="7"/>
      <c r="PYY3" s="7"/>
      <c r="PYZ3" s="7"/>
      <c r="PZA3" s="7"/>
      <c r="PZB3" s="7"/>
      <c r="PZC3" s="7"/>
      <c r="PZD3" s="7"/>
      <c r="PZE3" s="7"/>
      <c r="PZF3" s="7"/>
      <c r="PZG3" s="7"/>
      <c r="QIR3" s="7"/>
      <c r="QIS3" s="7"/>
      <c r="QIT3" s="7"/>
      <c r="QIU3" s="7"/>
      <c r="QIV3" s="7"/>
      <c r="QIW3" s="7"/>
      <c r="QIX3" s="7"/>
      <c r="QIY3" s="7"/>
      <c r="QIZ3" s="7"/>
      <c r="QJA3" s="7"/>
      <c r="QJB3" s="7"/>
      <c r="QJC3" s="7"/>
      <c r="QSN3" s="7"/>
      <c r="QSO3" s="7"/>
      <c r="QSP3" s="7"/>
      <c r="QSQ3" s="7"/>
      <c r="QSR3" s="7"/>
      <c r="QSS3" s="7"/>
      <c r="QST3" s="7"/>
      <c r="QSU3" s="7"/>
      <c r="QSV3" s="7"/>
      <c r="QSW3" s="7"/>
      <c r="QSX3" s="7"/>
      <c r="QSY3" s="7"/>
      <c r="RCJ3" s="7"/>
      <c r="RCK3" s="7"/>
      <c r="RCL3" s="7"/>
      <c r="RCM3" s="7"/>
      <c r="RCN3" s="7"/>
      <c r="RCO3" s="7"/>
      <c r="RCP3" s="7"/>
      <c r="RCQ3" s="7"/>
      <c r="RCR3" s="7"/>
      <c r="RCS3" s="7"/>
      <c r="RCT3" s="7"/>
      <c r="RCU3" s="7"/>
      <c r="RMF3" s="7"/>
      <c r="RMG3" s="7"/>
      <c r="RMH3" s="7"/>
      <c r="RMI3" s="7"/>
      <c r="RMJ3" s="7"/>
      <c r="RMK3" s="7"/>
      <c r="RML3" s="7"/>
      <c r="RMM3" s="7"/>
      <c r="RMN3" s="7"/>
      <c r="RMO3" s="7"/>
      <c r="RMP3" s="7"/>
      <c r="RMQ3" s="7"/>
      <c r="RWB3" s="7"/>
      <c r="RWC3" s="7"/>
      <c r="RWD3" s="7"/>
      <c r="RWE3" s="7"/>
      <c r="RWF3" s="7"/>
      <c r="RWG3" s="7"/>
      <c r="RWH3" s="7"/>
      <c r="RWI3" s="7"/>
      <c r="RWJ3" s="7"/>
      <c r="RWK3" s="7"/>
      <c r="RWL3" s="7"/>
      <c r="RWM3" s="7"/>
      <c r="SFX3" s="7"/>
      <c r="SFY3" s="7"/>
      <c r="SFZ3" s="7"/>
      <c r="SGA3" s="7"/>
      <c r="SGB3" s="7"/>
      <c r="SGC3" s="7"/>
      <c r="SGD3" s="7"/>
      <c r="SGE3" s="7"/>
      <c r="SGF3" s="7"/>
      <c r="SGG3" s="7"/>
      <c r="SGH3" s="7"/>
      <c r="SGI3" s="7"/>
      <c r="SPT3" s="7"/>
      <c r="SPU3" s="7"/>
      <c r="SPV3" s="7"/>
      <c r="SPW3" s="7"/>
      <c r="SPX3" s="7"/>
      <c r="SPY3" s="7"/>
      <c r="SPZ3" s="7"/>
      <c r="SQA3" s="7"/>
      <c r="SQB3" s="7"/>
      <c r="SQC3" s="7"/>
      <c r="SQD3" s="7"/>
      <c r="SQE3" s="7"/>
      <c r="SZP3" s="7"/>
      <c r="SZQ3" s="7"/>
      <c r="SZR3" s="7"/>
      <c r="SZS3" s="7"/>
      <c r="SZT3" s="7"/>
      <c r="SZU3" s="7"/>
      <c r="SZV3" s="7"/>
      <c r="SZW3" s="7"/>
      <c r="SZX3" s="7"/>
      <c r="SZY3" s="7"/>
      <c r="SZZ3" s="7"/>
      <c r="TAA3" s="7"/>
      <c r="TJL3" s="7"/>
      <c r="TJM3" s="7"/>
      <c r="TJN3" s="7"/>
      <c r="TJO3" s="7"/>
      <c r="TJP3" s="7"/>
      <c r="TJQ3" s="7"/>
      <c r="TJR3" s="7"/>
      <c r="TJS3" s="7"/>
      <c r="TJT3" s="7"/>
      <c r="TJU3" s="7"/>
      <c r="TJV3" s="7"/>
      <c r="TJW3" s="7"/>
      <c r="TTH3" s="7"/>
      <c r="TTI3" s="7"/>
      <c r="TTJ3" s="7"/>
      <c r="TTK3" s="7"/>
      <c r="TTL3" s="7"/>
      <c r="TTM3" s="7"/>
      <c r="TTN3" s="7"/>
      <c r="TTO3" s="7"/>
      <c r="TTP3" s="7"/>
      <c r="TTQ3" s="7"/>
      <c r="TTR3" s="7"/>
      <c r="TTS3" s="7"/>
      <c r="UDD3" s="7"/>
      <c r="UDE3" s="7"/>
      <c r="UDF3" s="7"/>
      <c r="UDG3" s="7"/>
      <c r="UDH3" s="7"/>
      <c r="UDI3" s="7"/>
      <c r="UDJ3" s="7"/>
      <c r="UDK3" s="7"/>
      <c r="UDL3" s="7"/>
      <c r="UDM3" s="7"/>
      <c r="UDN3" s="7"/>
      <c r="UDO3" s="7"/>
      <c r="UMZ3" s="7"/>
      <c r="UNA3" s="7"/>
      <c r="UNB3" s="7"/>
      <c r="UNC3" s="7"/>
      <c r="UND3" s="7"/>
      <c r="UNE3" s="7"/>
      <c r="UNF3" s="7"/>
      <c r="UNG3" s="7"/>
      <c r="UNH3" s="7"/>
      <c r="UNI3" s="7"/>
      <c r="UNJ3" s="7"/>
      <c r="UNK3" s="7"/>
      <c r="UWV3" s="7"/>
      <c r="UWW3" s="7"/>
      <c r="UWX3" s="7"/>
      <c r="UWY3" s="7"/>
      <c r="UWZ3" s="7"/>
      <c r="UXA3" s="7"/>
      <c r="UXB3" s="7"/>
      <c r="UXC3" s="7"/>
      <c r="UXD3" s="7"/>
      <c r="UXE3" s="7"/>
      <c r="UXF3" s="7"/>
      <c r="UXG3" s="7"/>
      <c r="VGR3" s="7"/>
      <c r="VGS3" s="7"/>
      <c r="VGT3" s="7"/>
      <c r="VGU3" s="7"/>
      <c r="VGV3" s="7"/>
      <c r="VGW3" s="7"/>
      <c r="VGX3" s="7"/>
      <c r="VGY3" s="7"/>
      <c r="VGZ3" s="7"/>
      <c r="VHA3" s="7"/>
      <c r="VHB3" s="7"/>
      <c r="VHC3" s="7"/>
      <c r="VQN3" s="7"/>
      <c r="VQO3" s="7"/>
      <c r="VQP3" s="7"/>
      <c r="VQQ3" s="7"/>
      <c r="VQR3" s="7"/>
      <c r="VQS3" s="7"/>
      <c r="VQT3" s="7"/>
      <c r="VQU3" s="7"/>
      <c r="VQV3" s="7"/>
      <c r="VQW3" s="7"/>
      <c r="VQX3" s="7"/>
      <c r="VQY3" s="7"/>
      <c r="WAJ3" s="7"/>
      <c r="WAK3" s="7"/>
      <c r="WAL3" s="7"/>
      <c r="WAM3" s="7"/>
      <c r="WAN3" s="7"/>
      <c r="WAO3" s="7"/>
      <c r="WAP3" s="7"/>
      <c r="WAQ3" s="7"/>
      <c r="WAR3" s="7"/>
      <c r="WAS3" s="7"/>
      <c r="WAT3" s="7"/>
      <c r="WAU3" s="7"/>
      <c r="WKF3" s="7"/>
      <c r="WKG3" s="7"/>
      <c r="WKH3" s="7"/>
      <c r="WKI3" s="7"/>
      <c r="WKJ3" s="7"/>
      <c r="WKK3" s="7"/>
      <c r="WKL3" s="7"/>
      <c r="WKM3" s="7"/>
      <c r="WKN3" s="7"/>
      <c r="WKO3" s="7"/>
      <c r="WKP3" s="7"/>
      <c r="WKQ3" s="7"/>
      <c r="WUB3" s="7"/>
      <c r="WUC3" s="7"/>
      <c r="WUD3" s="7"/>
      <c r="WUE3" s="7"/>
      <c r="WUF3" s="7"/>
      <c r="WUG3" s="7"/>
      <c r="WUH3" s="7"/>
      <c r="WUI3" s="7"/>
      <c r="WUJ3" s="7"/>
      <c r="WUK3" s="7"/>
      <c r="WUL3" s="7"/>
      <c r="WUM3" s="7"/>
    </row>
    <row r="4" spans="1:1003 1248:2027 2272:3051 3296:4075 4320:5099 5344:6123 6368:7147 7392:8171 8416:9195 9440:10219 10464:11243 11488:12267 12512:13291 13536:14315 14560:15339 15584:16107" ht="30" customHeight="1">
      <c r="A4" s="175"/>
      <c r="C4" s="7" t="s">
        <v>224</v>
      </c>
      <c r="H4" s="159">
        <v>11</v>
      </c>
      <c r="I4" s="196" t="s">
        <v>225</v>
      </c>
      <c r="J4" s="161">
        <v>1</v>
      </c>
      <c r="K4" s="196" t="s">
        <v>225</v>
      </c>
      <c r="L4" s="211">
        <f>Table113[[#This Row],[Qty 2]]+Table113[[#This Row],[Qty 1]]</f>
        <v>12</v>
      </c>
      <c r="M4" s="216">
        <v>708</v>
      </c>
      <c r="N4" s="216">
        <f>Table113[[#This Row],[Unit Cost]]*Table113[[#This Row],[Total Qty All Areas]]</f>
        <v>8496</v>
      </c>
    </row>
    <row r="5" spans="1:1003 1248:2027 2272:3051 3296:4075 4320:5099 5344:6123 6368:7147 7392:8171 8416:9195 9440:10219 10464:11243 11488:12267 12512:13291 13536:14315 14560:15339 15584:16107" ht="30" customHeight="1">
      <c r="A5" s="175"/>
      <c r="C5" s="7" t="s">
        <v>226</v>
      </c>
      <c r="H5" s="159">
        <v>49</v>
      </c>
      <c r="I5" s="196" t="s">
        <v>225</v>
      </c>
      <c r="J5" s="161"/>
      <c r="K5" s="196"/>
      <c r="L5" s="211">
        <f>Table113[[#This Row],[Qty 2]]+Table113[[#This Row],[Qty 1]]</f>
        <v>49</v>
      </c>
      <c r="M5" s="216">
        <v>282</v>
      </c>
      <c r="N5" s="216">
        <f>Table113[[#This Row],[Unit Cost]]*Table113[[#This Row],[Total Qty All Areas]]</f>
        <v>13818</v>
      </c>
    </row>
    <row r="6" spans="1:1003 1248:2027 2272:3051 3296:4075 4320:5099 5344:6123 6368:7147 7392:8171 8416:9195 9440:10219 10464:11243 11488:12267 12512:13291 13536:14315 14560:15339 15584:16107" ht="30" customHeight="1">
      <c r="A6" s="175"/>
      <c r="D6" s="169"/>
      <c r="E6" s="169"/>
      <c r="F6" s="303"/>
      <c r="H6" s="159"/>
      <c r="I6" s="196"/>
      <c r="J6" s="161"/>
      <c r="K6" s="196"/>
      <c r="L6" s="211">
        <f>Table113[[#This Row],[Qty 2]]+Table113[[#This Row],[Qty 1]]</f>
        <v>0</v>
      </c>
      <c r="M6" s="216"/>
      <c r="N6" s="216">
        <f>Table113[[#This Row],[Unit Cost]]*Table113[[#This Row],[Total Qty All Areas]]</f>
        <v>0</v>
      </c>
    </row>
    <row r="7" spans="1:1003 1248:2027 2272:3051 3296:4075 4320:5099 5344:6123 6368:7147 7392:8171 8416:9195 9440:10219 10464:11243 11488:12267 12512:13291 13536:14315 14560:15339 15584:16107" s="167" customFormat="1" ht="30" customHeight="1">
      <c r="A7" s="175" t="str">
        <f>'Category Setup'!L35</f>
        <v>F_PB</v>
      </c>
      <c r="B7" s="167" t="str">
        <f>'Category Setup'!E35</f>
        <v>F_PB_Finished_Power Boxes</v>
      </c>
      <c r="C7" s="167" t="str">
        <f>'Category Setup'!N35</f>
        <v>F_PB_Finished_Power Boxes</v>
      </c>
      <c r="D7" s="168"/>
      <c r="E7" s="168"/>
      <c r="F7" s="172"/>
      <c r="G7" s="172"/>
      <c r="H7" s="173"/>
      <c r="I7" s="197"/>
      <c r="J7" s="174"/>
      <c r="K7" s="197"/>
      <c r="L7" s="213">
        <f>Table113[[#This Row],[Qty 2]]+Table113[[#This Row],[Qty 1]]</f>
        <v>0</v>
      </c>
      <c r="M7" s="215"/>
      <c r="N7" s="215">
        <f>Table113[[#This Row],[Unit Cost]]*Table113[[#This Row],[Total Qty All Areas]]</f>
        <v>0</v>
      </c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RL7" s="7"/>
      <c r="RM7" s="7"/>
      <c r="RN7" s="7"/>
      <c r="RO7" s="7"/>
      <c r="RP7" s="7"/>
      <c r="RQ7" s="7"/>
      <c r="RR7" s="7"/>
      <c r="RS7" s="7"/>
      <c r="RT7" s="7"/>
      <c r="RU7" s="7"/>
      <c r="RV7" s="7"/>
      <c r="RW7" s="7"/>
      <c r="ABH7" s="7"/>
      <c r="ABI7" s="7"/>
      <c r="ABJ7" s="7"/>
      <c r="ABK7" s="7"/>
      <c r="ABL7" s="7"/>
      <c r="ABM7" s="7"/>
      <c r="ABN7" s="7"/>
      <c r="ABO7" s="7"/>
      <c r="ABP7" s="7"/>
      <c r="ABQ7" s="7"/>
      <c r="ABR7" s="7"/>
      <c r="ABS7" s="7"/>
      <c r="ALD7" s="7"/>
      <c r="ALE7" s="7"/>
      <c r="ALF7" s="7"/>
      <c r="ALG7" s="7"/>
      <c r="ALH7" s="7"/>
      <c r="ALI7" s="7"/>
      <c r="ALJ7" s="7"/>
      <c r="ALK7" s="7"/>
      <c r="ALL7" s="7"/>
      <c r="ALM7" s="7"/>
      <c r="ALN7" s="7"/>
      <c r="ALO7" s="7"/>
      <c r="AUZ7" s="7"/>
      <c r="AVA7" s="7"/>
      <c r="AVB7" s="7"/>
      <c r="AVC7" s="7"/>
      <c r="AVD7" s="7"/>
      <c r="AVE7" s="7"/>
      <c r="AVF7" s="7"/>
      <c r="AVG7" s="7"/>
      <c r="AVH7" s="7"/>
      <c r="AVI7" s="7"/>
      <c r="AVJ7" s="7"/>
      <c r="AVK7" s="7"/>
      <c r="BEV7" s="7"/>
      <c r="BEW7" s="7"/>
      <c r="BEX7" s="7"/>
      <c r="BEY7" s="7"/>
      <c r="BEZ7" s="7"/>
      <c r="BFA7" s="7"/>
      <c r="BFB7" s="7"/>
      <c r="BFC7" s="7"/>
      <c r="BFD7" s="7"/>
      <c r="BFE7" s="7"/>
      <c r="BFF7" s="7"/>
      <c r="BFG7" s="7"/>
      <c r="BOR7" s="7"/>
      <c r="BOS7" s="7"/>
      <c r="BOT7" s="7"/>
      <c r="BOU7" s="7"/>
      <c r="BOV7" s="7"/>
      <c r="BOW7" s="7"/>
      <c r="BOX7" s="7"/>
      <c r="BOY7" s="7"/>
      <c r="BOZ7" s="7"/>
      <c r="BPA7" s="7"/>
      <c r="BPB7" s="7"/>
      <c r="BPC7" s="7"/>
      <c r="BYN7" s="7"/>
      <c r="BYO7" s="7"/>
      <c r="BYP7" s="7"/>
      <c r="BYQ7" s="7"/>
      <c r="BYR7" s="7"/>
      <c r="BYS7" s="7"/>
      <c r="BYT7" s="7"/>
      <c r="BYU7" s="7"/>
      <c r="BYV7" s="7"/>
      <c r="BYW7" s="7"/>
      <c r="BYX7" s="7"/>
      <c r="BYY7" s="7"/>
      <c r="CIJ7" s="7"/>
      <c r="CIK7" s="7"/>
      <c r="CIL7" s="7"/>
      <c r="CIM7" s="7"/>
      <c r="CIN7" s="7"/>
      <c r="CIO7" s="7"/>
      <c r="CIP7" s="7"/>
      <c r="CIQ7" s="7"/>
      <c r="CIR7" s="7"/>
      <c r="CIS7" s="7"/>
      <c r="CIT7" s="7"/>
      <c r="CIU7" s="7"/>
      <c r="CSF7" s="7"/>
      <c r="CSG7" s="7"/>
      <c r="CSH7" s="7"/>
      <c r="CSI7" s="7"/>
      <c r="CSJ7" s="7"/>
      <c r="CSK7" s="7"/>
      <c r="CSL7" s="7"/>
      <c r="CSM7" s="7"/>
      <c r="CSN7" s="7"/>
      <c r="CSO7" s="7"/>
      <c r="CSP7" s="7"/>
      <c r="CSQ7" s="7"/>
      <c r="DCB7" s="7"/>
      <c r="DCC7" s="7"/>
      <c r="DCD7" s="7"/>
      <c r="DCE7" s="7"/>
      <c r="DCF7" s="7"/>
      <c r="DCG7" s="7"/>
      <c r="DCH7" s="7"/>
      <c r="DCI7" s="7"/>
      <c r="DCJ7" s="7"/>
      <c r="DCK7" s="7"/>
      <c r="DCL7" s="7"/>
      <c r="DCM7" s="7"/>
      <c r="DLX7" s="7"/>
      <c r="DLY7" s="7"/>
      <c r="DLZ7" s="7"/>
      <c r="DMA7" s="7"/>
      <c r="DMB7" s="7"/>
      <c r="DMC7" s="7"/>
      <c r="DMD7" s="7"/>
      <c r="DME7" s="7"/>
      <c r="DMF7" s="7"/>
      <c r="DMG7" s="7"/>
      <c r="DMH7" s="7"/>
      <c r="DMI7" s="7"/>
      <c r="DVT7" s="7"/>
      <c r="DVU7" s="7"/>
      <c r="DVV7" s="7"/>
      <c r="DVW7" s="7"/>
      <c r="DVX7" s="7"/>
      <c r="DVY7" s="7"/>
      <c r="DVZ7" s="7"/>
      <c r="DWA7" s="7"/>
      <c r="DWB7" s="7"/>
      <c r="DWC7" s="7"/>
      <c r="DWD7" s="7"/>
      <c r="DWE7" s="7"/>
      <c r="EFP7" s="7"/>
      <c r="EFQ7" s="7"/>
      <c r="EFR7" s="7"/>
      <c r="EFS7" s="7"/>
      <c r="EFT7" s="7"/>
      <c r="EFU7" s="7"/>
      <c r="EFV7" s="7"/>
      <c r="EFW7" s="7"/>
      <c r="EFX7" s="7"/>
      <c r="EFY7" s="7"/>
      <c r="EFZ7" s="7"/>
      <c r="EGA7" s="7"/>
      <c r="EPL7" s="7"/>
      <c r="EPM7" s="7"/>
      <c r="EPN7" s="7"/>
      <c r="EPO7" s="7"/>
      <c r="EPP7" s="7"/>
      <c r="EPQ7" s="7"/>
      <c r="EPR7" s="7"/>
      <c r="EPS7" s="7"/>
      <c r="EPT7" s="7"/>
      <c r="EPU7" s="7"/>
      <c r="EPV7" s="7"/>
      <c r="EPW7" s="7"/>
      <c r="EZH7" s="7"/>
      <c r="EZI7" s="7"/>
      <c r="EZJ7" s="7"/>
      <c r="EZK7" s="7"/>
      <c r="EZL7" s="7"/>
      <c r="EZM7" s="7"/>
      <c r="EZN7" s="7"/>
      <c r="EZO7" s="7"/>
      <c r="EZP7" s="7"/>
      <c r="EZQ7" s="7"/>
      <c r="EZR7" s="7"/>
      <c r="EZS7" s="7"/>
      <c r="FJD7" s="7"/>
      <c r="FJE7" s="7"/>
      <c r="FJF7" s="7"/>
      <c r="FJG7" s="7"/>
      <c r="FJH7" s="7"/>
      <c r="FJI7" s="7"/>
      <c r="FJJ7" s="7"/>
      <c r="FJK7" s="7"/>
      <c r="FJL7" s="7"/>
      <c r="FJM7" s="7"/>
      <c r="FJN7" s="7"/>
      <c r="FJO7" s="7"/>
      <c r="FSZ7" s="7"/>
      <c r="FTA7" s="7"/>
      <c r="FTB7" s="7"/>
      <c r="FTC7" s="7"/>
      <c r="FTD7" s="7"/>
      <c r="FTE7" s="7"/>
      <c r="FTF7" s="7"/>
      <c r="FTG7" s="7"/>
      <c r="FTH7" s="7"/>
      <c r="FTI7" s="7"/>
      <c r="FTJ7" s="7"/>
      <c r="FTK7" s="7"/>
      <c r="GCV7" s="7"/>
      <c r="GCW7" s="7"/>
      <c r="GCX7" s="7"/>
      <c r="GCY7" s="7"/>
      <c r="GCZ7" s="7"/>
      <c r="GDA7" s="7"/>
      <c r="GDB7" s="7"/>
      <c r="GDC7" s="7"/>
      <c r="GDD7" s="7"/>
      <c r="GDE7" s="7"/>
      <c r="GDF7" s="7"/>
      <c r="GDG7" s="7"/>
      <c r="GMR7" s="7"/>
      <c r="GMS7" s="7"/>
      <c r="GMT7" s="7"/>
      <c r="GMU7" s="7"/>
      <c r="GMV7" s="7"/>
      <c r="GMW7" s="7"/>
      <c r="GMX7" s="7"/>
      <c r="GMY7" s="7"/>
      <c r="GMZ7" s="7"/>
      <c r="GNA7" s="7"/>
      <c r="GNB7" s="7"/>
      <c r="GNC7" s="7"/>
      <c r="GWN7" s="7"/>
      <c r="GWO7" s="7"/>
      <c r="GWP7" s="7"/>
      <c r="GWQ7" s="7"/>
      <c r="GWR7" s="7"/>
      <c r="GWS7" s="7"/>
      <c r="GWT7" s="7"/>
      <c r="GWU7" s="7"/>
      <c r="GWV7" s="7"/>
      <c r="GWW7" s="7"/>
      <c r="GWX7" s="7"/>
      <c r="GWY7" s="7"/>
      <c r="HGJ7" s="7"/>
      <c r="HGK7" s="7"/>
      <c r="HGL7" s="7"/>
      <c r="HGM7" s="7"/>
      <c r="HGN7" s="7"/>
      <c r="HGO7" s="7"/>
      <c r="HGP7" s="7"/>
      <c r="HGQ7" s="7"/>
      <c r="HGR7" s="7"/>
      <c r="HGS7" s="7"/>
      <c r="HGT7" s="7"/>
      <c r="HGU7" s="7"/>
      <c r="HQF7" s="7"/>
      <c r="HQG7" s="7"/>
      <c r="HQH7" s="7"/>
      <c r="HQI7" s="7"/>
      <c r="HQJ7" s="7"/>
      <c r="HQK7" s="7"/>
      <c r="HQL7" s="7"/>
      <c r="HQM7" s="7"/>
      <c r="HQN7" s="7"/>
      <c r="HQO7" s="7"/>
      <c r="HQP7" s="7"/>
      <c r="HQQ7" s="7"/>
      <c r="IAB7" s="7"/>
      <c r="IAC7" s="7"/>
      <c r="IAD7" s="7"/>
      <c r="IAE7" s="7"/>
      <c r="IAF7" s="7"/>
      <c r="IAG7" s="7"/>
      <c r="IAH7" s="7"/>
      <c r="IAI7" s="7"/>
      <c r="IAJ7" s="7"/>
      <c r="IAK7" s="7"/>
      <c r="IAL7" s="7"/>
      <c r="IAM7" s="7"/>
      <c r="IJX7" s="7"/>
      <c r="IJY7" s="7"/>
      <c r="IJZ7" s="7"/>
      <c r="IKA7" s="7"/>
      <c r="IKB7" s="7"/>
      <c r="IKC7" s="7"/>
      <c r="IKD7" s="7"/>
      <c r="IKE7" s="7"/>
      <c r="IKF7" s="7"/>
      <c r="IKG7" s="7"/>
      <c r="IKH7" s="7"/>
      <c r="IKI7" s="7"/>
      <c r="ITT7" s="7"/>
      <c r="ITU7" s="7"/>
      <c r="ITV7" s="7"/>
      <c r="ITW7" s="7"/>
      <c r="ITX7" s="7"/>
      <c r="ITY7" s="7"/>
      <c r="ITZ7" s="7"/>
      <c r="IUA7" s="7"/>
      <c r="IUB7" s="7"/>
      <c r="IUC7" s="7"/>
      <c r="IUD7" s="7"/>
      <c r="IUE7" s="7"/>
      <c r="JDP7" s="7"/>
      <c r="JDQ7" s="7"/>
      <c r="JDR7" s="7"/>
      <c r="JDS7" s="7"/>
      <c r="JDT7" s="7"/>
      <c r="JDU7" s="7"/>
      <c r="JDV7" s="7"/>
      <c r="JDW7" s="7"/>
      <c r="JDX7" s="7"/>
      <c r="JDY7" s="7"/>
      <c r="JDZ7" s="7"/>
      <c r="JEA7" s="7"/>
      <c r="JNL7" s="7"/>
      <c r="JNM7" s="7"/>
      <c r="JNN7" s="7"/>
      <c r="JNO7" s="7"/>
      <c r="JNP7" s="7"/>
      <c r="JNQ7" s="7"/>
      <c r="JNR7" s="7"/>
      <c r="JNS7" s="7"/>
      <c r="JNT7" s="7"/>
      <c r="JNU7" s="7"/>
      <c r="JNV7" s="7"/>
      <c r="JNW7" s="7"/>
      <c r="JXH7" s="7"/>
      <c r="JXI7" s="7"/>
      <c r="JXJ7" s="7"/>
      <c r="JXK7" s="7"/>
      <c r="JXL7" s="7"/>
      <c r="JXM7" s="7"/>
      <c r="JXN7" s="7"/>
      <c r="JXO7" s="7"/>
      <c r="JXP7" s="7"/>
      <c r="JXQ7" s="7"/>
      <c r="JXR7" s="7"/>
      <c r="JXS7" s="7"/>
      <c r="KHD7" s="7"/>
      <c r="KHE7" s="7"/>
      <c r="KHF7" s="7"/>
      <c r="KHG7" s="7"/>
      <c r="KHH7" s="7"/>
      <c r="KHI7" s="7"/>
      <c r="KHJ7" s="7"/>
      <c r="KHK7" s="7"/>
      <c r="KHL7" s="7"/>
      <c r="KHM7" s="7"/>
      <c r="KHN7" s="7"/>
      <c r="KHO7" s="7"/>
      <c r="KQZ7" s="7"/>
      <c r="KRA7" s="7"/>
      <c r="KRB7" s="7"/>
      <c r="KRC7" s="7"/>
      <c r="KRD7" s="7"/>
      <c r="KRE7" s="7"/>
      <c r="KRF7" s="7"/>
      <c r="KRG7" s="7"/>
      <c r="KRH7" s="7"/>
      <c r="KRI7" s="7"/>
      <c r="KRJ7" s="7"/>
      <c r="KRK7" s="7"/>
      <c r="LAV7" s="7"/>
      <c r="LAW7" s="7"/>
      <c r="LAX7" s="7"/>
      <c r="LAY7" s="7"/>
      <c r="LAZ7" s="7"/>
      <c r="LBA7" s="7"/>
      <c r="LBB7" s="7"/>
      <c r="LBC7" s="7"/>
      <c r="LBD7" s="7"/>
      <c r="LBE7" s="7"/>
      <c r="LBF7" s="7"/>
      <c r="LBG7" s="7"/>
      <c r="LKR7" s="7"/>
      <c r="LKS7" s="7"/>
      <c r="LKT7" s="7"/>
      <c r="LKU7" s="7"/>
      <c r="LKV7" s="7"/>
      <c r="LKW7" s="7"/>
      <c r="LKX7" s="7"/>
      <c r="LKY7" s="7"/>
      <c r="LKZ7" s="7"/>
      <c r="LLA7" s="7"/>
      <c r="LLB7" s="7"/>
      <c r="LLC7" s="7"/>
      <c r="LUN7" s="7"/>
      <c r="LUO7" s="7"/>
      <c r="LUP7" s="7"/>
      <c r="LUQ7" s="7"/>
      <c r="LUR7" s="7"/>
      <c r="LUS7" s="7"/>
      <c r="LUT7" s="7"/>
      <c r="LUU7" s="7"/>
      <c r="LUV7" s="7"/>
      <c r="LUW7" s="7"/>
      <c r="LUX7" s="7"/>
      <c r="LUY7" s="7"/>
      <c r="MEJ7" s="7"/>
      <c r="MEK7" s="7"/>
      <c r="MEL7" s="7"/>
      <c r="MEM7" s="7"/>
      <c r="MEN7" s="7"/>
      <c r="MEO7" s="7"/>
      <c r="MEP7" s="7"/>
      <c r="MEQ7" s="7"/>
      <c r="MER7" s="7"/>
      <c r="MES7" s="7"/>
      <c r="MET7" s="7"/>
      <c r="MEU7" s="7"/>
      <c r="MOF7" s="7"/>
      <c r="MOG7" s="7"/>
      <c r="MOH7" s="7"/>
      <c r="MOI7" s="7"/>
      <c r="MOJ7" s="7"/>
      <c r="MOK7" s="7"/>
      <c r="MOL7" s="7"/>
      <c r="MOM7" s="7"/>
      <c r="MON7" s="7"/>
      <c r="MOO7" s="7"/>
      <c r="MOP7" s="7"/>
      <c r="MOQ7" s="7"/>
      <c r="MYB7" s="7"/>
      <c r="MYC7" s="7"/>
      <c r="MYD7" s="7"/>
      <c r="MYE7" s="7"/>
      <c r="MYF7" s="7"/>
      <c r="MYG7" s="7"/>
      <c r="MYH7" s="7"/>
      <c r="MYI7" s="7"/>
      <c r="MYJ7" s="7"/>
      <c r="MYK7" s="7"/>
      <c r="MYL7" s="7"/>
      <c r="MYM7" s="7"/>
      <c r="NHX7" s="7"/>
      <c r="NHY7" s="7"/>
      <c r="NHZ7" s="7"/>
      <c r="NIA7" s="7"/>
      <c r="NIB7" s="7"/>
      <c r="NIC7" s="7"/>
      <c r="NID7" s="7"/>
      <c r="NIE7" s="7"/>
      <c r="NIF7" s="7"/>
      <c r="NIG7" s="7"/>
      <c r="NIH7" s="7"/>
      <c r="NII7" s="7"/>
      <c r="NRT7" s="7"/>
      <c r="NRU7" s="7"/>
      <c r="NRV7" s="7"/>
      <c r="NRW7" s="7"/>
      <c r="NRX7" s="7"/>
      <c r="NRY7" s="7"/>
      <c r="NRZ7" s="7"/>
      <c r="NSA7" s="7"/>
      <c r="NSB7" s="7"/>
      <c r="NSC7" s="7"/>
      <c r="NSD7" s="7"/>
      <c r="NSE7" s="7"/>
      <c r="OBP7" s="7"/>
      <c r="OBQ7" s="7"/>
      <c r="OBR7" s="7"/>
      <c r="OBS7" s="7"/>
      <c r="OBT7" s="7"/>
      <c r="OBU7" s="7"/>
      <c r="OBV7" s="7"/>
      <c r="OBW7" s="7"/>
      <c r="OBX7" s="7"/>
      <c r="OBY7" s="7"/>
      <c r="OBZ7" s="7"/>
      <c r="OCA7" s="7"/>
      <c r="OLL7" s="7"/>
      <c r="OLM7" s="7"/>
      <c r="OLN7" s="7"/>
      <c r="OLO7" s="7"/>
      <c r="OLP7" s="7"/>
      <c r="OLQ7" s="7"/>
      <c r="OLR7" s="7"/>
      <c r="OLS7" s="7"/>
      <c r="OLT7" s="7"/>
      <c r="OLU7" s="7"/>
      <c r="OLV7" s="7"/>
      <c r="OLW7" s="7"/>
      <c r="OVH7" s="7"/>
      <c r="OVI7" s="7"/>
      <c r="OVJ7" s="7"/>
      <c r="OVK7" s="7"/>
      <c r="OVL7" s="7"/>
      <c r="OVM7" s="7"/>
      <c r="OVN7" s="7"/>
      <c r="OVO7" s="7"/>
      <c r="OVP7" s="7"/>
      <c r="OVQ7" s="7"/>
      <c r="OVR7" s="7"/>
      <c r="OVS7" s="7"/>
      <c r="PFD7" s="7"/>
      <c r="PFE7" s="7"/>
      <c r="PFF7" s="7"/>
      <c r="PFG7" s="7"/>
      <c r="PFH7" s="7"/>
      <c r="PFI7" s="7"/>
      <c r="PFJ7" s="7"/>
      <c r="PFK7" s="7"/>
      <c r="PFL7" s="7"/>
      <c r="PFM7" s="7"/>
      <c r="PFN7" s="7"/>
      <c r="PFO7" s="7"/>
      <c r="POZ7" s="7"/>
      <c r="PPA7" s="7"/>
      <c r="PPB7" s="7"/>
      <c r="PPC7" s="7"/>
      <c r="PPD7" s="7"/>
      <c r="PPE7" s="7"/>
      <c r="PPF7" s="7"/>
      <c r="PPG7" s="7"/>
      <c r="PPH7" s="7"/>
      <c r="PPI7" s="7"/>
      <c r="PPJ7" s="7"/>
      <c r="PPK7" s="7"/>
      <c r="PYV7" s="7"/>
      <c r="PYW7" s="7"/>
      <c r="PYX7" s="7"/>
      <c r="PYY7" s="7"/>
      <c r="PYZ7" s="7"/>
      <c r="PZA7" s="7"/>
      <c r="PZB7" s="7"/>
      <c r="PZC7" s="7"/>
      <c r="PZD7" s="7"/>
      <c r="PZE7" s="7"/>
      <c r="PZF7" s="7"/>
      <c r="PZG7" s="7"/>
      <c r="QIR7" s="7"/>
      <c r="QIS7" s="7"/>
      <c r="QIT7" s="7"/>
      <c r="QIU7" s="7"/>
      <c r="QIV7" s="7"/>
      <c r="QIW7" s="7"/>
      <c r="QIX7" s="7"/>
      <c r="QIY7" s="7"/>
      <c r="QIZ7" s="7"/>
      <c r="QJA7" s="7"/>
      <c r="QJB7" s="7"/>
      <c r="QJC7" s="7"/>
      <c r="QSN7" s="7"/>
      <c r="QSO7" s="7"/>
      <c r="QSP7" s="7"/>
      <c r="QSQ7" s="7"/>
      <c r="QSR7" s="7"/>
      <c r="QSS7" s="7"/>
      <c r="QST7" s="7"/>
      <c r="QSU7" s="7"/>
      <c r="QSV7" s="7"/>
      <c r="QSW7" s="7"/>
      <c r="QSX7" s="7"/>
      <c r="QSY7" s="7"/>
      <c r="RCJ7" s="7"/>
      <c r="RCK7" s="7"/>
      <c r="RCL7" s="7"/>
      <c r="RCM7" s="7"/>
      <c r="RCN7" s="7"/>
      <c r="RCO7" s="7"/>
      <c r="RCP7" s="7"/>
      <c r="RCQ7" s="7"/>
      <c r="RCR7" s="7"/>
      <c r="RCS7" s="7"/>
      <c r="RCT7" s="7"/>
      <c r="RCU7" s="7"/>
      <c r="RMF7" s="7"/>
      <c r="RMG7" s="7"/>
      <c r="RMH7" s="7"/>
      <c r="RMI7" s="7"/>
      <c r="RMJ7" s="7"/>
      <c r="RMK7" s="7"/>
      <c r="RML7" s="7"/>
      <c r="RMM7" s="7"/>
      <c r="RMN7" s="7"/>
      <c r="RMO7" s="7"/>
      <c r="RMP7" s="7"/>
      <c r="RMQ7" s="7"/>
      <c r="RWB7" s="7"/>
      <c r="RWC7" s="7"/>
      <c r="RWD7" s="7"/>
      <c r="RWE7" s="7"/>
      <c r="RWF7" s="7"/>
      <c r="RWG7" s="7"/>
      <c r="RWH7" s="7"/>
      <c r="RWI7" s="7"/>
      <c r="RWJ7" s="7"/>
      <c r="RWK7" s="7"/>
      <c r="RWL7" s="7"/>
      <c r="RWM7" s="7"/>
      <c r="SFX7" s="7"/>
      <c r="SFY7" s="7"/>
      <c r="SFZ7" s="7"/>
      <c r="SGA7" s="7"/>
      <c r="SGB7" s="7"/>
      <c r="SGC7" s="7"/>
      <c r="SGD7" s="7"/>
      <c r="SGE7" s="7"/>
      <c r="SGF7" s="7"/>
      <c r="SGG7" s="7"/>
      <c r="SGH7" s="7"/>
      <c r="SGI7" s="7"/>
      <c r="SPT7" s="7"/>
      <c r="SPU7" s="7"/>
      <c r="SPV7" s="7"/>
      <c r="SPW7" s="7"/>
      <c r="SPX7" s="7"/>
      <c r="SPY7" s="7"/>
      <c r="SPZ7" s="7"/>
      <c r="SQA7" s="7"/>
      <c r="SQB7" s="7"/>
      <c r="SQC7" s="7"/>
      <c r="SQD7" s="7"/>
      <c r="SQE7" s="7"/>
      <c r="SZP7" s="7"/>
      <c r="SZQ7" s="7"/>
      <c r="SZR7" s="7"/>
      <c r="SZS7" s="7"/>
      <c r="SZT7" s="7"/>
      <c r="SZU7" s="7"/>
      <c r="SZV7" s="7"/>
      <c r="SZW7" s="7"/>
      <c r="SZX7" s="7"/>
      <c r="SZY7" s="7"/>
      <c r="SZZ7" s="7"/>
      <c r="TAA7" s="7"/>
      <c r="TJL7" s="7"/>
      <c r="TJM7" s="7"/>
      <c r="TJN7" s="7"/>
      <c r="TJO7" s="7"/>
      <c r="TJP7" s="7"/>
      <c r="TJQ7" s="7"/>
      <c r="TJR7" s="7"/>
      <c r="TJS7" s="7"/>
      <c r="TJT7" s="7"/>
      <c r="TJU7" s="7"/>
      <c r="TJV7" s="7"/>
      <c r="TJW7" s="7"/>
      <c r="TTH7" s="7"/>
      <c r="TTI7" s="7"/>
      <c r="TTJ7" s="7"/>
      <c r="TTK7" s="7"/>
      <c r="TTL7" s="7"/>
      <c r="TTM7" s="7"/>
      <c r="TTN7" s="7"/>
      <c r="TTO7" s="7"/>
      <c r="TTP7" s="7"/>
      <c r="TTQ7" s="7"/>
      <c r="TTR7" s="7"/>
      <c r="TTS7" s="7"/>
      <c r="UDD7" s="7"/>
      <c r="UDE7" s="7"/>
      <c r="UDF7" s="7"/>
      <c r="UDG7" s="7"/>
      <c r="UDH7" s="7"/>
      <c r="UDI7" s="7"/>
      <c r="UDJ7" s="7"/>
      <c r="UDK7" s="7"/>
      <c r="UDL7" s="7"/>
      <c r="UDM7" s="7"/>
      <c r="UDN7" s="7"/>
      <c r="UDO7" s="7"/>
      <c r="UMZ7" s="7"/>
      <c r="UNA7" s="7"/>
      <c r="UNB7" s="7"/>
      <c r="UNC7" s="7"/>
      <c r="UND7" s="7"/>
      <c r="UNE7" s="7"/>
      <c r="UNF7" s="7"/>
      <c r="UNG7" s="7"/>
      <c r="UNH7" s="7"/>
      <c r="UNI7" s="7"/>
      <c r="UNJ7" s="7"/>
      <c r="UNK7" s="7"/>
      <c r="UWV7" s="7"/>
      <c r="UWW7" s="7"/>
      <c r="UWX7" s="7"/>
      <c r="UWY7" s="7"/>
      <c r="UWZ7" s="7"/>
      <c r="UXA7" s="7"/>
      <c r="UXB7" s="7"/>
      <c r="UXC7" s="7"/>
      <c r="UXD7" s="7"/>
      <c r="UXE7" s="7"/>
      <c r="UXF7" s="7"/>
      <c r="UXG7" s="7"/>
      <c r="VGR7" s="7"/>
      <c r="VGS7" s="7"/>
      <c r="VGT7" s="7"/>
      <c r="VGU7" s="7"/>
      <c r="VGV7" s="7"/>
      <c r="VGW7" s="7"/>
      <c r="VGX7" s="7"/>
      <c r="VGY7" s="7"/>
      <c r="VGZ7" s="7"/>
      <c r="VHA7" s="7"/>
      <c r="VHB7" s="7"/>
      <c r="VHC7" s="7"/>
      <c r="VQN7" s="7"/>
      <c r="VQO7" s="7"/>
      <c r="VQP7" s="7"/>
      <c r="VQQ7" s="7"/>
      <c r="VQR7" s="7"/>
      <c r="VQS7" s="7"/>
      <c r="VQT7" s="7"/>
      <c r="VQU7" s="7"/>
      <c r="VQV7" s="7"/>
      <c r="VQW7" s="7"/>
      <c r="VQX7" s="7"/>
      <c r="VQY7" s="7"/>
      <c r="WAJ7" s="7"/>
      <c r="WAK7" s="7"/>
      <c r="WAL7" s="7"/>
      <c r="WAM7" s="7"/>
      <c r="WAN7" s="7"/>
      <c r="WAO7" s="7"/>
      <c r="WAP7" s="7"/>
      <c r="WAQ7" s="7"/>
      <c r="WAR7" s="7"/>
      <c r="WAS7" s="7"/>
      <c r="WAT7" s="7"/>
      <c r="WAU7" s="7"/>
      <c r="WKF7" s="7"/>
      <c r="WKG7" s="7"/>
      <c r="WKH7" s="7"/>
      <c r="WKI7" s="7"/>
      <c r="WKJ7" s="7"/>
      <c r="WKK7" s="7"/>
      <c r="WKL7" s="7"/>
      <c r="WKM7" s="7"/>
      <c r="WKN7" s="7"/>
      <c r="WKO7" s="7"/>
      <c r="WKP7" s="7"/>
      <c r="WKQ7" s="7"/>
      <c r="WUB7" s="7"/>
      <c r="WUC7" s="7"/>
      <c r="WUD7" s="7"/>
      <c r="WUE7" s="7"/>
      <c r="WUF7" s="7"/>
      <c r="WUG7" s="7"/>
      <c r="WUH7" s="7"/>
      <c r="WUI7" s="7"/>
      <c r="WUJ7" s="7"/>
      <c r="WUK7" s="7"/>
      <c r="WUL7" s="7"/>
      <c r="WUM7" s="7"/>
    </row>
    <row r="8" spans="1:1003 1248:2027 2272:3051 3296:4075 4320:5099 5344:6123 6368:7147 7392:8171 8416:9195 9440:10219 10464:11243 11488:12267 12512:13291 13536:14315 14560:15339 15584:16107" ht="30" customHeight="1">
      <c r="A8" s="45"/>
      <c r="C8" s="7" t="s">
        <v>227</v>
      </c>
      <c r="D8" s="27">
        <v>2.13</v>
      </c>
      <c r="H8" s="159">
        <v>1</v>
      </c>
      <c r="I8" s="196" t="s">
        <v>228</v>
      </c>
      <c r="J8" s="161"/>
      <c r="K8" s="196"/>
      <c r="L8" s="211">
        <f>Table113[[#This Row],[Qty 2]]+Table113[[#This Row],[Qty 1]]</f>
        <v>1</v>
      </c>
      <c r="M8" s="216">
        <v>869</v>
      </c>
      <c r="N8" s="216">
        <f>Table113[[#This Row],[Unit Cost]]*Table113[[#This Row],[Total Qty All Areas]]</f>
        <v>869</v>
      </c>
    </row>
    <row r="9" spans="1:1003 1248:2027 2272:3051 3296:4075 4320:5099 5344:6123 6368:7147 7392:8171 8416:9195 9440:10219 10464:11243 11488:12267 12512:13291 13536:14315 14560:15339 15584:16107" ht="30" customHeight="1">
      <c r="A9" s="45"/>
      <c r="C9" s="7" t="s">
        <v>229</v>
      </c>
      <c r="D9" s="27">
        <v>1.83</v>
      </c>
      <c r="H9" s="159">
        <v>3</v>
      </c>
      <c r="I9" s="196" t="s">
        <v>228</v>
      </c>
      <c r="J9" s="161"/>
      <c r="K9" s="196"/>
      <c r="L9" s="211">
        <f>Table113[[#This Row],[Qty 2]]+Table113[[#This Row],[Qty 1]]</f>
        <v>3</v>
      </c>
      <c r="M9" s="216">
        <v>636</v>
      </c>
      <c r="N9" s="216">
        <f>Table113[[#This Row],[Unit Cost]]*Table113[[#This Row],[Total Qty All Areas]]</f>
        <v>1908</v>
      </c>
    </row>
    <row r="10" spans="1:1003 1248:2027 2272:3051 3296:4075 4320:5099 5344:6123 6368:7147 7392:8171 8416:9195 9440:10219 10464:11243 11488:12267 12512:13291 13536:14315 14560:15339 15584:16107" ht="30" customHeight="1">
      <c r="A10" s="45"/>
      <c r="C10" s="7" t="s">
        <v>230</v>
      </c>
      <c r="D10" s="27">
        <v>2.44</v>
      </c>
      <c r="H10" s="159">
        <v>1</v>
      </c>
      <c r="I10" s="196" t="s">
        <v>228</v>
      </c>
      <c r="J10" s="161"/>
      <c r="K10" s="196"/>
      <c r="L10" s="211">
        <f>Table113[[#This Row],[Qty 2]]+Table113[[#This Row],[Qty 1]]</f>
        <v>1</v>
      </c>
      <c r="M10" s="216">
        <v>1026</v>
      </c>
      <c r="N10" s="216">
        <f>Table113[[#This Row],[Unit Cost]]*Table113[[#This Row],[Total Qty All Areas]]</f>
        <v>1026</v>
      </c>
    </row>
    <row r="11" spans="1:1003 1248:2027 2272:3051 3296:4075 4320:5099 5344:6123 6368:7147 7392:8171 8416:9195 9440:10219 10464:11243 11488:12267 12512:13291 13536:14315 14560:15339 15584:16107" ht="30" customHeight="1">
      <c r="A11" s="45"/>
      <c r="C11" s="7" t="s">
        <v>231</v>
      </c>
      <c r="D11" s="27">
        <v>2.29</v>
      </c>
      <c r="H11" s="159">
        <v>1</v>
      </c>
      <c r="I11" s="196" t="s">
        <v>228</v>
      </c>
      <c r="J11" s="161"/>
      <c r="K11" s="196"/>
      <c r="L11" s="211">
        <f>Table113[[#This Row],[Qty 2]]+Table113[[#This Row],[Qty 1]]</f>
        <v>1</v>
      </c>
      <c r="M11" s="216">
        <v>978</v>
      </c>
      <c r="N11" s="216">
        <f>Table113[[#This Row],[Unit Cost]]*Table113[[#This Row],[Total Qty All Areas]]</f>
        <v>978</v>
      </c>
    </row>
    <row r="12" spans="1:1003 1248:2027 2272:3051 3296:4075 4320:5099 5344:6123 6368:7147 7392:8171 8416:9195 9440:10219 10464:11243 11488:12267 12512:13291 13536:14315 14560:15339 15584:16107" ht="30" customHeight="1">
      <c r="A12" s="176"/>
      <c r="D12" s="169"/>
      <c r="E12" s="169"/>
      <c r="F12" s="303"/>
      <c r="H12" s="159"/>
      <c r="I12" s="196"/>
      <c r="J12" s="161"/>
      <c r="K12" s="196"/>
      <c r="L12" s="211">
        <f>Table113[[#This Row],[Qty 2]]+Table113[[#This Row],[Qty 1]]</f>
        <v>0</v>
      </c>
      <c r="M12" s="216"/>
      <c r="N12" s="216">
        <f>Table113[[#This Row],[Unit Cost]]*Table113[[#This Row],[Total Qty All Areas]]</f>
        <v>0</v>
      </c>
    </row>
    <row r="13" spans="1:1003 1248:2027 2272:3051 3296:4075 4320:5099 5344:6123 6368:7147 7392:8171 8416:9195 9440:10219 10464:11243 11488:12267 12512:13291 13536:14315 14560:15339 15584:16107" s="167" customFormat="1" ht="30" customHeight="1">
      <c r="A13" s="175" t="str">
        <f>'Category Setup'!L36</f>
        <v>F_TB</v>
      </c>
      <c r="B13" s="167" t="str">
        <f>'Category Setup'!E36</f>
        <v>F_TB_Finished_Transport Boxes</v>
      </c>
      <c r="C13" s="167" t="str">
        <f>'Category Setup'!N36</f>
        <v>F_TB_Finished_Transport Boxes</v>
      </c>
      <c r="D13" s="168"/>
      <c r="E13" s="168"/>
      <c r="F13" s="172"/>
      <c r="G13" s="172"/>
      <c r="H13" s="173"/>
      <c r="I13" s="197"/>
      <c r="J13" s="174"/>
      <c r="K13" s="197"/>
      <c r="L13" s="213">
        <f>Table113[[#This Row],[Qty 2]]+Table113[[#This Row],[Qty 1]]</f>
        <v>0</v>
      </c>
      <c r="M13" s="215"/>
      <c r="N13" s="215">
        <f>Table113[[#This Row],[Unit Cost]]*Table113[[#This Row],[Total Qty All Areas]]</f>
        <v>0</v>
      </c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RL13" s="7"/>
      <c r="RM13" s="7"/>
      <c r="RN13" s="7"/>
      <c r="RO13" s="7"/>
      <c r="RP13" s="7"/>
      <c r="RQ13" s="7"/>
      <c r="RR13" s="7"/>
      <c r="RS13" s="7"/>
      <c r="RT13" s="7"/>
      <c r="RU13" s="7"/>
      <c r="RV13" s="7"/>
      <c r="RW13" s="7"/>
      <c r="ABH13" s="7"/>
      <c r="ABI13" s="7"/>
      <c r="ABJ13" s="7"/>
      <c r="ABK13" s="7"/>
      <c r="ABL13" s="7"/>
      <c r="ABM13" s="7"/>
      <c r="ABN13" s="7"/>
      <c r="ABO13" s="7"/>
      <c r="ABP13" s="7"/>
      <c r="ABQ13" s="7"/>
      <c r="ABR13" s="7"/>
      <c r="ABS13" s="7"/>
      <c r="ALD13" s="7"/>
      <c r="ALE13" s="7"/>
      <c r="ALF13" s="7"/>
      <c r="ALG13" s="7"/>
      <c r="ALH13" s="7"/>
      <c r="ALI13" s="7"/>
      <c r="ALJ13" s="7"/>
      <c r="ALK13" s="7"/>
      <c r="ALL13" s="7"/>
      <c r="ALM13" s="7"/>
      <c r="ALN13" s="7"/>
      <c r="ALO13" s="7"/>
      <c r="AUZ13" s="7"/>
      <c r="AVA13" s="7"/>
      <c r="AVB13" s="7"/>
      <c r="AVC13" s="7"/>
      <c r="AVD13" s="7"/>
      <c r="AVE13" s="7"/>
      <c r="AVF13" s="7"/>
      <c r="AVG13" s="7"/>
      <c r="AVH13" s="7"/>
      <c r="AVI13" s="7"/>
      <c r="AVJ13" s="7"/>
      <c r="AVK13" s="7"/>
      <c r="BEV13" s="7"/>
      <c r="BEW13" s="7"/>
      <c r="BEX13" s="7"/>
      <c r="BEY13" s="7"/>
      <c r="BEZ13" s="7"/>
      <c r="BFA13" s="7"/>
      <c r="BFB13" s="7"/>
      <c r="BFC13" s="7"/>
      <c r="BFD13" s="7"/>
      <c r="BFE13" s="7"/>
      <c r="BFF13" s="7"/>
      <c r="BFG13" s="7"/>
      <c r="BOR13" s="7"/>
      <c r="BOS13" s="7"/>
      <c r="BOT13" s="7"/>
      <c r="BOU13" s="7"/>
      <c r="BOV13" s="7"/>
      <c r="BOW13" s="7"/>
      <c r="BOX13" s="7"/>
      <c r="BOY13" s="7"/>
      <c r="BOZ13" s="7"/>
      <c r="BPA13" s="7"/>
      <c r="BPB13" s="7"/>
      <c r="BPC13" s="7"/>
      <c r="BYN13" s="7"/>
      <c r="BYO13" s="7"/>
      <c r="BYP13" s="7"/>
      <c r="BYQ13" s="7"/>
      <c r="BYR13" s="7"/>
      <c r="BYS13" s="7"/>
      <c r="BYT13" s="7"/>
      <c r="BYU13" s="7"/>
      <c r="BYV13" s="7"/>
      <c r="BYW13" s="7"/>
      <c r="BYX13" s="7"/>
      <c r="BYY13" s="7"/>
      <c r="CIJ13" s="7"/>
      <c r="CIK13" s="7"/>
      <c r="CIL13" s="7"/>
      <c r="CIM13" s="7"/>
      <c r="CIN13" s="7"/>
      <c r="CIO13" s="7"/>
      <c r="CIP13" s="7"/>
      <c r="CIQ13" s="7"/>
      <c r="CIR13" s="7"/>
      <c r="CIS13" s="7"/>
      <c r="CIT13" s="7"/>
      <c r="CIU13" s="7"/>
      <c r="CSF13" s="7"/>
      <c r="CSG13" s="7"/>
      <c r="CSH13" s="7"/>
      <c r="CSI13" s="7"/>
      <c r="CSJ13" s="7"/>
      <c r="CSK13" s="7"/>
      <c r="CSL13" s="7"/>
      <c r="CSM13" s="7"/>
      <c r="CSN13" s="7"/>
      <c r="CSO13" s="7"/>
      <c r="CSP13" s="7"/>
      <c r="CSQ13" s="7"/>
      <c r="DCB13" s="7"/>
      <c r="DCC13" s="7"/>
      <c r="DCD13" s="7"/>
      <c r="DCE13" s="7"/>
      <c r="DCF13" s="7"/>
      <c r="DCG13" s="7"/>
      <c r="DCH13" s="7"/>
      <c r="DCI13" s="7"/>
      <c r="DCJ13" s="7"/>
      <c r="DCK13" s="7"/>
      <c r="DCL13" s="7"/>
      <c r="DCM13" s="7"/>
      <c r="DLX13" s="7"/>
      <c r="DLY13" s="7"/>
      <c r="DLZ13" s="7"/>
      <c r="DMA13" s="7"/>
      <c r="DMB13" s="7"/>
      <c r="DMC13" s="7"/>
      <c r="DMD13" s="7"/>
      <c r="DME13" s="7"/>
      <c r="DMF13" s="7"/>
      <c r="DMG13" s="7"/>
      <c r="DMH13" s="7"/>
      <c r="DMI13" s="7"/>
      <c r="DVT13" s="7"/>
      <c r="DVU13" s="7"/>
      <c r="DVV13" s="7"/>
      <c r="DVW13" s="7"/>
      <c r="DVX13" s="7"/>
      <c r="DVY13" s="7"/>
      <c r="DVZ13" s="7"/>
      <c r="DWA13" s="7"/>
      <c r="DWB13" s="7"/>
      <c r="DWC13" s="7"/>
      <c r="DWD13" s="7"/>
      <c r="DWE13" s="7"/>
      <c r="EFP13" s="7"/>
      <c r="EFQ13" s="7"/>
      <c r="EFR13" s="7"/>
      <c r="EFS13" s="7"/>
      <c r="EFT13" s="7"/>
      <c r="EFU13" s="7"/>
      <c r="EFV13" s="7"/>
      <c r="EFW13" s="7"/>
      <c r="EFX13" s="7"/>
      <c r="EFY13" s="7"/>
      <c r="EFZ13" s="7"/>
      <c r="EGA13" s="7"/>
      <c r="EPL13" s="7"/>
      <c r="EPM13" s="7"/>
      <c r="EPN13" s="7"/>
      <c r="EPO13" s="7"/>
      <c r="EPP13" s="7"/>
      <c r="EPQ13" s="7"/>
      <c r="EPR13" s="7"/>
      <c r="EPS13" s="7"/>
      <c r="EPT13" s="7"/>
      <c r="EPU13" s="7"/>
      <c r="EPV13" s="7"/>
      <c r="EPW13" s="7"/>
      <c r="EZH13" s="7"/>
      <c r="EZI13" s="7"/>
      <c r="EZJ13" s="7"/>
      <c r="EZK13" s="7"/>
      <c r="EZL13" s="7"/>
      <c r="EZM13" s="7"/>
      <c r="EZN13" s="7"/>
      <c r="EZO13" s="7"/>
      <c r="EZP13" s="7"/>
      <c r="EZQ13" s="7"/>
      <c r="EZR13" s="7"/>
      <c r="EZS13" s="7"/>
      <c r="FJD13" s="7"/>
      <c r="FJE13" s="7"/>
      <c r="FJF13" s="7"/>
      <c r="FJG13" s="7"/>
      <c r="FJH13" s="7"/>
      <c r="FJI13" s="7"/>
      <c r="FJJ13" s="7"/>
      <c r="FJK13" s="7"/>
      <c r="FJL13" s="7"/>
      <c r="FJM13" s="7"/>
      <c r="FJN13" s="7"/>
      <c r="FJO13" s="7"/>
      <c r="FSZ13" s="7"/>
      <c r="FTA13" s="7"/>
      <c r="FTB13" s="7"/>
      <c r="FTC13" s="7"/>
      <c r="FTD13" s="7"/>
      <c r="FTE13" s="7"/>
      <c r="FTF13" s="7"/>
      <c r="FTG13" s="7"/>
      <c r="FTH13" s="7"/>
      <c r="FTI13" s="7"/>
      <c r="FTJ13" s="7"/>
      <c r="FTK13" s="7"/>
      <c r="GCV13" s="7"/>
      <c r="GCW13" s="7"/>
      <c r="GCX13" s="7"/>
      <c r="GCY13" s="7"/>
      <c r="GCZ13" s="7"/>
      <c r="GDA13" s="7"/>
      <c r="GDB13" s="7"/>
      <c r="GDC13" s="7"/>
      <c r="GDD13" s="7"/>
      <c r="GDE13" s="7"/>
      <c r="GDF13" s="7"/>
      <c r="GDG13" s="7"/>
      <c r="GMR13" s="7"/>
      <c r="GMS13" s="7"/>
      <c r="GMT13" s="7"/>
      <c r="GMU13" s="7"/>
      <c r="GMV13" s="7"/>
      <c r="GMW13" s="7"/>
      <c r="GMX13" s="7"/>
      <c r="GMY13" s="7"/>
      <c r="GMZ13" s="7"/>
      <c r="GNA13" s="7"/>
      <c r="GNB13" s="7"/>
      <c r="GNC13" s="7"/>
      <c r="GWN13" s="7"/>
      <c r="GWO13" s="7"/>
      <c r="GWP13" s="7"/>
      <c r="GWQ13" s="7"/>
      <c r="GWR13" s="7"/>
      <c r="GWS13" s="7"/>
      <c r="GWT13" s="7"/>
      <c r="GWU13" s="7"/>
      <c r="GWV13" s="7"/>
      <c r="GWW13" s="7"/>
      <c r="GWX13" s="7"/>
      <c r="GWY13" s="7"/>
      <c r="HGJ13" s="7"/>
      <c r="HGK13" s="7"/>
      <c r="HGL13" s="7"/>
      <c r="HGM13" s="7"/>
      <c r="HGN13" s="7"/>
      <c r="HGO13" s="7"/>
      <c r="HGP13" s="7"/>
      <c r="HGQ13" s="7"/>
      <c r="HGR13" s="7"/>
      <c r="HGS13" s="7"/>
      <c r="HGT13" s="7"/>
      <c r="HGU13" s="7"/>
      <c r="HQF13" s="7"/>
      <c r="HQG13" s="7"/>
      <c r="HQH13" s="7"/>
      <c r="HQI13" s="7"/>
      <c r="HQJ13" s="7"/>
      <c r="HQK13" s="7"/>
      <c r="HQL13" s="7"/>
      <c r="HQM13" s="7"/>
      <c r="HQN13" s="7"/>
      <c r="HQO13" s="7"/>
      <c r="HQP13" s="7"/>
      <c r="HQQ13" s="7"/>
      <c r="IAB13" s="7"/>
      <c r="IAC13" s="7"/>
      <c r="IAD13" s="7"/>
      <c r="IAE13" s="7"/>
      <c r="IAF13" s="7"/>
      <c r="IAG13" s="7"/>
      <c r="IAH13" s="7"/>
      <c r="IAI13" s="7"/>
      <c r="IAJ13" s="7"/>
      <c r="IAK13" s="7"/>
      <c r="IAL13" s="7"/>
      <c r="IAM13" s="7"/>
      <c r="IJX13" s="7"/>
      <c r="IJY13" s="7"/>
      <c r="IJZ13" s="7"/>
      <c r="IKA13" s="7"/>
      <c r="IKB13" s="7"/>
      <c r="IKC13" s="7"/>
      <c r="IKD13" s="7"/>
      <c r="IKE13" s="7"/>
      <c r="IKF13" s="7"/>
      <c r="IKG13" s="7"/>
      <c r="IKH13" s="7"/>
      <c r="IKI13" s="7"/>
      <c r="ITT13" s="7"/>
      <c r="ITU13" s="7"/>
      <c r="ITV13" s="7"/>
      <c r="ITW13" s="7"/>
      <c r="ITX13" s="7"/>
      <c r="ITY13" s="7"/>
      <c r="ITZ13" s="7"/>
      <c r="IUA13" s="7"/>
      <c r="IUB13" s="7"/>
      <c r="IUC13" s="7"/>
      <c r="IUD13" s="7"/>
      <c r="IUE13" s="7"/>
      <c r="JDP13" s="7"/>
      <c r="JDQ13" s="7"/>
      <c r="JDR13" s="7"/>
      <c r="JDS13" s="7"/>
      <c r="JDT13" s="7"/>
      <c r="JDU13" s="7"/>
      <c r="JDV13" s="7"/>
      <c r="JDW13" s="7"/>
      <c r="JDX13" s="7"/>
      <c r="JDY13" s="7"/>
      <c r="JDZ13" s="7"/>
      <c r="JEA13" s="7"/>
      <c r="JNL13" s="7"/>
      <c r="JNM13" s="7"/>
      <c r="JNN13" s="7"/>
      <c r="JNO13" s="7"/>
      <c r="JNP13" s="7"/>
      <c r="JNQ13" s="7"/>
      <c r="JNR13" s="7"/>
      <c r="JNS13" s="7"/>
      <c r="JNT13" s="7"/>
      <c r="JNU13" s="7"/>
      <c r="JNV13" s="7"/>
      <c r="JNW13" s="7"/>
      <c r="JXH13" s="7"/>
      <c r="JXI13" s="7"/>
      <c r="JXJ13" s="7"/>
      <c r="JXK13" s="7"/>
      <c r="JXL13" s="7"/>
      <c r="JXM13" s="7"/>
      <c r="JXN13" s="7"/>
      <c r="JXO13" s="7"/>
      <c r="JXP13" s="7"/>
      <c r="JXQ13" s="7"/>
      <c r="JXR13" s="7"/>
      <c r="JXS13" s="7"/>
      <c r="KHD13" s="7"/>
      <c r="KHE13" s="7"/>
      <c r="KHF13" s="7"/>
      <c r="KHG13" s="7"/>
      <c r="KHH13" s="7"/>
      <c r="KHI13" s="7"/>
      <c r="KHJ13" s="7"/>
      <c r="KHK13" s="7"/>
      <c r="KHL13" s="7"/>
      <c r="KHM13" s="7"/>
      <c r="KHN13" s="7"/>
      <c r="KHO13" s="7"/>
      <c r="KQZ13" s="7"/>
      <c r="KRA13" s="7"/>
      <c r="KRB13" s="7"/>
      <c r="KRC13" s="7"/>
      <c r="KRD13" s="7"/>
      <c r="KRE13" s="7"/>
      <c r="KRF13" s="7"/>
      <c r="KRG13" s="7"/>
      <c r="KRH13" s="7"/>
      <c r="KRI13" s="7"/>
      <c r="KRJ13" s="7"/>
      <c r="KRK13" s="7"/>
      <c r="LAV13" s="7"/>
      <c r="LAW13" s="7"/>
      <c r="LAX13" s="7"/>
      <c r="LAY13" s="7"/>
      <c r="LAZ13" s="7"/>
      <c r="LBA13" s="7"/>
      <c r="LBB13" s="7"/>
      <c r="LBC13" s="7"/>
      <c r="LBD13" s="7"/>
      <c r="LBE13" s="7"/>
      <c r="LBF13" s="7"/>
      <c r="LBG13" s="7"/>
      <c r="LKR13" s="7"/>
      <c r="LKS13" s="7"/>
      <c r="LKT13" s="7"/>
      <c r="LKU13" s="7"/>
      <c r="LKV13" s="7"/>
      <c r="LKW13" s="7"/>
      <c r="LKX13" s="7"/>
      <c r="LKY13" s="7"/>
      <c r="LKZ13" s="7"/>
      <c r="LLA13" s="7"/>
      <c r="LLB13" s="7"/>
      <c r="LLC13" s="7"/>
      <c r="LUN13" s="7"/>
      <c r="LUO13" s="7"/>
      <c r="LUP13" s="7"/>
      <c r="LUQ13" s="7"/>
      <c r="LUR13" s="7"/>
      <c r="LUS13" s="7"/>
      <c r="LUT13" s="7"/>
      <c r="LUU13" s="7"/>
      <c r="LUV13" s="7"/>
      <c r="LUW13" s="7"/>
      <c r="LUX13" s="7"/>
      <c r="LUY13" s="7"/>
      <c r="MEJ13" s="7"/>
      <c r="MEK13" s="7"/>
      <c r="MEL13" s="7"/>
      <c r="MEM13" s="7"/>
      <c r="MEN13" s="7"/>
      <c r="MEO13" s="7"/>
      <c r="MEP13" s="7"/>
      <c r="MEQ13" s="7"/>
      <c r="MER13" s="7"/>
      <c r="MES13" s="7"/>
      <c r="MET13" s="7"/>
      <c r="MEU13" s="7"/>
      <c r="MOF13" s="7"/>
      <c r="MOG13" s="7"/>
      <c r="MOH13" s="7"/>
      <c r="MOI13" s="7"/>
      <c r="MOJ13" s="7"/>
      <c r="MOK13" s="7"/>
      <c r="MOL13" s="7"/>
      <c r="MOM13" s="7"/>
      <c r="MON13" s="7"/>
      <c r="MOO13" s="7"/>
      <c r="MOP13" s="7"/>
      <c r="MOQ13" s="7"/>
      <c r="MYB13" s="7"/>
      <c r="MYC13" s="7"/>
      <c r="MYD13" s="7"/>
      <c r="MYE13" s="7"/>
      <c r="MYF13" s="7"/>
      <c r="MYG13" s="7"/>
      <c r="MYH13" s="7"/>
      <c r="MYI13" s="7"/>
      <c r="MYJ13" s="7"/>
      <c r="MYK13" s="7"/>
      <c r="MYL13" s="7"/>
      <c r="MYM13" s="7"/>
      <c r="NHX13" s="7"/>
      <c r="NHY13" s="7"/>
      <c r="NHZ13" s="7"/>
      <c r="NIA13" s="7"/>
      <c r="NIB13" s="7"/>
      <c r="NIC13" s="7"/>
      <c r="NID13" s="7"/>
      <c r="NIE13" s="7"/>
      <c r="NIF13" s="7"/>
      <c r="NIG13" s="7"/>
      <c r="NIH13" s="7"/>
      <c r="NII13" s="7"/>
      <c r="NRT13" s="7"/>
      <c r="NRU13" s="7"/>
      <c r="NRV13" s="7"/>
      <c r="NRW13" s="7"/>
      <c r="NRX13" s="7"/>
      <c r="NRY13" s="7"/>
      <c r="NRZ13" s="7"/>
      <c r="NSA13" s="7"/>
      <c r="NSB13" s="7"/>
      <c r="NSC13" s="7"/>
      <c r="NSD13" s="7"/>
      <c r="NSE13" s="7"/>
      <c r="OBP13" s="7"/>
      <c r="OBQ13" s="7"/>
      <c r="OBR13" s="7"/>
      <c r="OBS13" s="7"/>
      <c r="OBT13" s="7"/>
      <c r="OBU13" s="7"/>
      <c r="OBV13" s="7"/>
      <c r="OBW13" s="7"/>
      <c r="OBX13" s="7"/>
      <c r="OBY13" s="7"/>
      <c r="OBZ13" s="7"/>
      <c r="OCA13" s="7"/>
      <c r="OLL13" s="7"/>
      <c r="OLM13" s="7"/>
      <c r="OLN13" s="7"/>
      <c r="OLO13" s="7"/>
      <c r="OLP13" s="7"/>
      <c r="OLQ13" s="7"/>
      <c r="OLR13" s="7"/>
      <c r="OLS13" s="7"/>
      <c r="OLT13" s="7"/>
      <c r="OLU13" s="7"/>
      <c r="OLV13" s="7"/>
      <c r="OLW13" s="7"/>
      <c r="OVH13" s="7"/>
      <c r="OVI13" s="7"/>
      <c r="OVJ13" s="7"/>
      <c r="OVK13" s="7"/>
      <c r="OVL13" s="7"/>
      <c r="OVM13" s="7"/>
      <c r="OVN13" s="7"/>
      <c r="OVO13" s="7"/>
      <c r="OVP13" s="7"/>
      <c r="OVQ13" s="7"/>
      <c r="OVR13" s="7"/>
      <c r="OVS13" s="7"/>
      <c r="PFD13" s="7"/>
      <c r="PFE13" s="7"/>
      <c r="PFF13" s="7"/>
      <c r="PFG13" s="7"/>
      <c r="PFH13" s="7"/>
      <c r="PFI13" s="7"/>
      <c r="PFJ13" s="7"/>
      <c r="PFK13" s="7"/>
      <c r="PFL13" s="7"/>
      <c r="PFM13" s="7"/>
      <c r="PFN13" s="7"/>
      <c r="PFO13" s="7"/>
      <c r="POZ13" s="7"/>
      <c r="PPA13" s="7"/>
      <c r="PPB13" s="7"/>
      <c r="PPC13" s="7"/>
      <c r="PPD13" s="7"/>
      <c r="PPE13" s="7"/>
      <c r="PPF13" s="7"/>
      <c r="PPG13" s="7"/>
      <c r="PPH13" s="7"/>
      <c r="PPI13" s="7"/>
      <c r="PPJ13" s="7"/>
      <c r="PPK13" s="7"/>
      <c r="PYV13" s="7"/>
      <c r="PYW13" s="7"/>
      <c r="PYX13" s="7"/>
      <c r="PYY13" s="7"/>
      <c r="PYZ13" s="7"/>
      <c r="PZA13" s="7"/>
      <c r="PZB13" s="7"/>
      <c r="PZC13" s="7"/>
      <c r="PZD13" s="7"/>
      <c r="PZE13" s="7"/>
      <c r="PZF13" s="7"/>
      <c r="PZG13" s="7"/>
      <c r="QIR13" s="7"/>
      <c r="QIS13" s="7"/>
      <c r="QIT13" s="7"/>
      <c r="QIU13" s="7"/>
      <c r="QIV13" s="7"/>
      <c r="QIW13" s="7"/>
      <c r="QIX13" s="7"/>
      <c r="QIY13" s="7"/>
      <c r="QIZ13" s="7"/>
      <c r="QJA13" s="7"/>
      <c r="QJB13" s="7"/>
      <c r="QJC13" s="7"/>
      <c r="QSN13" s="7"/>
      <c r="QSO13" s="7"/>
      <c r="QSP13" s="7"/>
      <c r="QSQ13" s="7"/>
      <c r="QSR13" s="7"/>
      <c r="QSS13" s="7"/>
      <c r="QST13" s="7"/>
      <c r="QSU13" s="7"/>
      <c r="QSV13" s="7"/>
      <c r="QSW13" s="7"/>
      <c r="QSX13" s="7"/>
      <c r="QSY13" s="7"/>
      <c r="RCJ13" s="7"/>
      <c r="RCK13" s="7"/>
      <c r="RCL13" s="7"/>
      <c r="RCM13" s="7"/>
      <c r="RCN13" s="7"/>
      <c r="RCO13" s="7"/>
      <c r="RCP13" s="7"/>
      <c r="RCQ13" s="7"/>
      <c r="RCR13" s="7"/>
      <c r="RCS13" s="7"/>
      <c r="RCT13" s="7"/>
      <c r="RCU13" s="7"/>
      <c r="RMF13" s="7"/>
      <c r="RMG13" s="7"/>
      <c r="RMH13" s="7"/>
      <c r="RMI13" s="7"/>
      <c r="RMJ13" s="7"/>
      <c r="RMK13" s="7"/>
      <c r="RML13" s="7"/>
      <c r="RMM13" s="7"/>
      <c r="RMN13" s="7"/>
      <c r="RMO13" s="7"/>
      <c r="RMP13" s="7"/>
      <c r="RMQ13" s="7"/>
      <c r="RWB13" s="7"/>
      <c r="RWC13" s="7"/>
      <c r="RWD13" s="7"/>
      <c r="RWE13" s="7"/>
      <c r="RWF13" s="7"/>
      <c r="RWG13" s="7"/>
      <c r="RWH13" s="7"/>
      <c r="RWI13" s="7"/>
      <c r="RWJ13" s="7"/>
      <c r="RWK13" s="7"/>
      <c r="RWL13" s="7"/>
      <c r="RWM13" s="7"/>
      <c r="SFX13" s="7"/>
      <c r="SFY13" s="7"/>
      <c r="SFZ13" s="7"/>
      <c r="SGA13" s="7"/>
      <c r="SGB13" s="7"/>
      <c r="SGC13" s="7"/>
      <c r="SGD13" s="7"/>
      <c r="SGE13" s="7"/>
      <c r="SGF13" s="7"/>
      <c r="SGG13" s="7"/>
      <c r="SGH13" s="7"/>
      <c r="SGI13" s="7"/>
      <c r="SPT13" s="7"/>
      <c r="SPU13" s="7"/>
      <c r="SPV13" s="7"/>
      <c r="SPW13" s="7"/>
      <c r="SPX13" s="7"/>
      <c r="SPY13" s="7"/>
      <c r="SPZ13" s="7"/>
      <c r="SQA13" s="7"/>
      <c r="SQB13" s="7"/>
      <c r="SQC13" s="7"/>
      <c r="SQD13" s="7"/>
      <c r="SQE13" s="7"/>
      <c r="SZP13" s="7"/>
      <c r="SZQ13" s="7"/>
      <c r="SZR13" s="7"/>
      <c r="SZS13" s="7"/>
      <c r="SZT13" s="7"/>
      <c r="SZU13" s="7"/>
      <c r="SZV13" s="7"/>
      <c r="SZW13" s="7"/>
      <c r="SZX13" s="7"/>
      <c r="SZY13" s="7"/>
      <c r="SZZ13" s="7"/>
      <c r="TAA13" s="7"/>
      <c r="TJL13" s="7"/>
      <c r="TJM13" s="7"/>
      <c r="TJN13" s="7"/>
      <c r="TJO13" s="7"/>
      <c r="TJP13" s="7"/>
      <c r="TJQ13" s="7"/>
      <c r="TJR13" s="7"/>
      <c r="TJS13" s="7"/>
      <c r="TJT13" s="7"/>
      <c r="TJU13" s="7"/>
      <c r="TJV13" s="7"/>
      <c r="TJW13" s="7"/>
      <c r="TTH13" s="7"/>
      <c r="TTI13" s="7"/>
      <c r="TTJ13" s="7"/>
      <c r="TTK13" s="7"/>
      <c r="TTL13" s="7"/>
      <c r="TTM13" s="7"/>
      <c r="TTN13" s="7"/>
      <c r="TTO13" s="7"/>
      <c r="TTP13" s="7"/>
      <c r="TTQ13" s="7"/>
      <c r="TTR13" s="7"/>
      <c r="TTS13" s="7"/>
      <c r="UDD13" s="7"/>
      <c r="UDE13" s="7"/>
      <c r="UDF13" s="7"/>
      <c r="UDG13" s="7"/>
      <c r="UDH13" s="7"/>
      <c r="UDI13" s="7"/>
      <c r="UDJ13" s="7"/>
      <c r="UDK13" s="7"/>
      <c r="UDL13" s="7"/>
      <c r="UDM13" s="7"/>
      <c r="UDN13" s="7"/>
      <c r="UDO13" s="7"/>
      <c r="UMZ13" s="7"/>
      <c r="UNA13" s="7"/>
      <c r="UNB13" s="7"/>
      <c r="UNC13" s="7"/>
      <c r="UND13" s="7"/>
      <c r="UNE13" s="7"/>
      <c r="UNF13" s="7"/>
      <c r="UNG13" s="7"/>
      <c r="UNH13" s="7"/>
      <c r="UNI13" s="7"/>
      <c r="UNJ13" s="7"/>
      <c r="UNK13" s="7"/>
      <c r="UWV13" s="7"/>
      <c r="UWW13" s="7"/>
      <c r="UWX13" s="7"/>
      <c r="UWY13" s="7"/>
      <c r="UWZ13" s="7"/>
      <c r="UXA13" s="7"/>
      <c r="UXB13" s="7"/>
      <c r="UXC13" s="7"/>
      <c r="UXD13" s="7"/>
      <c r="UXE13" s="7"/>
      <c r="UXF13" s="7"/>
      <c r="UXG13" s="7"/>
      <c r="VGR13" s="7"/>
      <c r="VGS13" s="7"/>
      <c r="VGT13" s="7"/>
      <c r="VGU13" s="7"/>
      <c r="VGV13" s="7"/>
      <c r="VGW13" s="7"/>
      <c r="VGX13" s="7"/>
      <c r="VGY13" s="7"/>
      <c r="VGZ13" s="7"/>
      <c r="VHA13" s="7"/>
      <c r="VHB13" s="7"/>
      <c r="VHC13" s="7"/>
      <c r="VQN13" s="7"/>
      <c r="VQO13" s="7"/>
      <c r="VQP13" s="7"/>
      <c r="VQQ13" s="7"/>
      <c r="VQR13" s="7"/>
      <c r="VQS13" s="7"/>
      <c r="VQT13" s="7"/>
      <c r="VQU13" s="7"/>
      <c r="VQV13" s="7"/>
      <c r="VQW13" s="7"/>
      <c r="VQX13" s="7"/>
      <c r="VQY13" s="7"/>
      <c r="WAJ13" s="7"/>
      <c r="WAK13" s="7"/>
      <c r="WAL13" s="7"/>
      <c r="WAM13" s="7"/>
      <c r="WAN13" s="7"/>
      <c r="WAO13" s="7"/>
      <c r="WAP13" s="7"/>
      <c r="WAQ13" s="7"/>
      <c r="WAR13" s="7"/>
      <c r="WAS13" s="7"/>
      <c r="WAT13" s="7"/>
      <c r="WAU13" s="7"/>
      <c r="WKF13" s="7"/>
      <c r="WKG13" s="7"/>
      <c r="WKH13" s="7"/>
      <c r="WKI13" s="7"/>
      <c r="WKJ13" s="7"/>
      <c r="WKK13" s="7"/>
      <c r="WKL13" s="7"/>
      <c r="WKM13" s="7"/>
      <c r="WKN13" s="7"/>
      <c r="WKO13" s="7"/>
      <c r="WKP13" s="7"/>
      <c r="WKQ13" s="7"/>
      <c r="WUB13" s="7"/>
      <c r="WUC13" s="7"/>
      <c r="WUD13" s="7"/>
      <c r="WUE13" s="7"/>
      <c r="WUF13" s="7"/>
      <c r="WUG13" s="7"/>
      <c r="WUH13" s="7"/>
      <c r="WUI13" s="7"/>
      <c r="WUJ13" s="7"/>
      <c r="WUK13" s="7"/>
      <c r="WUL13" s="7"/>
      <c r="WUM13" s="7"/>
    </row>
    <row r="14" spans="1:1003 1248:2027 2272:3051 3296:4075 4320:5099 5344:6123 6368:7147 7392:8171 8416:9195 9440:10219 10464:11243 11488:12267 12512:13291 13536:14315 14560:15339 15584:16107" ht="30" customHeight="1">
      <c r="A14" s="45"/>
      <c r="C14" s="7" t="s">
        <v>232</v>
      </c>
      <c r="D14" s="27">
        <v>1.53</v>
      </c>
      <c r="H14" s="159">
        <v>11</v>
      </c>
      <c r="I14" s="196" t="s">
        <v>228</v>
      </c>
      <c r="J14" s="161"/>
      <c r="K14" s="196"/>
      <c r="L14" s="211">
        <f>Table113[[#This Row],[Qty 2]]+Table113[[#This Row],[Qty 1]]</f>
        <v>11</v>
      </c>
      <c r="M14" s="216">
        <v>294</v>
      </c>
      <c r="N14" s="216">
        <f>Table113[[#This Row],[Unit Cost]]*Table113[[#This Row],[Total Qty All Areas]]</f>
        <v>3234</v>
      </c>
    </row>
    <row r="15" spans="1:1003 1248:2027 2272:3051 3296:4075 4320:5099 5344:6123 6368:7147 7392:8171 8416:9195 9440:10219 10464:11243 11488:12267 12512:13291 13536:14315 14560:15339 15584:16107" ht="30" customHeight="1">
      <c r="A15" s="45"/>
      <c r="C15" s="7" t="s">
        <v>233</v>
      </c>
      <c r="D15" s="27">
        <v>1.22</v>
      </c>
      <c r="H15" s="159">
        <v>5</v>
      </c>
      <c r="I15" s="196" t="s">
        <v>228</v>
      </c>
      <c r="J15" s="161"/>
      <c r="K15" s="196"/>
      <c r="L15" s="211">
        <f>Table113[[#This Row],[Qty 2]]+Table113[[#This Row],[Qty 1]]</f>
        <v>5</v>
      </c>
      <c r="M15" s="216">
        <v>252</v>
      </c>
      <c r="N15" s="216">
        <f>Table113[[#This Row],[Unit Cost]]*Table113[[#This Row],[Total Qty All Areas]]</f>
        <v>1260</v>
      </c>
    </row>
    <row r="16" spans="1:1003 1248:2027 2272:3051 3296:4075 4320:5099 5344:6123 6368:7147 7392:8171 8416:9195 9440:10219 10464:11243 11488:12267 12512:13291 13536:14315 14560:15339 15584:16107" ht="30" customHeight="1">
      <c r="A16" s="45"/>
      <c r="H16" s="159"/>
      <c r="I16" s="196"/>
      <c r="J16" s="161"/>
      <c r="K16" s="196"/>
      <c r="L16" s="211">
        <f>Table113[[#This Row],[Qty 2]]+Table113[[#This Row],[Qty 1]]</f>
        <v>0</v>
      </c>
      <c r="M16" s="216"/>
      <c r="N16" s="216">
        <f>Table113[[#This Row],[Unit Cost]]*Table113[[#This Row],[Total Qty All Areas]]</f>
        <v>0</v>
      </c>
    </row>
    <row r="17" spans="1:1003 1248:2027 2272:3051 3296:4075 4320:5099 5344:6123 6368:7147 7392:8171 8416:9195 9440:10219 10464:11243 11488:12267 12512:13291 13536:14315 14560:15339 15584:16107" ht="30" customHeight="1">
      <c r="A17" s="45"/>
      <c r="H17" s="159"/>
      <c r="I17" s="196"/>
      <c r="J17" s="161"/>
      <c r="K17" s="196"/>
      <c r="L17" s="211">
        <f>Table113[[#This Row],[Qty 2]]+Table113[[#This Row],[Qty 1]]</f>
        <v>0</v>
      </c>
      <c r="M17" s="216"/>
      <c r="N17" s="216">
        <f>Table113[[#This Row],[Unit Cost]]*Table113[[#This Row],[Total Qty All Areas]]</f>
        <v>0</v>
      </c>
    </row>
    <row r="18" spans="1:1003 1248:2027 2272:3051 3296:4075 4320:5099 5344:6123 6368:7147 7392:8171 8416:9195 9440:10219 10464:11243 11488:12267 12512:13291 13536:14315 14560:15339 15584:16107" ht="30" customHeight="1">
      <c r="A18" s="176"/>
      <c r="D18" s="169"/>
      <c r="E18" s="169"/>
      <c r="F18" s="303"/>
      <c r="H18" s="159"/>
      <c r="I18" s="196"/>
      <c r="J18" s="161"/>
      <c r="K18" s="196"/>
      <c r="L18" s="211">
        <f>Table113[[#This Row],[Qty 2]]+Table113[[#This Row],[Qty 1]]</f>
        <v>0</v>
      </c>
      <c r="M18" s="216"/>
      <c r="N18" s="216">
        <f>Table113[[#This Row],[Unit Cost]]*Table113[[#This Row],[Total Qty All Areas]]</f>
        <v>0</v>
      </c>
    </row>
    <row r="19" spans="1:1003 1248:2027 2272:3051 3296:4075 4320:5099 5344:6123 6368:7147 7392:8171 8416:9195 9440:10219 10464:11243 11488:12267 12512:13291 13536:14315 14560:15339 15584:16107" s="167" customFormat="1" ht="30" customHeight="1">
      <c r="A19" s="175" t="str">
        <f>'Category Setup'!L37</f>
        <v>F_PS</v>
      </c>
      <c r="B19" s="167" t="str">
        <f>'Category Setup'!E37</f>
        <v>F_PS_Finished_Power Scoop</v>
      </c>
      <c r="C19" s="167" t="str">
        <f>'Category Setup'!N37</f>
        <v>F_PS_Finished_Power Scoop</v>
      </c>
      <c r="D19" s="168"/>
      <c r="E19" s="168"/>
      <c r="F19" s="172"/>
      <c r="G19" s="172"/>
      <c r="H19" s="173"/>
      <c r="I19" s="197"/>
      <c r="J19" s="174"/>
      <c r="K19" s="197"/>
      <c r="L19" s="213">
        <f>Table113[[#This Row],[Qty 2]]+Table113[[#This Row],[Qty 1]]</f>
        <v>0</v>
      </c>
      <c r="M19" s="215"/>
      <c r="N19" s="215">
        <f>Table113[[#This Row],[Unit Cost]]*Table113[[#This Row],[Total Qty All Areas]]</f>
        <v>0</v>
      </c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RL19" s="7"/>
      <c r="RM19" s="7"/>
      <c r="RN19" s="7"/>
      <c r="RO19" s="7"/>
      <c r="RP19" s="7"/>
      <c r="RQ19" s="7"/>
      <c r="RR19" s="7"/>
      <c r="RS19" s="7"/>
      <c r="RT19" s="7"/>
      <c r="RU19" s="7"/>
      <c r="RV19" s="7"/>
      <c r="RW19" s="7"/>
      <c r="ABH19" s="7"/>
      <c r="ABI19" s="7"/>
      <c r="ABJ19" s="7"/>
      <c r="ABK19" s="7"/>
      <c r="ABL19" s="7"/>
      <c r="ABM19" s="7"/>
      <c r="ABN19" s="7"/>
      <c r="ABO19" s="7"/>
      <c r="ABP19" s="7"/>
      <c r="ABQ19" s="7"/>
      <c r="ABR19" s="7"/>
      <c r="ABS19" s="7"/>
      <c r="ALD19" s="7"/>
      <c r="ALE19" s="7"/>
      <c r="ALF19" s="7"/>
      <c r="ALG19" s="7"/>
      <c r="ALH19" s="7"/>
      <c r="ALI19" s="7"/>
      <c r="ALJ19" s="7"/>
      <c r="ALK19" s="7"/>
      <c r="ALL19" s="7"/>
      <c r="ALM19" s="7"/>
      <c r="ALN19" s="7"/>
      <c r="ALO19" s="7"/>
      <c r="AUZ19" s="7"/>
      <c r="AVA19" s="7"/>
      <c r="AVB19" s="7"/>
      <c r="AVC19" s="7"/>
      <c r="AVD19" s="7"/>
      <c r="AVE19" s="7"/>
      <c r="AVF19" s="7"/>
      <c r="AVG19" s="7"/>
      <c r="AVH19" s="7"/>
      <c r="AVI19" s="7"/>
      <c r="AVJ19" s="7"/>
      <c r="AVK19" s="7"/>
      <c r="BEV19" s="7"/>
      <c r="BEW19" s="7"/>
      <c r="BEX19" s="7"/>
      <c r="BEY19" s="7"/>
      <c r="BEZ19" s="7"/>
      <c r="BFA19" s="7"/>
      <c r="BFB19" s="7"/>
      <c r="BFC19" s="7"/>
      <c r="BFD19" s="7"/>
      <c r="BFE19" s="7"/>
      <c r="BFF19" s="7"/>
      <c r="BFG19" s="7"/>
      <c r="BOR19" s="7"/>
      <c r="BOS19" s="7"/>
      <c r="BOT19" s="7"/>
      <c r="BOU19" s="7"/>
      <c r="BOV19" s="7"/>
      <c r="BOW19" s="7"/>
      <c r="BOX19" s="7"/>
      <c r="BOY19" s="7"/>
      <c r="BOZ19" s="7"/>
      <c r="BPA19" s="7"/>
      <c r="BPB19" s="7"/>
      <c r="BPC19" s="7"/>
      <c r="BYN19" s="7"/>
      <c r="BYO19" s="7"/>
      <c r="BYP19" s="7"/>
      <c r="BYQ19" s="7"/>
      <c r="BYR19" s="7"/>
      <c r="BYS19" s="7"/>
      <c r="BYT19" s="7"/>
      <c r="BYU19" s="7"/>
      <c r="BYV19" s="7"/>
      <c r="BYW19" s="7"/>
      <c r="BYX19" s="7"/>
      <c r="BYY19" s="7"/>
      <c r="CIJ19" s="7"/>
      <c r="CIK19" s="7"/>
      <c r="CIL19" s="7"/>
      <c r="CIM19" s="7"/>
      <c r="CIN19" s="7"/>
      <c r="CIO19" s="7"/>
      <c r="CIP19" s="7"/>
      <c r="CIQ19" s="7"/>
      <c r="CIR19" s="7"/>
      <c r="CIS19" s="7"/>
      <c r="CIT19" s="7"/>
      <c r="CIU19" s="7"/>
      <c r="CSF19" s="7"/>
      <c r="CSG19" s="7"/>
      <c r="CSH19" s="7"/>
      <c r="CSI19" s="7"/>
      <c r="CSJ19" s="7"/>
      <c r="CSK19" s="7"/>
      <c r="CSL19" s="7"/>
      <c r="CSM19" s="7"/>
      <c r="CSN19" s="7"/>
      <c r="CSO19" s="7"/>
      <c r="CSP19" s="7"/>
      <c r="CSQ19" s="7"/>
      <c r="DCB19" s="7"/>
      <c r="DCC19" s="7"/>
      <c r="DCD19" s="7"/>
      <c r="DCE19" s="7"/>
      <c r="DCF19" s="7"/>
      <c r="DCG19" s="7"/>
      <c r="DCH19" s="7"/>
      <c r="DCI19" s="7"/>
      <c r="DCJ19" s="7"/>
      <c r="DCK19" s="7"/>
      <c r="DCL19" s="7"/>
      <c r="DCM19" s="7"/>
      <c r="DLX19" s="7"/>
      <c r="DLY19" s="7"/>
      <c r="DLZ19" s="7"/>
      <c r="DMA19" s="7"/>
      <c r="DMB19" s="7"/>
      <c r="DMC19" s="7"/>
      <c r="DMD19" s="7"/>
      <c r="DME19" s="7"/>
      <c r="DMF19" s="7"/>
      <c r="DMG19" s="7"/>
      <c r="DMH19" s="7"/>
      <c r="DMI19" s="7"/>
      <c r="DVT19" s="7"/>
      <c r="DVU19" s="7"/>
      <c r="DVV19" s="7"/>
      <c r="DVW19" s="7"/>
      <c r="DVX19" s="7"/>
      <c r="DVY19" s="7"/>
      <c r="DVZ19" s="7"/>
      <c r="DWA19" s="7"/>
      <c r="DWB19" s="7"/>
      <c r="DWC19" s="7"/>
      <c r="DWD19" s="7"/>
      <c r="DWE19" s="7"/>
      <c r="EFP19" s="7"/>
      <c r="EFQ19" s="7"/>
      <c r="EFR19" s="7"/>
      <c r="EFS19" s="7"/>
      <c r="EFT19" s="7"/>
      <c r="EFU19" s="7"/>
      <c r="EFV19" s="7"/>
      <c r="EFW19" s="7"/>
      <c r="EFX19" s="7"/>
      <c r="EFY19" s="7"/>
      <c r="EFZ19" s="7"/>
      <c r="EGA19" s="7"/>
      <c r="EPL19" s="7"/>
      <c r="EPM19" s="7"/>
      <c r="EPN19" s="7"/>
      <c r="EPO19" s="7"/>
      <c r="EPP19" s="7"/>
      <c r="EPQ19" s="7"/>
      <c r="EPR19" s="7"/>
      <c r="EPS19" s="7"/>
      <c r="EPT19" s="7"/>
      <c r="EPU19" s="7"/>
      <c r="EPV19" s="7"/>
      <c r="EPW19" s="7"/>
      <c r="EZH19" s="7"/>
      <c r="EZI19" s="7"/>
      <c r="EZJ19" s="7"/>
      <c r="EZK19" s="7"/>
      <c r="EZL19" s="7"/>
      <c r="EZM19" s="7"/>
      <c r="EZN19" s="7"/>
      <c r="EZO19" s="7"/>
      <c r="EZP19" s="7"/>
      <c r="EZQ19" s="7"/>
      <c r="EZR19" s="7"/>
      <c r="EZS19" s="7"/>
      <c r="FJD19" s="7"/>
      <c r="FJE19" s="7"/>
      <c r="FJF19" s="7"/>
      <c r="FJG19" s="7"/>
      <c r="FJH19" s="7"/>
      <c r="FJI19" s="7"/>
      <c r="FJJ19" s="7"/>
      <c r="FJK19" s="7"/>
      <c r="FJL19" s="7"/>
      <c r="FJM19" s="7"/>
      <c r="FJN19" s="7"/>
      <c r="FJO19" s="7"/>
      <c r="FSZ19" s="7"/>
      <c r="FTA19" s="7"/>
      <c r="FTB19" s="7"/>
      <c r="FTC19" s="7"/>
      <c r="FTD19" s="7"/>
      <c r="FTE19" s="7"/>
      <c r="FTF19" s="7"/>
      <c r="FTG19" s="7"/>
      <c r="FTH19" s="7"/>
      <c r="FTI19" s="7"/>
      <c r="FTJ19" s="7"/>
      <c r="FTK19" s="7"/>
      <c r="GCV19" s="7"/>
      <c r="GCW19" s="7"/>
      <c r="GCX19" s="7"/>
      <c r="GCY19" s="7"/>
      <c r="GCZ19" s="7"/>
      <c r="GDA19" s="7"/>
      <c r="GDB19" s="7"/>
      <c r="GDC19" s="7"/>
      <c r="GDD19" s="7"/>
      <c r="GDE19" s="7"/>
      <c r="GDF19" s="7"/>
      <c r="GDG19" s="7"/>
      <c r="GMR19" s="7"/>
      <c r="GMS19" s="7"/>
      <c r="GMT19" s="7"/>
      <c r="GMU19" s="7"/>
      <c r="GMV19" s="7"/>
      <c r="GMW19" s="7"/>
      <c r="GMX19" s="7"/>
      <c r="GMY19" s="7"/>
      <c r="GMZ19" s="7"/>
      <c r="GNA19" s="7"/>
      <c r="GNB19" s="7"/>
      <c r="GNC19" s="7"/>
      <c r="GWN19" s="7"/>
      <c r="GWO19" s="7"/>
      <c r="GWP19" s="7"/>
      <c r="GWQ19" s="7"/>
      <c r="GWR19" s="7"/>
      <c r="GWS19" s="7"/>
      <c r="GWT19" s="7"/>
      <c r="GWU19" s="7"/>
      <c r="GWV19" s="7"/>
      <c r="GWW19" s="7"/>
      <c r="GWX19" s="7"/>
      <c r="GWY19" s="7"/>
      <c r="HGJ19" s="7"/>
      <c r="HGK19" s="7"/>
      <c r="HGL19" s="7"/>
      <c r="HGM19" s="7"/>
      <c r="HGN19" s="7"/>
      <c r="HGO19" s="7"/>
      <c r="HGP19" s="7"/>
      <c r="HGQ19" s="7"/>
      <c r="HGR19" s="7"/>
      <c r="HGS19" s="7"/>
      <c r="HGT19" s="7"/>
      <c r="HGU19" s="7"/>
      <c r="HQF19" s="7"/>
      <c r="HQG19" s="7"/>
      <c r="HQH19" s="7"/>
      <c r="HQI19" s="7"/>
      <c r="HQJ19" s="7"/>
      <c r="HQK19" s="7"/>
      <c r="HQL19" s="7"/>
      <c r="HQM19" s="7"/>
      <c r="HQN19" s="7"/>
      <c r="HQO19" s="7"/>
      <c r="HQP19" s="7"/>
      <c r="HQQ19" s="7"/>
      <c r="IAB19" s="7"/>
      <c r="IAC19" s="7"/>
      <c r="IAD19" s="7"/>
      <c r="IAE19" s="7"/>
      <c r="IAF19" s="7"/>
      <c r="IAG19" s="7"/>
      <c r="IAH19" s="7"/>
      <c r="IAI19" s="7"/>
      <c r="IAJ19" s="7"/>
      <c r="IAK19" s="7"/>
      <c r="IAL19" s="7"/>
      <c r="IAM19" s="7"/>
      <c r="IJX19" s="7"/>
      <c r="IJY19" s="7"/>
      <c r="IJZ19" s="7"/>
      <c r="IKA19" s="7"/>
      <c r="IKB19" s="7"/>
      <c r="IKC19" s="7"/>
      <c r="IKD19" s="7"/>
      <c r="IKE19" s="7"/>
      <c r="IKF19" s="7"/>
      <c r="IKG19" s="7"/>
      <c r="IKH19" s="7"/>
      <c r="IKI19" s="7"/>
      <c r="ITT19" s="7"/>
      <c r="ITU19" s="7"/>
      <c r="ITV19" s="7"/>
      <c r="ITW19" s="7"/>
      <c r="ITX19" s="7"/>
      <c r="ITY19" s="7"/>
      <c r="ITZ19" s="7"/>
      <c r="IUA19" s="7"/>
      <c r="IUB19" s="7"/>
      <c r="IUC19" s="7"/>
      <c r="IUD19" s="7"/>
      <c r="IUE19" s="7"/>
      <c r="JDP19" s="7"/>
      <c r="JDQ19" s="7"/>
      <c r="JDR19" s="7"/>
      <c r="JDS19" s="7"/>
      <c r="JDT19" s="7"/>
      <c r="JDU19" s="7"/>
      <c r="JDV19" s="7"/>
      <c r="JDW19" s="7"/>
      <c r="JDX19" s="7"/>
      <c r="JDY19" s="7"/>
      <c r="JDZ19" s="7"/>
      <c r="JEA19" s="7"/>
      <c r="JNL19" s="7"/>
      <c r="JNM19" s="7"/>
      <c r="JNN19" s="7"/>
      <c r="JNO19" s="7"/>
      <c r="JNP19" s="7"/>
      <c r="JNQ19" s="7"/>
      <c r="JNR19" s="7"/>
      <c r="JNS19" s="7"/>
      <c r="JNT19" s="7"/>
      <c r="JNU19" s="7"/>
      <c r="JNV19" s="7"/>
      <c r="JNW19" s="7"/>
      <c r="JXH19" s="7"/>
      <c r="JXI19" s="7"/>
      <c r="JXJ19" s="7"/>
      <c r="JXK19" s="7"/>
      <c r="JXL19" s="7"/>
      <c r="JXM19" s="7"/>
      <c r="JXN19" s="7"/>
      <c r="JXO19" s="7"/>
      <c r="JXP19" s="7"/>
      <c r="JXQ19" s="7"/>
      <c r="JXR19" s="7"/>
      <c r="JXS19" s="7"/>
      <c r="KHD19" s="7"/>
      <c r="KHE19" s="7"/>
      <c r="KHF19" s="7"/>
      <c r="KHG19" s="7"/>
      <c r="KHH19" s="7"/>
      <c r="KHI19" s="7"/>
      <c r="KHJ19" s="7"/>
      <c r="KHK19" s="7"/>
      <c r="KHL19" s="7"/>
      <c r="KHM19" s="7"/>
      <c r="KHN19" s="7"/>
      <c r="KHO19" s="7"/>
      <c r="KQZ19" s="7"/>
      <c r="KRA19" s="7"/>
      <c r="KRB19" s="7"/>
      <c r="KRC19" s="7"/>
      <c r="KRD19" s="7"/>
      <c r="KRE19" s="7"/>
      <c r="KRF19" s="7"/>
      <c r="KRG19" s="7"/>
      <c r="KRH19" s="7"/>
      <c r="KRI19" s="7"/>
      <c r="KRJ19" s="7"/>
      <c r="KRK19" s="7"/>
      <c r="LAV19" s="7"/>
      <c r="LAW19" s="7"/>
      <c r="LAX19" s="7"/>
      <c r="LAY19" s="7"/>
      <c r="LAZ19" s="7"/>
      <c r="LBA19" s="7"/>
      <c r="LBB19" s="7"/>
      <c r="LBC19" s="7"/>
      <c r="LBD19" s="7"/>
      <c r="LBE19" s="7"/>
      <c r="LBF19" s="7"/>
      <c r="LBG19" s="7"/>
      <c r="LKR19" s="7"/>
      <c r="LKS19" s="7"/>
      <c r="LKT19" s="7"/>
      <c r="LKU19" s="7"/>
      <c r="LKV19" s="7"/>
      <c r="LKW19" s="7"/>
      <c r="LKX19" s="7"/>
      <c r="LKY19" s="7"/>
      <c r="LKZ19" s="7"/>
      <c r="LLA19" s="7"/>
      <c r="LLB19" s="7"/>
      <c r="LLC19" s="7"/>
      <c r="LUN19" s="7"/>
      <c r="LUO19" s="7"/>
      <c r="LUP19" s="7"/>
      <c r="LUQ19" s="7"/>
      <c r="LUR19" s="7"/>
      <c r="LUS19" s="7"/>
      <c r="LUT19" s="7"/>
      <c r="LUU19" s="7"/>
      <c r="LUV19" s="7"/>
      <c r="LUW19" s="7"/>
      <c r="LUX19" s="7"/>
      <c r="LUY19" s="7"/>
      <c r="MEJ19" s="7"/>
      <c r="MEK19" s="7"/>
      <c r="MEL19" s="7"/>
      <c r="MEM19" s="7"/>
      <c r="MEN19" s="7"/>
      <c r="MEO19" s="7"/>
      <c r="MEP19" s="7"/>
      <c r="MEQ19" s="7"/>
      <c r="MER19" s="7"/>
      <c r="MES19" s="7"/>
      <c r="MET19" s="7"/>
      <c r="MEU19" s="7"/>
      <c r="MOF19" s="7"/>
      <c r="MOG19" s="7"/>
      <c r="MOH19" s="7"/>
      <c r="MOI19" s="7"/>
      <c r="MOJ19" s="7"/>
      <c r="MOK19" s="7"/>
      <c r="MOL19" s="7"/>
      <c r="MOM19" s="7"/>
      <c r="MON19" s="7"/>
      <c r="MOO19" s="7"/>
      <c r="MOP19" s="7"/>
      <c r="MOQ19" s="7"/>
      <c r="MYB19" s="7"/>
      <c r="MYC19" s="7"/>
      <c r="MYD19" s="7"/>
      <c r="MYE19" s="7"/>
      <c r="MYF19" s="7"/>
      <c r="MYG19" s="7"/>
      <c r="MYH19" s="7"/>
      <c r="MYI19" s="7"/>
      <c r="MYJ19" s="7"/>
      <c r="MYK19" s="7"/>
      <c r="MYL19" s="7"/>
      <c r="MYM19" s="7"/>
      <c r="NHX19" s="7"/>
      <c r="NHY19" s="7"/>
      <c r="NHZ19" s="7"/>
      <c r="NIA19" s="7"/>
      <c r="NIB19" s="7"/>
      <c r="NIC19" s="7"/>
      <c r="NID19" s="7"/>
      <c r="NIE19" s="7"/>
      <c r="NIF19" s="7"/>
      <c r="NIG19" s="7"/>
      <c r="NIH19" s="7"/>
      <c r="NII19" s="7"/>
      <c r="NRT19" s="7"/>
      <c r="NRU19" s="7"/>
      <c r="NRV19" s="7"/>
      <c r="NRW19" s="7"/>
      <c r="NRX19" s="7"/>
      <c r="NRY19" s="7"/>
      <c r="NRZ19" s="7"/>
      <c r="NSA19" s="7"/>
      <c r="NSB19" s="7"/>
      <c r="NSC19" s="7"/>
      <c r="NSD19" s="7"/>
      <c r="NSE19" s="7"/>
      <c r="OBP19" s="7"/>
      <c r="OBQ19" s="7"/>
      <c r="OBR19" s="7"/>
      <c r="OBS19" s="7"/>
      <c r="OBT19" s="7"/>
      <c r="OBU19" s="7"/>
      <c r="OBV19" s="7"/>
      <c r="OBW19" s="7"/>
      <c r="OBX19" s="7"/>
      <c r="OBY19" s="7"/>
      <c r="OBZ19" s="7"/>
      <c r="OCA19" s="7"/>
      <c r="OLL19" s="7"/>
      <c r="OLM19" s="7"/>
      <c r="OLN19" s="7"/>
      <c r="OLO19" s="7"/>
      <c r="OLP19" s="7"/>
      <c r="OLQ19" s="7"/>
      <c r="OLR19" s="7"/>
      <c r="OLS19" s="7"/>
      <c r="OLT19" s="7"/>
      <c r="OLU19" s="7"/>
      <c r="OLV19" s="7"/>
      <c r="OLW19" s="7"/>
      <c r="OVH19" s="7"/>
      <c r="OVI19" s="7"/>
      <c r="OVJ19" s="7"/>
      <c r="OVK19" s="7"/>
      <c r="OVL19" s="7"/>
      <c r="OVM19" s="7"/>
      <c r="OVN19" s="7"/>
      <c r="OVO19" s="7"/>
      <c r="OVP19" s="7"/>
      <c r="OVQ19" s="7"/>
      <c r="OVR19" s="7"/>
      <c r="OVS19" s="7"/>
      <c r="PFD19" s="7"/>
      <c r="PFE19" s="7"/>
      <c r="PFF19" s="7"/>
      <c r="PFG19" s="7"/>
      <c r="PFH19" s="7"/>
      <c r="PFI19" s="7"/>
      <c r="PFJ19" s="7"/>
      <c r="PFK19" s="7"/>
      <c r="PFL19" s="7"/>
      <c r="PFM19" s="7"/>
      <c r="PFN19" s="7"/>
      <c r="PFO19" s="7"/>
      <c r="POZ19" s="7"/>
      <c r="PPA19" s="7"/>
      <c r="PPB19" s="7"/>
      <c r="PPC19" s="7"/>
      <c r="PPD19" s="7"/>
      <c r="PPE19" s="7"/>
      <c r="PPF19" s="7"/>
      <c r="PPG19" s="7"/>
      <c r="PPH19" s="7"/>
      <c r="PPI19" s="7"/>
      <c r="PPJ19" s="7"/>
      <c r="PPK19" s="7"/>
      <c r="PYV19" s="7"/>
      <c r="PYW19" s="7"/>
      <c r="PYX19" s="7"/>
      <c r="PYY19" s="7"/>
      <c r="PYZ19" s="7"/>
      <c r="PZA19" s="7"/>
      <c r="PZB19" s="7"/>
      <c r="PZC19" s="7"/>
      <c r="PZD19" s="7"/>
      <c r="PZE19" s="7"/>
      <c r="PZF19" s="7"/>
      <c r="PZG19" s="7"/>
      <c r="QIR19" s="7"/>
      <c r="QIS19" s="7"/>
      <c r="QIT19" s="7"/>
      <c r="QIU19" s="7"/>
      <c r="QIV19" s="7"/>
      <c r="QIW19" s="7"/>
      <c r="QIX19" s="7"/>
      <c r="QIY19" s="7"/>
      <c r="QIZ19" s="7"/>
      <c r="QJA19" s="7"/>
      <c r="QJB19" s="7"/>
      <c r="QJC19" s="7"/>
      <c r="QSN19" s="7"/>
      <c r="QSO19" s="7"/>
      <c r="QSP19" s="7"/>
      <c r="QSQ19" s="7"/>
      <c r="QSR19" s="7"/>
      <c r="QSS19" s="7"/>
      <c r="QST19" s="7"/>
      <c r="QSU19" s="7"/>
      <c r="QSV19" s="7"/>
      <c r="QSW19" s="7"/>
      <c r="QSX19" s="7"/>
      <c r="QSY19" s="7"/>
      <c r="RCJ19" s="7"/>
      <c r="RCK19" s="7"/>
      <c r="RCL19" s="7"/>
      <c r="RCM19" s="7"/>
      <c r="RCN19" s="7"/>
      <c r="RCO19" s="7"/>
      <c r="RCP19" s="7"/>
      <c r="RCQ19" s="7"/>
      <c r="RCR19" s="7"/>
      <c r="RCS19" s="7"/>
      <c r="RCT19" s="7"/>
      <c r="RCU19" s="7"/>
      <c r="RMF19" s="7"/>
      <c r="RMG19" s="7"/>
      <c r="RMH19" s="7"/>
      <c r="RMI19" s="7"/>
      <c r="RMJ19" s="7"/>
      <c r="RMK19" s="7"/>
      <c r="RML19" s="7"/>
      <c r="RMM19" s="7"/>
      <c r="RMN19" s="7"/>
      <c r="RMO19" s="7"/>
      <c r="RMP19" s="7"/>
      <c r="RMQ19" s="7"/>
      <c r="RWB19" s="7"/>
      <c r="RWC19" s="7"/>
      <c r="RWD19" s="7"/>
      <c r="RWE19" s="7"/>
      <c r="RWF19" s="7"/>
      <c r="RWG19" s="7"/>
      <c r="RWH19" s="7"/>
      <c r="RWI19" s="7"/>
      <c r="RWJ19" s="7"/>
      <c r="RWK19" s="7"/>
      <c r="RWL19" s="7"/>
      <c r="RWM19" s="7"/>
      <c r="SFX19" s="7"/>
      <c r="SFY19" s="7"/>
      <c r="SFZ19" s="7"/>
      <c r="SGA19" s="7"/>
      <c r="SGB19" s="7"/>
      <c r="SGC19" s="7"/>
      <c r="SGD19" s="7"/>
      <c r="SGE19" s="7"/>
      <c r="SGF19" s="7"/>
      <c r="SGG19" s="7"/>
      <c r="SGH19" s="7"/>
      <c r="SGI19" s="7"/>
      <c r="SPT19" s="7"/>
      <c r="SPU19" s="7"/>
      <c r="SPV19" s="7"/>
      <c r="SPW19" s="7"/>
      <c r="SPX19" s="7"/>
      <c r="SPY19" s="7"/>
      <c r="SPZ19" s="7"/>
      <c r="SQA19" s="7"/>
      <c r="SQB19" s="7"/>
      <c r="SQC19" s="7"/>
      <c r="SQD19" s="7"/>
      <c r="SQE19" s="7"/>
      <c r="SZP19" s="7"/>
      <c r="SZQ19" s="7"/>
      <c r="SZR19" s="7"/>
      <c r="SZS19" s="7"/>
      <c r="SZT19" s="7"/>
      <c r="SZU19" s="7"/>
      <c r="SZV19" s="7"/>
      <c r="SZW19" s="7"/>
      <c r="SZX19" s="7"/>
      <c r="SZY19" s="7"/>
      <c r="SZZ19" s="7"/>
      <c r="TAA19" s="7"/>
      <c r="TJL19" s="7"/>
      <c r="TJM19" s="7"/>
      <c r="TJN19" s="7"/>
      <c r="TJO19" s="7"/>
      <c r="TJP19" s="7"/>
      <c r="TJQ19" s="7"/>
      <c r="TJR19" s="7"/>
      <c r="TJS19" s="7"/>
      <c r="TJT19" s="7"/>
      <c r="TJU19" s="7"/>
      <c r="TJV19" s="7"/>
      <c r="TJW19" s="7"/>
      <c r="TTH19" s="7"/>
      <c r="TTI19" s="7"/>
      <c r="TTJ19" s="7"/>
      <c r="TTK19" s="7"/>
      <c r="TTL19" s="7"/>
      <c r="TTM19" s="7"/>
      <c r="TTN19" s="7"/>
      <c r="TTO19" s="7"/>
      <c r="TTP19" s="7"/>
      <c r="TTQ19" s="7"/>
      <c r="TTR19" s="7"/>
      <c r="TTS19" s="7"/>
      <c r="UDD19" s="7"/>
      <c r="UDE19" s="7"/>
      <c r="UDF19" s="7"/>
      <c r="UDG19" s="7"/>
      <c r="UDH19" s="7"/>
      <c r="UDI19" s="7"/>
      <c r="UDJ19" s="7"/>
      <c r="UDK19" s="7"/>
      <c r="UDL19" s="7"/>
      <c r="UDM19" s="7"/>
      <c r="UDN19" s="7"/>
      <c r="UDO19" s="7"/>
      <c r="UMZ19" s="7"/>
      <c r="UNA19" s="7"/>
      <c r="UNB19" s="7"/>
      <c r="UNC19" s="7"/>
      <c r="UND19" s="7"/>
      <c r="UNE19" s="7"/>
      <c r="UNF19" s="7"/>
      <c r="UNG19" s="7"/>
      <c r="UNH19" s="7"/>
      <c r="UNI19" s="7"/>
      <c r="UNJ19" s="7"/>
      <c r="UNK19" s="7"/>
      <c r="UWV19" s="7"/>
      <c r="UWW19" s="7"/>
      <c r="UWX19" s="7"/>
      <c r="UWY19" s="7"/>
      <c r="UWZ19" s="7"/>
      <c r="UXA19" s="7"/>
      <c r="UXB19" s="7"/>
      <c r="UXC19" s="7"/>
      <c r="UXD19" s="7"/>
      <c r="UXE19" s="7"/>
      <c r="UXF19" s="7"/>
      <c r="UXG19" s="7"/>
      <c r="VGR19" s="7"/>
      <c r="VGS19" s="7"/>
      <c r="VGT19" s="7"/>
      <c r="VGU19" s="7"/>
      <c r="VGV19" s="7"/>
      <c r="VGW19" s="7"/>
      <c r="VGX19" s="7"/>
      <c r="VGY19" s="7"/>
      <c r="VGZ19" s="7"/>
      <c r="VHA19" s="7"/>
      <c r="VHB19" s="7"/>
      <c r="VHC19" s="7"/>
      <c r="VQN19" s="7"/>
      <c r="VQO19" s="7"/>
      <c r="VQP19" s="7"/>
      <c r="VQQ19" s="7"/>
      <c r="VQR19" s="7"/>
      <c r="VQS19" s="7"/>
      <c r="VQT19" s="7"/>
      <c r="VQU19" s="7"/>
      <c r="VQV19" s="7"/>
      <c r="VQW19" s="7"/>
      <c r="VQX19" s="7"/>
      <c r="VQY19" s="7"/>
      <c r="WAJ19" s="7"/>
      <c r="WAK19" s="7"/>
      <c r="WAL19" s="7"/>
      <c r="WAM19" s="7"/>
      <c r="WAN19" s="7"/>
      <c r="WAO19" s="7"/>
      <c r="WAP19" s="7"/>
      <c r="WAQ19" s="7"/>
      <c r="WAR19" s="7"/>
      <c r="WAS19" s="7"/>
      <c r="WAT19" s="7"/>
      <c r="WAU19" s="7"/>
      <c r="WKF19" s="7"/>
      <c r="WKG19" s="7"/>
      <c r="WKH19" s="7"/>
      <c r="WKI19" s="7"/>
      <c r="WKJ19" s="7"/>
      <c r="WKK19" s="7"/>
      <c r="WKL19" s="7"/>
      <c r="WKM19" s="7"/>
      <c r="WKN19" s="7"/>
      <c r="WKO19" s="7"/>
      <c r="WKP19" s="7"/>
      <c r="WKQ19" s="7"/>
      <c r="WUB19" s="7"/>
      <c r="WUC19" s="7"/>
      <c r="WUD19" s="7"/>
      <c r="WUE19" s="7"/>
      <c r="WUF19" s="7"/>
      <c r="WUG19" s="7"/>
      <c r="WUH19" s="7"/>
      <c r="WUI19" s="7"/>
      <c r="WUJ19" s="7"/>
      <c r="WUK19" s="7"/>
      <c r="WUL19" s="7"/>
      <c r="WUM19" s="7"/>
    </row>
    <row r="20" spans="1:1003 1248:2027 2272:3051 3296:4075 4320:5099 5344:6123 6368:7147 7392:8171 8416:9195 9440:10219 10464:11243 11488:12267 12512:13291 13536:14315 14560:15339 15584:16107" ht="30" customHeight="1">
      <c r="A20" s="45"/>
      <c r="H20" s="159"/>
      <c r="I20" s="196"/>
      <c r="J20" s="161"/>
      <c r="K20" s="196"/>
      <c r="L20" s="211">
        <f>Table113[[#This Row],[Qty 2]]+Table113[[#This Row],[Qty 1]]</f>
        <v>0</v>
      </c>
      <c r="M20" s="216"/>
      <c r="N20" s="216">
        <f>Table113[[#This Row],[Unit Cost]]*Table113[[#This Row],[Total Qty All Areas]]</f>
        <v>0</v>
      </c>
    </row>
    <row r="21" spans="1:1003 1248:2027 2272:3051 3296:4075 4320:5099 5344:6123 6368:7147 7392:8171 8416:9195 9440:10219 10464:11243 11488:12267 12512:13291 13536:14315 14560:15339 15584:16107" ht="30" customHeight="1">
      <c r="A21" s="45"/>
      <c r="H21" s="159"/>
      <c r="I21" s="196"/>
      <c r="J21" s="161"/>
      <c r="K21" s="196"/>
      <c r="L21" s="211">
        <f>Table113[[#This Row],[Qty 2]]+Table113[[#This Row],[Qty 1]]</f>
        <v>0</v>
      </c>
      <c r="M21" s="216"/>
      <c r="N21" s="216">
        <f>Table113[[#This Row],[Unit Cost]]*Table113[[#This Row],[Total Qty All Areas]]</f>
        <v>0</v>
      </c>
    </row>
    <row r="22" spans="1:1003 1248:2027 2272:3051 3296:4075 4320:5099 5344:6123 6368:7147 7392:8171 8416:9195 9440:10219 10464:11243 11488:12267 12512:13291 13536:14315 14560:15339 15584:16107" ht="30" customHeight="1">
      <c r="A22" s="176"/>
      <c r="D22" s="169"/>
      <c r="E22" s="169"/>
      <c r="F22" s="303"/>
      <c r="H22" s="159"/>
      <c r="I22" s="196"/>
      <c r="J22" s="161"/>
      <c r="K22" s="196"/>
      <c r="L22" s="211">
        <f>Table113[[#This Row],[Qty 2]]+Table113[[#This Row],[Qty 1]]</f>
        <v>0</v>
      </c>
      <c r="M22" s="216"/>
      <c r="N22" s="216">
        <f>Table113[[#This Row],[Unit Cost]]*Table113[[#This Row],[Total Qty All Areas]]</f>
        <v>0</v>
      </c>
    </row>
    <row r="23" spans="1:1003 1248:2027 2272:3051 3296:4075 4320:5099 5344:6123 6368:7147 7392:8171 8416:9195 9440:10219 10464:11243 11488:12267 12512:13291 13536:14315 14560:15339 15584:16107" s="167" customFormat="1" ht="30" customHeight="1">
      <c r="A23" s="175" t="str">
        <f>'Category Setup'!L38</f>
        <v>F_LL</v>
      </c>
      <c r="B23" s="167" t="str">
        <f>'Category Setup'!E38</f>
        <v>F_LL_Finished_Land Leveller</v>
      </c>
      <c r="C23" s="167" t="str">
        <f>'Category Setup'!N38</f>
        <v>F_LL_Finished_Land Leveller</v>
      </c>
      <c r="D23" s="168"/>
      <c r="E23" s="168"/>
      <c r="F23" s="172"/>
      <c r="G23" s="172"/>
      <c r="H23" s="173"/>
      <c r="I23" s="197"/>
      <c r="J23" s="174"/>
      <c r="K23" s="197"/>
      <c r="L23" s="213">
        <f>Table113[[#This Row],[Qty 2]]+Table113[[#This Row],[Qty 1]]</f>
        <v>0</v>
      </c>
      <c r="M23" s="215"/>
      <c r="N23" s="215">
        <f>Table113[[#This Row],[Unit Cost]]*Table113[[#This Row],[Total Qty All Areas]]</f>
        <v>0</v>
      </c>
      <c r="HP23" s="7"/>
      <c r="HQ23" s="7"/>
      <c r="HR23" s="7"/>
      <c r="HS23" s="7"/>
      <c r="HT23" s="7"/>
      <c r="HU23" s="7"/>
      <c r="HV23" s="7"/>
      <c r="HW23" s="7"/>
      <c r="HX23" s="7"/>
      <c r="HY23" s="7"/>
      <c r="HZ23" s="7"/>
      <c r="IA23" s="7"/>
      <c r="RL23" s="7"/>
      <c r="RM23" s="7"/>
      <c r="RN23" s="7"/>
      <c r="RO23" s="7"/>
      <c r="RP23" s="7"/>
      <c r="RQ23" s="7"/>
      <c r="RR23" s="7"/>
      <c r="RS23" s="7"/>
      <c r="RT23" s="7"/>
      <c r="RU23" s="7"/>
      <c r="RV23" s="7"/>
      <c r="RW23" s="7"/>
      <c r="ABH23" s="7"/>
      <c r="ABI23" s="7"/>
      <c r="ABJ23" s="7"/>
      <c r="ABK23" s="7"/>
      <c r="ABL23" s="7"/>
      <c r="ABM23" s="7"/>
      <c r="ABN23" s="7"/>
      <c r="ABO23" s="7"/>
      <c r="ABP23" s="7"/>
      <c r="ABQ23" s="7"/>
      <c r="ABR23" s="7"/>
      <c r="ABS23" s="7"/>
      <c r="ALD23" s="7"/>
      <c r="ALE23" s="7"/>
      <c r="ALF23" s="7"/>
      <c r="ALG23" s="7"/>
      <c r="ALH23" s="7"/>
      <c r="ALI23" s="7"/>
      <c r="ALJ23" s="7"/>
      <c r="ALK23" s="7"/>
      <c r="ALL23" s="7"/>
      <c r="ALM23" s="7"/>
      <c r="ALN23" s="7"/>
      <c r="ALO23" s="7"/>
      <c r="AUZ23" s="7"/>
      <c r="AVA23" s="7"/>
      <c r="AVB23" s="7"/>
      <c r="AVC23" s="7"/>
      <c r="AVD23" s="7"/>
      <c r="AVE23" s="7"/>
      <c r="AVF23" s="7"/>
      <c r="AVG23" s="7"/>
      <c r="AVH23" s="7"/>
      <c r="AVI23" s="7"/>
      <c r="AVJ23" s="7"/>
      <c r="AVK23" s="7"/>
      <c r="BEV23" s="7"/>
      <c r="BEW23" s="7"/>
      <c r="BEX23" s="7"/>
      <c r="BEY23" s="7"/>
      <c r="BEZ23" s="7"/>
      <c r="BFA23" s="7"/>
      <c r="BFB23" s="7"/>
      <c r="BFC23" s="7"/>
      <c r="BFD23" s="7"/>
      <c r="BFE23" s="7"/>
      <c r="BFF23" s="7"/>
      <c r="BFG23" s="7"/>
      <c r="BOR23" s="7"/>
      <c r="BOS23" s="7"/>
      <c r="BOT23" s="7"/>
      <c r="BOU23" s="7"/>
      <c r="BOV23" s="7"/>
      <c r="BOW23" s="7"/>
      <c r="BOX23" s="7"/>
      <c r="BOY23" s="7"/>
      <c r="BOZ23" s="7"/>
      <c r="BPA23" s="7"/>
      <c r="BPB23" s="7"/>
      <c r="BPC23" s="7"/>
      <c r="BYN23" s="7"/>
      <c r="BYO23" s="7"/>
      <c r="BYP23" s="7"/>
      <c r="BYQ23" s="7"/>
      <c r="BYR23" s="7"/>
      <c r="BYS23" s="7"/>
      <c r="BYT23" s="7"/>
      <c r="BYU23" s="7"/>
      <c r="BYV23" s="7"/>
      <c r="BYW23" s="7"/>
      <c r="BYX23" s="7"/>
      <c r="BYY23" s="7"/>
      <c r="CIJ23" s="7"/>
      <c r="CIK23" s="7"/>
      <c r="CIL23" s="7"/>
      <c r="CIM23" s="7"/>
      <c r="CIN23" s="7"/>
      <c r="CIO23" s="7"/>
      <c r="CIP23" s="7"/>
      <c r="CIQ23" s="7"/>
      <c r="CIR23" s="7"/>
      <c r="CIS23" s="7"/>
      <c r="CIT23" s="7"/>
      <c r="CIU23" s="7"/>
      <c r="CSF23" s="7"/>
      <c r="CSG23" s="7"/>
      <c r="CSH23" s="7"/>
      <c r="CSI23" s="7"/>
      <c r="CSJ23" s="7"/>
      <c r="CSK23" s="7"/>
      <c r="CSL23" s="7"/>
      <c r="CSM23" s="7"/>
      <c r="CSN23" s="7"/>
      <c r="CSO23" s="7"/>
      <c r="CSP23" s="7"/>
      <c r="CSQ23" s="7"/>
      <c r="DCB23" s="7"/>
      <c r="DCC23" s="7"/>
      <c r="DCD23" s="7"/>
      <c r="DCE23" s="7"/>
      <c r="DCF23" s="7"/>
      <c r="DCG23" s="7"/>
      <c r="DCH23" s="7"/>
      <c r="DCI23" s="7"/>
      <c r="DCJ23" s="7"/>
      <c r="DCK23" s="7"/>
      <c r="DCL23" s="7"/>
      <c r="DCM23" s="7"/>
      <c r="DLX23" s="7"/>
      <c r="DLY23" s="7"/>
      <c r="DLZ23" s="7"/>
      <c r="DMA23" s="7"/>
      <c r="DMB23" s="7"/>
      <c r="DMC23" s="7"/>
      <c r="DMD23" s="7"/>
      <c r="DME23" s="7"/>
      <c r="DMF23" s="7"/>
      <c r="DMG23" s="7"/>
      <c r="DMH23" s="7"/>
      <c r="DMI23" s="7"/>
      <c r="DVT23" s="7"/>
      <c r="DVU23" s="7"/>
      <c r="DVV23" s="7"/>
      <c r="DVW23" s="7"/>
      <c r="DVX23" s="7"/>
      <c r="DVY23" s="7"/>
      <c r="DVZ23" s="7"/>
      <c r="DWA23" s="7"/>
      <c r="DWB23" s="7"/>
      <c r="DWC23" s="7"/>
      <c r="DWD23" s="7"/>
      <c r="DWE23" s="7"/>
      <c r="EFP23" s="7"/>
      <c r="EFQ23" s="7"/>
      <c r="EFR23" s="7"/>
      <c r="EFS23" s="7"/>
      <c r="EFT23" s="7"/>
      <c r="EFU23" s="7"/>
      <c r="EFV23" s="7"/>
      <c r="EFW23" s="7"/>
      <c r="EFX23" s="7"/>
      <c r="EFY23" s="7"/>
      <c r="EFZ23" s="7"/>
      <c r="EGA23" s="7"/>
      <c r="EPL23" s="7"/>
      <c r="EPM23" s="7"/>
      <c r="EPN23" s="7"/>
      <c r="EPO23" s="7"/>
      <c r="EPP23" s="7"/>
      <c r="EPQ23" s="7"/>
      <c r="EPR23" s="7"/>
      <c r="EPS23" s="7"/>
      <c r="EPT23" s="7"/>
      <c r="EPU23" s="7"/>
      <c r="EPV23" s="7"/>
      <c r="EPW23" s="7"/>
      <c r="EZH23" s="7"/>
      <c r="EZI23" s="7"/>
      <c r="EZJ23" s="7"/>
      <c r="EZK23" s="7"/>
      <c r="EZL23" s="7"/>
      <c r="EZM23" s="7"/>
      <c r="EZN23" s="7"/>
      <c r="EZO23" s="7"/>
      <c r="EZP23" s="7"/>
      <c r="EZQ23" s="7"/>
      <c r="EZR23" s="7"/>
      <c r="EZS23" s="7"/>
      <c r="FJD23" s="7"/>
      <c r="FJE23" s="7"/>
      <c r="FJF23" s="7"/>
      <c r="FJG23" s="7"/>
      <c r="FJH23" s="7"/>
      <c r="FJI23" s="7"/>
      <c r="FJJ23" s="7"/>
      <c r="FJK23" s="7"/>
      <c r="FJL23" s="7"/>
      <c r="FJM23" s="7"/>
      <c r="FJN23" s="7"/>
      <c r="FJO23" s="7"/>
      <c r="FSZ23" s="7"/>
      <c r="FTA23" s="7"/>
      <c r="FTB23" s="7"/>
      <c r="FTC23" s="7"/>
      <c r="FTD23" s="7"/>
      <c r="FTE23" s="7"/>
      <c r="FTF23" s="7"/>
      <c r="FTG23" s="7"/>
      <c r="FTH23" s="7"/>
      <c r="FTI23" s="7"/>
      <c r="FTJ23" s="7"/>
      <c r="FTK23" s="7"/>
      <c r="GCV23" s="7"/>
      <c r="GCW23" s="7"/>
      <c r="GCX23" s="7"/>
      <c r="GCY23" s="7"/>
      <c r="GCZ23" s="7"/>
      <c r="GDA23" s="7"/>
      <c r="GDB23" s="7"/>
      <c r="GDC23" s="7"/>
      <c r="GDD23" s="7"/>
      <c r="GDE23" s="7"/>
      <c r="GDF23" s="7"/>
      <c r="GDG23" s="7"/>
      <c r="GMR23" s="7"/>
      <c r="GMS23" s="7"/>
      <c r="GMT23" s="7"/>
      <c r="GMU23" s="7"/>
      <c r="GMV23" s="7"/>
      <c r="GMW23" s="7"/>
      <c r="GMX23" s="7"/>
      <c r="GMY23" s="7"/>
      <c r="GMZ23" s="7"/>
      <c r="GNA23" s="7"/>
      <c r="GNB23" s="7"/>
      <c r="GNC23" s="7"/>
      <c r="GWN23" s="7"/>
      <c r="GWO23" s="7"/>
      <c r="GWP23" s="7"/>
      <c r="GWQ23" s="7"/>
      <c r="GWR23" s="7"/>
      <c r="GWS23" s="7"/>
      <c r="GWT23" s="7"/>
      <c r="GWU23" s="7"/>
      <c r="GWV23" s="7"/>
      <c r="GWW23" s="7"/>
      <c r="GWX23" s="7"/>
      <c r="GWY23" s="7"/>
      <c r="HGJ23" s="7"/>
      <c r="HGK23" s="7"/>
      <c r="HGL23" s="7"/>
      <c r="HGM23" s="7"/>
      <c r="HGN23" s="7"/>
      <c r="HGO23" s="7"/>
      <c r="HGP23" s="7"/>
      <c r="HGQ23" s="7"/>
      <c r="HGR23" s="7"/>
      <c r="HGS23" s="7"/>
      <c r="HGT23" s="7"/>
      <c r="HGU23" s="7"/>
      <c r="HQF23" s="7"/>
      <c r="HQG23" s="7"/>
      <c r="HQH23" s="7"/>
      <c r="HQI23" s="7"/>
      <c r="HQJ23" s="7"/>
      <c r="HQK23" s="7"/>
      <c r="HQL23" s="7"/>
      <c r="HQM23" s="7"/>
      <c r="HQN23" s="7"/>
      <c r="HQO23" s="7"/>
      <c r="HQP23" s="7"/>
      <c r="HQQ23" s="7"/>
      <c r="IAB23" s="7"/>
      <c r="IAC23" s="7"/>
      <c r="IAD23" s="7"/>
      <c r="IAE23" s="7"/>
      <c r="IAF23" s="7"/>
      <c r="IAG23" s="7"/>
      <c r="IAH23" s="7"/>
      <c r="IAI23" s="7"/>
      <c r="IAJ23" s="7"/>
      <c r="IAK23" s="7"/>
      <c r="IAL23" s="7"/>
      <c r="IAM23" s="7"/>
      <c r="IJX23" s="7"/>
      <c r="IJY23" s="7"/>
      <c r="IJZ23" s="7"/>
      <c r="IKA23" s="7"/>
      <c r="IKB23" s="7"/>
      <c r="IKC23" s="7"/>
      <c r="IKD23" s="7"/>
      <c r="IKE23" s="7"/>
      <c r="IKF23" s="7"/>
      <c r="IKG23" s="7"/>
      <c r="IKH23" s="7"/>
      <c r="IKI23" s="7"/>
      <c r="ITT23" s="7"/>
      <c r="ITU23" s="7"/>
      <c r="ITV23" s="7"/>
      <c r="ITW23" s="7"/>
      <c r="ITX23" s="7"/>
      <c r="ITY23" s="7"/>
      <c r="ITZ23" s="7"/>
      <c r="IUA23" s="7"/>
      <c r="IUB23" s="7"/>
      <c r="IUC23" s="7"/>
      <c r="IUD23" s="7"/>
      <c r="IUE23" s="7"/>
      <c r="JDP23" s="7"/>
      <c r="JDQ23" s="7"/>
      <c r="JDR23" s="7"/>
      <c r="JDS23" s="7"/>
      <c r="JDT23" s="7"/>
      <c r="JDU23" s="7"/>
      <c r="JDV23" s="7"/>
      <c r="JDW23" s="7"/>
      <c r="JDX23" s="7"/>
      <c r="JDY23" s="7"/>
      <c r="JDZ23" s="7"/>
      <c r="JEA23" s="7"/>
      <c r="JNL23" s="7"/>
      <c r="JNM23" s="7"/>
      <c r="JNN23" s="7"/>
      <c r="JNO23" s="7"/>
      <c r="JNP23" s="7"/>
      <c r="JNQ23" s="7"/>
      <c r="JNR23" s="7"/>
      <c r="JNS23" s="7"/>
      <c r="JNT23" s="7"/>
      <c r="JNU23" s="7"/>
      <c r="JNV23" s="7"/>
      <c r="JNW23" s="7"/>
      <c r="JXH23" s="7"/>
      <c r="JXI23" s="7"/>
      <c r="JXJ23" s="7"/>
      <c r="JXK23" s="7"/>
      <c r="JXL23" s="7"/>
      <c r="JXM23" s="7"/>
      <c r="JXN23" s="7"/>
      <c r="JXO23" s="7"/>
      <c r="JXP23" s="7"/>
      <c r="JXQ23" s="7"/>
      <c r="JXR23" s="7"/>
      <c r="JXS23" s="7"/>
      <c r="KHD23" s="7"/>
      <c r="KHE23" s="7"/>
      <c r="KHF23" s="7"/>
      <c r="KHG23" s="7"/>
      <c r="KHH23" s="7"/>
      <c r="KHI23" s="7"/>
      <c r="KHJ23" s="7"/>
      <c r="KHK23" s="7"/>
      <c r="KHL23" s="7"/>
      <c r="KHM23" s="7"/>
      <c r="KHN23" s="7"/>
      <c r="KHO23" s="7"/>
      <c r="KQZ23" s="7"/>
      <c r="KRA23" s="7"/>
      <c r="KRB23" s="7"/>
      <c r="KRC23" s="7"/>
      <c r="KRD23" s="7"/>
      <c r="KRE23" s="7"/>
      <c r="KRF23" s="7"/>
      <c r="KRG23" s="7"/>
      <c r="KRH23" s="7"/>
      <c r="KRI23" s="7"/>
      <c r="KRJ23" s="7"/>
      <c r="KRK23" s="7"/>
      <c r="LAV23" s="7"/>
      <c r="LAW23" s="7"/>
      <c r="LAX23" s="7"/>
      <c r="LAY23" s="7"/>
      <c r="LAZ23" s="7"/>
      <c r="LBA23" s="7"/>
      <c r="LBB23" s="7"/>
      <c r="LBC23" s="7"/>
      <c r="LBD23" s="7"/>
      <c r="LBE23" s="7"/>
      <c r="LBF23" s="7"/>
      <c r="LBG23" s="7"/>
      <c r="LKR23" s="7"/>
      <c r="LKS23" s="7"/>
      <c r="LKT23" s="7"/>
      <c r="LKU23" s="7"/>
      <c r="LKV23" s="7"/>
      <c r="LKW23" s="7"/>
      <c r="LKX23" s="7"/>
      <c r="LKY23" s="7"/>
      <c r="LKZ23" s="7"/>
      <c r="LLA23" s="7"/>
      <c r="LLB23" s="7"/>
      <c r="LLC23" s="7"/>
      <c r="LUN23" s="7"/>
      <c r="LUO23" s="7"/>
      <c r="LUP23" s="7"/>
      <c r="LUQ23" s="7"/>
      <c r="LUR23" s="7"/>
      <c r="LUS23" s="7"/>
      <c r="LUT23" s="7"/>
      <c r="LUU23" s="7"/>
      <c r="LUV23" s="7"/>
      <c r="LUW23" s="7"/>
      <c r="LUX23" s="7"/>
      <c r="LUY23" s="7"/>
      <c r="MEJ23" s="7"/>
      <c r="MEK23" s="7"/>
      <c r="MEL23" s="7"/>
      <c r="MEM23" s="7"/>
      <c r="MEN23" s="7"/>
      <c r="MEO23" s="7"/>
      <c r="MEP23" s="7"/>
      <c r="MEQ23" s="7"/>
      <c r="MER23" s="7"/>
      <c r="MES23" s="7"/>
      <c r="MET23" s="7"/>
      <c r="MEU23" s="7"/>
      <c r="MOF23" s="7"/>
      <c r="MOG23" s="7"/>
      <c r="MOH23" s="7"/>
      <c r="MOI23" s="7"/>
      <c r="MOJ23" s="7"/>
      <c r="MOK23" s="7"/>
      <c r="MOL23" s="7"/>
      <c r="MOM23" s="7"/>
      <c r="MON23" s="7"/>
      <c r="MOO23" s="7"/>
      <c r="MOP23" s="7"/>
      <c r="MOQ23" s="7"/>
      <c r="MYB23" s="7"/>
      <c r="MYC23" s="7"/>
      <c r="MYD23" s="7"/>
      <c r="MYE23" s="7"/>
      <c r="MYF23" s="7"/>
      <c r="MYG23" s="7"/>
      <c r="MYH23" s="7"/>
      <c r="MYI23" s="7"/>
      <c r="MYJ23" s="7"/>
      <c r="MYK23" s="7"/>
      <c r="MYL23" s="7"/>
      <c r="MYM23" s="7"/>
      <c r="NHX23" s="7"/>
      <c r="NHY23" s="7"/>
      <c r="NHZ23" s="7"/>
      <c r="NIA23" s="7"/>
      <c r="NIB23" s="7"/>
      <c r="NIC23" s="7"/>
      <c r="NID23" s="7"/>
      <c r="NIE23" s="7"/>
      <c r="NIF23" s="7"/>
      <c r="NIG23" s="7"/>
      <c r="NIH23" s="7"/>
      <c r="NII23" s="7"/>
      <c r="NRT23" s="7"/>
      <c r="NRU23" s="7"/>
      <c r="NRV23" s="7"/>
      <c r="NRW23" s="7"/>
      <c r="NRX23" s="7"/>
      <c r="NRY23" s="7"/>
      <c r="NRZ23" s="7"/>
      <c r="NSA23" s="7"/>
      <c r="NSB23" s="7"/>
      <c r="NSC23" s="7"/>
      <c r="NSD23" s="7"/>
      <c r="NSE23" s="7"/>
      <c r="OBP23" s="7"/>
      <c r="OBQ23" s="7"/>
      <c r="OBR23" s="7"/>
      <c r="OBS23" s="7"/>
      <c r="OBT23" s="7"/>
      <c r="OBU23" s="7"/>
      <c r="OBV23" s="7"/>
      <c r="OBW23" s="7"/>
      <c r="OBX23" s="7"/>
      <c r="OBY23" s="7"/>
      <c r="OBZ23" s="7"/>
      <c r="OCA23" s="7"/>
      <c r="OLL23" s="7"/>
      <c r="OLM23" s="7"/>
      <c r="OLN23" s="7"/>
      <c r="OLO23" s="7"/>
      <c r="OLP23" s="7"/>
      <c r="OLQ23" s="7"/>
      <c r="OLR23" s="7"/>
      <c r="OLS23" s="7"/>
      <c r="OLT23" s="7"/>
      <c r="OLU23" s="7"/>
      <c r="OLV23" s="7"/>
      <c r="OLW23" s="7"/>
      <c r="OVH23" s="7"/>
      <c r="OVI23" s="7"/>
      <c r="OVJ23" s="7"/>
      <c r="OVK23" s="7"/>
      <c r="OVL23" s="7"/>
      <c r="OVM23" s="7"/>
      <c r="OVN23" s="7"/>
      <c r="OVO23" s="7"/>
      <c r="OVP23" s="7"/>
      <c r="OVQ23" s="7"/>
      <c r="OVR23" s="7"/>
      <c r="OVS23" s="7"/>
      <c r="PFD23" s="7"/>
      <c r="PFE23" s="7"/>
      <c r="PFF23" s="7"/>
      <c r="PFG23" s="7"/>
      <c r="PFH23" s="7"/>
      <c r="PFI23" s="7"/>
      <c r="PFJ23" s="7"/>
      <c r="PFK23" s="7"/>
      <c r="PFL23" s="7"/>
      <c r="PFM23" s="7"/>
      <c r="PFN23" s="7"/>
      <c r="PFO23" s="7"/>
      <c r="POZ23" s="7"/>
      <c r="PPA23" s="7"/>
      <c r="PPB23" s="7"/>
      <c r="PPC23" s="7"/>
      <c r="PPD23" s="7"/>
      <c r="PPE23" s="7"/>
      <c r="PPF23" s="7"/>
      <c r="PPG23" s="7"/>
      <c r="PPH23" s="7"/>
      <c r="PPI23" s="7"/>
      <c r="PPJ23" s="7"/>
      <c r="PPK23" s="7"/>
      <c r="PYV23" s="7"/>
      <c r="PYW23" s="7"/>
      <c r="PYX23" s="7"/>
      <c r="PYY23" s="7"/>
      <c r="PYZ23" s="7"/>
      <c r="PZA23" s="7"/>
      <c r="PZB23" s="7"/>
      <c r="PZC23" s="7"/>
      <c r="PZD23" s="7"/>
      <c r="PZE23" s="7"/>
      <c r="PZF23" s="7"/>
      <c r="PZG23" s="7"/>
      <c r="QIR23" s="7"/>
      <c r="QIS23" s="7"/>
      <c r="QIT23" s="7"/>
      <c r="QIU23" s="7"/>
      <c r="QIV23" s="7"/>
      <c r="QIW23" s="7"/>
      <c r="QIX23" s="7"/>
      <c r="QIY23" s="7"/>
      <c r="QIZ23" s="7"/>
      <c r="QJA23" s="7"/>
      <c r="QJB23" s="7"/>
      <c r="QJC23" s="7"/>
      <c r="QSN23" s="7"/>
      <c r="QSO23" s="7"/>
      <c r="QSP23" s="7"/>
      <c r="QSQ23" s="7"/>
      <c r="QSR23" s="7"/>
      <c r="QSS23" s="7"/>
      <c r="QST23" s="7"/>
      <c r="QSU23" s="7"/>
      <c r="QSV23" s="7"/>
      <c r="QSW23" s="7"/>
      <c r="QSX23" s="7"/>
      <c r="QSY23" s="7"/>
      <c r="RCJ23" s="7"/>
      <c r="RCK23" s="7"/>
      <c r="RCL23" s="7"/>
      <c r="RCM23" s="7"/>
      <c r="RCN23" s="7"/>
      <c r="RCO23" s="7"/>
      <c r="RCP23" s="7"/>
      <c r="RCQ23" s="7"/>
      <c r="RCR23" s="7"/>
      <c r="RCS23" s="7"/>
      <c r="RCT23" s="7"/>
      <c r="RCU23" s="7"/>
      <c r="RMF23" s="7"/>
      <c r="RMG23" s="7"/>
      <c r="RMH23" s="7"/>
      <c r="RMI23" s="7"/>
      <c r="RMJ23" s="7"/>
      <c r="RMK23" s="7"/>
      <c r="RML23" s="7"/>
      <c r="RMM23" s="7"/>
      <c r="RMN23" s="7"/>
      <c r="RMO23" s="7"/>
      <c r="RMP23" s="7"/>
      <c r="RMQ23" s="7"/>
      <c r="RWB23" s="7"/>
      <c r="RWC23" s="7"/>
      <c r="RWD23" s="7"/>
      <c r="RWE23" s="7"/>
      <c r="RWF23" s="7"/>
      <c r="RWG23" s="7"/>
      <c r="RWH23" s="7"/>
      <c r="RWI23" s="7"/>
      <c r="RWJ23" s="7"/>
      <c r="RWK23" s="7"/>
      <c r="RWL23" s="7"/>
      <c r="RWM23" s="7"/>
      <c r="SFX23" s="7"/>
      <c r="SFY23" s="7"/>
      <c r="SFZ23" s="7"/>
      <c r="SGA23" s="7"/>
      <c r="SGB23" s="7"/>
      <c r="SGC23" s="7"/>
      <c r="SGD23" s="7"/>
      <c r="SGE23" s="7"/>
      <c r="SGF23" s="7"/>
      <c r="SGG23" s="7"/>
      <c r="SGH23" s="7"/>
      <c r="SGI23" s="7"/>
      <c r="SPT23" s="7"/>
      <c r="SPU23" s="7"/>
      <c r="SPV23" s="7"/>
      <c r="SPW23" s="7"/>
      <c r="SPX23" s="7"/>
      <c r="SPY23" s="7"/>
      <c r="SPZ23" s="7"/>
      <c r="SQA23" s="7"/>
      <c r="SQB23" s="7"/>
      <c r="SQC23" s="7"/>
      <c r="SQD23" s="7"/>
      <c r="SQE23" s="7"/>
      <c r="SZP23" s="7"/>
      <c r="SZQ23" s="7"/>
      <c r="SZR23" s="7"/>
      <c r="SZS23" s="7"/>
      <c r="SZT23" s="7"/>
      <c r="SZU23" s="7"/>
      <c r="SZV23" s="7"/>
      <c r="SZW23" s="7"/>
      <c r="SZX23" s="7"/>
      <c r="SZY23" s="7"/>
      <c r="SZZ23" s="7"/>
      <c r="TAA23" s="7"/>
      <c r="TJL23" s="7"/>
      <c r="TJM23" s="7"/>
      <c r="TJN23" s="7"/>
      <c r="TJO23" s="7"/>
      <c r="TJP23" s="7"/>
      <c r="TJQ23" s="7"/>
      <c r="TJR23" s="7"/>
      <c r="TJS23" s="7"/>
      <c r="TJT23" s="7"/>
      <c r="TJU23" s="7"/>
      <c r="TJV23" s="7"/>
      <c r="TJW23" s="7"/>
      <c r="TTH23" s="7"/>
      <c r="TTI23" s="7"/>
      <c r="TTJ23" s="7"/>
      <c r="TTK23" s="7"/>
      <c r="TTL23" s="7"/>
      <c r="TTM23" s="7"/>
      <c r="TTN23" s="7"/>
      <c r="TTO23" s="7"/>
      <c r="TTP23" s="7"/>
      <c r="TTQ23" s="7"/>
      <c r="TTR23" s="7"/>
      <c r="TTS23" s="7"/>
      <c r="UDD23" s="7"/>
      <c r="UDE23" s="7"/>
      <c r="UDF23" s="7"/>
      <c r="UDG23" s="7"/>
      <c r="UDH23" s="7"/>
      <c r="UDI23" s="7"/>
      <c r="UDJ23" s="7"/>
      <c r="UDK23" s="7"/>
      <c r="UDL23" s="7"/>
      <c r="UDM23" s="7"/>
      <c r="UDN23" s="7"/>
      <c r="UDO23" s="7"/>
      <c r="UMZ23" s="7"/>
      <c r="UNA23" s="7"/>
      <c r="UNB23" s="7"/>
      <c r="UNC23" s="7"/>
      <c r="UND23" s="7"/>
      <c r="UNE23" s="7"/>
      <c r="UNF23" s="7"/>
      <c r="UNG23" s="7"/>
      <c r="UNH23" s="7"/>
      <c r="UNI23" s="7"/>
      <c r="UNJ23" s="7"/>
      <c r="UNK23" s="7"/>
      <c r="UWV23" s="7"/>
      <c r="UWW23" s="7"/>
      <c r="UWX23" s="7"/>
      <c r="UWY23" s="7"/>
      <c r="UWZ23" s="7"/>
      <c r="UXA23" s="7"/>
      <c r="UXB23" s="7"/>
      <c r="UXC23" s="7"/>
      <c r="UXD23" s="7"/>
      <c r="UXE23" s="7"/>
      <c r="UXF23" s="7"/>
      <c r="UXG23" s="7"/>
      <c r="VGR23" s="7"/>
      <c r="VGS23" s="7"/>
      <c r="VGT23" s="7"/>
      <c r="VGU23" s="7"/>
      <c r="VGV23" s="7"/>
      <c r="VGW23" s="7"/>
      <c r="VGX23" s="7"/>
      <c r="VGY23" s="7"/>
      <c r="VGZ23" s="7"/>
      <c r="VHA23" s="7"/>
      <c r="VHB23" s="7"/>
      <c r="VHC23" s="7"/>
      <c r="VQN23" s="7"/>
      <c r="VQO23" s="7"/>
      <c r="VQP23" s="7"/>
      <c r="VQQ23" s="7"/>
      <c r="VQR23" s="7"/>
      <c r="VQS23" s="7"/>
      <c r="VQT23" s="7"/>
      <c r="VQU23" s="7"/>
      <c r="VQV23" s="7"/>
      <c r="VQW23" s="7"/>
      <c r="VQX23" s="7"/>
      <c r="VQY23" s="7"/>
      <c r="WAJ23" s="7"/>
      <c r="WAK23" s="7"/>
      <c r="WAL23" s="7"/>
      <c r="WAM23" s="7"/>
      <c r="WAN23" s="7"/>
      <c r="WAO23" s="7"/>
      <c r="WAP23" s="7"/>
      <c r="WAQ23" s="7"/>
      <c r="WAR23" s="7"/>
      <c r="WAS23" s="7"/>
      <c r="WAT23" s="7"/>
      <c r="WAU23" s="7"/>
      <c r="WKF23" s="7"/>
      <c r="WKG23" s="7"/>
      <c r="WKH23" s="7"/>
      <c r="WKI23" s="7"/>
      <c r="WKJ23" s="7"/>
      <c r="WKK23" s="7"/>
      <c r="WKL23" s="7"/>
      <c r="WKM23" s="7"/>
      <c r="WKN23" s="7"/>
      <c r="WKO23" s="7"/>
      <c r="WKP23" s="7"/>
      <c r="WKQ23" s="7"/>
      <c r="WUB23" s="7"/>
      <c r="WUC23" s="7"/>
      <c r="WUD23" s="7"/>
      <c r="WUE23" s="7"/>
      <c r="WUF23" s="7"/>
      <c r="WUG23" s="7"/>
      <c r="WUH23" s="7"/>
      <c r="WUI23" s="7"/>
      <c r="WUJ23" s="7"/>
      <c r="WUK23" s="7"/>
      <c r="WUL23" s="7"/>
      <c r="WUM23" s="7"/>
    </row>
    <row r="24" spans="1:1003 1248:2027 2272:3051 3296:4075 4320:5099 5344:6123 6368:7147 7392:8171 8416:9195 9440:10219 10464:11243 11488:12267 12512:13291 13536:14315 14560:15339 15584:16107" ht="30" customHeight="1">
      <c r="A24" s="45"/>
      <c r="C24" s="7" t="s">
        <v>234</v>
      </c>
      <c r="D24" s="27">
        <v>2.13</v>
      </c>
      <c r="H24" s="159">
        <v>3</v>
      </c>
      <c r="I24" s="196" t="s">
        <v>225</v>
      </c>
      <c r="J24" s="161"/>
      <c r="K24" s="196"/>
      <c r="L24" s="211">
        <f>Table113[[#This Row],[Qty 2]]+Table113[[#This Row],[Qty 1]]</f>
        <v>3</v>
      </c>
      <c r="M24" s="216">
        <v>408</v>
      </c>
      <c r="N24" s="216">
        <f>Table113[[#This Row],[Unit Cost]]*Table113[[#This Row],[Total Qty All Areas]]</f>
        <v>1224</v>
      </c>
    </row>
    <row r="25" spans="1:1003 1248:2027 2272:3051 3296:4075 4320:5099 5344:6123 6368:7147 7392:8171 8416:9195 9440:10219 10464:11243 11488:12267 12512:13291 13536:14315 14560:15339 15584:16107" ht="30" customHeight="1">
      <c r="A25" s="45"/>
      <c r="C25" s="7" t="s">
        <v>235</v>
      </c>
      <c r="D25" s="27">
        <v>1.84</v>
      </c>
      <c r="H25" s="159">
        <v>7</v>
      </c>
      <c r="I25" s="196" t="s">
        <v>225</v>
      </c>
      <c r="J25" s="161"/>
      <c r="K25" s="196"/>
      <c r="L25" s="211">
        <f>Table113[[#This Row],[Qty 2]]+Table113[[#This Row],[Qty 1]]</f>
        <v>7</v>
      </c>
      <c r="M25" s="216">
        <v>396</v>
      </c>
      <c r="N25" s="216">
        <f>Table113[[#This Row],[Unit Cost]]*Table113[[#This Row],[Total Qty All Areas]]</f>
        <v>2772</v>
      </c>
    </row>
    <row r="26" spans="1:1003 1248:2027 2272:3051 3296:4075 4320:5099 5344:6123 6368:7147 7392:8171 8416:9195 9440:10219 10464:11243 11488:12267 12512:13291 13536:14315 14560:15339 15584:16107" ht="30" customHeight="1">
      <c r="A26" s="176"/>
      <c r="C26" s="7" t="s">
        <v>236</v>
      </c>
      <c r="D26" s="169">
        <v>1.53</v>
      </c>
      <c r="E26" s="169"/>
      <c r="F26" s="303"/>
      <c r="H26" s="159">
        <v>5</v>
      </c>
      <c r="I26" s="196" t="s">
        <v>225</v>
      </c>
      <c r="J26" s="161"/>
      <c r="K26" s="196"/>
      <c r="L26" s="211">
        <f>Table113[[#This Row],[Qty 2]]+Table113[[#This Row],[Qty 1]]</f>
        <v>5</v>
      </c>
      <c r="M26" s="216">
        <v>384</v>
      </c>
      <c r="N26" s="216">
        <f>Table113[[#This Row],[Unit Cost]]*Table113[[#This Row],[Total Qty All Areas]]</f>
        <v>1920</v>
      </c>
    </row>
    <row r="27" spans="1:1003 1248:2027 2272:3051 3296:4075 4320:5099 5344:6123 6368:7147 7392:8171 8416:9195 9440:10219 10464:11243 11488:12267 12512:13291 13536:14315 14560:15339 15584:16107" s="167" customFormat="1" ht="30" customHeight="1">
      <c r="A27" s="175" t="str">
        <f>'Category Setup'!L39</f>
        <v>F_TS</v>
      </c>
      <c r="B27" s="167" t="str">
        <f>'Category Setup'!E39</f>
        <v>F_TS_Finished_Tip Skip</v>
      </c>
      <c r="C27" s="167" t="str">
        <f>'Category Setup'!N39</f>
        <v>F_TS_Finished_Tip Skip</v>
      </c>
      <c r="D27" s="168"/>
      <c r="E27" s="168"/>
      <c r="F27" s="172"/>
      <c r="G27" s="172"/>
      <c r="H27" s="173"/>
      <c r="I27" s="197"/>
      <c r="J27" s="174"/>
      <c r="K27" s="197"/>
      <c r="L27" s="213">
        <f>Table113[[#This Row],[Qty 2]]+Table113[[#This Row],[Qty 1]]</f>
        <v>0</v>
      </c>
      <c r="M27" s="215"/>
      <c r="N27" s="215">
        <f>Table113[[#This Row],[Unit Cost]]*Table113[[#This Row],[Total Qty All Areas]]</f>
        <v>0</v>
      </c>
      <c r="HP27" s="7"/>
      <c r="HQ27" s="7"/>
      <c r="HR27" s="7"/>
      <c r="HS27" s="7"/>
      <c r="HT27" s="7"/>
      <c r="HU27" s="7"/>
      <c r="HV27" s="7"/>
      <c r="HW27" s="7"/>
      <c r="HX27" s="7"/>
      <c r="HY27" s="7"/>
      <c r="HZ27" s="7"/>
      <c r="IA27" s="7"/>
      <c r="RL27" s="7"/>
      <c r="RM27" s="7"/>
      <c r="RN27" s="7"/>
      <c r="RO27" s="7"/>
      <c r="RP27" s="7"/>
      <c r="RQ27" s="7"/>
      <c r="RR27" s="7"/>
      <c r="RS27" s="7"/>
      <c r="RT27" s="7"/>
      <c r="RU27" s="7"/>
      <c r="RV27" s="7"/>
      <c r="RW27" s="7"/>
      <c r="ABH27" s="7"/>
      <c r="ABI27" s="7"/>
      <c r="ABJ27" s="7"/>
      <c r="ABK27" s="7"/>
      <c r="ABL27" s="7"/>
      <c r="ABM27" s="7"/>
      <c r="ABN27" s="7"/>
      <c r="ABO27" s="7"/>
      <c r="ABP27" s="7"/>
      <c r="ABQ27" s="7"/>
      <c r="ABR27" s="7"/>
      <c r="ABS27" s="7"/>
      <c r="ALD27" s="7"/>
      <c r="ALE27" s="7"/>
      <c r="ALF27" s="7"/>
      <c r="ALG27" s="7"/>
      <c r="ALH27" s="7"/>
      <c r="ALI27" s="7"/>
      <c r="ALJ27" s="7"/>
      <c r="ALK27" s="7"/>
      <c r="ALL27" s="7"/>
      <c r="ALM27" s="7"/>
      <c r="ALN27" s="7"/>
      <c r="ALO27" s="7"/>
      <c r="AUZ27" s="7"/>
      <c r="AVA27" s="7"/>
      <c r="AVB27" s="7"/>
      <c r="AVC27" s="7"/>
      <c r="AVD27" s="7"/>
      <c r="AVE27" s="7"/>
      <c r="AVF27" s="7"/>
      <c r="AVG27" s="7"/>
      <c r="AVH27" s="7"/>
      <c r="AVI27" s="7"/>
      <c r="AVJ27" s="7"/>
      <c r="AVK27" s="7"/>
      <c r="BEV27" s="7"/>
      <c r="BEW27" s="7"/>
      <c r="BEX27" s="7"/>
      <c r="BEY27" s="7"/>
      <c r="BEZ27" s="7"/>
      <c r="BFA27" s="7"/>
      <c r="BFB27" s="7"/>
      <c r="BFC27" s="7"/>
      <c r="BFD27" s="7"/>
      <c r="BFE27" s="7"/>
      <c r="BFF27" s="7"/>
      <c r="BFG27" s="7"/>
      <c r="BOR27" s="7"/>
      <c r="BOS27" s="7"/>
      <c r="BOT27" s="7"/>
      <c r="BOU27" s="7"/>
      <c r="BOV27" s="7"/>
      <c r="BOW27" s="7"/>
      <c r="BOX27" s="7"/>
      <c r="BOY27" s="7"/>
      <c r="BOZ27" s="7"/>
      <c r="BPA27" s="7"/>
      <c r="BPB27" s="7"/>
      <c r="BPC27" s="7"/>
      <c r="BYN27" s="7"/>
      <c r="BYO27" s="7"/>
      <c r="BYP27" s="7"/>
      <c r="BYQ27" s="7"/>
      <c r="BYR27" s="7"/>
      <c r="BYS27" s="7"/>
      <c r="BYT27" s="7"/>
      <c r="BYU27" s="7"/>
      <c r="BYV27" s="7"/>
      <c r="BYW27" s="7"/>
      <c r="BYX27" s="7"/>
      <c r="BYY27" s="7"/>
      <c r="CIJ27" s="7"/>
      <c r="CIK27" s="7"/>
      <c r="CIL27" s="7"/>
      <c r="CIM27" s="7"/>
      <c r="CIN27" s="7"/>
      <c r="CIO27" s="7"/>
      <c r="CIP27" s="7"/>
      <c r="CIQ27" s="7"/>
      <c r="CIR27" s="7"/>
      <c r="CIS27" s="7"/>
      <c r="CIT27" s="7"/>
      <c r="CIU27" s="7"/>
      <c r="CSF27" s="7"/>
      <c r="CSG27" s="7"/>
      <c r="CSH27" s="7"/>
      <c r="CSI27" s="7"/>
      <c r="CSJ27" s="7"/>
      <c r="CSK27" s="7"/>
      <c r="CSL27" s="7"/>
      <c r="CSM27" s="7"/>
      <c r="CSN27" s="7"/>
      <c r="CSO27" s="7"/>
      <c r="CSP27" s="7"/>
      <c r="CSQ27" s="7"/>
      <c r="DCB27" s="7"/>
      <c r="DCC27" s="7"/>
      <c r="DCD27" s="7"/>
      <c r="DCE27" s="7"/>
      <c r="DCF27" s="7"/>
      <c r="DCG27" s="7"/>
      <c r="DCH27" s="7"/>
      <c r="DCI27" s="7"/>
      <c r="DCJ27" s="7"/>
      <c r="DCK27" s="7"/>
      <c r="DCL27" s="7"/>
      <c r="DCM27" s="7"/>
      <c r="DLX27" s="7"/>
      <c r="DLY27" s="7"/>
      <c r="DLZ27" s="7"/>
      <c r="DMA27" s="7"/>
      <c r="DMB27" s="7"/>
      <c r="DMC27" s="7"/>
      <c r="DMD27" s="7"/>
      <c r="DME27" s="7"/>
      <c r="DMF27" s="7"/>
      <c r="DMG27" s="7"/>
      <c r="DMH27" s="7"/>
      <c r="DMI27" s="7"/>
      <c r="DVT27" s="7"/>
      <c r="DVU27" s="7"/>
      <c r="DVV27" s="7"/>
      <c r="DVW27" s="7"/>
      <c r="DVX27" s="7"/>
      <c r="DVY27" s="7"/>
      <c r="DVZ27" s="7"/>
      <c r="DWA27" s="7"/>
      <c r="DWB27" s="7"/>
      <c r="DWC27" s="7"/>
      <c r="DWD27" s="7"/>
      <c r="DWE27" s="7"/>
      <c r="EFP27" s="7"/>
      <c r="EFQ27" s="7"/>
      <c r="EFR27" s="7"/>
      <c r="EFS27" s="7"/>
      <c r="EFT27" s="7"/>
      <c r="EFU27" s="7"/>
      <c r="EFV27" s="7"/>
      <c r="EFW27" s="7"/>
      <c r="EFX27" s="7"/>
      <c r="EFY27" s="7"/>
      <c r="EFZ27" s="7"/>
      <c r="EGA27" s="7"/>
      <c r="EPL27" s="7"/>
      <c r="EPM27" s="7"/>
      <c r="EPN27" s="7"/>
      <c r="EPO27" s="7"/>
      <c r="EPP27" s="7"/>
      <c r="EPQ27" s="7"/>
      <c r="EPR27" s="7"/>
      <c r="EPS27" s="7"/>
      <c r="EPT27" s="7"/>
      <c r="EPU27" s="7"/>
      <c r="EPV27" s="7"/>
      <c r="EPW27" s="7"/>
      <c r="EZH27" s="7"/>
      <c r="EZI27" s="7"/>
      <c r="EZJ27" s="7"/>
      <c r="EZK27" s="7"/>
      <c r="EZL27" s="7"/>
      <c r="EZM27" s="7"/>
      <c r="EZN27" s="7"/>
      <c r="EZO27" s="7"/>
      <c r="EZP27" s="7"/>
      <c r="EZQ27" s="7"/>
      <c r="EZR27" s="7"/>
      <c r="EZS27" s="7"/>
      <c r="FJD27" s="7"/>
      <c r="FJE27" s="7"/>
      <c r="FJF27" s="7"/>
      <c r="FJG27" s="7"/>
      <c r="FJH27" s="7"/>
      <c r="FJI27" s="7"/>
      <c r="FJJ27" s="7"/>
      <c r="FJK27" s="7"/>
      <c r="FJL27" s="7"/>
      <c r="FJM27" s="7"/>
      <c r="FJN27" s="7"/>
      <c r="FJO27" s="7"/>
      <c r="FSZ27" s="7"/>
      <c r="FTA27" s="7"/>
      <c r="FTB27" s="7"/>
      <c r="FTC27" s="7"/>
      <c r="FTD27" s="7"/>
      <c r="FTE27" s="7"/>
      <c r="FTF27" s="7"/>
      <c r="FTG27" s="7"/>
      <c r="FTH27" s="7"/>
      <c r="FTI27" s="7"/>
      <c r="FTJ27" s="7"/>
      <c r="FTK27" s="7"/>
      <c r="GCV27" s="7"/>
      <c r="GCW27" s="7"/>
      <c r="GCX27" s="7"/>
      <c r="GCY27" s="7"/>
      <c r="GCZ27" s="7"/>
      <c r="GDA27" s="7"/>
      <c r="GDB27" s="7"/>
      <c r="GDC27" s="7"/>
      <c r="GDD27" s="7"/>
      <c r="GDE27" s="7"/>
      <c r="GDF27" s="7"/>
      <c r="GDG27" s="7"/>
      <c r="GMR27" s="7"/>
      <c r="GMS27" s="7"/>
      <c r="GMT27" s="7"/>
      <c r="GMU27" s="7"/>
      <c r="GMV27" s="7"/>
      <c r="GMW27" s="7"/>
      <c r="GMX27" s="7"/>
      <c r="GMY27" s="7"/>
      <c r="GMZ27" s="7"/>
      <c r="GNA27" s="7"/>
      <c r="GNB27" s="7"/>
      <c r="GNC27" s="7"/>
      <c r="GWN27" s="7"/>
      <c r="GWO27" s="7"/>
      <c r="GWP27" s="7"/>
      <c r="GWQ27" s="7"/>
      <c r="GWR27" s="7"/>
      <c r="GWS27" s="7"/>
      <c r="GWT27" s="7"/>
      <c r="GWU27" s="7"/>
      <c r="GWV27" s="7"/>
      <c r="GWW27" s="7"/>
      <c r="GWX27" s="7"/>
      <c r="GWY27" s="7"/>
      <c r="HGJ27" s="7"/>
      <c r="HGK27" s="7"/>
      <c r="HGL27" s="7"/>
      <c r="HGM27" s="7"/>
      <c r="HGN27" s="7"/>
      <c r="HGO27" s="7"/>
      <c r="HGP27" s="7"/>
      <c r="HGQ27" s="7"/>
      <c r="HGR27" s="7"/>
      <c r="HGS27" s="7"/>
      <c r="HGT27" s="7"/>
      <c r="HGU27" s="7"/>
      <c r="HQF27" s="7"/>
      <c r="HQG27" s="7"/>
      <c r="HQH27" s="7"/>
      <c r="HQI27" s="7"/>
      <c r="HQJ27" s="7"/>
      <c r="HQK27" s="7"/>
      <c r="HQL27" s="7"/>
      <c r="HQM27" s="7"/>
      <c r="HQN27" s="7"/>
      <c r="HQO27" s="7"/>
      <c r="HQP27" s="7"/>
      <c r="HQQ27" s="7"/>
      <c r="IAB27" s="7"/>
      <c r="IAC27" s="7"/>
      <c r="IAD27" s="7"/>
      <c r="IAE27" s="7"/>
      <c r="IAF27" s="7"/>
      <c r="IAG27" s="7"/>
      <c r="IAH27" s="7"/>
      <c r="IAI27" s="7"/>
      <c r="IAJ27" s="7"/>
      <c r="IAK27" s="7"/>
      <c r="IAL27" s="7"/>
      <c r="IAM27" s="7"/>
      <c r="IJX27" s="7"/>
      <c r="IJY27" s="7"/>
      <c r="IJZ27" s="7"/>
      <c r="IKA27" s="7"/>
      <c r="IKB27" s="7"/>
      <c r="IKC27" s="7"/>
      <c r="IKD27" s="7"/>
      <c r="IKE27" s="7"/>
      <c r="IKF27" s="7"/>
      <c r="IKG27" s="7"/>
      <c r="IKH27" s="7"/>
      <c r="IKI27" s="7"/>
      <c r="ITT27" s="7"/>
      <c r="ITU27" s="7"/>
      <c r="ITV27" s="7"/>
      <c r="ITW27" s="7"/>
      <c r="ITX27" s="7"/>
      <c r="ITY27" s="7"/>
      <c r="ITZ27" s="7"/>
      <c r="IUA27" s="7"/>
      <c r="IUB27" s="7"/>
      <c r="IUC27" s="7"/>
      <c r="IUD27" s="7"/>
      <c r="IUE27" s="7"/>
      <c r="JDP27" s="7"/>
      <c r="JDQ27" s="7"/>
      <c r="JDR27" s="7"/>
      <c r="JDS27" s="7"/>
      <c r="JDT27" s="7"/>
      <c r="JDU27" s="7"/>
      <c r="JDV27" s="7"/>
      <c r="JDW27" s="7"/>
      <c r="JDX27" s="7"/>
      <c r="JDY27" s="7"/>
      <c r="JDZ27" s="7"/>
      <c r="JEA27" s="7"/>
      <c r="JNL27" s="7"/>
      <c r="JNM27" s="7"/>
      <c r="JNN27" s="7"/>
      <c r="JNO27" s="7"/>
      <c r="JNP27" s="7"/>
      <c r="JNQ27" s="7"/>
      <c r="JNR27" s="7"/>
      <c r="JNS27" s="7"/>
      <c r="JNT27" s="7"/>
      <c r="JNU27" s="7"/>
      <c r="JNV27" s="7"/>
      <c r="JNW27" s="7"/>
      <c r="JXH27" s="7"/>
      <c r="JXI27" s="7"/>
      <c r="JXJ27" s="7"/>
      <c r="JXK27" s="7"/>
      <c r="JXL27" s="7"/>
      <c r="JXM27" s="7"/>
      <c r="JXN27" s="7"/>
      <c r="JXO27" s="7"/>
      <c r="JXP27" s="7"/>
      <c r="JXQ27" s="7"/>
      <c r="JXR27" s="7"/>
      <c r="JXS27" s="7"/>
      <c r="KHD27" s="7"/>
      <c r="KHE27" s="7"/>
      <c r="KHF27" s="7"/>
      <c r="KHG27" s="7"/>
      <c r="KHH27" s="7"/>
      <c r="KHI27" s="7"/>
      <c r="KHJ27" s="7"/>
      <c r="KHK27" s="7"/>
      <c r="KHL27" s="7"/>
      <c r="KHM27" s="7"/>
      <c r="KHN27" s="7"/>
      <c r="KHO27" s="7"/>
      <c r="KQZ27" s="7"/>
      <c r="KRA27" s="7"/>
      <c r="KRB27" s="7"/>
      <c r="KRC27" s="7"/>
      <c r="KRD27" s="7"/>
      <c r="KRE27" s="7"/>
      <c r="KRF27" s="7"/>
      <c r="KRG27" s="7"/>
      <c r="KRH27" s="7"/>
      <c r="KRI27" s="7"/>
      <c r="KRJ27" s="7"/>
      <c r="KRK27" s="7"/>
      <c r="LAV27" s="7"/>
      <c r="LAW27" s="7"/>
      <c r="LAX27" s="7"/>
      <c r="LAY27" s="7"/>
      <c r="LAZ27" s="7"/>
      <c r="LBA27" s="7"/>
      <c r="LBB27" s="7"/>
      <c r="LBC27" s="7"/>
      <c r="LBD27" s="7"/>
      <c r="LBE27" s="7"/>
      <c r="LBF27" s="7"/>
      <c r="LBG27" s="7"/>
      <c r="LKR27" s="7"/>
      <c r="LKS27" s="7"/>
      <c r="LKT27" s="7"/>
      <c r="LKU27" s="7"/>
      <c r="LKV27" s="7"/>
      <c r="LKW27" s="7"/>
      <c r="LKX27" s="7"/>
      <c r="LKY27" s="7"/>
      <c r="LKZ27" s="7"/>
      <c r="LLA27" s="7"/>
      <c r="LLB27" s="7"/>
      <c r="LLC27" s="7"/>
      <c r="LUN27" s="7"/>
      <c r="LUO27" s="7"/>
      <c r="LUP27" s="7"/>
      <c r="LUQ27" s="7"/>
      <c r="LUR27" s="7"/>
      <c r="LUS27" s="7"/>
      <c r="LUT27" s="7"/>
      <c r="LUU27" s="7"/>
      <c r="LUV27" s="7"/>
      <c r="LUW27" s="7"/>
      <c r="LUX27" s="7"/>
      <c r="LUY27" s="7"/>
      <c r="MEJ27" s="7"/>
      <c r="MEK27" s="7"/>
      <c r="MEL27" s="7"/>
      <c r="MEM27" s="7"/>
      <c r="MEN27" s="7"/>
      <c r="MEO27" s="7"/>
      <c r="MEP27" s="7"/>
      <c r="MEQ27" s="7"/>
      <c r="MER27" s="7"/>
      <c r="MES27" s="7"/>
      <c r="MET27" s="7"/>
      <c r="MEU27" s="7"/>
      <c r="MOF27" s="7"/>
      <c r="MOG27" s="7"/>
      <c r="MOH27" s="7"/>
      <c r="MOI27" s="7"/>
      <c r="MOJ27" s="7"/>
      <c r="MOK27" s="7"/>
      <c r="MOL27" s="7"/>
      <c r="MOM27" s="7"/>
      <c r="MON27" s="7"/>
      <c r="MOO27" s="7"/>
      <c r="MOP27" s="7"/>
      <c r="MOQ27" s="7"/>
      <c r="MYB27" s="7"/>
      <c r="MYC27" s="7"/>
      <c r="MYD27" s="7"/>
      <c r="MYE27" s="7"/>
      <c r="MYF27" s="7"/>
      <c r="MYG27" s="7"/>
      <c r="MYH27" s="7"/>
      <c r="MYI27" s="7"/>
      <c r="MYJ27" s="7"/>
      <c r="MYK27" s="7"/>
      <c r="MYL27" s="7"/>
      <c r="MYM27" s="7"/>
      <c r="NHX27" s="7"/>
      <c r="NHY27" s="7"/>
      <c r="NHZ27" s="7"/>
      <c r="NIA27" s="7"/>
      <c r="NIB27" s="7"/>
      <c r="NIC27" s="7"/>
      <c r="NID27" s="7"/>
      <c r="NIE27" s="7"/>
      <c r="NIF27" s="7"/>
      <c r="NIG27" s="7"/>
      <c r="NIH27" s="7"/>
      <c r="NII27" s="7"/>
      <c r="NRT27" s="7"/>
      <c r="NRU27" s="7"/>
      <c r="NRV27" s="7"/>
      <c r="NRW27" s="7"/>
      <c r="NRX27" s="7"/>
      <c r="NRY27" s="7"/>
      <c r="NRZ27" s="7"/>
      <c r="NSA27" s="7"/>
      <c r="NSB27" s="7"/>
      <c r="NSC27" s="7"/>
      <c r="NSD27" s="7"/>
      <c r="NSE27" s="7"/>
      <c r="OBP27" s="7"/>
      <c r="OBQ27" s="7"/>
      <c r="OBR27" s="7"/>
      <c r="OBS27" s="7"/>
      <c r="OBT27" s="7"/>
      <c r="OBU27" s="7"/>
      <c r="OBV27" s="7"/>
      <c r="OBW27" s="7"/>
      <c r="OBX27" s="7"/>
      <c r="OBY27" s="7"/>
      <c r="OBZ27" s="7"/>
      <c r="OCA27" s="7"/>
      <c r="OLL27" s="7"/>
      <c r="OLM27" s="7"/>
      <c r="OLN27" s="7"/>
      <c r="OLO27" s="7"/>
      <c r="OLP27" s="7"/>
      <c r="OLQ27" s="7"/>
      <c r="OLR27" s="7"/>
      <c r="OLS27" s="7"/>
      <c r="OLT27" s="7"/>
      <c r="OLU27" s="7"/>
      <c r="OLV27" s="7"/>
      <c r="OLW27" s="7"/>
      <c r="OVH27" s="7"/>
      <c r="OVI27" s="7"/>
      <c r="OVJ27" s="7"/>
      <c r="OVK27" s="7"/>
      <c r="OVL27" s="7"/>
      <c r="OVM27" s="7"/>
      <c r="OVN27" s="7"/>
      <c r="OVO27" s="7"/>
      <c r="OVP27" s="7"/>
      <c r="OVQ27" s="7"/>
      <c r="OVR27" s="7"/>
      <c r="OVS27" s="7"/>
      <c r="PFD27" s="7"/>
      <c r="PFE27" s="7"/>
      <c r="PFF27" s="7"/>
      <c r="PFG27" s="7"/>
      <c r="PFH27" s="7"/>
      <c r="PFI27" s="7"/>
      <c r="PFJ27" s="7"/>
      <c r="PFK27" s="7"/>
      <c r="PFL27" s="7"/>
      <c r="PFM27" s="7"/>
      <c r="PFN27" s="7"/>
      <c r="PFO27" s="7"/>
      <c r="POZ27" s="7"/>
      <c r="PPA27" s="7"/>
      <c r="PPB27" s="7"/>
      <c r="PPC27" s="7"/>
      <c r="PPD27" s="7"/>
      <c r="PPE27" s="7"/>
      <c r="PPF27" s="7"/>
      <c r="PPG27" s="7"/>
      <c r="PPH27" s="7"/>
      <c r="PPI27" s="7"/>
      <c r="PPJ27" s="7"/>
      <c r="PPK27" s="7"/>
      <c r="PYV27" s="7"/>
      <c r="PYW27" s="7"/>
      <c r="PYX27" s="7"/>
      <c r="PYY27" s="7"/>
      <c r="PYZ27" s="7"/>
      <c r="PZA27" s="7"/>
      <c r="PZB27" s="7"/>
      <c r="PZC27" s="7"/>
      <c r="PZD27" s="7"/>
      <c r="PZE27" s="7"/>
      <c r="PZF27" s="7"/>
      <c r="PZG27" s="7"/>
      <c r="QIR27" s="7"/>
      <c r="QIS27" s="7"/>
      <c r="QIT27" s="7"/>
      <c r="QIU27" s="7"/>
      <c r="QIV27" s="7"/>
      <c r="QIW27" s="7"/>
      <c r="QIX27" s="7"/>
      <c r="QIY27" s="7"/>
      <c r="QIZ27" s="7"/>
      <c r="QJA27" s="7"/>
      <c r="QJB27" s="7"/>
      <c r="QJC27" s="7"/>
      <c r="QSN27" s="7"/>
      <c r="QSO27" s="7"/>
      <c r="QSP27" s="7"/>
      <c r="QSQ27" s="7"/>
      <c r="QSR27" s="7"/>
      <c r="QSS27" s="7"/>
      <c r="QST27" s="7"/>
      <c r="QSU27" s="7"/>
      <c r="QSV27" s="7"/>
      <c r="QSW27" s="7"/>
      <c r="QSX27" s="7"/>
      <c r="QSY27" s="7"/>
      <c r="RCJ27" s="7"/>
      <c r="RCK27" s="7"/>
      <c r="RCL27" s="7"/>
      <c r="RCM27" s="7"/>
      <c r="RCN27" s="7"/>
      <c r="RCO27" s="7"/>
      <c r="RCP27" s="7"/>
      <c r="RCQ27" s="7"/>
      <c r="RCR27" s="7"/>
      <c r="RCS27" s="7"/>
      <c r="RCT27" s="7"/>
      <c r="RCU27" s="7"/>
      <c r="RMF27" s="7"/>
      <c r="RMG27" s="7"/>
      <c r="RMH27" s="7"/>
      <c r="RMI27" s="7"/>
      <c r="RMJ27" s="7"/>
      <c r="RMK27" s="7"/>
      <c r="RML27" s="7"/>
      <c r="RMM27" s="7"/>
      <c r="RMN27" s="7"/>
      <c r="RMO27" s="7"/>
      <c r="RMP27" s="7"/>
      <c r="RMQ27" s="7"/>
      <c r="RWB27" s="7"/>
      <c r="RWC27" s="7"/>
      <c r="RWD27" s="7"/>
      <c r="RWE27" s="7"/>
      <c r="RWF27" s="7"/>
      <c r="RWG27" s="7"/>
      <c r="RWH27" s="7"/>
      <c r="RWI27" s="7"/>
      <c r="RWJ27" s="7"/>
      <c r="RWK27" s="7"/>
      <c r="RWL27" s="7"/>
      <c r="RWM27" s="7"/>
      <c r="SFX27" s="7"/>
      <c r="SFY27" s="7"/>
      <c r="SFZ27" s="7"/>
      <c r="SGA27" s="7"/>
      <c r="SGB27" s="7"/>
      <c r="SGC27" s="7"/>
      <c r="SGD27" s="7"/>
      <c r="SGE27" s="7"/>
      <c r="SGF27" s="7"/>
      <c r="SGG27" s="7"/>
      <c r="SGH27" s="7"/>
      <c r="SGI27" s="7"/>
      <c r="SPT27" s="7"/>
      <c r="SPU27" s="7"/>
      <c r="SPV27" s="7"/>
      <c r="SPW27" s="7"/>
      <c r="SPX27" s="7"/>
      <c r="SPY27" s="7"/>
      <c r="SPZ27" s="7"/>
      <c r="SQA27" s="7"/>
      <c r="SQB27" s="7"/>
      <c r="SQC27" s="7"/>
      <c r="SQD27" s="7"/>
      <c r="SQE27" s="7"/>
      <c r="SZP27" s="7"/>
      <c r="SZQ27" s="7"/>
      <c r="SZR27" s="7"/>
      <c r="SZS27" s="7"/>
      <c r="SZT27" s="7"/>
      <c r="SZU27" s="7"/>
      <c r="SZV27" s="7"/>
      <c r="SZW27" s="7"/>
      <c r="SZX27" s="7"/>
      <c r="SZY27" s="7"/>
      <c r="SZZ27" s="7"/>
      <c r="TAA27" s="7"/>
      <c r="TJL27" s="7"/>
      <c r="TJM27" s="7"/>
      <c r="TJN27" s="7"/>
      <c r="TJO27" s="7"/>
      <c r="TJP27" s="7"/>
      <c r="TJQ27" s="7"/>
      <c r="TJR27" s="7"/>
      <c r="TJS27" s="7"/>
      <c r="TJT27" s="7"/>
      <c r="TJU27" s="7"/>
      <c r="TJV27" s="7"/>
      <c r="TJW27" s="7"/>
      <c r="TTH27" s="7"/>
      <c r="TTI27" s="7"/>
      <c r="TTJ27" s="7"/>
      <c r="TTK27" s="7"/>
      <c r="TTL27" s="7"/>
      <c r="TTM27" s="7"/>
      <c r="TTN27" s="7"/>
      <c r="TTO27" s="7"/>
      <c r="TTP27" s="7"/>
      <c r="TTQ27" s="7"/>
      <c r="TTR27" s="7"/>
      <c r="TTS27" s="7"/>
      <c r="UDD27" s="7"/>
      <c r="UDE27" s="7"/>
      <c r="UDF27" s="7"/>
      <c r="UDG27" s="7"/>
      <c r="UDH27" s="7"/>
      <c r="UDI27" s="7"/>
      <c r="UDJ27" s="7"/>
      <c r="UDK27" s="7"/>
      <c r="UDL27" s="7"/>
      <c r="UDM27" s="7"/>
      <c r="UDN27" s="7"/>
      <c r="UDO27" s="7"/>
      <c r="UMZ27" s="7"/>
      <c r="UNA27" s="7"/>
      <c r="UNB27" s="7"/>
      <c r="UNC27" s="7"/>
      <c r="UND27" s="7"/>
      <c r="UNE27" s="7"/>
      <c r="UNF27" s="7"/>
      <c r="UNG27" s="7"/>
      <c r="UNH27" s="7"/>
      <c r="UNI27" s="7"/>
      <c r="UNJ27" s="7"/>
      <c r="UNK27" s="7"/>
      <c r="UWV27" s="7"/>
      <c r="UWW27" s="7"/>
      <c r="UWX27" s="7"/>
      <c r="UWY27" s="7"/>
      <c r="UWZ27" s="7"/>
      <c r="UXA27" s="7"/>
      <c r="UXB27" s="7"/>
      <c r="UXC27" s="7"/>
      <c r="UXD27" s="7"/>
      <c r="UXE27" s="7"/>
      <c r="UXF27" s="7"/>
      <c r="UXG27" s="7"/>
      <c r="VGR27" s="7"/>
      <c r="VGS27" s="7"/>
      <c r="VGT27" s="7"/>
      <c r="VGU27" s="7"/>
      <c r="VGV27" s="7"/>
      <c r="VGW27" s="7"/>
      <c r="VGX27" s="7"/>
      <c r="VGY27" s="7"/>
      <c r="VGZ27" s="7"/>
      <c r="VHA27" s="7"/>
      <c r="VHB27" s="7"/>
      <c r="VHC27" s="7"/>
      <c r="VQN27" s="7"/>
      <c r="VQO27" s="7"/>
      <c r="VQP27" s="7"/>
      <c r="VQQ27" s="7"/>
      <c r="VQR27" s="7"/>
      <c r="VQS27" s="7"/>
      <c r="VQT27" s="7"/>
      <c r="VQU27" s="7"/>
      <c r="VQV27" s="7"/>
      <c r="VQW27" s="7"/>
      <c r="VQX27" s="7"/>
      <c r="VQY27" s="7"/>
      <c r="WAJ27" s="7"/>
      <c r="WAK27" s="7"/>
      <c r="WAL27" s="7"/>
      <c r="WAM27" s="7"/>
      <c r="WAN27" s="7"/>
      <c r="WAO27" s="7"/>
      <c r="WAP27" s="7"/>
      <c r="WAQ27" s="7"/>
      <c r="WAR27" s="7"/>
      <c r="WAS27" s="7"/>
      <c r="WAT27" s="7"/>
      <c r="WAU27" s="7"/>
      <c r="WKF27" s="7"/>
      <c r="WKG27" s="7"/>
      <c r="WKH27" s="7"/>
      <c r="WKI27" s="7"/>
      <c r="WKJ27" s="7"/>
      <c r="WKK27" s="7"/>
      <c r="WKL27" s="7"/>
      <c r="WKM27" s="7"/>
      <c r="WKN27" s="7"/>
      <c r="WKO27" s="7"/>
      <c r="WKP27" s="7"/>
      <c r="WKQ27" s="7"/>
      <c r="WUB27" s="7"/>
      <c r="WUC27" s="7"/>
      <c r="WUD27" s="7"/>
      <c r="WUE27" s="7"/>
      <c r="WUF27" s="7"/>
      <c r="WUG27" s="7"/>
      <c r="WUH27" s="7"/>
      <c r="WUI27" s="7"/>
      <c r="WUJ27" s="7"/>
      <c r="WUK27" s="7"/>
      <c r="WUL27" s="7"/>
      <c r="WUM27" s="7"/>
    </row>
    <row r="28" spans="1:1003 1248:2027 2272:3051 3296:4075 4320:5099 5344:6123 6368:7147 7392:8171 8416:9195 9440:10219 10464:11243 11488:12267 12512:13291 13536:14315 14560:15339 15584:16107" ht="30" customHeight="1">
      <c r="A28" s="45"/>
      <c r="C28" s="7" t="s">
        <v>235</v>
      </c>
      <c r="D28" s="27">
        <v>1.84</v>
      </c>
      <c r="H28" s="159">
        <v>7</v>
      </c>
      <c r="I28" s="196" t="s">
        <v>225</v>
      </c>
      <c r="J28" s="161"/>
      <c r="K28" s="196"/>
      <c r="L28" s="211">
        <f>Table113[[#This Row],[Qty 2]]+Table113[[#This Row],[Qty 1]]</f>
        <v>7</v>
      </c>
      <c r="M28" s="216">
        <v>636</v>
      </c>
      <c r="N28" s="216">
        <f>Table113[[#This Row],[Unit Cost]]*Table113[[#This Row],[Total Qty All Areas]]</f>
        <v>4452</v>
      </c>
    </row>
    <row r="29" spans="1:1003 1248:2027 2272:3051 3296:4075 4320:5099 5344:6123 6368:7147 7392:8171 8416:9195 9440:10219 10464:11243 11488:12267 12512:13291 13536:14315 14560:15339 15584:16107" ht="30" customHeight="1">
      <c r="A29" s="45"/>
      <c r="C29" s="7" t="s">
        <v>237</v>
      </c>
      <c r="D29" s="27">
        <v>1.22</v>
      </c>
      <c r="H29" s="159">
        <v>8</v>
      </c>
      <c r="I29" s="196" t="s">
        <v>225</v>
      </c>
      <c r="J29" s="161"/>
      <c r="K29" s="196"/>
      <c r="L29" s="211">
        <f>Table113[[#This Row],[Qty 2]]+Table113[[#This Row],[Qty 1]]</f>
        <v>8</v>
      </c>
      <c r="M29" s="216">
        <v>552</v>
      </c>
      <c r="N29" s="216">
        <f>Table113[[#This Row],[Unit Cost]]*Table113[[#This Row],[Total Qty All Areas]]</f>
        <v>4416</v>
      </c>
    </row>
    <row r="30" spans="1:1003 1248:2027 2272:3051 3296:4075 4320:5099 5344:6123 6368:7147 7392:8171 8416:9195 9440:10219 10464:11243 11488:12267 12512:13291 13536:14315 14560:15339 15584:16107" ht="30" customHeight="1">
      <c r="A30" s="176"/>
      <c r="C30" s="7" t="s">
        <v>238</v>
      </c>
      <c r="D30" s="169">
        <v>0.91500000000000004</v>
      </c>
      <c r="E30" s="169"/>
      <c r="F30" s="303"/>
      <c r="H30" s="159">
        <v>3</v>
      </c>
      <c r="I30" s="196" t="s">
        <v>225</v>
      </c>
      <c r="J30" s="161">
        <v>1</v>
      </c>
      <c r="K30" s="196" t="s">
        <v>239</v>
      </c>
      <c r="L30" s="211">
        <f>Table113[[#This Row],[Qty 2]]+Table113[[#This Row],[Qty 1]]</f>
        <v>4</v>
      </c>
      <c r="M30" s="216">
        <v>516</v>
      </c>
      <c r="N30" s="216">
        <f>Table113[[#This Row],[Unit Cost]]*Table113[[#This Row],[Total Qty All Areas]]</f>
        <v>2064</v>
      </c>
    </row>
    <row r="31" spans="1:1003 1248:2027 2272:3051 3296:4075 4320:5099 5344:6123 6368:7147 7392:8171 8416:9195 9440:10219 10464:11243 11488:12267 12512:13291 13536:14315 14560:15339 15584:16107" s="167" customFormat="1" ht="30" customHeight="1">
      <c r="A31" s="175" t="str">
        <f>'Category Setup'!L40</f>
        <v>F_LR</v>
      </c>
      <c r="B31" s="167" t="str">
        <f>'Category Setup'!E40</f>
        <v>F_LR_Finished_Land Rollers</v>
      </c>
      <c r="C31" s="167" t="str">
        <f>'Category Setup'!N40</f>
        <v>F_LR_Finished_Land Rollers</v>
      </c>
      <c r="D31" s="177" t="s">
        <v>240</v>
      </c>
      <c r="E31" s="177" t="s">
        <v>241</v>
      </c>
      <c r="F31" s="304" t="s">
        <v>242</v>
      </c>
      <c r="G31" s="172"/>
      <c r="H31" s="173"/>
      <c r="I31" s="197"/>
      <c r="J31" s="174"/>
      <c r="K31" s="197"/>
      <c r="L31" s="213">
        <f>Table113[[#This Row],[Qty 2]]+Table113[[#This Row],[Qty 1]]</f>
        <v>0</v>
      </c>
      <c r="M31" s="215"/>
      <c r="N31" s="215">
        <f>Table113[[#This Row],[Unit Cost]]*Table113[[#This Row],[Total Qty All Areas]]</f>
        <v>0</v>
      </c>
      <c r="HP31" s="7"/>
      <c r="HQ31" s="7"/>
      <c r="HR31" s="7"/>
      <c r="HS31" s="7"/>
      <c r="HT31" s="7"/>
      <c r="HU31" s="7"/>
      <c r="HV31" s="7"/>
      <c r="HW31" s="7"/>
      <c r="HX31" s="7"/>
      <c r="HY31" s="7"/>
      <c r="HZ31" s="7"/>
      <c r="IA31" s="7"/>
      <c r="RL31" s="7"/>
      <c r="RM31" s="7"/>
      <c r="RN31" s="7"/>
      <c r="RO31" s="7"/>
      <c r="RP31" s="7"/>
      <c r="RQ31" s="7"/>
      <c r="RR31" s="7"/>
      <c r="RS31" s="7"/>
      <c r="RT31" s="7"/>
      <c r="RU31" s="7"/>
      <c r="RV31" s="7"/>
      <c r="RW31" s="7"/>
      <c r="ABH31" s="7"/>
      <c r="ABI31" s="7"/>
      <c r="ABJ31" s="7"/>
      <c r="ABK31" s="7"/>
      <c r="ABL31" s="7"/>
      <c r="ABM31" s="7"/>
      <c r="ABN31" s="7"/>
      <c r="ABO31" s="7"/>
      <c r="ABP31" s="7"/>
      <c r="ABQ31" s="7"/>
      <c r="ABR31" s="7"/>
      <c r="ABS31" s="7"/>
      <c r="ALD31" s="7"/>
      <c r="ALE31" s="7"/>
      <c r="ALF31" s="7"/>
      <c r="ALG31" s="7"/>
      <c r="ALH31" s="7"/>
      <c r="ALI31" s="7"/>
      <c r="ALJ31" s="7"/>
      <c r="ALK31" s="7"/>
      <c r="ALL31" s="7"/>
      <c r="ALM31" s="7"/>
      <c r="ALN31" s="7"/>
      <c r="ALO31" s="7"/>
      <c r="AUZ31" s="7"/>
      <c r="AVA31" s="7"/>
      <c r="AVB31" s="7"/>
      <c r="AVC31" s="7"/>
      <c r="AVD31" s="7"/>
      <c r="AVE31" s="7"/>
      <c r="AVF31" s="7"/>
      <c r="AVG31" s="7"/>
      <c r="AVH31" s="7"/>
      <c r="AVI31" s="7"/>
      <c r="AVJ31" s="7"/>
      <c r="AVK31" s="7"/>
      <c r="BEV31" s="7"/>
      <c r="BEW31" s="7"/>
      <c r="BEX31" s="7"/>
      <c r="BEY31" s="7"/>
      <c r="BEZ31" s="7"/>
      <c r="BFA31" s="7"/>
      <c r="BFB31" s="7"/>
      <c r="BFC31" s="7"/>
      <c r="BFD31" s="7"/>
      <c r="BFE31" s="7"/>
      <c r="BFF31" s="7"/>
      <c r="BFG31" s="7"/>
      <c r="BOR31" s="7"/>
      <c r="BOS31" s="7"/>
      <c r="BOT31" s="7"/>
      <c r="BOU31" s="7"/>
      <c r="BOV31" s="7"/>
      <c r="BOW31" s="7"/>
      <c r="BOX31" s="7"/>
      <c r="BOY31" s="7"/>
      <c r="BOZ31" s="7"/>
      <c r="BPA31" s="7"/>
      <c r="BPB31" s="7"/>
      <c r="BPC31" s="7"/>
      <c r="BYN31" s="7"/>
      <c r="BYO31" s="7"/>
      <c r="BYP31" s="7"/>
      <c r="BYQ31" s="7"/>
      <c r="BYR31" s="7"/>
      <c r="BYS31" s="7"/>
      <c r="BYT31" s="7"/>
      <c r="BYU31" s="7"/>
      <c r="BYV31" s="7"/>
      <c r="BYW31" s="7"/>
      <c r="BYX31" s="7"/>
      <c r="BYY31" s="7"/>
      <c r="CIJ31" s="7"/>
      <c r="CIK31" s="7"/>
      <c r="CIL31" s="7"/>
      <c r="CIM31" s="7"/>
      <c r="CIN31" s="7"/>
      <c r="CIO31" s="7"/>
      <c r="CIP31" s="7"/>
      <c r="CIQ31" s="7"/>
      <c r="CIR31" s="7"/>
      <c r="CIS31" s="7"/>
      <c r="CIT31" s="7"/>
      <c r="CIU31" s="7"/>
      <c r="CSF31" s="7"/>
      <c r="CSG31" s="7"/>
      <c r="CSH31" s="7"/>
      <c r="CSI31" s="7"/>
      <c r="CSJ31" s="7"/>
      <c r="CSK31" s="7"/>
      <c r="CSL31" s="7"/>
      <c r="CSM31" s="7"/>
      <c r="CSN31" s="7"/>
      <c r="CSO31" s="7"/>
      <c r="CSP31" s="7"/>
      <c r="CSQ31" s="7"/>
      <c r="DCB31" s="7"/>
      <c r="DCC31" s="7"/>
      <c r="DCD31" s="7"/>
      <c r="DCE31" s="7"/>
      <c r="DCF31" s="7"/>
      <c r="DCG31" s="7"/>
      <c r="DCH31" s="7"/>
      <c r="DCI31" s="7"/>
      <c r="DCJ31" s="7"/>
      <c r="DCK31" s="7"/>
      <c r="DCL31" s="7"/>
      <c r="DCM31" s="7"/>
      <c r="DLX31" s="7"/>
      <c r="DLY31" s="7"/>
      <c r="DLZ31" s="7"/>
      <c r="DMA31" s="7"/>
      <c r="DMB31" s="7"/>
      <c r="DMC31" s="7"/>
      <c r="DMD31" s="7"/>
      <c r="DME31" s="7"/>
      <c r="DMF31" s="7"/>
      <c r="DMG31" s="7"/>
      <c r="DMH31" s="7"/>
      <c r="DMI31" s="7"/>
      <c r="DVT31" s="7"/>
      <c r="DVU31" s="7"/>
      <c r="DVV31" s="7"/>
      <c r="DVW31" s="7"/>
      <c r="DVX31" s="7"/>
      <c r="DVY31" s="7"/>
      <c r="DVZ31" s="7"/>
      <c r="DWA31" s="7"/>
      <c r="DWB31" s="7"/>
      <c r="DWC31" s="7"/>
      <c r="DWD31" s="7"/>
      <c r="DWE31" s="7"/>
      <c r="EFP31" s="7"/>
      <c r="EFQ31" s="7"/>
      <c r="EFR31" s="7"/>
      <c r="EFS31" s="7"/>
      <c r="EFT31" s="7"/>
      <c r="EFU31" s="7"/>
      <c r="EFV31" s="7"/>
      <c r="EFW31" s="7"/>
      <c r="EFX31" s="7"/>
      <c r="EFY31" s="7"/>
      <c r="EFZ31" s="7"/>
      <c r="EGA31" s="7"/>
      <c r="EPL31" s="7"/>
      <c r="EPM31" s="7"/>
      <c r="EPN31" s="7"/>
      <c r="EPO31" s="7"/>
      <c r="EPP31" s="7"/>
      <c r="EPQ31" s="7"/>
      <c r="EPR31" s="7"/>
      <c r="EPS31" s="7"/>
      <c r="EPT31" s="7"/>
      <c r="EPU31" s="7"/>
      <c r="EPV31" s="7"/>
      <c r="EPW31" s="7"/>
      <c r="EZH31" s="7"/>
      <c r="EZI31" s="7"/>
      <c r="EZJ31" s="7"/>
      <c r="EZK31" s="7"/>
      <c r="EZL31" s="7"/>
      <c r="EZM31" s="7"/>
      <c r="EZN31" s="7"/>
      <c r="EZO31" s="7"/>
      <c r="EZP31" s="7"/>
      <c r="EZQ31" s="7"/>
      <c r="EZR31" s="7"/>
      <c r="EZS31" s="7"/>
      <c r="FJD31" s="7"/>
      <c r="FJE31" s="7"/>
      <c r="FJF31" s="7"/>
      <c r="FJG31" s="7"/>
      <c r="FJH31" s="7"/>
      <c r="FJI31" s="7"/>
      <c r="FJJ31" s="7"/>
      <c r="FJK31" s="7"/>
      <c r="FJL31" s="7"/>
      <c r="FJM31" s="7"/>
      <c r="FJN31" s="7"/>
      <c r="FJO31" s="7"/>
      <c r="FSZ31" s="7"/>
      <c r="FTA31" s="7"/>
      <c r="FTB31" s="7"/>
      <c r="FTC31" s="7"/>
      <c r="FTD31" s="7"/>
      <c r="FTE31" s="7"/>
      <c r="FTF31" s="7"/>
      <c r="FTG31" s="7"/>
      <c r="FTH31" s="7"/>
      <c r="FTI31" s="7"/>
      <c r="FTJ31" s="7"/>
      <c r="FTK31" s="7"/>
      <c r="GCV31" s="7"/>
      <c r="GCW31" s="7"/>
      <c r="GCX31" s="7"/>
      <c r="GCY31" s="7"/>
      <c r="GCZ31" s="7"/>
      <c r="GDA31" s="7"/>
      <c r="GDB31" s="7"/>
      <c r="GDC31" s="7"/>
      <c r="GDD31" s="7"/>
      <c r="GDE31" s="7"/>
      <c r="GDF31" s="7"/>
      <c r="GDG31" s="7"/>
      <c r="GMR31" s="7"/>
      <c r="GMS31" s="7"/>
      <c r="GMT31" s="7"/>
      <c r="GMU31" s="7"/>
      <c r="GMV31" s="7"/>
      <c r="GMW31" s="7"/>
      <c r="GMX31" s="7"/>
      <c r="GMY31" s="7"/>
      <c r="GMZ31" s="7"/>
      <c r="GNA31" s="7"/>
      <c r="GNB31" s="7"/>
      <c r="GNC31" s="7"/>
      <c r="GWN31" s="7"/>
      <c r="GWO31" s="7"/>
      <c r="GWP31" s="7"/>
      <c r="GWQ31" s="7"/>
      <c r="GWR31" s="7"/>
      <c r="GWS31" s="7"/>
      <c r="GWT31" s="7"/>
      <c r="GWU31" s="7"/>
      <c r="GWV31" s="7"/>
      <c r="GWW31" s="7"/>
      <c r="GWX31" s="7"/>
      <c r="GWY31" s="7"/>
      <c r="HGJ31" s="7"/>
      <c r="HGK31" s="7"/>
      <c r="HGL31" s="7"/>
      <c r="HGM31" s="7"/>
      <c r="HGN31" s="7"/>
      <c r="HGO31" s="7"/>
      <c r="HGP31" s="7"/>
      <c r="HGQ31" s="7"/>
      <c r="HGR31" s="7"/>
      <c r="HGS31" s="7"/>
      <c r="HGT31" s="7"/>
      <c r="HGU31" s="7"/>
      <c r="HQF31" s="7"/>
      <c r="HQG31" s="7"/>
      <c r="HQH31" s="7"/>
      <c r="HQI31" s="7"/>
      <c r="HQJ31" s="7"/>
      <c r="HQK31" s="7"/>
      <c r="HQL31" s="7"/>
      <c r="HQM31" s="7"/>
      <c r="HQN31" s="7"/>
      <c r="HQO31" s="7"/>
      <c r="HQP31" s="7"/>
      <c r="HQQ31" s="7"/>
      <c r="IAB31" s="7"/>
      <c r="IAC31" s="7"/>
      <c r="IAD31" s="7"/>
      <c r="IAE31" s="7"/>
      <c r="IAF31" s="7"/>
      <c r="IAG31" s="7"/>
      <c r="IAH31" s="7"/>
      <c r="IAI31" s="7"/>
      <c r="IAJ31" s="7"/>
      <c r="IAK31" s="7"/>
      <c r="IAL31" s="7"/>
      <c r="IAM31" s="7"/>
      <c r="IJX31" s="7"/>
      <c r="IJY31" s="7"/>
      <c r="IJZ31" s="7"/>
      <c r="IKA31" s="7"/>
      <c r="IKB31" s="7"/>
      <c r="IKC31" s="7"/>
      <c r="IKD31" s="7"/>
      <c r="IKE31" s="7"/>
      <c r="IKF31" s="7"/>
      <c r="IKG31" s="7"/>
      <c r="IKH31" s="7"/>
      <c r="IKI31" s="7"/>
      <c r="ITT31" s="7"/>
      <c r="ITU31" s="7"/>
      <c r="ITV31" s="7"/>
      <c r="ITW31" s="7"/>
      <c r="ITX31" s="7"/>
      <c r="ITY31" s="7"/>
      <c r="ITZ31" s="7"/>
      <c r="IUA31" s="7"/>
      <c r="IUB31" s="7"/>
      <c r="IUC31" s="7"/>
      <c r="IUD31" s="7"/>
      <c r="IUE31" s="7"/>
      <c r="JDP31" s="7"/>
      <c r="JDQ31" s="7"/>
      <c r="JDR31" s="7"/>
      <c r="JDS31" s="7"/>
      <c r="JDT31" s="7"/>
      <c r="JDU31" s="7"/>
      <c r="JDV31" s="7"/>
      <c r="JDW31" s="7"/>
      <c r="JDX31" s="7"/>
      <c r="JDY31" s="7"/>
      <c r="JDZ31" s="7"/>
      <c r="JEA31" s="7"/>
      <c r="JNL31" s="7"/>
      <c r="JNM31" s="7"/>
      <c r="JNN31" s="7"/>
      <c r="JNO31" s="7"/>
      <c r="JNP31" s="7"/>
      <c r="JNQ31" s="7"/>
      <c r="JNR31" s="7"/>
      <c r="JNS31" s="7"/>
      <c r="JNT31" s="7"/>
      <c r="JNU31" s="7"/>
      <c r="JNV31" s="7"/>
      <c r="JNW31" s="7"/>
      <c r="JXH31" s="7"/>
      <c r="JXI31" s="7"/>
      <c r="JXJ31" s="7"/>
      <c r="JXK31" s="7"/>
      <c r="JXL31" s="7"/>
      <c r="JXM31" s="7"/>
      <c r="JXN31" s="7"/>
      <c r="JXO31" s="7"/>
      <c r="JXP31" s="7"/>
      <c r="JXQ31" s="7"/>
      <c r="JXR31" s="7"/>
      <c r="JXS31" s="7"/>
      <c r="KHD31" s="7"/>
      <c r="KHE31" s="7"/>
      <c r="KHF31" s="7"/>
      <c r="KHG31" s="7"/>
      <c r="KHH31" s="7"/>
      <c r="KHI31" s="7"/>
      <c r="KHJ31" s="7"/>
      <c r="KHK31" s="7"/>
      <c r="KHL31" s="7"/>
      <c r="KHM31" s="7"/>
      <c r="KHN31" s="7"/>
      <c r="KHO31" s="7"/>
      <c r="KQZ31" s="7"/>
      <c r="KRA31" s="7"/>
      <c r="KRB31" s="7"/>
      <c r="KRC31" s="7"/>
      <c r="KRD31" s="7"/>
      <c r="KRE31" s="7"/>
      <c r="KRF31" s="7"/>
      <c r="KRG31" s="7"/>
      <c r="KRH31" s="7"/>
      <c r="KRI31" s="7"/>
      <c r="KRJ31" s="7"/>
      <c r="KRK31" s="7"/>
      <c r="LAV31" s="7"/>
      <c r="LAW31" s="7"/>
      <c r="LAX31" s="7"/>
      <c r="LAY31" s="7"/>
      <c r="LAZ31" s="7"/>
      <c r="LBA31" s="7"/>
      <c r="LBB31" s="7"/>
      <c r="LBC31" s="7"/>
      <c r="LBD31" s="7"/>
      <c r="LBE31" s="7"/>
      <c r="LBF31" s="7"/>
      <c r="LBG31" s="7"/>
      <c r="LKR31" s="7"/>
      <c r="LKS31" s="7"/>
      <c r="LKT31" s="7"/>
      <c r="LKU31" s="7"/>
      <c r="LKV31" s="7"/>
      <c r="LKW31" s="7"/>
      <c r="LKX31" s="7"/>
      <c r="LKY31" s="7"/>
      <c r="LKZ31" s="7"/>
      <c r="LLA31" s="7"/>
      <c r="LLB31" s="7"/>
      <c r="LLC31" s="7"/>
      <c r="LUN31" s="7"/>
      <c r="LUO31" s="7"/>
      <c r="LUP31" s="7"/>
      <c r="LUQ31" s="7"/>
      <c r="LUR31" s="7"/>
      <c r="LUS31" s="7"/>
      <c r="LUT31" s="7"/>
      <c r="LUU31" s="7"/>
      <c r="LUV31" s="7"/>
      <c r="LUW31" s="7"/>
      <c r="LUX31" s="7"/>
      <c r="LUY31" s="7"/>
      <c r="MEJ31" s="7"/>
      <c r="MEK31" s="7"/>
      <c r="MEL31" s="7"/>
      <c r="MEM31" s="7"/>
      <c r="MEN31" s="7"/>
      <c r="MEO31" s="7"/>
      <c r="MEP31" s="7"/>
      <c r="MEQ31" s="7"/>
      <c r="MER31" s="7"/>
      <c r="MES31" s="7"/>
      <c r="MET31" s="7"/>
      <c r="MEU31" s="7"/>
      <c r="MOF31" s="7"/>
      <c r="MOG31" s="7"/>
      <c r="MOH31" s="7"/>
      <c r="MOI31" s="7"/>
      <c r="MOJ31" s="7"/>
      <c r="MOK31" s="7"/>
      <c r="MOL31" s="7"/>
      <c r="MOM31" s="7"/>
      <c r="MON31" s="7"/>
      <c r="MOO31" s="7"/>
      <c r="MOP31" s="7"/>
      <c r="MOQ31" s="7"/>
      <c r="MYB31" s="7"/>
      <c r="MYC31" s="7"/>
      <c r="MYD31" s="7"/>
      <c r="MYE31" s="7"/>
      <c r="MYF31" s="7"/>
      <c r="MYG31" s="7"/>
      <c r="MYH31" s="7"/>
      <c r="MYI31" s="7"/>
      <c r="MYJ31" s="7"/>
      <c r="MYK31" s="7"/>
      <c r="MYL31" s="7"/>
      <c r="MYM31" s="7"/>
      <c r="NHX31" s="7"/>
      <c r="NHY31" s="7"/>
      <c r="NHZ31" s="7"/>
      <c r="NIA31" s="7"/>
      <c r="NIB31" s="7"/>
      <c r="NIC31" s="7"/>
      <c r="NID31" s="7"/>
      <c r="NIE31" s="7"/>
      <c r="NIF31" s="7"/>
      <c r="NIG31" s="7"/>
      <c r="NIH31" s="7"/>
      <c r="NII31" s="7"/>
      <c r="NRT31" s="7"/>
      <c r="NRU31" s="7"/>
      <c r="NRV31" s="7"/>
      <c r="NRW31" s="7"/>
      <c r="NRX31" s="7"/>
      <c r="NRY31" s="7"/>
      <c r="NRZ31" s="7"/>
      <c r="NSA31" s="7"/>
      <c r="NSB31" s="7"/>
      <c r="NSC31" s="7"/>
      <c r="NSD31" s="7"/>
      <c r="NSE31" s="7"/>
      <c r="OBP31" s="7"/>
      <c r="OBQ31" s="7"/>
      <c r="OBR31" s="7"/>
      <c r="OBS31" s="7"/>
      <c r="OBT31" s="7"/>
      <c r="OBU31" s="7"/>
      <c r="OBV31" s="7"/>
      <c r="OBW31" s="7"/>
      <c r="OBX31" s="7"/>
      <c r="OBY31" s="7"/>
      <c r="OBZ31" s="7"/>
      <c r="OCA31" s="7"/>
      <c r="OLL31" s="7"/>
      <c r="OLM31" s="7"/>
      <c r="OLN31" s="7"/>
      <c r="OLO31" s="7"/>
      <c r="OLP31" s="7"/>
      <c r="OLQ31" s="7"/>
      <c r="OLR31" s="7"/>
      <c r="OLS31" s="7"/>
      <c r="OLT31" s="7"/>
      <c r="OLU31" s="7"/>
      <c r="OLV31" s="7"/>
      <c r="OLW31" s="7"/>
      <c r="OVH31" s="7"/>
      <c r="OVI31" s="7"/>
      <c r="OVJ31" s="7"/>
      <c r="OVK31" s="7"/>
      <c r="OVL31" s="7"/>
      <c r="OVM31" s="7"/>
      <c r="OVN31" s="7"/>
      <c r="OVO31" s="7"/>
      <c r="OVP31" s="7"/>
      <c r="OVQ31" s="7"/>
      <c r="OVR31" s="7"/>
      <c r="OVS31" s="7"/>
      <c r="PFD31" s="7"/>
      <c r="PFE31" s="7"/>
      <c r="PFF31" s="7"/>
      <c r="PFG31" s="7"/>
      <c r="PFH31" s="7"/>
      <c r="PFI31" s="7"/>
      <c r="PFJ31" s="7"/>
      <c r="PFK31" s="7"/>
      <c r="PFL31" s="7"/>
      <c r="PFM31" s="7"/>
      <c r="PFN31" s="7"/>
      <c r="PFO31" s="7"/>
      <c r="POZ31" s="7"/>
      <c r="PPA31" s="7"/>
      <c r="PPB31" s="7"/>
      <c r="PPC31" s="7"/>
      <c r="PPD31" s="7"/>
      <c r="PPE31" s="7"/>
      <c r="PPF31" s="7"/>
      <c r="PPG31" s="7"/>
      <c r="PPH31" s="7"/>
      <c r="PPI31" s="7"/>
      <c r="PPJ31" s="7"/>
      <c r="PPK31" s="7"/>
      <c r="PYV31" s="7"/>
      <c r="PYW31" s="7"/>
      <c r="PYX31" s="7"/>
      <c r="PYY31" s="7"/>
      <c r="PYZ31" s="7"/>
      <c r="PZA31" s="7"/>
      <c r="PZB31" s="7"/>
      <c r="PZC31" s="7"/>
      <c r="PZD31" s="7"/>
      <c r="PZE31" s="7"/>
      <c r="PZF31" s="7"/>
      <c r="PZG31" s="7"/>
      <c r="QIR31" s="7"/>
      <c r="QIS31" s="7"/>
      <c r="QIT31" s="7"/>
      <c r="QIU31" s="7"/>
      <c r="QIV31" s="7"/>
      <c r="QIW31" s="7"/>
      <c r="QIX31" s="7"/>
      <c r="QIY31" s="7"/>
      <c r="QIZ31" s="7"/>
      <c r="QJA31" s="7"/>
      <c r="QJB31" s="7"/>
      <c r="QJC31" s="7"/>
      <c r="QSN31" s="7"/>
      <c r="QSO31" s="7"/>
      <c r="QSP31" s="7"/>
      <c r="QSQ31" s="7"/>
      <c r="QSR31" s="7"/>
      <c r="QSS31" s="7"/>
      <c r="QST31" s="7"/>
      <c r="QSU31" s="7"/>
      <c r="QSV31" s="7"/>
      <c r="QSW31" s="7"/>
      <c r="QSX31" s="7"/>
      <c r="QSY31" s="7"/>
      <c r="RCJ31" s="7"/>
      <c r="RCK31" s="7"/>
      <c r="RCL31" s="7"/>
      <c r="RCM31" s="7"/>
      <c r="RCN31" s="7"/>
      <c r="RCO31" s="7"/>
      <c r="RCP31" s="7"/>
      <c r="RCQ31" s="7"/>
      <c r="RCR31" s="7"/>
      <c r="RCS31" s="7"/>
      <c r="RCT31" s="7"/>
      <c r="RCU31" s="7"/>
      <c r="RMF31" s="7"/>
      <c r="RMG31" s="7"/>
      <c r="RMH31" s="7"/>
      <c r="RMI31" s="7"/>
      <c r="RMJ31" s="7"/>
      <c r="RMK31" s="7"/>
      <c r="RML31" s="7"/>
      <c r="RMM31" s="7"/>
      <c r="RMN31" s="7"/>
      <c r="RMO31" s="7"/>
      <c r="RMP31" s="7"/>
      <c r="RMQ31" s="7"/>
      <c r="RWB31" s="7"/>
      <c r="RWC31" s="7"/>
      <c r="RWD31" s="7"/>
      <c r="RWE31" s="7"/>
      <c r="RWF31" s="7"/>
      <c r="RWG31" s="7"/>
      <c r="RWH31" s="7"/>
      <c r="RWI31" s="7"/>
      <c r="RWJ31" s="7"/>
      <c r="RWK31" s="7"/>
      <c r="RWL31" s="7"/>
      <c r="RWM31" s="7"/>
      <c r="SFX31" s="7"/>
      <c r="SFY31" s="7"/>
      <c r="SFZ31" s="7"/>
      <c r="SGA31" s="7"/>
      <c r="SGB31" s="7"/>
      <c r="SGC31" s="7"/>
      <c r="SGD31" s="7"/>
      <c r="SGE31" s="7"/>
      <c r="SGF31" s="7"/>
      <c r="SGG31" s="7"/>
      <c r="SGH31" s="7"/>
      <c r="SGI31" s="7"/>
      <c r="SPT31" s="7"/>
      <c r="SPU31" s="7"/>
      <c r="SPV31" s="7"/>
      <c r="SPW31" s="7"/>
      <c r="SPX31" s="7"/>
      <c r="SPY31" s="7"/>
      <c r="SPZ31" s="7"/>
      <c r="SQA31" s="7"/>
      <c r="SQB31" s="7"/>
      <c r="SQC31" s="7"/>
      <c r="SQD31" s="7"/>
      <c r="SQE31" s="7"/>
      <c r="SZP31" s="7"/>
      <c r="SZQ31" s="7"/>
      <c r="SZR31" s="7"/>
      <c r="SZS31" s="7"/>
      <c r="SZT31" s="7"/>
      <c r="SZU31" s="7"/>
      <c r="SZV31" s="7"/>
      <c r="SZW31" s="7"/>
      <c r="SZX31" s="7"/>
      <c r="SZY31" s="7"/>
      <c r="SZZ31" s="7"/>
      <c r="TAA31" s="7"/>
      <c r="TJL31" s="7"/>
      <c r="TJM31" s="7"/>
      <c r="TJN31" s="7"/>
      <c r="TJO31" s="7"/>
      <c r="TJP31" s="7"/>
      <c r="TJQ31" s="7"/>
      <c r="TJR31" s="7"/>
      <c r="TJS31" s="7"/>
      <c r="TJT31" s="7"/>
      <c r="TJU31" s="7"/>
      <c r="TJV31" s="7"/>
      <c r="TJW31" s="7"/>
      <c r="TTH31" s="7"/>
      <c r="TTI31" s="7"/>
      <c r="TTJ31" s="7"/>
      <c r="TTK31" s="7"/>
      <c r="TTL31" s="7"/>
      <c r="TTM31" s="7"/>
      <c r="TTN31" s="7"/>
      <c r="TTO31" s="7"/>
      <c r="TTP31" s="7"/>
      <c r="TTQ31" s="7"/>
      <c r="TTR31" s="7"/>
      <c r="TTS31" s="7"/>
      <c r="UDD31" s="7"/>
      <c r="UDE31" s="7"/>
      <c r="UDF31" s="7"/>
      <c r="UDG31" s="7"/>
      <c r="UDH31" s="7"/>
      <c r="UDI31" s="7"/>
      <c r="UDJ31" s="7"/>
      <c r="UDK31" s="7"/>
      <c r="UDL31" s="7"/>
      <c r="UDM31" s="7"/>
      <c r="UDN31" s="7"/>
      <c r="UDO31" s="7"/>
      <c r="UMZ31" s="7"/>
      <c r="UNA31" s="7"/>
      <c r="UNB31" s="7"/>
      <c r="UNC31" s="7"/>
      <c r="UND31" s="7"/>
      <c r="UNE31" s="7"/>
      <c r="UNF31" s="7"/>
      <c r="UNG31" s="7"/>
      <c r="UNH31" s="7"/>
      <c r="UNI31" s="7"/>
      <c r="UNJ31" s="7"/>
      <c r="UNK31" s="7"/>
      <c r="UWV31" s="7"/>
      <c r="UWW31" s="7"/>
      <c r="UWX31" s="7"/>
      <c r="UWY31" s="7"/>
      <c r="UWZ31" s="7"/>
      <c r="UXA31" s="7"/>
      <c r="UXB31" s="7"/>
      <c r="UXC31" s="7"/>
      <c r="UXD31" s="7"/>
      <c r="UXE31" s="7"/>
      <c r="UXF31" s="7"/>
      <c r="UXG31" s="7"/>
      <c r="VGR31" s="7"/>
      <c r="VGS31" s="7"/>
      <c r="VGT31" s="7"/>
      <c r="VGU31" s="7"/>
      <c r="VGV31" s="7"/>
      <c r="VGW31" s="7"/>
      <c r="VGX31" s="7"/>
      <c r="VGY31" s="7"/>
      <c r="VGZ31" s="7"/>
      <c r="VHA31" s="7"/>
      <c r="VHB31" s="7"/>
      <c r="VHC31" s="7"/>
      <c r="VQN31" s="7"/>
      <c r="VQO31" s="7"/>
      <c r="VQP31" s="7"/>
      <c r="VQQ31" s="7"/>
      <c r="VQR31" s="7"/>
      <c r="VQS31" s="7"/>
      <c r="VQT31" s="7"/>
      <c r="VQU31" s="7"/>
      <c r="VQV31" s="7"/>
      <c r="VQW31" s="7"/>
      <c r="VQX31" s="7"/>
      <c r="VQY31" s="7"/>
      <c r="WAJ31" s="7"/>
      <c r="WAK31" s="7"/>
      <c r="WAL31" s="7"/>
      <c r="WAM31" s="7"/>
      <c r="WAN31" s="7"/>
      <c r="WAO31" s="7"/>
      <c r="WAP31" s="7"/>
      <c r="WAQ31" s="7"/>
      <c r="WAR31" s="7"/>
      <c r="WAS31" s="7"/>
      <c r="WAT31" s="7"/>
      <c r="WAU31" s="7"/>
      <c r="WKF31" s="7"/>
      <c r="WKG31" s="7"/>
      <c r="WKH31" s="7"/>
      <c r="WKI31" s="7"/>
      <c r="WKJ31" s="7"/>
      <c r="WKK31" s="7"/>
      <c r="WKL31" s="7"/>
      <c r="WKM31" s="7"/>
      <c r="WKN31" s="7"/>
      <c r="WKO31" s="7"/>
      <c r="WKP31" s="7"/>
      <c r="WKQ31" s="7"/>
      <c r="WUB31" s="7"/>
      <c r="WUC31" s="7"/>
      <c r="WUD31" s="7"/>
      <c r="WUE31" s="7"/>
      <c r="WUF31" s="7"/>
      <c r="WUG31" s="7"/>
      <c r="WUH31" s="7"/>
      <c r="WUI31" s="7"/>
      <c r="WUJ31" s="7"/>
      <c r="WUK31" s="7"/>
      <c r="WUL31" s="7"/>
      <c r="WUM31" s="7"/>
    </row>
    <row r="32" spans="1:1003 1248:2027 2272:3051 3296:4075 4320:5099 5344:6123 6368:7147 7392:8171 8416:9195 9440:10219 10464:11243 11488:12267 12512:13291 13536:14315 14560:15339 15584:16107" ht="30" customHeight="1">
      <c r="A32" s="45"/>
      <c r="D32" s="27">
        <v>2.44</v>
      </c>
      <c r="E32" s="27">
        <v>0.76</v>
      </c>
      <c r="F32" s="32">
        <v>10</v>
      </c>
      <c r="H32" s="159">
        <v>1</v>
      </c>
      <c r="I32" s="196" t="s">
        <v>243</v>
      </c>
      <c r="J32" s="161"/>
      <c r="K32" s="196"/>
      <c r="L32" s="211">
        <f>Table113[[#This Row],[Qty 2]]+Table113[[#This Row],[Qty 1]]</f>
        <v>1</v>
      </c>
      <c r="M32" s="216">
        <v>1060</v>
      </c>
      <c r="N32" s="216">
        <f>Table113[[#This Row],[Unit Cost]]*Table113[[#This Row],[Total Qty All Areas]]</f>
        <v>1060</v>
      </c>
    </row>
    <row r="33" spans="1:1003 1248:2027 2272:3051 3296:4075 4320:5099 5344:6123 6368:7147 7392:8171 8416:9195 9440:10219 10464:11243 11488:12267 12512:13291 13536:14315 14560:15339 15584:16107" ht="30" customHeight="1">
      <c r="A33" s="45"/>
      <c r="D33" s="27">
        <v>2.44</v>
      </c>
      <c r="E33" s="27">
        <v>0.91500000000000004</v>
      </c>
      <c r="F33" s="32">
        <v>12</v>
      </c>
      <c r="H33" s="159">
        <v>2</v>
      </c>
      <c r="I33" s="196" t="s">
        <v>243</v>
      </c>
      <c r="J33" s="161"/>
      <c r="K33" s="196"/>
      <c r="L33" s="211">
        <f>Table113[[#This Row],[Qty 2]]+Table113[[#This Row],[Qty 1]]</f>
        <v>2</v>
      </c>
      <c r="M33" s="216">
        <v>1471</v>
      </c>
      <c r="N33" s="216">
        <f>Table113[[#This Row],[Unit Cost]]*Table113[[#This Row],[Total Qty All Areas]]</f>
        <v>2942</v>
      </c>
    </row>
    <row r="34" spans="1:1003 1248:2027 2272:3051 3296:4075 4320:5099 5344:6123 6368:7147 7392:8171 8416:9195 9440:10219 10464:11243 11488:12267 12512:13291 13536:14315 14560:15339 15584:16107" ht="30" customHeight="1">
      <c r="A34" s="45"/>
      <c r="D34" s="27">
        <v>2.44</v>
      </c>
      <c r="E34" s="27">
        <v>0.76</v>
      </c>
      <c r="F34" s="32">
        <v>12</v>
      </c>
      <c r="H34" s="159">
        <v>3</v>
      </c>
      <c r="I34" s="196" t="s">
        <v>243</v>
      </c>
      <c r="J34" s="161"/>
      <c r="K34" s="196"/>
      <c r="L34" s="211">
        <f>Table113[[#This Row],[Qty 2]]+Table113[[#This Row],[Qty 1]]</f>
        <v>3</v>
      </c>
      <c r="M34" s="216">
        <v>1272</v>
      </c>
      <c r="N34" s="216">
        <f>Table113[[#This Row],[Unit Cost]]*Table113[[#This Row],[Total Qty All Areas]]</f>
        <v>3816</v>
      </c>
    </row>
    <row r="35" spans="1:1003 1248:2027 2272:3051 3296:4075 4320:5099 5344:6123 6368:7147 7392:8171 8416:9195 9440:10219 10464:11243 11488:12267 12512:13291 13536:14315 14560:15339 15584:16107" ht="30" customHeight="1">
      <c r="A35" s="45"/>
      <c r="D35" s="27">
        <v>1.84</v>
      </c>
      <c r="E35" s="27">
        <v>0.6</v>
      </c>
      <c r="F35" s="32">
        <v>6</v>
      </c>
      <c r="H35" s="159">
        <v>1</v>
      </c>
      <c r="I35" s="196" t="s">
        <v>243</v>
      </c>
      <c r="J35" s="161"/>
      <c r="K35" s="196"/>
      <c r="L35" s="211">
        <f>Table113[[#This Row],[Qty 2]]+Table113[[#This Row],[Qty 1]]</f>
        <v>1</v>
      </c>
      <c r="M35" s="216">
        <v>636</v>
      </c>
      <c r="N35" s="216">
        <f>Table113[[#This Row],[Unit Cost]]*Table113[[#This Row],[Total Qty All Areas]]</f>
        <v>636</v>
      </c>
    </row>
    <row r="36" spans="1:1003 1248:2027 2272:3051 3296:4075 4320:5099 5344:6123 6368:7147 7392:8171 8416:9195 9440:10219 10464:11243 11488:12267 12512:13291 13536:14315 14560:15339 15584:16107" ht="30" customHeight="1">
      <c r="A36" s="45"/>
      <c r="D36" s="27">
        <v>1.22</v>
      </c>
      <c r="E36" s="27">
        <v>0.6</v>
      </c>
      <c r="F36" s="32">
        <v>5</v>
      </c>
      <c r="H36" s="159">
        <v>2</v>
      </c>
      <c r="I36" s="196" t="s">
        <v>243</v>
      </c>
      <c r="J36" s="161"/>
      <c r="K36" s="196"/>
      <c r="L36" s="211">
        <f>Table113[[#This Row],[Qty 2]]+Table113[[#This Row],[Qty 1]]</f>
        <v>2</v>
      </c>
      <c r="M36" s="216">
        <v>580</v>
      </c>
      <c r="N36" s="216">
        <f>Table113[[#This Row],[Unit Cost]]*Table113[[#This Row],[Total Qty All Areas]]</f>
        <v>1160</v>
      </c>
    </row>
    <row r="37" spans="1:1003 1248:2027 2272:3051 3296:4075 4320:5099 5344:6123 6368:7147 7392:8171 8416:9195 9440:10219 10464:11243 11488:12267 12512:13291 13536:14315 14560:15339 15584:16107" ht="30" customHeight="1">
      <c r="A37" s="45"/>
      <c r="D37" s="27">
        <v>3.05</v>
      </c>
      <c r="E37" s="27">
        <v>1.07</v>
      </c>
      <c r="F37" s="32">
        <v>16</v>
      </c>
      <c r="H37" s="159">
        <v>1</v>
      </c>
      <c r="I37" s="196" t="s">
        <v>243</v>
      </c>
      <c r="J37" s="161"/>
      <c r="K37" s="196"/>
      <c r="L37" s="211">
        <f>Table113[[#This Row],[Qty 2]]+Table113[[#This Row],[Qty 1]]</f>
        <v>1</v>
      </c>
      <c r="M37" s="216">
        <v>2160</v>
      </c>
      <c r="N37" s="216">
        <f>Table113[[#This Row],[Unit Cost]]*Table113[[#This Row],[Total Qty All Areas]]</f>
        <v>2160</v>
      </c>
    </row>
    <row r="38" spans="1:1003 1248:2027 2272:3051 3296:4075 4320:5099 5344:6123 6368:7147 7392:8171 8416:9195 9440:10219 10464:11243 11488:12267 12512:13291 13536:14315 14560:15339 15584:16107" ht="30" customHeight="1">
      <c r="A38" s="45"/>
      <c r="D38" s="27">
        <v>3.05</v>
      </c>
      <c r="E38" s="27">
        <v>0.76</v>
      </c>
      <c r="F38" s="32">
        <v>20</v>
      </c>
      <c r="H38" s="159">
        <v>1</v>
      </c>
      <c r="I38" s="196" t="s">
        <v>243</v>
      </c>
      <c r="J38" s="161"/>
      <c r="K38" s="196"/>
      <c r="L38" s="211">
        <f>Table113[[#This Row],[Qty 2]]+Table113[[#This Row],[Qty 1]]</f>
        <v>1</v>
      </c>
      <c r="M38" s="216">
        <v>2100</v>
      </c>
      <c r="N38" s="216">
        <f>Table113[[#This Row],[Unit Cost]]*Table113[[#This Row],[Total Qty All Areas]]</f>
        <v>2100</v>
      </c>
    </row>
    <row r="39" spans="1:1003 1248:2027 2272:3051 3296:4075 4320:5099 5344:6123 6368:7147 7392:8171 8416:9195 9440:10219 10464:11243 11488:12267 12512:13291 13536:14315 14560:15339 15584:16107" ht="30" customHeight="1">
      <c r="A39" s="45"/>
      <c r="C39" s="7" t="s">
        <v>244</v>
      </c>
      <c r="D39" s="27">
        <v>4.57</v>
      </c>
      <c r="E39" s="27">
        <v>0.91500000000000004</v>
      </c>
      <c r="H39" s="159">
        <v>1</v>
      </c>
      <c r="I39" s="196" t="s">
        <v>243</v>
      </c>
      <c r="J39" s="161"/>
      <c r="K39" s="196"/>
      <c r="L39" s="211">
        <f>Table113[[#This Row],[Qty 2]]+Table113[[#This Row],[Qty 1]]</f>
        <v>1</v>
      </c>
      <c r="M39" s="216">
        <v>5716</v>
      </c>
      <c r="N39" s="216">
        <f>Table113[[#This Row],[Unit Cost]]*Table113[[#This Row],[Total Qty All Areas]]</f>
        <v>5716</v>
      </c>
    </row>
    <row r="40" spans="1:1003 1248:2027 2272:3051 3296:4075 4320:5099 5344:6123 6368:7147 7392:8171 8416:9195 9440:10219 10464:11243 11488:12267 12512:13291 13536:14315 14560:15339 15584:16107" ht="30" customHeight="1">
      <c r="A40" s="45"/>
      <c r="H40" s="159"/>
      <c r="I40" s="196"/>
      <c r="J40" s="161"/>
      <c r="K40" s="196"/>
      <c r="L40" s="211">
        <f>Table113[[#This Row],[Qty 2]]+Table113[[#This Row],[Qty 1]]</f>
        <v>0</v>
      </c>
      <c r="M40" s="216"/>
      <c r="N40" s="216">
        <f>Table113[[#This Row],[Unit Cost]]*Table113[[#This Row],[Total Qty All Areas]]</f>
        <v>0</v>
      </c>
    </row>
    <row r="41" spans="1:1003 1248:2027 2272:3051 3296:4075 4320:5099 5344:6123 6368:7147 7392:8171 8416:9195 9440:10219 10464:11243 11488:12267 12512:13291 13536:14315 14560:15339 15584:16107" ht="30" customHeight="1">
      <c r="A41" s="45"/>
      <c r="H41" s="159"/>
      <c r="I41" s="196"/>
      <c r="J41" s="161"/>
      <c r="K41" s="196"/>
      <c r="L41" s="211">
        <f>Table113[[#This Row],[Qty 2]]+Table113[[#This Row],[Qty 1]]</f>
        <v>0</v>
      </c>
      <c r="M41" s="216"/>
      <c r="N41" s="216">
        <f>Table113[[#This Row],[Unit Cost]]*Table113[[#This Row],[Total Qty All Areas]]</f>
        <v>0</v>
      </c>
    </row>
    <row r="42" spans="1:1003 1248:2027 2272:3051 3296:4075 4320:5099 5344:6123 6368:7147 7392:8171 8416:9195 9440:10219 10464:11243 11488:12267 12512:13291 13536:14315 14560:15339 15584:16107" ht="30" customHeight="1">
      <c r="A42" s="45"/>
      <c r="H42" s="159"/>
      <c r="I42" s="196"/>
      <c r="J42" s="161"/>
      <c r="K42" s="196"/>
      <c r="L42" s="211">
        <f>Table113[[#This Row],[Qty 2]]+Table113[[#This Row],[Qty 1]]</f>
        <v>0</v>
      </c>
      <c r="M42" s="216"/>
      <c r="N42" s="216">
        <f>Table113[[#This Row],[Unit Cost]]*Table113[[#This Row],[Total Qty All Areas]]</f>
        <v>0</v>
      </c>
    </row>
    <row r="43" spans="1:1003 1248:2027 2272:3051 3296:4075 4320:5099 5344:6123 6368:7147 7392:8171 8416:9195 9440:10219 10464:11243 11488:12267 12512:13291 13536:14315 14560:15339 15584:16107" ht="30" customHeight="1">
      <c r="A43" s="45"/>
      <c r="H43" s="159"/>
      <c r="I43" s="196"/>
      <c r="J43" s="161"/>
      <c r="K43" s="196"/>
      <c r="L43" s="211">
        <f>Table113[[#This Row],[Qty 2]]+Table113[[#This Row],[Qty 1]]</f>
        <v>0</v>
      </c>
      <c r="M43" s="216"/>
      <c r="N43" s="216">
        <f>Table113[[#This Row],[Unit Cost]]*Table113[[#This Row],[Total Qty All Areas]]</f>
        <v>0</v>
      </c>
    </row>
    <row r="44" spans="1:1003 1248:2027 2272:3051 3296:4075 4320:5099 5344:6123 6368:7147 7392:8171 8416:9195 9440:10219 10464:11243 11488:12267 12512:13291 13536:14315 14560:15339 15584:16107" ht="30" customHeight="1">
      <c r="A44" s="176"/>
      <c r="D44" s="169"/>
      <c r="E44" s="169"/>
      <c r="F44" s="303"/>
      <c r="H44" s="159"/>
      <c r="I44" s="196"/>
      <c r="J44" s="161"/>
      <c r="K44" s="196"/>
      <c r="L44" s="211">
        <f>Table113[[#This Row],[Qty 2]]+Table113[[#This Row],[Qty 1]]</f>
        <v>0</v>
      </c>
      <c r="M44" s="216"/>
      <c r="N44" s="216">
        <f>Table113[[#This Row],[Unit Cost]]*Table113[[#This Row],[Total Qty All Areas]]</f>
        <v>0</v>
      </c>
    </row>
    <row r="45" spans="1:1003 1248:2027 2272:3051 3296:4075 4320:5099 5344:6123 6368:7147 7392:8171 8416:9195 9440:10219 10464:11243 11488:12267 12512:13291 13536:14315 14560:15339 15584:16107" s="167" customFormat="1" ht="30" customHeight="1">
      <c r="A45" s="175" t="str">
        <f>'Category Setup'!L41</f>
        <v>F_CF</v>
      </c>
      <c r="B45" s="167" t="str">
        <f>'Category Setup'!E41</f>
        <v>F_CF_Finished_Circular Feeders</v>
      </c>
      <c r="C45" s="167" t="str">
        <f>'Category Setup'!N41</f>
        <v>F_CF_Finished_Circular Feeders</v>
      </c>
      <c r="D45" s="168"/>
      <c r="E45" s="168"/>
      <c r="F45" s="172"/>
      <c r="G45" s="172"/>
      <c r="H45" s="173"/>
      <c r="I45" s="197"/>
      <c r="J45" s="174"/>
      <c r="K45" s="197"/>
      <c r="L45" s="213">
        <f>Table113[[#This Row],[Qty 2]]+Table113[[#This Row],[Qty 1]]</f>
        <v>0</v>
      </c>
      <c r="M45" s="215"/>
      <c r="N45" s="215">
        <f>Table113[[#This Row],[Unit Cost]]*Table113[[#This Row],[Total Qty All Areas]]</f>
        <v>0</v>
      </c>
      <c r="HP45" s="7"/>
      <c r="HQ45" s="7"/>
      <c r="HR45" s="7"/>
      <c r="HS45" s="7"/>
      <c r="HT45" s="7"/>
      <c r="HU45" s="7"/>
      <c r="HV45" s="7"/>
      <c r="HW45" s="7"/>
      <c r="HX45" s="7"/>
      <c r="HY45" s="7"/>
      <c r="HZ45" s="7"/>
      <c r="IA45" s="7"/>
      <c r="RL45" s="7"/>
      <c r="RM45" s="7"/>
      <c r="RN45" s="7"/>
      <c r="RO45" s="7"/>
      <c r="RP45" s="7"/>
      <c r="RQ45" s="7"/>
      <c r="RR45" s="7"/>
      <c r="RS45" s="7"/>
      <c r="RT45" s="7"/>
      <c r="RU45" s="7"/>
      <c r="RV45" s="7"/>
      <c r="RW45" s="7"/>
      <c r="ABH45" s="7"/>
      <c r="ABI45" s="7"/>
      <c r="ABJ45" s="7"/>
      <c r="ABK45" s="7"/>
      <c r="ABL45" s="7"/>
      <c r="ABM45" s="7"/>
      <c r="ABN45" s="7"/>
      <c r="ABO45" s="7"/>
      <c r="ABP45" s="7"/>
      <c r="ABQ45" s="7"/>
      <c r="ABR45" s="7"/>
      <c r="ABS45" s="7"/>
      <c r="ALD45" s="7"/>
      <c r="ALE45" s="7"/>
      <c r="ALF45" s="7"/>
      <c r="ALG45" s="7"/>
      <c r="ALH45" s="7"/>
      <c r="ALI45" s="7"/>
      <c r="ALJ45" s="7"/>
      <c r="ALK45" s="7"/>
      <c r="ALL45" s="7"/>
      <c r="ALM45" s="7"/>
      <c r="ALN45" s="7"/>
      <c r="ALO45" s="7"/>
      <c r="AUZ45" s="7"/>
      <c r="AVA45" s="7"/>
      <c r="AVB45" s="7"/>
      <c r="AVC45" s="7"/>
      <c r="AVD45" s="7"/>
      <c r="AVE45" s="7"/>
      <c r="AVF45" s="7"/>
      <c r="AVG45" s="7"/>
      <c r="AVH45" s="7"/>
      <c r="AVI45" s="7"/>
      <c r="AVJ45" s="7"/>
      <c r="AVK45" s="7"/>
      <c r="BEV45" s="7"/>
      <c r="BEW45" s="7"/>
      <c r="BEX45" s="7"/>
      <c r="BEY45" s="7"/>
      <c r="BEZ45" s="7"/>
      <c r="BFA45" s="7"/>
      <c r="BFB45" s="7"/>
      <c r="BFC45" s="7"/>
      <c r="BFD45" s="7"/>
      <c r="BFE45" s="7"/>
      <c r="BFF45" s="7"/>
      <c r="BFG45" s="7"/>
      <c r="BOR45" s="7"/>
      <c r="BOS45" s="7"/>
      <c r="BOT45" s="7"/>
      <c r="BOU45" s="7"/>
      <c r="BOV45" s="7"/>
      <c r="BOW45" s="7"/>
      <c r="BOX45" s="7"/>
      <c r="BOY45" s="7"/>
      <c r="BOZ45" s="7"/>
      <c r="BPA45" s="7"/>
      <c r="BPB45" s="7"/>
      <c r="BPC45" s="7"/>
      <c r="BYN45" s="7"/>
      <c r="BYO45" s="7"/>
      <c r="BYP45" s="7"/>
      <c r="BYQ45" s="7"/>
      <c r="BYR45" s="7"/>
      <c r="BYS45" s="7"/>
      <c r="BYT45" s="7"/>
      <c r="BYU45" s="7"/>
      <c r="BYV45" s="7"/>
      <c r="BYW45" s="7"/>
      <c r="BYX45" s="7"/>
      <c r="BYY45" s="7"/>
      <c r="CIJ45" s="7"/>
      <c r="CIK45" s="7"/>
      <c r="CIL45" s="7"/>
      <c r="CIM45" s="7"/>
      <c r="CIN45" s="7"/>
      <c r="CIO45" s="7"/>
      <c r="CIP45" s="7"/>
      <c r="CIQ45" s="7"/>
      <c r="CIR45" s="7"/>
      <c r="CIS45" s="7"/>
      <c r="CIT45" s="7"/>
      <c r="CIU45" s="7"/>
      <c r="CSF45" s="7"/>
      <c r="CSG45" s="7"/>
      <c r="CSH45" s="7"/>
      <c r="CSI45" s="7"/>
      <c r="CSJ45" s="7"/>
      <c r="CSK45" s="7"/>
      <c r="CSL45" s="7"/>
      <c r="CSM45" s="7"/>
      <c r="CSN45" s="7"/>
      <c r="CSO45" s="7"/>
      <c r="CSP45" s="7"/>
      <c r="CSQ45" s="7"/>
      <c r="DCB45" s="7"/>
      <c r="DCC45" s="7"/>
      <c r="DCD45" s="7"/>
      <c r="DCE45" s="7"/>
      <c r="DCF45" s="7"/>
      <c r="DCG45" s="7"/>
      <c r="DCH45" s="7"/>
      <c r="DCI45" s="7"/>
      <c r="DCJ45" s="7"/>
      <c r="DCK45" s="7"/>
      <c r="DCL45" s="7"/>
      <c r="DCM45" s="7"/>
      <c r="DLX45" s="7"/>
      <c r="DLY45" s="7"/>
      <c r="DLZ45" s="7"/>
      <c r="DMA45" s="7"/>
      <c r="DMB45" s="7"/>
      <c r="DMC45" s="7"/>
      <c r="DMD45" s="7"/>
      <c r="DME45" s="7"/>
      <c r="DMF45" s="7"/>
      <c r="DMG45" s="7"/>
      <c r="DMH45" s="7"/>
      <c r="DMI45" s="7"/>
      <c r="DVT45" s="7"/>
      <c r="DVU45" s="7"/>
      <c r="DVV45" s="7"/>
      <c r="DVW45" s="7"/>
      <c r="DVX45" s="7"/>
      <c r="DVY45" s="7"/>
      <c r="DVZ45" s="7"/>
      <c r="DWA45" s="7"/>
      <c r="DWB45" s="7"/>
      <c r="DWC45" s="7"/>
      <c r="DWD45" s="7"/>
      <c r="DWE45" s="7"/>
      <c r="EFP45" s="7"/>
      <c r="EFQ45" s="7"/>
      <c r="EFR45" s="7"/>
      <c r="EFS45" s="7"/>
      <c r="EFT45" s="7"/>
      <c r="EFU45" s="7"/>
      <c r="EFV45" s="7"/>
      <c r="EFW45" s="7"/>
      <c r="EFX45" s="7"/>
      <c r="EFY45" s="7"/>
      <c r="EFZ45" s="7"/>
      <c r="EGA45" s="7"/>
      <c r="EPL45" s="7"/>
      <c r="EPM45" s="7"/>
      <c r="EPN45" s="7"/>
      <c r="EPO45" s="7"/>
      <c r="EPP45" s="7"/>
      <c r="EPQ45" s="7"/>
      <c r="EPR45" s="7"/>
      <c r="EPS45" s="7"/>
      <c r="EPT45" s="7"/>
      <c r="EPU45" s="7"/>
      <c r="EPV45" s="7"/>
      <c r="EPW45" s="7"/>
      <c r="EZH45" s="7"/>
      <c r="EZI45" s="7"/>
      <c r="EZJ45" s="7"/>
      <c r="EZK45" s="7"/>
      <c r="EZL45" s="7"/>
      <c r="EZM45" s="7"/>
      <c r="EZN45" s="7"/>
      <c r="EZO45" s="7"/>
      <c r="EZP45" s="7"/>
      <c r="EZQ45" s="7"/>
      <c r="EZR45" s="7"/>
      <c r="EZS45" s="7"/>
      <c r="FJD45" s="7"/>
      <c r="FJE45" s="7"/>
      <c r="FJF45" s="7"/>
      <c r="FJG45" s="7"/>
      <c r="FJH45" s="7"/>
      <c r="FJI45" s="7"/>
      <c r="FJJ45" s="7"/>
      <c r="FJK45" s="7"/>
      <c r="FJL45" s="7"/>
      <c r="FJM45" s="7"/>
      <c r="FJN45" s="7"/>
      <c r="FJO45" s="7"/>
      <c r="FSZ45" s="7"/>
      <c r="FTA45" s="7"/>
      <c r="FTB45" s="7"/>
      <c r="FTC45" s="7"/>
      <c r="FTD45" s="7"/>
      <c r="FTE45" s="7"/>
      <c r="FTF45" s="7"/>
      <c r="FTG45" s="7"/>
      <c r="FTH45" s="7"/>
      <c r="FTI45" s="7"/>
      <c r="FTJ45" s="7"/>
      <c r="FTK45" s="7"/>
      <c r="GCV45" s="7"/>
      <c r="GCW45" s="7"/>
      <c r="GCX45" s="7"/>
      <c r="GCY45" s="7"/>
      <c r="GCZ45" s="7"/>
      <c r="GDA45" s="7"/>
      <c r="GDB45" s="7"/>
      <c r="GDC45" s="7"/>
      <c r="GDD45" s="7"/>
      <c r="GDE45" s="7"/>
      <c r="GDF45" s="7"/>
      <c r="GDG45" s="7"/>
      <c r="GMR45" s="7"/>
      <c r="GMS45" s="7"/>
      <c r="GMT45" s="7"/>
      <c r="GMU45" s="7"/>
      <c r="GMV45" s="7"/>
      <c r="GMW45" s="7"/>
      <c r="GMX45" s="7"/>
      <c r="GMY45" s="7"/>
      <c r="GMZ45" s="7"/>
      <c r="GNA45" s="7"/>
      <c r="GNB45" s="7"/>
      <c r="GNC45" s="7"/>
      <c r="GWN45" s="7"/>
      <c r="GWO45" s="7"/>
      <c r="GWP45" s="7"/>
      <c r="GWQ45" s="7"/>
      <c r="GWR45" s="7"/>
      <c r="GWS45" s="7"/>
      <c r="GWT45" s="7"/>
      <c r="GWU45" s="7"/>
      <c r="GWV45" s="7"/>
      <c r="GWW45" s="7"/>
      <c r="GWX45" s="7"/>
      <c r="GWY45" s="7"/>
      <c r="HGJ45" s="7"/>
      <c r="HGK45" s="7"/>
      <c r="HGL45" s="7"/>
      <c r="HGM45" s="7"/>
      <c r="HGN45" s="7"/>
      <c r="HGO45" s="7"/>
      <c r="HGP45" s="7"/>
      <c r="HGQ45" s="7"/>
      <c r="HGR45" s="7"/>
      <c r="HGS45" s="7"/>
      <c r="HGT45" s="7"/>
      <c r="HGU45" s="7"/>
      <c r="HQF45" s="7"/>
      <c r="HQG45" s="7"/>
      <c r="HQH45" s="7"/>
      <c r="HQI45" s="7"/>
      <c r="HQJ45" s="7"/>
      <c r="HQK45" s="7"/>
      <c r="HQL45" s="7"/>
      <c r="HQM45" s="7"/>
      <c r="HQN45" s="7"/>
      <c r="HQO45" s="7"/>
      <c r="HQP45" s="7"/>
      <c r="HQQ45" s="7"/>
      <c r="IAB45" s="7"/>
      <c r="IAC45" s="7"/>
      <c r="IAD45" s="7"/>
      <c r="IAE45" s="7"/>
      <c r="IAF45" s="7"/>
      <c r="IAG45" s="7"/>
      <c r="IAH45" s="7"/>
      <c r="IAI45" s="7"/>
      <c r="IAJ45" s="7"/>
      <c r="IAK45" s="7"/>
      <c r="IAL45" s="7"/>
      <c r="IAM45" s="7"/>
      <c r="IJX45" s="7"/>
      <c r="IJY45" s="7"/>
      <c r="IJZ45" s="7"/>
      <c r="IKA45" s="7"/>
      <c r="IKB45" s="7"/>
      <c r="IKC45" s="7"/>
      <c r="IKD45" s="7"/>
      <c r="IKE45" s="7"/>
      <c r="IKF45" s="7"/>
      <c r="IKG45" s="7"/>
      <c r="IKH45" s="7"/>
      <c r="IKI45" s="7"/>
      <c r="ITT45" s="7"/>
      <c r="ITU45" s="7"/>
      <c r="ITV45" s="7"/>
      <c r="ITW45" s="7"/>
      <c r="ITX45" s="7"/>
      <c r="ITY45" s="7"/>
      <c r="ITZ45" s="7"/>
      <c r="IUA45" s="7"/>
      <c r="IUB45" s="7"/>
      <c r="IUC45" s="7"/>
      <c r="IUD45" s="7"/>
      <c r="IUE45" s="7"/>
      <c r="JDP45" s="7"/>
      <c r="JDQ45" s="7"/>
      <c r="JDR45" s="7"/>
      <c r="JDS45" s="7"/>
      <c r="JDT45" s="7"/>
      <c r="JDU45" s="7"/>
      <c r="JDV45" s="7"/>
      <c r="JDW45" s="7"/>
      <c r="JDX45" s="7"/>
      <c r="JDY45" s="7"/>
      <c r="JDZ45" s="7"/>
      <c r="JEA45" s="7"/>
      <c r="JNL45" s="7"/>
      <c r="JNM45" s="7"/>
      <c r="JNN45" s="7"/>
      <c r="JNO45" s="7"/>
      <c r="JNP45" s="7"/>
      <c r="JNQ45" s="7"/>
      <c r="JNR45" s="7"/>
      <c r="JNS45" s="7"/>
      <c r="JNT45" s="7"/>
      <c r="JNU45" s="7"/>
      <c r="JNV45" s="7"/>
      <c r="JNW45" s="7"/>
      <c r="JXH45" s="7"/>
      <c r="JXI45" s="7"/>
      <c r="JXJ45" s="7"/>
      <c r="JXK45" s="7"/>
      <c r="JXL45" s="7"/>
      <c r="JXM45" s="7"/>
      <c r="JXN45" s="7"/>
      <c r="JXO45" s="7"/>
      <c r="JXP45" s="7"/>
      <c r="JXQ45" s="7"/>
      <c r="JXR45" s="7"/>
      <c r="JXS45" s="7"/>
      <c r="KHD45" s="7"/>
      <c r="KHE45" s="7"/>
      <c r="KHF45" s="7"/>
      <c r="KHG45" s="7"/>
      <c r="KHH45" s="7"/>
      <c r="KHI45" s="7"/>
      <c r="KHJ45" s="7"/>
      <c r="KHK45" s="7"/>
      <c r="KHL45" s="7"/>
      <c r="KHM45" s="7"/>
      <c r="KHN45" s="7"/>
      <c r="KHO45" s="7"/>
      <c r="KQZ45" s="7"/>
      <c r="KRA45" s="7"/>
      <c r="KRB45" s="7"/>
      <c r="KRC45" s="7"/>
      <c r="KRD45" s="7"/>
      <c r="KRE45" s="7"/>
      <c r="KRF45" s="7"/>
      <c r="KRG45" s="7"/>
      <c r="KRH45" s="7"/>
      <c r="KRI45" s="7"/>
      <c r="KRJ45" s="7"/>
      <c r="KRK45" s="7"/>
      <c r="LAV45" s="7"/>
      <c r="LAW45" s="7"/>
      <c r="LAX45" s="7"/>
      <c r="LAY45" s="7"/>
      <c r="LAZ45" s="7"/>
      <c r="LBA45" s="7"/>
      <c r="LBB45" s="7"/>
      <c r="LBC45" s="7"/>
      <c r="LBD45" s="7"/>
      <c r="LBE45" s="7"/>
      <c r="LBF45" s="7"/>
      <c r="LBG45" s="7"/>
      <c r="LKR45" s="7"/>
      <c r="LKS45" s="7"/>
      <c r="LKT45" s="7"/>
      <c r="LKU45" s="7"/>
      <c r="LKV45" s="7"/>
      <c r="LKW45" s="7"/>
      <c r="LKX45" s="7"/>
      <c r="LKY45" s="7"/>
      <c r="LKZ45" s="7"/>
      <c r="LLA45" s="7"/>
      <c r="LLB45" s="7"/>
      <c r="LLC45" s="7"/>
      <c r="LUN45" s="7"/>
      <c r="LUO45" s="7"/>
      <c r="LUP45" s="7"/>
      <c r="LUQ45" s="7"/>
      <c r="LUR45" s="7"/>
      <c r="LUS45" s="7"/>
      <c r="LUT45" s="7"/>
      <c r="LUU45" s="7"/>
      <c r="LUV45" s="7"/>
      <c r="LUW45" s="7"/>
      <c r="LUX45" s="7"/>
      <c r="LUY45" s="7"/>
      <c r="MEJ45" s="7"/>
      <c r="MEK45" s="7"/>
      <c r="MEL45" s="7"/>
      <c r="MEM45" s="7"/>
      <c r="MEN45" s="7"/>
      <c r="MEO45" s="7"/>
      <c r="MEP45" s="7"/>
      <c r="MEQ45" s="7"/>
      <c r="MER45" s="7"/>
      <c r="MES45" s="7"/>
      <c r="MET45" s="7"/>
      <c r="MEU45" s="7"/>
      <c r="MOF45" s="7"/>
      <c r="MOG45" s="7"/>
      <c r="MOH45" s="7"/>
      <c r="MOI45" s="7"/>
      <c r="MOJ45" s="7"/>
      <c r="MOK45" s="7"/>
      <c r="MOL45" s="7"/>
      <c r="MOM45" s="7"/>
      <c r="MON45" s="7"/>
      <c r="MOO45" s="7"/>
      <c r="MOP45" s="7"/>
      <c r="MOQ45" s="7"/>
      <c r="MYB45" s="7"/>
      <c r="MYC45" s="7"/>
      <c r="MYD45" s="7"/>
      <c r="MYE45" s="7"/>
      <c r="MYF45" s="7"/>
      <c r="MYG45" s="7"/>
      <c r="MYH45" s="7"/>
      <c r="MYI45" s="7"/>
      <c r="MYJ45" s="7"/>
      <c r="MYK45" s="7"/>
      <c r="MYL45" s="7"/>
      <c r="MYM45" s="7"/>
      <c r="NHX45" s="7"/>
      <c r="NHY45" s="7"/>
      <c r="NHZ45" s="7"/>
      <c r="NIA45" s="7"/>
      <c r="NIB45" s="7"/>
      <c r="NIC45" s="7"/>
      <c r="NID45" s="7"/>
      <c r="NIE45" s="7"/>
      <c r="NIF45" s="7"/>
      <c r="NIG45" s="7"/>
      <c r="NIH45" s="7"/>
      <c r="NII45" s="7"/>
      <c r="NRT45" s="7"/>
      <c r="NRU45" s="7"/>
      <c r="NRV45" s="7"/>
      <c r="NRW45" s="7"/>
      <c r="NRX45" s="7"/>
      <c r="NRY45" s="7"/>
      <c r="NRZ45" s="7"/>
      <c r="NSA45" s="7"/>
      <c r="NSB45" s="7"/>
      <c r="NSC45" s="7"/>
      <c r="NSD45" s="7"/>
      <c r="NSE45" s="7"/>
      <c r="OBP45" s="7"/>
      <c r="OBQ45" s="7"/>
      <c r="OBR45" s="7"/>
      <c r="OBS45" s="7"/>
      <c r="OBT45" s="7"/>
      <c r="OBU45" s="7"/>
      <c r="OBV45" s="7"/>
      <c r="OBW45" s="7"/>
      <c r="OBX45" s="7"/>
      <c r="OBY45" s="7"/>
      <c r="OBZ45" s="7"/>
      <c r="OCA45" s="7"/>
      <c r="OLL45" s="7"/>
      <c r="OLM45" s="7"/>
      <c r="OLN45" s="7"/>
      <c r="OLO45" s="7"/>
      <c r="OLP45" s="7"/>
      <c r="OLQ45" s="7"/>
      <c r="OLR45" s="7"/>
      <c r="OLS45" s="7"/>
      <c r="OLT45" s="7"/>
      <c r="OLU45" s="7"/>
      <c r="OLV45" s="7"/>
      <c r="OLW45" s="7"/>
      <c r="OVH45" s="7"/>
      <c r="OVI45" s="7"/>
      <c r="OVJ45" s="7"/>
      <c r="OVK45" s="7"/>
      <c r="OVL45" s="7"/>
      <c r="OVM45" s="7"/>
      <c r="OVN45" s="7"/>
      <c r="OVO45" s="7"/>
      <c r="OVP45" s="7"/>
      <c r="OVQ45" s="7"/>
      <c r="OVR45" s="7"/>
      <c r="OVS45" s="7"/>
      <c r="PFD45" s="7"/>
      <c r="PFE45" s="7"/>
      <c r="PFF45" s="7"/>
      <c r="PFG45" s="7"/>
      <c r="PFH45" s="7"/>
      <c r="PFI45" s="7"/>
      <c r="PFJ45" s="7"/>
      <c r="PFK45" s="7"/>
      <c r="PFL45" s="7"/>
      <c r="PFM45" s="7"/>
      <c r="PFN45" s="7"/>
      <c r="PFO45" s="7"/>
      <c r="POZ45" s="7"/>
      <c r="PPA45" s="7"/>
      <c r="PPB45" s="7"/>
      <c r="PPC45" s="7"/>
      <c r="PPD45" s="7"/>
      <c r="PPE45" s="7"/>
      <c r="PPF45" s="7"/>
      <c r="PPG45" s="7"/>
      <c r="PPH45" s="7"/>
      <c r="PPI45" s="7"/>
      <c r="PPJ45" s="7"/>
      <c r="PPK45" s="7"/>
      <c r="PYV45" s="7"/>
      <c r="PYW45" s="7"/>
      <c r="PYX45" s="7"/>
      <c r="PYY45" s="7"/>
      <c r="PYZ45" s="7"/>
      <c r="PZA45" s="7"/>
      <c r="PZB45" s="7"/>
      <c r="PZC45" s="7"/>
      <c r="PZD45" s="7"/>
      <c r="PZE45" s="7"/>
      <c r="PZF45" s="7"/>
      <c r="PZG45" s="7"/>
      <c r="QIR45" s="7"/>
      <c r="QIS45" s="7"/>
      <c r="QIT45" s="7"/>
      <c r="QIU45" s="7"/>
      <c r="QIV45" s="7"/>
      <c r="QIW45" s="7"/>
      <c r="QIX45" s="7"/>
      <c r="QIY45" s="7"/>
      <c r="QIZ45" s="7"/>
      <c r="QJA45" s="7"/>
      <c r="QJB45" s="7"/>
      <c r="QJC45" s="7"/>
      <c r="QSN45" s="7"/>
      <c r="QSO45" s="7"/>
      <c r="QSP45" s="7"/>
      <c r="QSQ45" s="7"/>
      <c r="QSR45" s="7"/>
      <c r="QSS45" s="7"/>
      <c r="QST45" s="7"/>
      <c r="QSU45" s="7"/>
      <c r="QSV45" s="7"/>
      <c r="QSW45" s="7"/>
      <c r="QSX45" s="7"/>
      <c r="QSY45" s="7"/>
      <c r="RCJ45" s="7"/>
      <c r="RCK45" s="7"/>
      <c r="RCL45" s="7"/>
      <c r="RCM45" s="7"/>
      <c r="RCN45" s="7"/>
      <c r="RCO45" s="7"/>
      <c r="RCP45" s="7"/>
      <c r="RCQ45" s="7"/>
      <c r="RCR45" s="7"/>
      <c r="RCS45" s="7"/>
      <c r="RCT45" s="7"/>
      <c r="RCU45" s="7"/>
      <c r="RMF45" s="7"/>
      <c r="RMG45" s="7"/>
      <c r="RMH45" s="7"/>
      <c r="RMI45" s="7"/>
      <c r="RMJ45" s="7"/>
      <c r="RMK45" s="7"/>
      <c r="RML45" s="7"/>
      <c r="RMM45" s="7"/>
      <c r="RMN45" s="7"/>
      <c r="RMO45" s="7"/>
      <c r="RMP45" s="7"/>
      <c r="RMQ45" s="7"/>
      <c r="RWB45" s="7"/>
      <c r="RWC45" s="7"/>
      <c r="RWD45" s="7"/>
      <c r="RWE45" s="7"/>
      <c r="RWF45" s="7"/>
      <c r="RWG45" s="7"/>
      <c r="RWH45" s="7"/>
      <c r="RWI45" s="7"/>
      <c r="RWJ45" s="7"/>
      <c r="RWK45" s="7"/>
      <c r="RWL45" s="7"/>
      <c r="RWM45" s="7"/>
      <c r="SFX45" s="7"/>
      <c r="SFY45" s="7"/>
      <c r="SFZ45" s="7"/>
      <c r="SGA45" s="7"/>
      <c r="SGB45" s="7"/>
      <c r="SGC45" s="7"/>
      <c r="SGD45" s="7"/>
      <c r="SGE45" s="7"/>
      <c r="SGF45" s="7"/>
      <c r="SGG45" s="7"/>
      <c r="SGH45" s="7"/>
      <c r="SGI45" s="7"/>
      <c r="SPT45" s="7"/>
      <c r="SPU45" s="7"/>
      <c r="SPV45" s="7"/>
      <c r="SPW45" s="7"/>
      <c r="SPX45" s="7"/>
      <c r="SPY45" s="7"/>
      <c r="SPZ45" s="7"/>
      <c r="SQA45" s="7"/>
      <c r="SQB45" s="7"/>
      <c r="SQC45" s="7"/>
      <c r="SQD45" s="7"/>
      <c r="SQE45" s="7"/>
      <c r="SZP45" s="7"/>
      <c r="SZQ45" s="7"/>
      <c r="SZR45" s="7"/>
      <c r="SZS45" s="7"/>
      <c r="SZT45" s="7"/>
      <c r="SZU45" s="7"/>
      <c r="SZV45" s="7"/>
      <c r="SZW45" s="7"/>
      <c r="SZX45" s="7"/>
      <c r="SZY45" s="7"/>
      <c r="SZZ45" s="7"/>
      <c r="TAA45" s="7"/>
      <c r="TJL45" s="7"/>
      <c r="TJM45" s="7"/>
      <c r="TJN45" s="7"/>
      <c r="TJO45" s="7"/>
      <c r="TJP45" s="7"/>
      <c r="TJQ45" s="7"/>
      <c r="TJR45" s="7"/>
      <c r="TJS45" s="7"/>
      <c r="TJT45" s="7"/>
      <c r="TJU45" s="7"/>
      <c r="TJV45" s="7"/>
      <c r="TJW45" s="7"/>
      <c r="TTH45" s="7"/>
      <c r="TTI45" s="7"/>
      <c r="TTJ45" s="7"/>
      <c r="TTK45" s="7"/>
      <c r="TTL45" s="7"/>
      <c r="TTM45" s="7"/>
      <c r="TTN45" s="7"/>
      <c r="TTO45" s="7"/>
      <c r="TTP45" s="7"/>
      <c r="TTQ45" s="7"/>
      <c r="TTR45" s="7"/>
      <c r="TTS45" s="7"/>
      <c r="UDD45" s="7"/>
      <c r="UDE45" s="7"/>
      <c r="UDF45" s="7"/>
      <c r="UDG45" s="7"/>
      <c r="UDH45" s="7"/>
      <c r="UDI45" s="7"/>
      <c r="UDJ45" s="7"/>
      <c r="UDK45" s="7"/>
      <c r="UDL45" s="7"/>
      <c r="UDM45" s="7"/>
      <c r="UDN45" s="7"/>
      <c r="UDO45" s="7"/>
      <c r="UMZ45" s="7"/>
      <c r="UNA45" s="7"/>
      <c r="UNB45" s="7"/>
      <c r="UNC45" s="7"/>
      <c r="UND45" s="7"/>
      <c r="UNE45" s="7"/>
      <c r="UNF45" s="7"/>
      <c r="UNG45" s="7"/>
      <c r="UNH45" s="7"/>
      <c r="UNI45" s="7"/>
      <c r="UNJ45" s="7"/>
      <c r="UNK45" s="7"/>
      <c r="UWV45" s="7"/>
      <c r="UWW45" s="7"/>
      <c r="UWX45" s="7"/>
      <c r="UWY45" s="7"/>
      <c r="UWZ45" s="7"/>
      <c r="UXA45" s="7"/>
      <c r="UXB45" s="7"/>
      <c r="UXC45" s="7"/>
      <c r="UXD45" s="7"/>
      <c r="UXE45" s="7"/>
      <c r="UXF45" s="7"/>
      <c r="UXG45" s="7"/>
      <c r="VGR45" s="7"/>
      <c r="VGS45" s="7"/>
      <c r="VGT45" s="7"/>
      <c r="VGU45" s="7"/>
      <c r="VGV45" s="7"/>
      <c r="VGW45" s="7"/>
      <c r="VGX45" s="7"/>
      <c r="VGY45" s="7"/>
      <c r="VGZ45" s="7"/>
      <c r="VHA45" s="7"/>
      <c r="VHB45" s="7"/>
      <c r="VHC45" s="7"/>
      <c r="VQN45" s="7"/>
      <c r="VQO45" s="7"/>
      <c r="VQP45" s="7"/>
      <c r="VQQ45" s="7"/>
      <c r="VQR45" s="7"/>
      <c r="VQS45" s="7"/>
      <c r="VQT45" s="7"/>
      <c r="VQU45" s="7"/>
      <c r="VQV45" s="7"/>
      <c r="VQW45" s="7"/>
      <c r="VQX45" s="7"/>
      <c r="VQY45" s="7"/>
      <c r="WAJ45" s="7"/>
      <c r="WAK45" s="7"/>
      <c r="WAL45" s="7"/>
      <c r="WAM45" s="7"/>
      <c r="WAN45" s="7"/>
      <c r="WAO45" s="7"/>
      <c r="WAP45" s="7"/>
      <c r="WAQ45" s="7"/>
      <c r="WAR45" s="7"/>
      <c r="WAS45" s="7"/>
      <c r="WAT45" s="7"/>
      <c r="WAU45" s="7"/>
      <c r="WKF45" s="7"/>
      <c r="WKG45" s="7"/>
      <c r="WKH45" s="7"/>
      <c r="WKI45" s="7"/>
      <c r="WKJ45" s="7"/>
      <c r="WKK45" s="7"/>
      <c r="WKL45" s="7"/>
      <c r="WKM45" s="7"/>
      <c r="WKN45" s="7"/>
      <c r="WKO45" s="7"/>
      <c r="WKP45" s="7"/>
      <c r="WKQ45" s="7"/>
      <c r="WUB45" s="7"/>
      <c r="WUC45" s="7"/>
      <c r="WUD45" s="7"/>
      <c r="WUE45" s="7"/>
      <c r="WUF45" s="7"/>
      <c r="WUG45" s="7"/>
      <c r="WUH45" s="7"/>
      <c r="WUI45" s="7"/>
      <c r="WUJ45" s="7"/>
      <c r="WUK45" s="7"/>
      <c r="WUL45" s="7"/>
      <c r="WUM45" s="7"/>
    </row>
    <row r="46" spans="1:1003 1248:2027 2272:3051 3296:4075 4320:5099 5344:6123 6368:7147 7392:8171 8416:9195 9440:10219 10464:11243 11488:12267 12512:13291 13536:14315 14560:15339 15584:16107" ht="30" customHeight="1">
      <c r="A46" s="45"/>
      <c r="D46" s="27">
        <v>2</v>
      </c>
      <c r="H46" s="159">
        <v>0.5</v>
      </c>
      <c r="I46" s="196" t="s">
        <v>225</v>
      </c>
      <c r="J46" s="161"/>
      <c r="K46" s="196"/>
      <c r="L46" s="211">
        <f>Table113[[#This Row],[Qty 2]]+Table113[[#This Row],[Qty 1]]</f>
        <v>0.5</v>
      </c>
      <c r="M46" s="216">
        <v>180</v>
      </c>
      <c r="N46" s="216">
        <f>Table113[[#This Row],[Unit Cost]]*Table113[[#This Row],[Total Qty All Areas]]</f>
        <v>90</v>
      </c>
    </row>
    <row r="47" spans="1:1003 1248:2027 2272:3051 3296:4075 4320:5099 5344:6123 6368:7147 7392:8171 8416:9195 9440:10219 10464:11243 11488:12267 12512:13291 13536:14315 14560:15339 15584:16107" ht="30" customHeight="1">
      <c r="A47" s="45"/>
      <c r="H47" s="159"/>
      <c r="I47" s="196"/>
      <c r="J47" s="161"/>
      <c r="K47" s="196"/>
      <c r="L47" s="211">
        <f>Table113[[#This Row],[Qty 2]]+Table113[[#This Row],[Qty 1]]</f>
        <v>0</v>
      </c>
      <c r="M47" s="216"/>
      <c r="N47" s="216">
        <f>Table113[[#This Row],[Unit Cost]]*Table113[[#This Row],[Total Qty All Areas]]</f>
        <v>0</v>
      </c>
    </row>
    <row r="48" spans="1:1003 1248:2027 2272:3051 3296:4075 4320:5099 5344:6123 6368:7147 7392:8171 8416:9195 9440:10219 10464:11243 11488:12267 12512:13291 13536:14315 14560:15339 15584:16107" ht="30" customHeight="1">
      <c r="A48" s="45"/>
      <c r="H48" s="159"/>
      <c r="I48" s="196"/>
      <c r="J48" s="161"/>
      <c r="K48" s="196"/>
      <c r="L48" s="211">
        <f>Table113[[#This Row],[Qty 2]]+Table113[[#This Row],[Qty 1]]</f>
        <v>0</v>
      </c>
      <c r="M48" s="216"/>
      <c r="N48" s="216">
        <f>Table113[[#This Row],[Unit Cost]]*Table113[[#This Row],[Total Qty All Areas]]</f>
        <v>0</v>
      </c>
    </row>
    <row r="49" spans="1:1003 1248:2027 2272:3051 3296:4075 4320:5099 5344:6123 6368:7147 7392:8171 8416:9195 9440:10219 10464:11243 11488:12267 12512:13291 13536:14315 14560:15339 15584:16107" ht="30" customHeight="1">
      <c r="A49" s="45"/>
      <c r="H49" s="159"/>
      <c r="I49" s="196"/>
      <c r="J49" s="161"/>
      <c r="K49" s="196"/>
      <c r="L49" s="211">
        <f>Table113[[#This Row],[Qty 2]]+Table113[[#This Row],[Qty 1]]</f>
        <v>0</v>
      </c>
      <c r="M49" s="216"/>
      <c r="N49" s="216">
        <f>Table113[[#This Row],[Unit Cost]]*Table113[[#This Row],[Total Qty All Areas]]</f>
        <v>0</v>
      </c>
    </row>
    <row r="50" spans="1:1003 1248:2027 2272:3051 3296:4075 4320:5099 5344:6123 6368:7147 7392:8171 8416:9195 9440:10219 10464:11243 11488:12267 12512:13291 13536:14315 14560:15339 15584:16107" ht="30" customHeight="1">
      <c r="A50" s="45"/>
      <c r="H50" s="159"/>
      <c r="I50" s="196"/>
      <c r="J50" s="161"/>
      <c r="K50" s="196"/>
      <c r="L50" s="211">
        <f>Table113[[#This Row],[Qty 2]]+Table113[[#This Row],[Qty 1]]</f>
        <v>0</v>
      </c>
      <c r="M50" s="216"/>
      <c r="N50" s="216">
        <f>Table113[[#This Row],[Unit Cost]]*Table113[[#This Row],[Total Qty All Areas]]</f>
        <v>0</v>
      </c>
    </row>
    <row r="51" spans="1:1003 1248:2027 2272:3051 3296:4075 4320:5099 5344:6123 6368:7147 7392:8171 8416:9195 9440:10219 10464:11243 11488:12267 12512:13291 13536:14315 14560:15339 15584:16107" ht="30" customHeight="1">
      <c r="A51" s="176"/>
      <c r="D51" s="169"/>
      <c r="E51" s="169"/>
      <c r="F51" s="303"/>
      <c r="H51" s="159"/>
      <c r="I51" s="196"/>
      <c r="J51" s="161"/>
      <c r="K51" s="196"/>
      <c r="L51" s="211">
        <f>Table113[[#This Row],[Qty 2]]+Table113[[#This Row],[Qty 1]]</f>
        <v>0</v>
      </c>
      <c r="M51" s="216"/>
      <c r="N51" s="216">
        <f>Table113[[#This Row],[Unit Cost]]*Table113[[#This Row],[Total Qty All Areas]]</f>
        <v>0</v>
      </c>
    </row>
    <row r="52" spans="1:1003 1248:2027 2272:3051 3296:4075 4320:5099 5344:6123 6368:7147 7392:8171 8416:9195 9440:10219 10464:11243 11488:12267 12512:13291 13536:14315 14560:15339 15584:16107" s="167" customFormat="1" ht="30" customHeight="1">
      <c r="A52" s="175" t="str">
        <f>'Category Setup'!L42</f>
        <v>F_BT</v>
      </c>
      <c r="B52" s="167" t="str">
        <f>'Category Setup'!E42</f>
        <v>F_BT_Finished_Bale Trailer</v>
      </c>
      <c r="C52" s="167" t="str">
        <f>'Category Setup'!N42</f>
        <v>F_BT_Finished_Bale Trailer</v>
      </c>
      <c r="D52" s="168"/>
      <c r="E52" s="168"/>
      <c r="F52" s="172"/>
      <c r="G52" s="172"/>
      <c r="H52" s="173"/>
      <c r="I52" s="197"/>
      <c r="J52" s="174"/>
      <c r="K52" s="197"/>
      <c r="L52" s="213">
        <f>Table113[[#This Row],[Qty 2]]+Table113[[#This Row],[Qty 1]]</f>
        <v>0</v>
      </c>
      <c r="M52" s="215"/>
      <c r="N52" s="215">
        <f>Table113[[#This Row],[Unit Cost]]*Table113[[#This Row],[Total Qty All Areas]]</f>
        <v>0</v>
      </c>
      <c r="HP52" s="7"/>
      <c r="HQ52" s="7"/>
      <c r="HR52" s="7"/>
      <c r="HS52" s="7"/>
      <c r="HT52" s="7"/>
      <c r="HU52" s="7"/>
      <c r="HV52" s="7"/>
      <c r="HW52" s="7"/>
      <c r="HX52" s="7"/>
      <c r="HY52" s="7"/>
      <c r="HZ52" s="7"/>
      <c r="IA52" s="7"/>
      <c r="RL52" s="7"/>
      <c r="RM52" s="7"/>
      <c r="RN52" s="7"/>
      <c r="RO52" s="7"/>
      <c r="RP52" s="7"/>
      <c r="RQ52" s="7"/>
      <c r="RR52" s="7"/>
      <c r="RS52" s="7"/>
      <c r="RT52" s="7"/>
      <c r="RU52" s="7"/>
      <c r="RV52" s="7"/>
      <c r="RW52" s="7"/>
      <c r="ABH52" s="7"/>
      <c r="ABI52" s="7"/>
      <c r="ABJ52" s="7"/>
      <c r="ABK52" s="7"/>
      <c r="ABL52" s="7"/>
      <c r="ABM52" s="7"/>
      <c r="ABN52" s="7"/>
      <c r="ABO52" s="7"/>
      <c r="ABP52" s="7"/>
      <c r="ABQ52" s="7"/>
      <c r="ABR52" s="7"/>
      <c r="ABS52" s="7"/>
      <c r="ALD52" s="7"/>
      <c r="ALE52" s="7"/>
      <c r="ALF52" s="7"/>
      <c r="ALG52" s="7"/>
      <c r="ALH52" s="7"/>
      <c r="ALI52" s="7"/>
      <c r="ALJ52" s="7"/>
      <c r="ALK52" s="7"/>
      <c r="ALL52" s="7"/>
      <c r="ALM52" s="7"/>
      <c r="ALN52" s="7"/>
      <c r="ALO52" s="7"/>
      <c r="AUZ52" s="7"/>
      <c r="AVA52" s="7"/>
      <c r="AVB52" s="7"/>
      <c r="AVC52" s="7"/>
      <c r="AVD52" s="7"/>
      <c r="AVE52" s="7"/>
      <c r="AVF52" s="7"/>
      <c r="AVG52" s="7"/>
      <c r="AVH52" s="7"/>
      <c r="AVI52" s="7"/>
      <c r="AVJ52" s="7"/>
      <c r="AVK52" s="7"/>
      <c r="BEV52" s="7"/>
      <c r="BEW52" s="7"/>
      <c r="BEX52" s="7"/>
      <c r="BEY52" s="7"/>
      <c r="BEZ52" s="7"/>
      <c r="BFA52" s="7"/>
      <c r="BFB52" s="7"/>
      <c r="BFC52" s="7"/>
      <c r="BFD52" s="7"/>
      <c r="BFE52" s="7"/>
      <c r="BFF52" s="7"/>
      <c r="BFG52" s="7"/>
      <c r="BOR52" s="7"/>
      <c r="BOS52" s="7"/>
      <c r="BOT52" s="7"/>
      <c r="BOU52" s="7"/>
      <c r="BOV52" s="7"/>
      <c r="BOW52" s="7"/>
      <c r="BOX52" s="7"/>
      <c r="BOY52" s="7"/>
      <c r="BOZ52" s="7"/>
      <c r="BPA52" s="7"/>
      <c r="BPB52" s="7"/>
      <c r="BPC52" s="7"/>
      <c r="BYN52" s="7"/>
      <c r="BYO52" s="7"/>
      <c r="BYP52" s="7"/>
      <c r="BYQ52" s="7"/>
      <c r="BYR52" s="7"/>
      <c r="BYS52" s="7"/>
      <c r="BYT52" s="7"/>
      <c r="BYU52" s="7"/>
      <c r="BYV52" s="7"/>
      <c r="BYW52" s="7"/>
      <c r="BYX52" s="7"/>
      <c r="BYY52" s="7"/>
      <c r="CIJ52" s="7"/>
      <c r="CIK52" s="7"/>
      <c r="CIL52" s="7"/>
      <c r="CIM52" s="7"/>
      <c r="CIN52" s="7"/>
      <c r="CIO52" s="7"/>
      <c r="CIP52" s="7"/>
      <c r="CIQ52" s="7"/>
      <c r="CIR52" s="7"/>
      <c r="CIS52" s="7"/>
      <c r="CIT52" s="7"/>
      <c r="CIU52" s="7"/>
      <c r="CSF52" s="7"/>
      <c r="CSG52" s="7"/>
      <c r="CSH52" s="7"/>
      <c r="CSI52" s="7"/>
      <c r="CSJ52" s="7"/>
      <c r="CSK52" s="7"/>
      <c r="CSL52" s="7"/>
      <c r="CSM52" s="7"/>
      <c r="CSN52" s="7"/>
      <c r="CSO52" s="7"/>
      <c r="CSP52" s="7"/>
      <c r="CSQ52" s="7"/>
      <c r="DCB52" s="7"/>
      <c r="DCC52" s="7"/>
      <c r="DCD52" s="7"/>
      <c r="DCE52" s="7"/>
      <c r="DCF52" s="7"/>
      <c r="DCG52" s="7"/>
      <c r="DCH52" s="7"/>
      <c r="DCI52" s="7"/>
      <c r="DCJ52" s="7"/>
      <c r="DCK52" s="7"/>
      <c r="DCL52" s="7"/>
      <c r="DCM52" s="7"/>
      <c r="DLX52" s="7"/>
      <c r="DLY52" s="7"/>
      <c r="DLZ52" s="7"/>
      <c r="DMA52" s="7"/>
      <c r="DMB52" s="7"/>
      <c r="DMC52" s="7"/>
      <c r="DMD52" s="7"/>
      <c r="DME52" s="7"/>
      <c r="DMF52" s="7"/>
      <c r="DMG52" s="7"/>
      <c r="DMH52" s="7"/>
      <c r="DMI52" s="7"/>
      <c r="DVT52" s="7"/>
      <c r="DVU52" s="7"/>
      <c r="DVV52" s="7"/>
      <c r="DVW52" s="7"/>
      <c r="DVX52" s="7"/>
      <c r="DVY52" s="7"/>
      <c r="DVZ52" s="7"/>
      <c r="DWA52" s="7"/>
      <c r="DWB52" s="7"/>
      <c r="DWC52" s="7"/>
      <c r="DWD52" s="7"/>
      <c r="DWE52" s="7"/>
      <c r="EFP52" s="7"/>
      <c r="EFQ52" s="7"/>
      <c r="EFR52" s="7"/>
      <c r="EFS52" s="7"/>
      <c r="EFT52" s="7"/>
      <c r="EFU52" s="7"/>
      <c r="EFV52" s="7"/>
      <c r="EFW52" s="7"/>
      <c r="EFX52" s="7"/>
      <c r="EFY52" s="7"/>
      <c r="EFZ52" s="7"/>
      <c r="EGA52" s="7"/>
      <c r="EPL52" s="7"/>
      <c r="EPM52" s="7"/>
      <c r="EPN52" s="7"/>
      <c r="EPO52" s="7"/>
      <c r="EPP52" s="7"/>
      <c r="EPQ52" s="7"/>
      <c r="EPR52" s="7"/>
      <c r="EPS52" s="7"/>
      <c r="EPT52" s="7"/>
      <c r="EPU52" s="7"/>
      <c r="EPV52" s="7"/>
      <c r="EPW52" s="7"/>
      <c r="EZH52" s="7"/>
      <c r="EZI52" s="7"/>
      <c r="EZJ52" s="7"/>
      <c r="EZK52" s="7"/>
      <c r="EZL52" s="7"/>
      <c r="EZM52" s="7"/>
      <c r="EZN52" s="7"/>
      <c r="EZO52" s="7"/>
      <c r="EZP52" s="7"/>
      <c r="EZQ52" s="7"/>
      <c r="EZR52" s="7"/>
      <c r="EZS52" s="7"/>
      <c r="FJD52" s="7"/>
      <c r="FJE52" s="7"/>
      <c r="FJF52" s="7"/>
      <c r="FJG52" s="7"/>
      <c r="FJH52" s="7"/>
      <c r="FJI52" s="7"/>
      <c r="FJJ52" s="7"/>
      <c r="FJK52" s="7"/>
      <c r="FJL52" s="7"/>
      <c r="FJM52" s="7"/>
      <c r="FJN52" s="7"/>
      <c r="FJO52" s="7"/>
      <c r="FSZ52" s="7"/>
      <c r="FTA52" s="7"/>
      <c r="FTB52" s="7"/>
      <c r="FTC52" s="7"/>
      <c r="FTD52" s="7"/>
      <c r="FTE52" s="7"/>
      <c r="FTF52" s="7"/>
      <c r="FTG52" s="7"/>
      <c r="FTH52" s="7"/>
      <c r="FTI52" s="7"/>
      <c r="FTJ52" s="7"/>
      <c r="FTK52" s="7"/>
      <c r="GCV52" s="7"/>
      <c r="GCW52" s="7"/>
      <c r="GCX52" s="7"/>
      <c r="GCY52" s="7"/>
      <c r="GCZ52" s="7"/>
      <c r="GDA52" s="7"/>
      <c r="GDB52" s="7"/>
      <c r="GDC52" s="7"/>
      <c r="GDD52" s="7"/>
      <c r="GDE52" s="7"/>
      <c r="GDF52" s="7"/>
      <c r="GDG52" s="7"/>
      <c r="GMR52" s="7"/>
      <c r="GMS52" s="7"/>
      <c r="GMT52" s="7"/>
      <c r="GMU52" s="7"/>
      <c r="GMV52" s="7"/>
      <c r="GMW52" s="7"/>
      <c r="GMX52" s="7"/>
      <c r="GMY52" s="7"/>
      <c r="GMZ52" s="7"/>
      <c r="GNA52" s="7"/>
      <c r="GNB52" s="7"/>
      <c r="GNC52" s="7"/>
      <c r="GWN52" s="7"/>
      <c r="GWO52" s="7"/>
      <c r="GWP52" s="7"/>
      <c r="GWQ52" s="7"/>
      <c r="GWR52" s="7"/>
      <c r="GWS52" s="7"/>
      <c r="GWT52" s="7"/>
      <c r="GWU52" s="7"/>
      <c r="GWV52" s="7"/>
      <c r="GWW52" s="7"/>
      <c r="GWX52" s="7"/>
      <c r="GWY52" s="7"/>
      <c r="HGJ52" s="7"/>
      <c r="HGK52" s="7"/>
      <c r="HGL52" s="7"/>
      <c r="HGM52" s="7"/>
      <c r="HGN52" s="7"/>
      <c r="HGO52" s="7"/>
      <c r="HGP52" s="7"/>
      <c r="HGQ52" s="7"/>
      <c r="HGR52" s="7"/>
      <c r="HGS52" s="7"/>
      <c r="HGT52" s="7"/>
      <c r="HGU52" s="7"/>
      <c r="HQF52" s="7"/>
      <c r="HQG52" s="7"/>
      <c r="HQH52" s="7"/>
      <c r="HQI52" s="7"/>
      <c r="HQJ52" s="7"/>
      <c r="HQK52" s="7"/>
      <c r="HQL52" s="7"/>
      <c r="HQM52" s="7"/>
      <c r="HQN52" s="7"/>
      <c r="HQO52" s="7"/>
      <c r="HQP52" s="7"/>
      <c r="HQQ52" s="7"/>
      <c r="IAB52" s="7"/>
      <c r="IAC52" s="7"/>
      <c r="IAD52" s="7"/>
      <c r="IAE52" s="7"/>
      <c r="IAF52" s="7"/>
      <c r="IAG52" s="7"/>
      <c r="IAH52" s="7"/>
      <c r="IAI52" s="7"/>
      <c r="IAJ52" s="7"/>
      <c r="IAK52" s="7"/>
      <c r="IAL52" s="7"/>
      <c r="IAM52" s="7"/>
      <c r="IJX52" s="7"/>
      <c r="IJY52" s="7"/>
      <c r="IJZ52" s="7"/>
      <c r="IKA52" s="7"/>
      <c r="IKB52" s="7"/>
      <c r="IKC52" s="7"/>
      <c r="IKD52" s="7"/>
      <c r="IKE52" s="7"/>
      <c r="IKF52" s="7"/>
      <c r="IKG52" s="7"/>
      <c r="IKH52" s="7"/>
      <c r="IKI52" s="7"/>
      <c r="ITT52" s="7"/>
      <c r="ITU52" s="7"/>
      <c r="ITV52" s="7"/>
      <c r="ITW52" s="7"/>
      <c r="ITX52" s="7"/>
      <c r="ITY52" s="7"/>
      <c r="ITZ52" s="7"/>
      <c r="IUA52" s="7"/>
      <c r="IUB52" s="7"/>
      <c r="IUC52" s="7"/>
      <c r="IUD52" s="7"/>
      <c r="IUE52" s="7"/>
      <c r="JDP52" s="7"/>
      <c r="JDQ52" s="7"/>
      <c r="JDR52" s="7"/>
      <c r="JDS52" s="7"/>
      <c r="JDT52" s="7"/>
      <c r="JDU52" s="7"/>
      <c r="JDV52" s="7"/>
      <c r="JDW52" s="7"/>
      <c r="JDX52" s="7"/>
      <c r="JDY52" s="7"/>
      <c r="JDZ52" s="7"/>
      <c r="JEA52" s="7"/>
      <c r="JNL52" s="7"/>
      <c r="JNM52" s="7"/>
      <c r="JNN52" s="7"/>
      <c r="JNO52" s="7"/>
      <c r="JNP52" s="7"/>
      <c r="JNQ52" s="7"/>
      <c r="JNR52" s="7"/>
      <c r="JNS52" s="7"/>
      <c r="JNT52" s="7"/>
      <c r="JNU52" s="7"/>
      <c r="JNV52" s="7"/>
      <c r="JNW52" s="7"/>
      <c r="JXH52" s="7"/>
      <c r="JXI52" s="7"/>
      <c r="JXJ52" s="7"/>
      <c r="JXK52" s="7"/>
      <c r="JXL52" s="7"/>
      <c r="JXM52" s="7"/>
      <c r="JXN52" s="7"/>
      <c r="JXO52" s="7"/>
      <c r="JXP52" s="7"/>
      <c r="JXQ52" s="7"/>
      <c r="JXR52" s="7"/>
      <c r="JXS52" s="7"/>
      <c r="KHD52" s="7"/>
      <c r="KHE52" s="7"/>
      <c r="KHF52" s="7"/>
      <c r="KHG52" s="7"/>
      <c r="KHH52" s="7"/>
      <c r="KHI52" s="7"/>
      <c r="KHJ52" s="7"/>
      <c r="KHK52" s="7"/>
      <c r="KHL52" s="7"/>
      <c r="KHM52" s="7"/>
      <c r="KHN52" s="7"/>
      <c r="KHO52" s="7"/>
      <c r="KQZ52" s="7"/>
      <c r="KRA52" s="7"/>
      <c r="KRB52" s="7"/>
      <c r="KRC52" s="7"/>
      <c r="KRD52" s="7"/>
      <c r="KRE52" s="7"/>
      <c r="KRF52" s="7"/>
      <c r="KRG52" s="7"/>
      <c r="KRH52" s="7"/>
      <c r="KRI52" s="7"/>
      <c r="KRJ52" s="7"/>
      <c r="KRK52" s="7"/>
      <c r="LAV52" s="7"/>
      <c r="LAW52" s="7"/>
      <c r="LAX52" s="7"/>
      <c r="LAY52" s="7"/>
      <c r="LAZ52" s="7"/>
      <c r="LBA52" s="7"/>
      <c r="LBB52" s="7"/>
      <c r="LBC52" s="7"/>
      <c r="LBD52" s="7"/>
      <c r="LBE52" s="7"/>
      <c r="LBF52" s="7"/>
      <c r="LBG52" s="7"/>
      <c r="LKR52" s="7"/>
      <c r="LKS52" s="7"/>
      <c r="LKT52" s="7"/>
      <c r="LKU52" s="7"/>
      <c r="LKV52" s="7"/>
      <c r="LKW52" s="7"/>
      <c r="LKX52" s="7"/>
      <c r="LKY52" s="7"/>
      <c r="LKZ52" s="7"/>
      <c r="LLA52" s="7"/>
      <c r="LLB52" s="7"/>
      <c r="LLC52" s="7"/>
      <c r="LUN52" s="7"/>
      <c r="LUO52" s="7"/>
      <c r="LUP52" s="7"/>
      <c r="LUQ52" s="7"/>
      <c r="LUR52" s="7"/>
      <c r="LUS52" s="7"/>
      <c r="LUT52" s="7"/>
      <c r="LUU52" s="7"/>
      <c r="LUV52" s="7"/>
      <c r="LUW52" s="7"/>
      <c r="LUX52" s="7"/>
      <c r="LUY52" s="7"/>
      <c r="MEJ52" s="7"/>
      <c r="MEK52" s="7"/>
      <c r="MEL52" s="7"/>
      <c r="MEM52" s="7"/>
      <c r="MEN52" s="7"/>
      <c r="MEO52" s="7"/>
      <c r="MEP52" s="7"/>
      <c r="MEQ52" s="7"/>
      <c r="MER52" s="7"/>
      <c r="MES52" s="7"/>
      <c r="MET52" s="7"/>
      <c r="MEU52" s="7"/>
      <c r="MOF52" s="7"/>
      <c r="MOG52" s="7"/>
      <c r="MOH52" s="7"/>
      <c r="MOI52" s="7"/>
      <c r="MOJ52" s="7"/>
      <c r="MOK52" s="7"/>
      <c r="MOL52" s="7"/>
      <c r="MOM52" s="7"/>
      <c r="MON52" s="7"/>
      <c r="MOO52" s="7"/>
      <c r="MOP52" s="7"/>
      <c r="MOQ52" s="7"/>
      <c r="MYB52" s="7"/>
      <c r="MYC52" s="7"/>
      <c r="MYD52" s="7"/>
      <c r="MYE52" s="7"/>
      <c r="MYF52" s="7"/>
      <c r="MYG52" s="7"/>
      <c r="MYH52" s="7"/>
      <c r="MYI52" s="7"/>
      <c r="MYJ52" s="7"/>
      <c r="MYK52" s="7"/>
      <c r="MYL52" s="7"/>
      <c r="MYM52" s="7"/>
      <c r="NHX52" s="7"/>
      <c r="NHY52" s="7"/>
      <c r="NHZ52" s="7"/>
      <c r="NIA52" s="7"/>
      <c r="NIB52" s="7"/>
      <c r="NIC52" s="7"/>
      <c r="NID52" s="7"/>
      <c r="NIE52" s="7"/>
      <c r="NIF52" s="7"/>
      <c r="NIG52" s="7"/>
      <c r="NIH52" s="7"/>
      <c r="NII52" s="7"/>
      <c r="NRT52" s="7"/>
      <c r="NRU52" s="7"/>
      <c r="NRV52" s="7"/>
      <c r="NRW52" s="7"/>
      <c r="NRX52" s="7"/>
      <c r="NRY52" s="7"/>
      <c r="NRZ52" s="7"/>
      <c r="NSA52" s="7"/>
      <c r="NSB52" s="7"/>
      <c r="NSC52" s="7"/>
      <c r="NSD52" s="7"/>
      <c r="NSE52" s="7"/>
      <c r="OBP52" s="7"/>
      <c r="OBQ52" s="7"/>
      <c r="OBR52" s="7"/>
      <c r="OBS52" s="7"/>
      <c r="OBT52" s="7"/>
      <c r="OBU52" s="7"/>
      <c r="OBV52" s="7"/>
      <c r="OBW52" s="7"/>
      <c r="OBX52" s="7"/>
      <c r="OBY52" s="7"/>
      <c r="OBZ52" s="7"/>
      <c r="OCA52" s="7"/>
      <c r="OLL52" s="7"/>
      <c r="OLM52" s="7"/>
      <c r="OLN52" s="7"/>
      <c r="OLO52" s="7"/>
      <c r="OLP52" s="7"/>
      <c r="OLQ52" s="7"/>
      <c r="OLR52" s="7"/>
      <c r="OLS52" s="7"/>
      <c r="OLT52" s="7"/>
      <c r="OLU52" s="7"/>
      <c r="OLV52" s="7"/>
      <c r="OLW52" s="7"/>
      <c r="OVH52" s="7"/>
      <c r="OVI52" s="7"/>
      <c r="OVJ52" s="7"/>
      <c r="OVK52" s="7"/>
      <c r="OVL52" s="7"/>
      <c r="OVM52" s="7"/>
      <c r="OVN52" s="7"/>
      <c r="OVO52" s="7"/>
      <c r="OVP52" s="7"/>
      <c r="OVQ52" s="7"/>
      <c r="OVR52" s="7"/>
      <c r="OVS52" s="7"/>
      <c r="PFD52" s="7"/>
      <c r="PFE52" s="7"/>
      <c r="PFF52" s="7"/>
      <c r="PFG52" s="7"/>
      <c r="PFH52" s="7"/>
      <c r="PFI52" s="7"/>
      <c r="PFJ52" s="7"/>
      <c r="PFK52" s="7"/>
      <c r="PFL52" s="7"/>
      <c r="PFM52" s="7"/>
      <c r="PFN52" s="7"/>
      <c r="PFO52" s="7"/>
      <c r="POZ52" s="7"/>
      <c r="PPA52" s="7"/>
      <c r="PPB52" s="7"/>
      <c r="PPC52" s="7"/>
      <c r="PPD52" s="7"/>
      <c r="PPE52" s="7"/>
      <c r="PPF52" s="7"/>
      <c r="PPG52" s="7"/>
      <c r="PPH52" s="7"/>
      <c r="PPI52" s="7"/>
      <c r="PPJ52" s="7"/>
      <c r="PPK52" s="7"/>
      <c r="PYV52" s="7"/>
      <c r="PYW52" s="7"/>
      <c r="PYX52" s="7"/>
      <c r="PYY52" s="7"/>
      <c r="PYZ52" s="7"/>
      <c r="PZA52" s="7"/>
      <c r="PZB52" s="7"/>
      <c r="PZC52" s="7"/>
      <c r="PZD52" s="7"/>
      <c r="PZE52" s="7"/>
      <c r="PZF52" s="7"/>
      <c r="PZG52" s="7"/>
      <c r="QIR52" s="7"/>
      <c r="QIS52" s="7"/>
      <c r="QIT52" s="7"/>
      <c r="QIU52" s="7"/>
      <c r="QIV52" s="7"/>
      <c r="QIW52" s="7"/>
      <c r="QIX52" s="7"/>
      <c r="QIY52" s="7"/>
      <c r="QIZ52" s="7"/>
      <c r="QJA52" s="7"/>
      <c r="QJB52" s="7"/>
      <c r="QJC52" s="7"/>
      <c r="QSN52" s="7"/>
      <c r="QSO52" s="7"/>
      <c r="QSP52" s="7"/>
      <c r="QSQ52" s="7"/>
      <c r="QSR52" s="7"/>
      <c r="QSS52" s="7"/>
      <c r="QST52" s="7"/>
      <c r="QSU52" s="7"/>
      <c r="QSV52" s="7"/>
      <c r="QSW52" s="7"/>
      <c r="QSX52" s="7"/>
      <c r="QSY52" s="7"/>
      <c r="RCJ52" s="7"/>
      <c r="RCK52" s="7"/>
      <c r="RCL52" s="7"/>
      <c r="RCM52" s="7"/>
      <c r="RCN52" s="7"/>
      <c r="RCO52" s="7"/>
      <c r="RCP52" s="7"/>
      <c r="RCQ52" s="7"/>
      <c r="RCR52" s="7"/>
      <c r="RCS52" s="7"/>
      <c r="RCT52" s="7"/>
      <c r="RCU52" s="7"/>
      <c r="RMF52" s="7"/>
      <c r="RMG52" s="7"/>
      <c r="RMH52" s="7"/>
      <c r="RMI52" s="7"/>
      <c r="RMJ52" s="7"/>
      <c r="RMK52" s="7"/>
      <c r="RML52" s="7"/>
      <c r="RMM52" s="7"/>
      <c r="RMN52" s="7"/>
      <c r="RMO52" s="7"/>
      <c r="RMP52" s="7"/>
      <c r="RMQ52" s="7"/>
      <c r="RWB52" s="7"/>
      <c r="RWC52" s="7"/>
      <c r="RWD52" s="7"/>
      <c r="RWE52" s="7"/>
      <c r="RWF52" s="7"/>
      <c r="RWG52" s="7"/>
      <c r="RWH52" s="7"/>
      <c r="RWI52" s="7"/>
      <c r="RWJ52" s="7"/>
      <c r="RWK52" s="7"/>
      <c r="RWL52" s="7"/>
      <c r="RWM52" s="7"/>
      <c r="SFX52" s="7"/>
      <c r="SFY52" s="7"/>
      <c r="SFZ52" s="7"/>
      <c r="SGA52" s="7"/>
      <c r="SGB52" s="7"/>
      <c r="SGC52" s="7"/>
      <c r="SGD52" s="7"/>
      <c r="SGE52" s="7"/>
      <c r="SGF52" s="7"/>
      <c r="SGG52" s="7"/>
      <c r="SGH52" s="7"/>
      <c r="SGI52" s="7"/>
      <c r="SPT52" s="7"/>
      <c r="SPU52" s="7"/>
      <c r="SPV52" s="7"/>
      <c r="SPW52" s="7"/>
      <c r="SPX52" s="7"/>
      <c r="SPY52" s="7"/>
      <c r="SPZ52" s="7"/>
      <c r="SQA52" s="7"/>
      <c r="SQB52" s="7"/>
      <c r="SQC52" s="7"/>
      <c r="SQD52" s="7"/>
      <c r="SQE52" s="7"/>
      <c r="SZP52" s="7"/>
      <c r="SZQ52" s="7"/>
      <c r="SZR52" s="7"/>
      <c r="SZS52" s="7"/>
      <c r="SZT52" s="7"/>
      <c r="SZU52" s="7"/>
      <c r="SZV52" s="7"/>
      <c r="SZW52" s="7"/>
      <c r="SZX52" s="7"/>
      <c r="SZY52" s="7"/>
      <c r="SZZ52" s="7"/>
      <c r="TAA52" s="7"/>
      <c r="TJL52" s="7"/>
      <c r="TJM52" s="7"/>
      <c r="TJN52" s="7"/>
      <c r="TJO52" s="7"/>
      <c r="TJP52" s="7"/>
      <c r="TJQ52" s="7"/>
      <c r="TJR52" s="7"/>
      <c r="TJS52" s="7"/>
      <c r="TJT52" s="7"/>
      <c r="TJU52" s="7"/>
      <c r="TJV52" s="7"/>
      <c r="TJW52" s="7"/>
      <c r="TTH52" s="7"/>
      <c r="TTI52" s="7"/>
      <c r="TTJ52" s="7"/>
      <c r="TTK52" s="7"/>
      <c r="TTL52" s="7"/>
      <c r="TTM52" s="7"/>
      <c r="TTN52" s="7"/>
      <c r="TTO52" s="7"/>
      <c r="TTP52" s="7"/>
      <c r="TTQ52" s="7"/>
      <c r="TTR52" s="7"/>
      <c r="TTS52" s="7"/>
      <c r="UDD52" s="7"/>
      <c r="UDE52" s="7"/>
      <c r="UDF52" s="7"/>
      <c r="UDG52" s="7"/>
      <c r="UDH52" s="7"/>
      <c r="UDI52" s="7"/>
      <c r="UDJ52" s="7"/>
      <c r="UDK52" s="7"/>
      <c r="UDL52" s="7"/>
      <c r="UDM52" s="7"/>
      <c r="UDN52" s="7"/>
      <c r="UDO52" s="7"/>
      <c r="UMZ52" s="7"/>
      <c r="UNA52" s="7"/>
      <c r="UNB52" s="7"/>
      <c r="UNC52" s="7"/>
      <c r="UND52" s="7"/>
      <c r="UNE52" s="7"/>
      <c r="UNF52" s="7"/>
      <c r="UNG52" s="7"/>
      <c r="UNH52" s="7"/>
      <c r="UNI52" s="7"/>
      <c r="UNJ52" s="7"/>
      <c r="UNK52" s="7"/>
      <c r="UWV52" s="7"/>
      <c r="UWW52" s="7"/>
      <c r="UWX52" s="7"/>
      <c r="UWY52" s="7"/>
      <c r="UWZ52" s="7"/>
      <c r="UXA52" s="7"/>
      <c r="UXB52" s="7"/>
      <c r="UXC52" s="7"/>
      <c r="UXD52" s="7"/>
      <c r="UXE52" s="7"/>
      <c r="UXF52" s="7"/>
      <c r="UXG52" s="7"/>
      <c r="VGR52" s="7"/>
      <c r="VGS52" s="7"/>
      <c r="VGT52" s="7"/>
      <c r="VGU52" s="7"/>
      <c r="VGV52" s="7"/>
      <c r="VGW52" s="7"/>
      <c r="VGX52" s="7"/>
      <c r="VGY52" s="7"/>
      <c r="VGZ52" s="7"/>
      <c r="VHA52" s="7"/>
      <c r="VHB52" s="7"/>
      <c r="VHC52" s="7"/>
      <c r="VQN52" s="7"/>
      <c r="VQO52" s="7"/>
      <c r="VQP52" s="7"/>
      <c r="VQQ52" s="7"/>
      <c r="VQR52" s="7"/>
      <c r="VQS52" s="7"/>
      <c r="VQT52" s="7"/>
      <c r="VQU52" s="7"/>
      <c r="VQV52" s="7"/>
      <c r="VQW52" s="7"/>
      <c r="VQX52" s="7"/>
      <c r="VQY52" s="7"/>
      <c r="WAJ52" s="7"/>
      <c r="WAK52" s="7"/>
      <c r="WAL52" s="7"/>
      <c r="WAM52" s="7"/>
      <c r="WAN52" s="7"/>
      <c r="WAO52" s="7"/>
      <c r="WAP52" s="7"/>
      <c r="WAQ52" s="7"/>
      <c r="WAR52" s="7"/>
      <c r="WAS52" s="7"/>
      <c r="WAT52" s="7"/>
      <c r="WAU52" s="7"/>
      <c r="WKF52" s="7"/>
      <c r="WKG52" s="7"/>
      <c r="WKH52" s="7"/>
      <c r="WKI52" s="7"/>
      <c r="WKJ52" s="7"/>
      <c r="WKK52" s="7"/>
      <c r="WKL52" s="7"/>
      <c r="WKM52" s="7"/>
      <c r="WKN52" s="7"/>
      <c r="WKO52" s="7"/>
      <c r="WKP52" s="7"/>
      <c r="WKQ52" s="7"/>
      <c r="WUB52" s="7"/>
      <c r="WUC52" s="7"/>
      <c r="WUD52" s="7"/>
      <c r="WUE52" s="7"/>
      <c r="WUF52" s="7"/>
      <c r="WUG52" s="7"/>
      <c r="WUH52" s="7"/>
      <c r="WUI52" s="7"/>
      <c r="WUJ52" s="7"/>
      <c r="WUK52" s="7"/>
      <c r="WUL52" s="7"/>
      <c r="WUM52" s="7"/>
    </row>
    <row r="53" spans="1:1003 1248:2027 2272:3051 3296:4075 4320:5099 5344:6123 6368:7147 7392:8171 8416:9195 9440:10219 10464:11243 11488:12267 12512:13291 13536:14315 14560:15339 15584:16107" ht="30" customHeight="1">
      <c r="A53" s="45"/>
      <c r="C53" s="7" t="s">
        <v>245</v>
      </c>
      <c r="H53" s="159">
        <v>1</v>
      </c>
      <c r="I53" s="196" t="s">
        <v>246</v>
      </c>
      <c r="J53" s="161"/>
      <c r="K53" s="196"/>
      <c r="L53" s="211">
        <f>Table113[[#This Row],[Qty 2]]+Table113[[#This Row],[Qty 1]]</f>
        <v>1</v>
      </c>
      <c r="M53" s="216">
        <v>952</v>
      </c>
      <c r="N53" s="216">
        <f>Table113[[#This Row],[Unit Cost]]*Table113[[#This Row],[Total Qty All Areas]]</f>
        <v>952</v>
      </c>
    </row>
    <row r="54" spans="1:1003 1248:2027 2272:3051 3296:4075 4320:5099 5344:6123 6368:7147 7392:8171 8416:9195 9440:10219 10464:11243 11488:12267 12512:13291 13536:14315 14560:15339 15584:16107" ht="30" customHeight="1">
      <c r="A54" s="45"/>
      <c r="H54" s="159"/>
      <c r="I54" s="196"/>
      <c r="J54" s="161"/>
      <c r="K54" s="196"/>
      <c r="L54" s="211">
        <f>Table113[[#This Row],[Qty 2]]+Table113[[#This Row],[Qty 1]]</f>
        <v>0</v>
      </c>
      <c r="M54" s="216"/>
      <c r="N54" s="216">
        <f>Table113[[#This Row],[Unit Cost]]*Table113[[#This Row],[Total Qty All Areas]]</f>
        <v>0</v>
      </c>
    </row>
    <row r="55" spans="1:1003 1248:2027 2272:3051 3296:4075 4320:5099 5344:6123 6368:7147 7392:8171 8416:9195 9440:10219 10464:11243 11488:12267 12512:13291 13536:14315 14560:15339 15584:16107" ht="30" customHeight="1">
      <c r="A55" s="45"/>
      <c r="H55" s="159"/>
      <c r="I55" s="196"/>
      <c r="J55" s="161"/>
      <c r="K55" s="196"/>
      <c r="L55" s="211">
        <f>Table113[[#This Row],[Qty 2]]+Table113[[#This Row],[Qty 1]]</f>
        <v>0</v>
      </c>
      <c r="M55" s="216"/>
      <c r="N55" s="216">
        <f>Table113[[#This Row],[Unit Cost]]*Table113[[#This Row],[Total Qty All Areas]]</f>
        <v>0</v>
      </c>
    </row>
    <row r="56" spans="1:1003 1248:2027 2272:3051 3296:4075 4320:5099 5344:6123 6368:7147 7392:8171 8416:9195 9440:10219 10464:11243 11488:12267 12512:13291 13536:14315 14560:15339 15584:16107" ht="30" customHeight="1">
      <c r="A56" s="176"/>
      <c r="D56" s="169"/>
      <c r="E56" s="169"/>
      <c r="F56" s="303"/>
      <c r="H56" s="159"/>
      <c r="I56" s="196"/>
      <c r="J56" s="161"/>
      <c r="K56" s="196"/>
      <c r="L56" s="211">
        <f>Table113[[#This Row],[Qty 2]]+Table113[[#This Row],[Qty 1]]</f>
        <v>0</v>
      </c>
      <c r="M56" s="216"/>
      <c r="N56" s="216">
        <f>Table113[[#This Row],[Unit Cost]]*Table113[[#This Row],[Total Qty All Areas]]</f>
        <v>0</v>
      </c>
    </row>
    <row r="57" spans="1:1003 1248:2027 2272:3051 3296:4075 4320:5099 5344:6123 6368:7147 7392:8171 8416:9195 9440:10219 10464:11243 11488:12267 12512:13291 13536:14315 14560:15339 15584:16107" s="167" customFormat="1" ht="30" customHeight="1">
      <c r="A57" s="175" t="str">
        <f>'Category Setup'!L43</f>
        <v>F_FT</v>
      </c>
      <c r="B57" s="167" t="str">
        <f>'Category Setup'!E43</f>
        <v>F_FT_Finished_Feeding Troughs</v>
      </c>
      <c r="C57" s="167" t="str">
        <f>'Category Setup'!N43</f>
        <v>F_FT_Finished_Feeding Troughs</v>
      </c>
      <c r="D57" s="168"/>
      <c r="E57" s="168"/>
      <c r="F57" s="172"/>
      <c r="G57" s="172"/>
      <c r="H57" s="173"/>
      <c r="I57" s="197"/>
      <c r="J57" s="174"/>
      <c r="K57" s="197"/>
      <c r="L57" s="213">
        <f>Table113[[#This Row],[Qty 2]]+Table113[[#This Row],[Qty 1]]</f>
        <v>0</v>
      </c>
      <c r="M57" s="215"/>
      <c r="N57" s="215">
        <f>Table113[[#This Row],[Unit Cost]]*Table113[[#This Row],[Total Qty All Areas]]</f>
        <v>0</v>
      </c>
      <c r="HP57" s="7"/>
      <c r="HQ57" s="7"/>
      <c r="HR57" s="7"/>
      <c r="HS57" s="7"/>
      <c r="HT57" s="7"/>
      <c r="HU57" s="7"/>
      <c r="HV57" s="7"/>
      <c r="HW57" s="7"/>
      <c r="HX57" s="7"/>
      <c r="HY57" s="7"/>
      <c r="HZ57" s="7"/>
      <c r="IA57" s="7"/>
      <c r="RL57" s="7"/>
      <c r="RM57" s="7"/>
      <c r="RN57" s="7"/>
      <c r="RO57" s="7"/>
      <c r="RP57" s="7"/>
      <c r="RQ57" s="7"/>
      <c r="RR57" s="7"/>
      <c r="RS57" s="7"/>
      <c r="RT57" s="7"/>
      <c r="RU57" s="7"/>
      <c r="RV57" s="7"/>
      <c r="RW57" s="7"/>
      <c r="ABH57" s="7"/>
      <c r="ABI57" s="7"/>
      <c r="ABJ57" s="7"/>
      <c r="ABK57" s="7"/>
      <c r="ABL57" s="7"/>
      <c r="ABM57" s="7"/>
      <c r="ABN57" s="7"/>
      <c r="ABO57" s="7"/>
      <c r="ABP57" s="7"/>
      <c r="ABQ57" s="7"/>
      <c r="ABR57" s="7"/>
      <c r="ABS57" s="7"/>
      <c r="ALD57" s="7"/>
      <c r="ALE57" s="7"/>
      <c r="ALF57" s="7"/>
      <c r="ALG57" s="7"/>
      <c r="ALH57" s="7"/>
      <c r="ALI57" s="7"/>
      <c r="ALJ57" s="7"/>
      <c r="ALK57" s="7"/>
      <c r="ALL57" s="7"/>
      <c r="ALM57" s="7"/>
      <c r="ALN57" s="7"/>
      <c r="ALO57" s="7"/>
      <c r="AUZ57" s="7"/>
      <c r="AVA57" s="7"/>
      <c r="AVB57" s="7"/>
      <c r="AVC57" s="7"/>
      <c r="AVD57" s="7"/>
      <c r="AVE57" s="7"/>
      <c r="AVF57" s="7"/>
      <c r="AVG57" s="7"/>
      <c r="AVH57" s="7"/>
      <c r="AVI57" s="7"/>
      <c r="AVJ57" s="7"/>
      <c r="AVK57" s="7"/>
      <c r="BEV57" s="7"/>
      <c r="BEW57" s="7"/>
      <c r="BEX57" s="7"/>
      <c r="BEY57" s="7"/>
      <c r="BEZ57" s="7"/>
      <c r="BFA57" s="7"/>
      <c r="BFB57" s="7"/>
      <c r="BFC57" s="7"/>
      <c r="BFD57" s="7"/>
      <c r="BFE57" s="7"/>
      <c r="BFF57" s="7"/>
      <c r="BFG57" s="7"/>
      <c r="BOR57" s="7"/>
      <c r="BOS57" s="7"/>
      <c r="BOT57" s="7"/>
      <c r="BOU57" s="7"/>
      <c r="BOV57" s="7"/>
      <c r="BOW57" s="7"/>
      <c r="BOX57" s="7"/>
      <c r="BOY57" s="7"/>
      <c r="BOZ57" s="7"/>
      <c r="BPA57" s="7"/>
      <c r="BPB57" s="7"/>
      <c r="BPC57" s="7"/>
      <c r="BYN57" s="7"/>
      <c r="BYO57" s="7"/>
      <c r="BYP57" s="7"/>
      <c r="BYQ57" s="7"/>
      <c r="BYR57" s="7"/>
      <c r="BYS57" s="7"/>
      <c r="BYT57" s="7"/>
      <c r="BYU57" s="7"/>
      <c r="BYV57" s="7"/>
      <c r="BYW57" s="7"/>
      <c r="BYX57" s="7"/>
      <c r="BYY57" s="7"/>
      <c r="CIJ57" s="7"/>
      <c r="CIK57" s="7"/>
      <c r="CIL57" s="7"/>
      <c r="CIM57" s="7"/>
      <c r="CIN57" s="7"/>
      <c r="CIO57" s="7"/>
      <c r="CIP57" s="7"/>
      <c r="CIQ57" s="7"/>
      <c r="CIR57" s="7"/>
      <c r="CIS57" s="7"/>
      <c r="CIT57" s="7"/>
      <c r="CIU57" s="7"/>
      <c r="CSF57" s="7"/>
      <c r="CSG57" s="7"/>
      <c r="CSH57" s="7"/>
      <c r="CSI57" s="7"/>
      <c r="CSJ57" s="7"/>
      <c r="CSK57" s="7"/>
      <c r="CSL57" s="7"/>
      <c r="CSM57" s="7"/>
      <c r="CSN57" s="7"/>
      <c r="CSO57" s="7"/>
      <c r="CSP57" s="7"/>
      <c r="CSQ57" s="7"/>
      <c r="DCB57" s="7"/>
      <c r="DCC57" s="7"/>
      <c r="DCD57" s="7"/>
      <c r="DCE57" s="7"/>
      <c r="DCF57" s="7"/>
      <c r="DCG57" s="7"/>
      <c r="DCH57" s="7"/>
      <c r="DCI57" s="7"/>
      <c r="DCJ57" s="7"/>
      <c r="DCK57" s="7"/>
      <c r="DCL57" s="7"/>
      <c r="DCM57" s="7"/>
      <c r="DLX57" s="7"/>
      <c r="DLY57" s="7"/>
      <c r="DLZ57" s="7"/>
      <c r="DMA57" s="7"/>
      <c r="DMB57" s="7"/>
      <c r="DMC57" s="7"/>
      <c r="DMD57" s="7"/>
      <c r="DME57" s="7"/>
      <c r="DMF57" s="7"/>
      <c r="DMG57" s="7"/>
      <c r="DMH57" s="7"/>
      <c r="DMI57" s="7"/>
      <c r="DVT57" s="7"/>
      <c r="DVU57" s="7"/>
      <c r="DVV57" s="7"/>
      <c r="DVW57" s="7"/>
      <c r="DVX57" s="7"/>
      <c r="DVY57" s="7"/>
      <c r="DVZ57" s="7"/>
      <c r="DWA57" s="7"/>
      <c r="DWB57" s="7"/>
      <c r="DWC57" s="7"/>
      <c r="DWD57" s="7"/>
      <c r="DWE57" s="7"/>
      <c r="EFP57" s="7"/>
      <c r="EFQ57" s="7"/>
      <c r="EFR57" s="7"/>
      <c r="EFS57" s="7"/>
      <c r="EFT57" s="7"/>
      <c r="EFU57" s="7"/>
      <c r="EFV57" s="7"/>
      <c r="EFW57" s="7"/>
      <c r="EFX57" s="7"/>
      <c r="EFY57" s="7"/>
      <c r="EFZ57" s="7"/>
      <c r="EGA57" s="7"/>
      <c r="EPL57" s="7"/>
      <c r="EPM57" s="7"/>
      <c r="EPN57" s="7"/>
      <c r="EPO57" s="7"/>
      <c r="EPP57" s="7"/>
      <c r="EPQ57" s="7"/>
      <c r="EPR57" s="7"/>
      <c r="EPS57" s="7"/>
      <c r="EPT57" s="7"/>
      <c r="EPU57" s="7"/>
      <c r="EPV57" s="7"/>
      <c r="EPW57" s="7"/>
      <c r="EZH57" s="7"/>
      <c r="EZI57" s="7"/>
      <c r="EZJ57" s="7"/>
      <c r="EZK57" s="7"/>
      <c r="EZL57" s="7"/>
      <c r="EZM57" s="7"/>
      <c r="EZN57" s="7"/>
      <c r="EZO57" s="7"/>
      <c r="EZP57" s="7"/>
      <c r="EZQ57" s="7"/>
      <c r="EZR57" s="7"/>
      <c r="EZS57" s="7"/>
      <c r="FJD57" s="7"/>
      <c r="FJE57" s="7"/>
      <c r="FJF57" s="7"/>
      <c r="FJG57" s="7"/>
      <c r="FJH57" s="7"/>
      <c r="FJI57" s="7"/>
      <c r="FJJ57" s="7"/>
      <c r="FJK57" s="7"/>
      <c r="FJL57" s="7"/>
      <c r="FJM57" s="7"/>
      <c r="FJN57" s="7"/>
      <c r="FJO57" s="7"/>
      <c r="FSZ57" s="7"/>
      <c r="FTA57" s="7"/>
      <c r="FTB57" s="7"/>
      <c r="FTC57" s="7"/>
      <c r="FTD57" s="7"/>
      <c r="FTE57" s="7"/>
      <c r="FTF57" s="7"/>
      <c r="FTG57" s="7"/>
      <c r="FTH57" s="7"/>
      <c r="FTI57" s="7"/>
      <c r="FTJ57" s="7"/>
      <c r="FTK57" s="7"/>
      <c r="GCV57" s="7"/>
      <c r="GCW57" s="7"/>
      <c r="GCX57" s="7"/>
      <c r="GCY57" s="7"/>
      <c r="GCZ57" s="7"/>
      <c r="GDA57" s="7"/>
      <c r="GDB57" s="7"/>
      <c r="GDC57" s="7"/>
      <c r="GDD57" s="7"/>
      <c r="GDE57" s="7"/>
      <c r="GDF57" s="7"/>
      <c r="GDG57" s="7"/>
      <c r="GMR57" s="7"/>
      <c r="GMS57" s="7"/>
      <c r="GMT57" s="7"/>
      <c r="GMU57" s="7"/>
      <c r="GMV57" s="7"/>
      <c r="GMW57" s="7"/>
      <c r="GMX57" s="7"/>
      <c r="GMY57" s="7"/>
      <c r="GMZ57" s="7"/>
      <c r="GNA57" s="7"/>
      <c r="GNB57" s="7"/>
      <c r="GNC57" s="7"/>
      <c r="GWN57" s="7"/>
      <c r="GWO57" s="7"/>
      <c r="GWP57" s="7"/>
      <c r="GWQ57" s="7"/>
      <c r="GWR57" s="7"/>
      <c r="GWS57" s="7"/>
      <c r="GWT57" s="7"/>
      <c r="GWU57" s="7"/>
      <c r="GWV57" s="7"/>
      <c r="GWW57" s="7"/>
      <c r="GWX57" s="7"/>
      <c r="GWY57" s="7"/>
      <c r="HGJ57" s="7"/>
      <c r="HGK57" s="7"/>
      <c r="HGL57" s="7"/>
      <c r="HGM57" s="7"/>
      <c r="HGN57" s="7"/>
      <c r="HGO57" s="7"/>
      <c r="HGP57" s="7"/>
      <c r="HGQ57" s="7"/>
      <c r="HGR57" s="7"/>
      <c r="HGS57" s="7"/>
      <c r="HGT57" s="7"/>
      <c r="HGU57" s="7"/>
      <c r="HQF57" s="7"/>
      <c r="HQG57" s="7"/>
      <c r="HQH57" s="7"/>
      <c r="HQI57" s="7"/>
      <c r="HQJ57" s="7"/>
      <c r="HQK57" s="7"/>
      <c r="HQL57" s="7"/>
      <c r="HQM57" s="7"/>
      <c r="HQN57" s="7"/>
      <c r="HQO57" s="7"/>
      <c r="HQP57" s="7"/>
      <c r="HQQ57" s="7"/>
      <c r="IAB57" s="7"/>
      <c r="IAC57" s="7"/>
      <c r="IAD57" s="7"/>
      <c r="IAE57" s="7"/>
      <c r="IAF57" s="7"/>
      <c r="IAG57" s="7"/>
      <c r="IAH57" s="7"/>
      <c r="IAI57" s="7"/>
      <c r="IAJ57" s="7"/>
      <c r="IAK57" s="7"/>
      <c r="IAL57" s="7"/>
      <c r="IAM57" s="7"/>
      <c r="IJX57" s="7"/>
      <c r="IJY57" s="7"/>
      <c r="IJZ57" s="7"/>
      <c r="IKA57" s="7"/>
      <c r="IKB57" s="7"/>
      <c r="IKC57" s="7"/>
      <c r="IKD57" s="7"/>
      <c r="IKE57" s="7"/>
      <c r="IKF57" s="7"/>
      <c r="IKG57" s="7"/>
      <c r="IKH57" s="7"/>
      <c r="IKI57" s="7"/>
      <c r="ITT57" s="7"/>
      <c r="ITU57" s="7"/>
      <c r="ITV57" s="7"/>
      <c r="ITW57" s="7"/>
      <c r="ITX57" s="7"/>
      <c r="ITY57" s="7"/>
      <c r="ITZ57" s="7"/>
      <c r="IUA57" s="7"/>
      <c r="IUB57" s="7"/>
      <c r="IUC57" s="7"/>
      <c r="IUD57" s="7"/>
      <c r="IUE57" s="7"/>
      <c r="JDP57" s="7"/>
      <c r="JDQ57" s="7"/>
      <c r="JDR57" s="7"/>
      <c r="JDS57" s="7"/>
      <c r="JDT57" s="7"/>
      <c r="JDU57" s="7"/>
      <c r="JDV57" s="7"/>
      <c r="JDW57" s="7"/>
      <c r="JDX57" s="7"/>
      <c r="JDY57" s="7"/>
      <c r="JDZ57" s="7"/>
      <c r="JEA57" s="7"/>
      <c r="JNL57" s="7"/>
      <c r="JNM57" s="7"/>
      <c r="JNN57" s="7"/>
      <c r="JNO57" s="7"/>
      <c r="JNP57" s="7"/>
      <c r="JNQ57" s="7"/>
      <c r="JNR57" s="7"/>
      <c r="JNS57" s="7"/>
      <c r="JNT57" s="7"/>
      <c r="JNU57" s="7"/>
      <c r="JNV57" s="7"/>
      <c r="JNW57" s="7"/>
      <c r="JXH57" s="7"/>
      <c r="JXI57" s="7"/>
      <c r="JXJ57" s="7"/>
      <c r="JXK57" s="7"/>
      <c r="JXL57" s="7"/>
      <c r="JXM57" s="7"/>
      <c r="JXN57" s="7"/>
      <c r="JXO57" s="7"/>
      <c r="JXP57" s="7"/>
      <c r="JXQ57" s="7"/>
      <c r="JXR57" s="7"/>
      <c r="JXS57" s="7"/>
      <c r="KHD57" s="7"/>
      <c r="KHE57" s="7"/>
      <c r="KHF57" s="7"/>
      <c r="KHG57" s="7"/>
      <c r="KHH57" s="7"/>
      <c r="KHI57" s="7"/>
      <c r="KHJ57" s="7"/>
      <c r="KHK57" s="7"/>
      <c r="KHL57" s="7"/>
      <c r="KHM57" s="7"/>
      <c r="KHN57" s="7"/>
      <c r="KHO57" s="7"/>
      <c r="KQZ57" s="7"/>
      <c r="KRA57" s="7"/>
      <c r="KRB57" s="7"/>
      <c r="KRC57" s="7"/>
      <c r="KRD57" s="7"/>
      <c r="KRE57" s="7"/>
      <c r="KRF57" s="7"/>
      <c r="KRG57" s="7"/>
      <c r="KRH57" s="7"/>
      <c r="KRI57" s="7"/>
      <c r="KRJ57" s="7"/>
      <c r="KRK57" s="7"/>
      <c r="LAV57" s="7"/>
      <c r="LAW57" s="7"/>
      <c r="LAX57" s="7"/>
      <c r="LAY57" s="7"/>
      <c r="LAZ57" s="7"/>
      <c r="LBA57" s="7"/>
      <c r="LBB57" s="7"/>
      <c r="LBC57" s="7"/>
      <c r="LBD57" s="7"/>
      <c r="LBE57" s="7"/>
      <c r="LBF57" s="7"/>
      <c r="LBG57" s="7"/>
      <c r="LKR57" s="7"/>
      <c r="LKS57" s="7"/>
      <c r="LKT57" s="7"/>
      <c r="LKU57" s="7"/>
      <c r="LKV57" s="7"/>
      <c r="LKW57" s="7"/>
      <c r="LKX57" s="7"/>
      <c r="LKY57" s="7"/>
      <c r="LKZ57" s="7"/>
      <c r="LLA57" s="7"/>
      <c r="LLB57" s="7"/>
      <c r="LLC57" s="7"/>
      <c r="LUN57" s="7"/>
      <c r="LUO57" s="7"/>
      <c r="LUP57" s="7"/>
      <c r="LUQ57" s="7"/>
      <c r="LUR57" s="7"/>
      <c r="LUS57" s="7"/>
      <c r="LUT57" s="7"/>
      <c r="LUU57" s="7"/>
      <c r="LUV57" s="7"/>
      <c r="LUW57" s="7"/>
      <c r="LUX57" s="7"/>
      <c r="LUY57" s="7"/>
      <c r="MEJ57" s="7"/>
      <c r="MEK57" s="7"/>
      <c r="MEL57" s="7"/>
      <c r="MEM57" s="7"/>
      <c r="MEN57" s="7"/>
      <c r="MEO57" s="7"/>
      <c r="MEP57" s="7"/>
      <c r="MEQ57" s="7"/>
      <c r="MER57" s="7"/>
      <c r="MES57" s="7"/>
      <c r="MET57" s="7"/>
      <c r="MEU57" s="7"/>
      <c r="MOF57" s="7"/>
      <c r="MOG57" s="7"/>
      <c r="MOH57" s="7"/>
      <c r="MOI57" s="7"/>
      <c r="MOJ57" s="7"/>
      <c r="MOK57" s="7"/>
      <c r="MOL57" s="7"/>
      <c r="MOM57" s="7"/>
      <c r="MON57" s="7"/>
      <c r="MOO57" s="7"/>
      <c r="MOP57" s="7"/>
      <c r="MOQ57" s="7"/>
      <c r="MYB57" s="7"/>
      <c r="MYC57" s="7"/>
      <c r="MYD57" s="7"/>
      <c r="MYE57" s="7"/>
      <c r="MYF57" s="7"/>
      <c r="MYG57" s="7"/>
      <c r="MYH57" s="7"/>
      <c r="MYI57" s="7"/>
      <c r="MYJ57" s="7"/>
      <c r="MYK57" s="7"/>
      <c r="MYL57" s="7"/>
      <c r="MYM57" s="7"/>
      <c r="NHX57" s="7"/>
      <c r="NHY57" s="7"/>
      <c r="NHZ57" s="7"/>
      <c r="NIA57" s="7"/>
      <c r="NIB57" s="7"/>
      <c r="NIC57" s="7"/>
      <c r="NID57" s="7"/>
      <c r="NIE57" s="7"/>
      <c r="NIF57" s="7"/>
      <c r="NIG57" s="7"/>
      <c r="NIH57" s="7"/>
      <c r="NII57" s="7"/>
      <c r="NRT57" s="7"/>
      <c r="NRU57" s="7"/>
      <c r="NRV57" s="7"/>
      <c r="NRW57" s="7"/>
      <c r="NRX57" s="7"/>
      <c r="NRY57" s="7"/>
      <c r="NRZ57" s="7"/>
      <c r="NSA57" s="7"/>
      <c r="NSB57" s="7"/>
      <c r="NSC57" s="7"/>
      <c r="NSD57" s="7"/>
      <c r="NSE57" s="7"/>
      <c r="OBP57" s="7"/>
      <c r="OBQ57" s="7"/>
      <c r="OBR57" s="7"/>
      <c r="OBS57" s="7"/>
      <c r="OBT57" s="7"/>
      <c r="OBU57" s="7"/>
      <c r="OBV57" s="7"/>
      <c r="OBW57" s="7"/>
      <c r="OBX57" s="7"/>
      <c r="OBY57" s="7"/>
      <c r="OBZ57" s="7"/>
      <c r="OCA57" s="7"/>
      <c r="OLL57" s="7"/>
      <c r="OLM57" s="7"/>
      <c r="OLN57" s="7"/>
      <c r="OLO57" s="7"/>
      <c r="OLP57" s="7"/>
      <c r="OLQ57" s="7"/>
      <c r="OLR57" s="7"/>
      <c r="OLS57" s="7"/>
      <c r="OLT57" s="7"/>
      <c r="OLU57" s="7"/>
      <c r="OLV57" s="7"/>
      <c r="OLW57" s="7"/>
      <c r="OVH57" s="7"/>
      <c r="OVI57" s="7"/>
      <c r="OVJ57" s="7"/>
      <c r="OVK57" s="7"/>
      <c r="OVL57" s="7"/>
      <c r="OVM57" s="7"/>
      <c r="OVN57" s="7"/>
      <c r="OVO57" s="7"/>
      <c r="OVP57" s="7"/>
      <c r="OVQ57" s="7"/>
      <c r="OVR57" s="7"/>
      <c r="OVS57" s="7"/>
      <c r="PFD57" s="7"/>
      <c r="PFE57" s="7"/>
      <c r="PFF57" s="7"/>
      <c r="PFG57" s="7"/>
      <c r="PFH57" s="7"/>
      <c r="PFI57" s="7"/>
      <c r="PFJ57" s="7"/>
      <c r="PFK57" s="7"/>
      <c r="PFL57" s="7"/>
      <c r="PFM57" s="7"/>
      <c r="PFN57" s="7"/>
      <c r="PFO57" s="7"/>
      <c r="POZ57" s="7"/>
      <c r="PPA57" s="7"/>
      <c r="PPB57" s="7"/>
      <c r="PPC57" s="7"/>
      <c r="PPD57" s="7"/>
      <c r="PPE57" s="7"/>
      <c r="PPF57" s="7"/>
      <c r="PPG57" s="7"/>
      <c r="PPH57" s="7"/>
      <c r="PPI57" s="7"/>
      <c r="PPJ57" s="7"/>
      <c r="PPK57" s="7"/>
      <c r="PYV57" s="7"/>
      <c r="PYW57" s="7"/>
      <c r="PYX57" s="7"/>
      <c r="PYY57" s="7"/>
      <c r="PYZ57" s="7"/>
      <c r="PZA57" s="7"/>
      <c r="PZB57" s="7"/>
      <c r="PZC57" s="7"/>
      <c r="PZD57" s="7"/>
      <c r="PZE57" s="7"/>
      <c r="PZF57" s="7"/>
      <c r="PZG57" s="7"/>
      <c r="QIR57" s="7"/>
      <c r="QIS57" s="7"/>
      <c r="QIT57" s="7"/>
      <c r="QIU57" s="7"/>
      <c r="QIV57" s="7"/>
      <c r="QIW57" s="7"/>
      <c r="QIX57" s="7"/>
      <c r="QIY57" s="7"/>
      <c r="QIZ57" s="7"/>
      <c r="QJA57" s="7"/>
      <c r="QJB57" s="7"/>
      <c r="QJC57" s="7"/>
      <c r="QSN57" s="7"/>
      <c r="QSO57" s="7"/>
      <c r="QSP57" s="7"/>
      <c r="QSQ57" s="7"/>
      <c r="QSR57" s="7"/>
      <c r="QSS57" s="7"/>
      <c r="QST57" s="7"/>
      <c r="QSU57" s="7"/>
      <c r="QSV57" s="7"/>
      <c r="QSW57" s="7"/>
      <c r="QSX57" s="7"/>
      <c r="QSY57" s="7"/>
      <c r="RCJ57" s="7"/>
      <c r="RCK57" s="7"/>
      <c r="RCL57" s="7"/>
      <c r="RCM57" s="7"/>
      <c r="RCN57" s="7"/>
      <c r="RCO57" s="7"/>
      <c r="RCP57" s="7"/>
      <c r="RCQ57" s="7"/>
      <c r="RCR57" s="7"/>
      <c r="RCS57" s="7"/>
      <c r="RCT57" s="7"/>
      <c r="RCU57" s="7"/>
      <c r="RMF57" s="7"/>
      <c r="RMG57" s="7"/>
      <c r="RMH57" s="7"/>
      <c r="RMI57" s="7"/>
      <c r="RMJ57" s="7"/>
      <c r="RMK57" s="7"/>
      <c r="RML57" s="7"/>
      <c r="RMM57" s="7"/>
      <c r="RMN57" s="7"/>
      <c r="RMO57" s="7"/>
      <c r="RMP57" s="7"/>
      <c r="RMQ57" s="7"/>
      <c r="RWB57" s="7"/>
      <c r="RWC57" s="7"/>
      <c r="RWD57" s="7"/>
      <c r="RWE57" s="7"/>
      <c r="RWF57" s="7"/>
      <c r="RWG57" s="7"/>
      <c r="RWH57" s="7"/>
      <c r="RWI57" s="7"/>
      <c r="RWJ57" s="7"/>
      <c r="RWK57" s="7"/>
      <c r="RWL57" s="7"/>
      <c r="RWM57" s="7"/>
      <c r="SFX57" s="7"/>
      <c r="SFY57" s="7"/>
      <c r="SFZ57" s="7"/>
      <c r="SGA57" s="7"/>
      <c r="SGB57" s="7"/>
      <c r="SGC57" s="7"/>
      <c r="SGD57" s="7"/>
      <c r="SGE57" s="7"/>
      <c r="SGF57" s="7"/>
      <c r="SGG57" s="7"/>
      <c r="SGH57" s="7"/>
      <c r="SGI57" s="7"/>
      <c r="SPT57" s="7"/>
      <c r="SPU57" s="7"/>
      <c r="SPV57" s="7"/>
      <c r="SPW57" s="7"/>
      <c r="SPX57" s="7"/>
      <c r="SPY57" s="7"/>
      <c r="SPZ57" s="7"/>
      <c r="SQA57" s="7"/>
      <c r="SQB57" s="7"/>
      <c r="SQC57" s="7"/>
      <c r="SQD57" s="7"/>
      <c r="SQE57" s="7"/>
      <c r="SZP57" s="7"/>
      <c r="SZQ57" s="7"/>
      <c r="SZR57" s="7"/>
      <c r="SZS57" s="7"/>
      <c r="SZT57" s="7"/>
      <c r="SZU57" s="7"/>
      <c r="SZV57" s="7"/>
      <c r="SZW57" s="7"/>
      <c r="SZX57" s="7"/>
      <c r="SZY57" s="7"/>
      <c r="SZZ57" s="7"/>
      <c r="TAA57" s="7"/>
      <c r="TJL57" s="7"/>
      <c r="TJM57" s="7"/>
      <c r="TJN57" s="7"/>
      <c r="TJO57" s="7"/>
      <c r="TJP57" s="7"/>
      <c r="TJQ57" s="7"/>
      <c r="TJR57" s="7"/>
      <c r="TJS57" s="7"/>
      <c r="TJT57" s="7"/>
      <c r="TJU57" s="7"/>
      <c r="TJV57" s="7"/>
      <c r="TJW57" s="7"/>
      <c r="TTH57" s="7"/>
      <c r="TTI57" s="7"/>
      <c r="TTJ57" s="7"/>
      <c r="TTK57" s="7"/>
      <c r="TTL57" s="7"/>
      <c r="TTM57" s="7"/>
      <c r="TTN57" s="7"/>
      <c r="TTO57" s="7"/>
      <c r="TTP57" s="7"/>
      <c r="TTQ57" s="7"/>
      <c r="TTR57" s="7"/>
      <c r="TTS57" s="7"/>
      <c r="UDD57" s="7"/>
      <c r="UDE57" s="7"/>
      <c r="UDF57" s="7"/>
      <c r="UDG57" s="7"/>
      <c r="UDH57" s="7"/>
      <c r="UDI57" s="7"/>
      <c r="UDJ57" s="7"/>
      <c r="UDK57" s="7"/>
      <c r="UDL57" s="7"/>
      <c r="UDM57" s="7"/>
      <c r="UDN57" s="7"/>
      <c r="UDO57" s="7"/>
      <c r="UMZ57" s="7"/>
      <c r="UNA57" s="7"/>
      <c r="UNB57" s="7"/>
      <c r="UNC57" s="7"/>
      <c r="UND57" s="7"/>
      <c r="UNE57" s="7"/>
      <c r="UNF57" s="7"/>
      <c r="UNG57" s="7"/>
      <c r="UNH57" s="7"/>
      <c r="UNI57" s="7"/>
      <c r="UNJ57" s="7"/>
      <c r="UNK57" s="7"/>
      <c r="UWV57" s="7"/>
      <c r="UWW57" s="7"/>
      <c r="UWX57" s="7"/>
      <c r="UWY57" s="7"/>
      <c r="UWZ57" s="7"/>
      <c r="UXA57" s="7"/>
      <c r="UXB57" s="7"/>
      <c r="UXC57" s="7"/>
      <c r="UXD57" s="7"/>
      <c r="UXE57" s="7"/>
      <c r="UXF57" s="7"/>
      <c r="UXG57" s="7"/>
      <c r="VGR57" s="7"/>
      <c r="VGS57" s="7"/>
      <c r="VGT57" s="7"/>
      <c r="VGU57" s="7"/>
      <c r="VGV57" s="7"/>
      <c r="VGW57" s="7"/>
      <c r="VGX57" s="7"/>
      <c r="VGY57" s="7"/>
      <c r="VGZ57" s="7"/>
      <c r="VHA57" s="7"/>
      <c r="VHB57" s="7"/>
      <c r="VHC57" s="7"/>
      <c r="VQN57" s="7"/>
      <c r="VQO57" s="7"/>
      <c r="VQP57" s="7"/>
      <c r="VQQ57" s="7"/>
      <c r="VQR57" s="7"/>
      <c r="VQS57" s="7"/>
      <c r="VQT57" s="7"/>
      <c r="VQU57" s="7"/>
      <c r="VQV57" s="7"/>
      <c r="VQW57" s="7"/>
      <c r="VQX57" s="7"/>
      <c r="VQY57" s="7"/>
      <c r="WAJ57" s="7"/>
      <c r="WAK57" s="7"/>
      <c r="WAL57" s="7"/>
      <c r="WAM57" s="7"/>
      <c r="WAN57" s="7"/>
      <c r="WAO57" s="7"/>
      <c r="WAP57" s="7"/>
      <c r="WAQ57" s="7"/>
      <c r="WAR57" s="7"/>
      <c r="WAS57" s="7"/>
      <c r="WAT57" s="7"/>
      <c r="WAU57" s="7"/>
      <c r="WKF57" s="7"/>
      <c r="WKG57" s="7"/>
      <c r="WKH57" s="7"/>
      <c r="WKI57" s="7"/>
      <c r="WKJ57" s="7"/>
      <c r="WKK57" s="7"/>
      <c r="WKL57" s="7"/>
      <c r="WKM57" s="7"/>
      <c r="WKN57" s="7"/>
      <c r="WKO57" s="7"/>
      <c r="WKP57" s="7"/>
      <c r="WKQ57" s="7"/>
      <c r="WUB57" s="7"/>
      <c r="WUC57" s="7"/>
      <c r="WUD57" s="7"/>
      <c r="WUE57" s="7"/>
      <c r="WUF57" s="7"/>
      <c r="WUG57" s="7"/>
      <c r="WUH57" s="7"/>
      <c r="WUI57" s="7"/>
      <c r="WUJ57" s="7"/>
      <c r="WUK57" s="7"/>
      <c r="WUL57" s="7"/>
      <c r="WUM57" s="7"/>
    </row>
    <row r="58" spans="1:1003 1248:2027 2272:3051 3296:4075 4320:5099 5344:6123 6368:7147 7392:8171 8416:9195 9440:10219 10464:11243 11488:12267 12512:13291 13536:14315 14560:15339 15584:16107" ht="30" customHeight="1">
      <c r="A58" s="45"/>
      <c r="D58" s="27">
        <v>3</v>
      </c>
      <c r="H58" s="159">
        <v>13</v>
      </c>
      <c r="I58" s="196" t="s">
        <v>225</v>
      </c>
      <c r="J58" s="161"/>
      <c r="K58" s="196"/>
      <c r="L58" s="211">
        <f>Table113[[#This Row],[Qty 2]]+Table113[[#This Row],[Qty 1]]</f>
        <v>13</v>
      </c>
      <c r="M58" s="216">
        <v>66</v>
      </c>
      <c r="N58" s="216">
        <f>Table113[[#This Row],[Unit Cost]]*Table113[[#This Row],[Total Qty All Areas]]</f>
        <v>858</v>
      </c>
    </row>
    <row r="59" spans="1:1003 1248:2027 2272:3051 3296:4075 4320:5099 5344:6123 6368:7147 7392:8171 8416:9195 9440:10219 10464:11243 11488:12267 12512:13291 13536:14315 14560:15339 15584:16107" ht="30" customHeight="1">
      <c r="A59" s="45"/>
      <c r="H59" s="159"/>
      <c r="I59" s="196"/>
      <c r="J59" s="161"/>
      <c r="K59" s="196"/>
      <c r="L59" s="211">
        <f>Table113[[#This Row],[Qty 2]]+Table113[[#This Row],[Qty 1]]</f>
        <v>0</v>
      </c>
      <c r="M59" s="216"/>
      <c r="N59" s="216">
        <f>Table113[[#This Row],[Unit Cost]]*Table113[[#This Row],[Total Qty All Areas]]</f>
        <v>0</v>
      </c>
    </row>
    <row r="60" spans="1:1003 1248:2027 2272:3051 3296:4075 4320:5099 5344:6123 6368:7147 7392:8171 8416:9195 9440:10219 10464:11243 11488:12267 12512:13291 13536:14315 14560:15339 15584:16107" ht="30" customHeight="1">
      <c r="A60" s="176"/>
      <c r="D60" s="169"/>
      <c r="E60" s="169"/>
      <c r="F60" s="303"/>
      <c r="H60" s="159"/>
      <c r="I60" s="196"/>
      <c r="J60" s="161"/>
      <c r="K60" s="196"/>
      <c r="L60" s="211">
        <f>Table113[[#This Row],[Qty 2]]+Table113[[#This Row],[Qty 1]]</f>
        <v>0</v>
      </c>
      <c r="M60" s="216"/>
      <c r="N60" s="216">
        <f>Table113[[#This Row],[Unit Cost]]*Table113[[#This Row],[Total Qty All Areas]]</f>
        <v>0</v>
      </c>
    </row>
    <row r="61" spans="1:1003 1248:2027 2272:3051 3296:4075 4320:5099 5344:6123 6368:7147 7392:8171 8416:9195 9440:10219 10464:11243 11488:12267 12512:13291 13536:14315 14560:15339 15584:16107" s="167" customFormat="1" ht="30" customHeight="1">
      <c r="A61" s="175" t="str">
        <f>'Category Setup'!L44</f>
        <v>F_PL</v>
      </c>
      <c r="B61" s="167" t="str">
        <f>'Category Setup'!E44</f>
        <v>F_PL_Finished_Pallet Lifter</v>
      </c>
      <c r="C61" s="167" t="str">
        <f>'Category Setup'!N44</f>
        <v>F_PL_Finished_Pallet Lifter</v>
      </c>
      <c r="D61" s="168"/>
      <c r="E61" s="168"/>
      <c r="F61" s="172"/>
      <c r="G61" s="172"/>
      <c r="H61" s="173">
        <v>5</v>
      </c>
      <c r="I61" s="197" t="s">
        <v>247</v>
      </c>
      <c r="J61" s="174"/>
      <c r="K61" s="197"/>
      <c r="L61" s="213">
        <f>Table113[[#This Row],[Qty 2]]+Table113[[#This Row],[Qty 1]]</f>
        <v>5</v>
      </c>
      <c r="M61" s="215">
        <v>378</v>
      </c>
      <c r="N61" s="215">
        <f>Table113[[#This Row],[Unit Cost]]*Table113[[#This Row],[Total Qty All Areas]]</f>
        <v>1890</v>
      </c>
      <c r="HP61" s="7"/>
      <c r="HQ61" s="7"/>
      <c r="HR61" s="7"/>
      <c r="HS61" s="7"/>
      <c r="HT61" s="7"/>
      <c r="HU61" s="7"/>
      <c r="HV61" s="7"/>
      <c r="HW61" s="7"/>
      <c r="HX61" s="7"/>
      <c r="HY61" s="7"/>
      <c r="HZ61" s="7"/>
      <c r="IA61" s="7"/>
      <c r="RL61" s="7"/>
      <c r="RM61" s="7"/>
      <c r="RN61" s="7"/>
      <c r="RO61" s="7"/>
      <c r="RP61" s="7"/>
      <c r="RQ61" s="7"/>
      <c r="RR61" s="7"/>
      <c r="RS61" s="7"/>
      <c r="RT61" s="7"/>
      <c r="RU61" s="7"/>
      <c r="RV61" s="7"/>
      <c r="RW61" s="7"/>
      <c r="ABH61" s="7"/>
      <c r="ABI61" s="7"/>
      <c r="ABJ61" s="7"/>
      <c r="ABK61" s="7"/>
      <c r="ABL61" s="7"/>
      <c r="ABM61" s="7"/>
      <c r="ABN61" s="7"/>
      <c r="ABO61" s="7"/>
      <c r="ABP61" s="7"/>
      <c r="ABQ61" s="7"/>
      <c r="ABR61" s="7"/>
      <c r="ABS61" s="7"/>
      <c r="ALD61" s="7"/>
      <c r="ALE61" s="7"/>
      <c r="ALF61" s="7"/>
      <c r="ALG61" s="7"/>
      <c r="ALH61" s="7"/>
      <c r="ALI61" s="7"/>
      <c r="ALJ61" s="7"/>
      <c r="ALK61" s="7"/>
      <c r="ALL61" s="7"/>
      <c r="ALM61" s="7"/>
      <c r="ALN61" s="7"/>
      <c r="ALO61" s="7"/>
      <c r="AUZ61" s="7"/>
      <c r="AVA61" s="7"/>
      <c r="AVB61" s="7"/>
      <c r="AVC61" s="7"/>
      <c r="AVD61" s="7"/>
      <c r="AVE61" s="7"/>
      <c r="AVF61" s="7"/>
      <c r="AVG61" s="7"/>
      <c r="AVH61" s="7"/>
      <c r="AVI61" s="7"/>
      <c r="AVJ61" s="7"/>
      <c r="AVK61" s="7"/>
      <c r="BEV61" s="7"/>
      <c r="BEW61" s="7"/>
      <c r="BEX61" s="7"/>
      <c r="BEY61" s="7"/>
      <c r="BEZ61" s="7"/>
      <c r="BFA61" s="7"/>
      <c r="BFB61" s="7"/>
      <c r="BFC61" s="7"/>
      <c r="BFD61" s="7"/>
      <c r="BFE61" s="7"/>
      <c r="BFF61" s="7"/>
      <c r="BFG61" s="7"/>
      <c r="BOR61" s="7"/>
      <c r="BOS61" s="7"/>
      <c r="BOT61" s="7"/>
      <c r="BOU61" s="7"/>
      <c r="BOV61" s="7"/>
      <c r="BOW61" s="7"/>
      <c r="BOX61" s="7"/>
      <c r="BOY61" s="7"/>
      <c r="BOZ61" s="7"/>
      <c r="BPA61" s="7"/>
      <c r="BPB61" s="7"/>
      <c r="BPC61" s="7"/>
      <c r="BYN61" s="7"/>
      <c r="BYO61" s="7"/>
      <c r="BYP61" s="7"/>
      <c r="BYQ61" s="7"/>
      <c r="BYR61" s="7"/>
      <c r="BYS61" s="7"/>
      <c r="BYT61" s="7"/>
      <c r="BYU61" s="7"/>
      <c r="BYV61" s="7"/>
      <c r="BYW61" s="7"/>
      <c r="BYX61" s="7"/>
      <c r="BYY61" s="7"/>
      <c r="CIJ61" s="7"/>
      <c r="CIK61" s="7"/>
      <c r="CIL61" s="7"/>
      <c r="CIM61" s="7"/>
      <c r="CIN61" s="7"/>
      <c r="CIO61" s="7"/>
      <c r="CIP61" s="7"/>
      <c r="CIQ61" s="7"/>
      <c r="CIR61" s="7"/>
      <c r="CIS61" s="7"/>
      <c r="CIT61" s="7"/>
      <c r="CIU61" s="7"/>
      <c r="CSF61" s="7"/>
      <c r="CSG61" s="7"/>
      <c r="CSH61" s="7"/>
      <c r="CSI61" s="7"/>
      <c r="CSJ61" s="7"/>
      <c r="CSK61" s="7"/>
      <c r="CSL61" s="7"/>
      <c r="CSM61" s="7"/>
      <c r="CSN61" s="7"/>
      <c r="CSO61" s="7"/>
      <c r="CSP61" s="7"/>
      <c r="CSQ61" s="7"/>
      <c r="DCB61" s="7"/>
      <c r="DCC61" s="7"/>
      <c r="DCD61" s="7"/>
      <c r="DCE61" s="7"/>
      <c r="DCF61" s="7"/>
      <c r="DCG61" s="7"/>
      <c r="DCH61" s="7"/>
      <c r="DCI61" s="7"/>
      <c r="DCJ61" s="7"/>
      <c r="DCK61" s="7"/>
      <c r="DCL61" s="7"/>
      <c r="DCM61" s="7"/>
      <c r="DLX61" s="7"/>
      <c r="DLY61" s="7"/>
      <c r="DLZ61" s="7"/>
      <c r="DMA61" s="7"/>
      <c r="DMB61" s="7"/>
      <c r="DMC61" s="7"/>
      <c r="DMD61" s="7"/>
      <c r="DME61" s="7"/>
      <c r="DMF61" s="7"/>
      <c r="DMG61" s="7"/>
      <c r="DMH61" s="7"/>
      <c r="DMI61" s="7"/>
      <c r="DVT61" s="7"/>
      <c r="DVU61" s="7"/>
      <c r="DVV61" s="7"/>
      <c r="DVW61" s="7"/>
      <c r="DVX61" s="7"/>
      <c r="DVY61" s="7"/>
      <c r="DVZ61" s="7"/>
      <c r="DWA61" s="7"/>
      <c r="DWB61" s="7"/>
      <c r="DWC61" s="7"/>
      <c r="DWD61" s="7"/>
      <c r="DWE61" s="7"/>
      <c r="EFP61" s="7"/>
      <c r="EFQ61" s="7"/>
      <c r="EFR61" s="7"/>
      <c r="EFS61" s="7"/>
      <c r="EFT61" s="7"/>
      <c r="EFU61" s="7"/>
      <c r="EFV61" s="7"/>
      <c r="EFW61" s="7"/>
      <c r="EFX61" s="7"/>
      <c r="EFY61" s="7"/>
      <c r="EFZ61" s="7"/>
      <c r="EGA61" s="7"/>
      <c r="EPL61" s="7"/>
      <c r="EPM61" s="7"/>
      <c r="EPN61" s="7"/>
      <c r="EPO61" s="7"/>
      <c r="EPP61" s="7"/>
      <c r="EPQ61" s="7"/>
      <c r="EPR61" s="7"/>
      <c r="EPS61" s="7"/>
      <c r="EPT61" s="7"/>
      <c r="EPU61" s="7"/>
      <c r="EPV61" s="7"/>
      <c r="EPW61" s="7"/>
      <c r="EZH61" s="7"/>
      <c r="EZI61" s="7"/>
      <c r="EZJ61" s="7"/>
      <c r="EZK61" s="7"/>
      <c r="EZL61" s="7"/>
      <c r="EZM61" s="7"/>
      <c r="EZN61" s="7"/>
      <c r="EZO61" s="7"/>
      <c r="EZP61" s="7"/>
      <c r="EZQ61" s="7"/>
      <c r="EZR61" s="7"/>
      <c r="EZS61" s="7"/>
      <c r="FJD61" s="7"/>
      <c r="FJE61" s="7"/>
      <c r="FJF61" s="7"/>
      <c r="FJG61" s="7"/>
      <c r="FJH61" s="7"/>
      <c r="FJI61" s="7"/>
      <c r="FJJ61" s="7"/>
      <c r="FJK61" s="7"/>
      <c r="FJL61" s="7"/>
      <c r="FJM61" s="7"/>
      <c r="FJN61" s="7"/>
      <c r="FJO61" s="7"/>
      <c r="FSZ61" s="7"/>
      <c r="FTA61" s="7"/>
      <c r="FTB61" s="7"/>
      <c r="FTC61" s="7"/>
      <c r="FTD61" s="7"/>
      <c r="FTE61" s="7"/>
      <c r="FTF61" s="7"/>
      <c r="FTG61" s="7"/>
      <c r="FTH61" s="7"/>
      <c r="FTI61" s="7"/>
      <c r="FTJ61" s="7"/>
      <c r="FTK61" s="7"/>
      <c r="GCV61" s="7"/>
      <c r="GCW61" s="7"/>
      <c r="GCX61" s="7"/>
      <c r="GCY61" s="7"/>
      <c r="GCZ61" s="7"/>
      <c r="GDA61" s="7"/>
      <c r="GDB61" s="7"/>
      <c r="GDC61" s="7"/>
      <c r="GDD61" s="7"/>
      <c r="GDE61" s="7"/>
      <c r="GDF61" s="7"/>
      <c r="GDG61" s="7"/>
      <c r="GMR61" s="7"/>
      <c r="GMS61" s="7"/>
      <c r="GMT61" s="7"/>
      <c r="GMU61" s="7"/>
      <c r="GMV61" s="7"/>
      <c r="GMW61" s="7"/>
      <c r="GMX61" s="7"/>
      <c r="GMY61" s="7"/>
      <c r="GMZ61" s="7"/>
      <c r="GNA61" s="7"/>
      <c r="GNB61" s="7"/>
      <c r="GNC61" s="7"/>
      <c r="GWN61" s="7"/>
      <c r="GWO61" s="7"/>
      <c r="GWP61" s="7"/>
      <c r="GWQ61" s="7"/>
      <c r="GWR61" s="7"/>
      <c r="GWS61" s="7"/>
      <c r="GWT61" s="7"/>
      <c r="GWU61" s="7"/>
      <c r="GWV61" s="7"/>
      <c r="GWW61" s="7"/>
      <c r="GWX61" s="7"/>
      <c r="GWY61" s="7"/>
      <c r="HGJ61" s="7"/>
      <c r="HGK61" s="7"/>
      <c r="HGL61" s="7"/>
      <c r="HGM61" s="7"/>
      <c r="HGN61" s="7"/>
      <c r="HGO61" s="7"/>
      <c r="HGP61" s="7"/>
      <c r="HGQ61" s="7"/>
      <c r="HGR61" s="7"/>
      <c r="HGS61" s="7"/>
      <c r="HGT61" s="7"/>
      <c r="HGU61" s="7"/>
      <c r="HQF61" s="7"/>
      <c r="HQG61" s="7"/>
      <c r="HQH61" s="7"/>
      <c r="HQI61" s="7"/>
      <c r="HQJ61" s="7"/>
      <c r="HQK61" s="7"/>
      <c r="HQL61" s="7"/>
      <c r="HQM61" s="7"/>
      <c r="HQN61" s="7"/>
      <c r="HQO61" s="7"/>
      <c r="HQP61" s="7"/>
      <c r="HQQ61" s="7"/>
      <c r="IAB61" s="7"/>
      <c r="IAC61" s="7"/>
      <c r="IAD61" s="7"/>
      <c r="IAE61" s="7"/>
      <c r="IAF61" s="7"/>
      <c r="IAG61" s="7"/>
      <c r="IAH61" s="7"/>
      <c r="IAI61" s="7"/>
      <c r="IAJ61" s="7"/>
      <c r="IAK61" s="7"/>
      <c r="IAL61" s="7"/>
      <c r="IAM61" s="7"/>
      <c r="IJX61" s="7"/>
      <c r="IJY61" s="7"/>
      <c r="IJZ61" s="7"/>
      <c r="IKA61" s="7"/>
      <c r="IKB61" s="7"/>
      <c r="IKC61" s="7"/>
      <c r="IKD61" s="7"/>
      <c r="IKE61" s="7"/>
      <c r="IKF61" s="7"/>
      <c r="IKG61" s="7"/>
      <c r="IKH61" s="7"/>
      <c r="IKI61" s="7"/>
      <c r="ITT61" s="7"/>
      <c r="ITU61" s="7"/>
      <c r="ITV61" s="7"/>
      <c r="ITW61" s="7"/>
      <c r="ITX61" s="7"/>
      <c r="ITY61" s="7"/>
      <c r="ITZ61" s="7"/>
      <c r="IUA61" s="7"/>
      <c r="IUB61" s="7"/>
      <c r="IUC61" s="7"/>
      <c r="IUD61" s="7"/>
      <c r="IUE61" s="7"/>
      <c r="JDP61" s="7"/>
      <c r="JDQ61" s="7"/>
      <c r="JDR61" s="7"/>
      <c r="JDS61" s="7"/>
      <c r="JDT61" s="7"/>
      <c r="JDU61" s="7"/>
      <c r="JDV61" s="7"/>
      <c r="JDW61" s="7"/>
      <c r="JDX61" s="7"/>
      <c r="JDY61" s="7"/>
      <c r="JDZ61" s="7"/>
      <c r="JEA61" s="7"/>
      <c r="JNL61" s="7"/>
      <c r="JNM61" s="7"/>
      <c r="JNN61" s="7"/>
      <c r="JNO61" s="7"/>
      <c r="JNP61" s="7"/>
      <c r="JNQ61" s="7"/>
      <c r="JNR61" s="7"/>
      <c r="JNS61" s="7"/>
      <c r="JNT61" s="7"/>
      <c r="JNU61" s="7"/>
      <c r="JNV61" s="7"/>
      <c r="JNW61" s="7"/>
      <c r="JXH61" s="7"/>
      <c r="JXI61" s="7"/>
      <c r="JXJ61" s="7"/>
      <c r="JXK61" s="7"/>
      <c r="JXL61" s="7"/>
      <c r="JXM61" s="7"/>
      <c r="JXN61" s="7"/>
      <c r="JXO61" s="7"/>
      <c r="JXP61" s="7"/>
      <c r="JXQ61" s="7"/>
      <c r="JXR61" s="7"/>
      <c r="JXS61" s="7"/>
      <c r="KHD61" s="7"/>
      <c r="KHE61" s="7"/>
      <c r="KHF61" s="7"/>
      <c r="KHG61" s="7"/>
      <c r="KHH61" s="7"/>
      <c r="KHI61" s="7"/>
      <c r="KHJ61" s="7"/>
      <c r="KHK61" s="7"/>
      <c r="KHL61" s="7"/>
      <c r="KHM61" s="7"/>
      <c r="KHN61" s="7"/>
      <c r="KHO61" s="7"/>
      <c r="KQZ61" s="7"/>
      <c r="KRA61" s="7"/>
      <c r="KRB61" s="7"/>
      <c r="KRC61" s="7"/>
      <c r="KRD61" s="7"/>
      <c r="KRE61" s="7"/>
      <c r="KRF61" s="7"/>
      <c r="KRG61" s="7"/>
      <c r="KRH61" s="7"/>
      <c r="KRI61" s="7"/>
      <c r="KRJ61" s="7"/>
      <c r="KRK61" s="7"/>
      <c r="LAV61" s="7"/>
      <c r="LAW61" s="7"/>
      <c r="LAX61" s="7"/>
      <c r="LAY61" s="7"/>
      <c r="LAZ61" s="7"/>
      <c r="LBA61" s="7"/>
      <c r="LBB61" s="7"/>
      <c r="LBC61" s="7"/>
      <c r="LBD61" s="7"/>
      <c r="LBE61" s="7"/>
      <c r="LBF61" s="7"/>
      <c r="LBG61" s="7"/>
      <c r="LKR61" s="7"/>
      <c r="LKS61" s="7"/>
      <c r="LKT61" s="7"/>
      <c r="LKU61" s="7"/>
      <c r="LKV61" s="7"/>
      <c r="LKW61" s="7"/>
      <c r="LKX61" s="7"/>
      <c r="LKY61" s="7"/>
      <c r="LKZ61" s="7"/>
      <c r="LLA61" s="7"/>
      <c r="LLB61" s="7"/>
      <c r="LLC61" s="7"/>
      <c r="LUN61" s="7"/>
      <c r="LUO61" s="7"/>
      <c r="LUP61" s="7"/>
      <c r="LUQ61" s="7"/>
      <c r="LUR61" s="7"/>
      <c r="LUS61" s="7"/>
      <c r="LUT61" s="7"/>
      <c r="LUU61" s="7"/>
      <c r="LUV61" s="7"/>
      <c r="LUW61" s="7"/>
      <c r="LUX61" s="7"/>
      <c r="LUY61" s="7"/>
      <c r="MEJ61" s="7"/>
      <c r="MEK61" s="7"/>
      <c r="MEL61" s="7"/>
      <c r="MEM61" s="7"/>
      <c r="MEN61" s="7"/>
      <c r="MEO61" s="7"/>
      <c r="MEP61" s="7"/>
      <c r="MEQ61" s="7"/>
      <c r="MER61" s="7"/>
      <c r="MES61" s="7"/>
      <c r="MET61" s="7"/>
      <c r="MEU61" s="7"/>
      <c r="MOF61" s="7"/>
      <c r="MOG61" s="7"/>
      <c r="MOH61" s="7"/>
      <c r="MOI61" s="7"/>
      <c r="MOJ61" s="7"/>
      <c r="MOK61" s="7"/>
      <c r="MOL61" s="7"/>
      <c r="MOM61" s="7"/>
      <c r="MON61" s="7"/>
      <c r="MOO61" s="7"/>
      <c r="MOP61" s="7"/>
      <c r="MOQ61" s="7"/>
      <c r="MYB61" s="7"/>
      <c r="MYC61" s="7"/>
      <c r="MYD61" s="7"/>
      <c r="MYE61" s="7"/>
      <c r="MYF61" s="7"/>
      <c r="MYG61" s="7"/>
      <c r="MYH61" s="7"/>
      <c r="MYI61" s="7"/>
      <c r="MYJ61" s="7"/>
      <c r="MYK61" s="7"/>
      <c r="MYL61" s="7"/>
      <c r="MYM61" s="7"/>
      <c r="NHX61" s="7"/>
      <c r="NHY61" s="7"/>
      <c r="NHZ61" s="7"/>
      <c r="NIA61" s="7"/>
      <c r="NIB61" s="7"/>
      <c r="NIC61" s="7"/>
      <c r="NID61" s="7"/>
      <c r="NIE61" s="7"/>
      <c r="NIF61" s="7"/>
      <c r="NIG61" s="7"/>
      <c r="NIH61" s="7"/>
      <c r="NII61" s="7"/>
      <c r="NRT61" s="7"/>
      <c r="NRU61" s="7"/>
      <c r="NRV61" s="7"/>
      <c r="NRW61" s="7"/>
      <c r="NRX61" s="7"/>
      <c r="NRY61" s="7"/>
      <c r="NRZ61" s="7"/>
      <c r="NSA61" s="7"/>
      <c r="NSB61" s="7"/>
      <c r="NSC61" s="7"/>
      <c r="NSD61" s="7"/>
      <c r="NSE61" s="7"/>
      <c r="OBP61" s="7"/>
      <c r="OBQ61" s="7"/>
      <c r="OBR61" s="7"/>
      <c r="OBS61" s="7"/>
      <c r="OBT61" s="7"/>
      <c r="OBU61" s="7"/>
      <c r="OBV61" s="7"/>
      <c r="OBW61" s="7"/>
      <c r="OBX61" s="7"/>
      <c r="OBY61" s="7"/>
      <c r="OBZ61" s="7"/>
      <c r="OCA61" s="7"/>
      <c r="OLL61" s="7"/>
      <c r="OLM61" s="7"/>
      <c r="OLN61" s="7"/>
      <c r="OLO61" s="7"/>
      <c r="OLP61" s="7"/>
      <c r="OLQ61" s="7"/>
      <c r="OLR61" s="7"/>
      <c r="OLS61" s="7"/>
      <c r="OLT61" s="7"/>
      <c r="OLU61" s="7"/>
      <c r="OLV61" s="7"/>
      <c r="OLW61" s="7"/>
      <c r="OVH61" s="7"/>
      <c r="OVI61" s="7"/>
      <c r="OVJ61" s="7"/>
      <c r="OVK61" s="7"/>
      <c r="OVL61" s="7"/>
      <c r="OVM61" s="7"/>
      <c r="OVN61" s="7"/>
      <c r="OVO61" s="7"/>
      <c r="OVP61" s="7"/>
      <c r="OVQ61" s="7"/>
      <c r="OVR61" s="7"/>
      <c r="OVS61" s="7"/>
      <c r="PFD61" s="7"/>
      <c r="PFE61" s="7"/>
      <c r="PFF61" s="7"/>
      <c r="PFG61" s="7"/>
      <c r="PFH61" s="7"/>
      <c r="PFI61" s="7"/>
      <c r="PFJ61" s="7"/>
      <c r="PFK61" s="7"/>
      <c r="PFL61" s="7"/>
      <c r="PFM61" s="7"/>
      <c r="PFN61" s="7"/>
      <c r="PFO61" s="7"/>
      <c r="POZ61" s="7"/>
      <c r="PPA61" s="7"/>
      <c r="PPB61" s="7"/>
      <c r="PPC61" s="7"/>
      <c r="PPD61" s="7"/>
      <c r="PPE61" s="7"/>
      <c r="PPF61" s="7"/>
      <c r="PPG61" s="7"/>
      <c r="PPH61" s="7"/>
      <c r="PPI61" s="7"/>
      <c r="PPJ61" s="7"/>
      <c r="PPK61" s="7"/>
      <c r="PYV61" s="7"/>
      <c r="PYW61" s="7"/>
      <c r="PYX61" s="7"/>
      <c r="PYY61" s="7"/>
      <c r="PYZ61" s="7"/>
      <c r="PZA61" s="7"/>
      <c r="PZB61" s="7"/>
      <c r="PZC61" s="7"/>
      <c r="PZD61" s="7"/>
      <c r="PZE61" s="7"/>
      <c r="PZF61" s="7"/>
      <c r="PZG61" s="7"/>
      <c r="QIR61" s="7"/>
      <c r="QIS61" s="7"/>
      <c r="QIT61" s="7"/>
      <c r="QIU61" s="7"/>
      <c r="QIV61" s="7"/>
      <c r="QIW61" s="7"/>
      <c r="QIX61" s="7"/>
      <c r="QIY61" s="7"/>
      <c r="QIZ61" s="7"/>
      <c r="QJA61" s="7"/>
      <c r="QJB61" s="7"/>
      <c r="QJC61" s="7"/>
      <c r="QSN61" s="7"/>
      <c r="QSO61" s="7"/>
      <c r="QSP61" s="7"/>
      <c r="QSQ61" s="7"/>
      <c r="QSR61" s="7"/>
      <c r="QSS61" s="7"/>
      <c r="QST61" s="7"/>
      <c r="QSU61" s="7"/>
      <c r="QSV61" s="7"/>
      <c r="QSW61" s="7"/>
      <c r="QSX61" s="7"/>
      <c r="QSY61" s="7"/>
      <c r="RCJ61" s="7"/>
      <c r="RCK61" s="7"/>
      <c r="RCL61" s="7"/>
      <c r="RCM61" s="7"/>
      <c r="RCN61" s="7"/>
      <c r="RCO61" s="7"/>
      <c r="RCP61" s="7"/>
      <c r="RCQ61" s="7"/>
      <c r="RCR61" s="7"/>
      <c r="RCS61" s="7"/>
      <c r="RCT61" s="7"/>
      <c r="RCU61" s="7"/>
      <c r="RMF61" s="7"/>
      <c r="RMG61" s="7"/>
      <c r="RMH61" s="7"/>
      <c r="RMI61" s="7"/>
      <c r="RMJ61" s="7"/>
      <c r="RMK61" s="7"/>
      <c r="RML61" s="7"/>
      <c r="RMM61" s="7"/>
      <c r="RMN61" s="7"/>
      <c r="RMO61" s="7"/>
      <c r="RMP61" s="7"/>
      <c r="RMQ61" s="7"/>
      <c r="RWB61" s="7"/>
      <c r="RWC61" s="7"/>
      <c r="RWD61" s="7"/>
      <c r="RWE61" s="7"/>
      <c r="RWF61" s="7"/>
      <c r="RWG61" s="7"/>
      <c r="RWH61" s="7"/>
      <c r="RWI61" s="7"/>
      <c r="RWJ61" s="7"/>
      <c r="RWK61" s="7"/>
      <c r="RWL61" s="7"/>
      <c r="RWM61" s="7"/>
      <c r="SFX61" s="7"/>
      <c r="SFY61" s="7"/>
      <c r="SFZ61" s="7"/>
      <c r="SGA61" s="7"/>
      <c r="SGB61" s="7"/>
      <c r="SGC61" s="7"/>
      <c r="SGD61" s="7"/>
      <c r="SGE61" s="7"/>
      <c r="SGF61" s="7"/>
      <c r="SGG61" s="7"/>
      <c r="SGH61" s="7"/>
      <c r="SGI61" s="7"/>
      <c r="SPT61" s="7"/>
      <c r="SPU61" s="7"/>
      <c r="SPV61" s="7"/>
      <c r="SPW61" s="7"/>
      <c r="SPX61" s="7"/>
      <c r="SPY61" s="7"/>
      <c r="SPZ61" s="7"/>
      <c r="SQA61" s="7"/>
      <c r="SQB61" s="7"/>
      <c r="SQC61" s="7"/>
      <c r="SQD61" s="7"/>
      <c r="SQE61" s="7"/>
      <c r="SZP61" s="7"/>
      <c r="SZQ61" s="7"/>
      <c r="SZR61" s="7"/>
      <c r="SZS61" s="7"/>
      <c r="SZT61" s="7"/>
      <c r="SZU61" s="7"/>
      <c r="SZV61" s="7"/>
      <c r="SZW61" s="7"/>
      <c r="SZX61" s="7"/>
      <c r="SZY61" s="7"/>
      <c r="SZZ61" s="7"/>
      <c r="TAA61" s="7"/>
      <c r="TJL61" s="7"/>
      <c r="TJM61" s="7"/>
      <c r="TJN61" s="7"/>
      <c r="TJO61" s="7"/>
      <c r="TJP61" s="7"/>
      <c r="TJQ61" s="7"/>
      <c r="TJR61" s="7"/>
      <c r="TJS61" s="7"/>
      <c r="TJT61" s="7"/>
      <c r="TJU61" s="7"/>
      <c r="TJV61" s="7"/>
      <c r="TJW61" s="7"/>
      <c r="TTH61" s="7"/>
      <c r="TTI61" s="7"/>
      <c r="TTJ61" s="7"/>
      <c r="TTK61" s="7"/>
      <c r="TTL61" s="7"/>
      <c r="TTM61" s="7"/>
      <c r="TTN61" s="7"/>
      <c r="TTO61" s="7"/>
      <c r="TTP61" s="7"/>
      <c r="TTQ61" s="7"/>
      <c r="TTR61" s="7"/>
      <c r="TTS61" s="7"/>
      <c r="UDD61" s="7"/>
      <c r="UDE61" s="7"/>
      <c r="UDF61" s="7"/>
      <c r="UDG61" s="7"/>
      <c r="UDH61" s="7"/>
      <c r="UDI61" s="7"/>
      <c r="UDJ61" s="7"/>
      <c r="UDK61" s="7"/>
      <c r="UDL61" s="7"/>
      <c r="UDM61" s="7"/>
      <c r="UDN61" s="7"/>
      <c r="UDO61" s="7"/>
      <c r="UMZ61" s="7"/>
      <c r="UNA61" s="7"/>
      <c r="UNB61" s="7"/>
      <c r="UNC61" s="7"/>
      <c r="UND61" s="7"/>
      <c r="UNE61" s="7"/>
      <c r="UNF61" s="7"/>
      <c r="UNG61" s="7"/>
      <c r="UNH61" s="7"/>
      <c r="UNI61" s="7"/>
      <c r="UNJ61" s="7"/>
      <c r="UNK61" s="7"/>
      <c r="UWV61" s="7"/>
      <c r="UWW61" s="7"/>
      <c r="UWX61" s="7"/>
      <c r="UWY61" s="7"/>
      <c r="UWZ61" s="7"/>
      <c r="UXA61" s="7"/>
      <c r="UXB61" s="7"/>
      <c r="UXC61" s="7"/>
      <c r="UXD61" s="7"/>
      <c r="UXE61" s="7"/>
      <c r="UXF61" s="7"/>
      <c r="UXG61" s="7"/>
      <c r="VGR61" s="7"/>
      <c r="VGS61" s="7"/>
      <c r="VGT61" s="7"/>
      <c r="VGU61" s="7"/>
      <c r="VGV61" s="7"/>
      <c r="VGW61" s="7"/>
      <c r="VGX61" s="7"/>
      <c r="VGY61" s="7"/>
      <c r="VGZ61" s="7"/>
      <c r="VHA61" s="7"/>
      <c r="VHB61" s="7"/>
      <c r="VHC61" s="7"/>
      <c r="VQN61" s="7"/>
      <c r="VQO61" s="7"/>
      <c r="VQP61" s="7"/>
      <c r="VQQ61" s="7"/>
      <c r="VQR61" s="7"/>
      <c r="VQS61" s="7"/>
      <c r="VQT61" s="7"/>
      <c r="VQU61" s="7"/>
      <c r="VQV61" s="7"/>
      <c r="VQW61" s="7"/>
      <c r="VQX61" s="7"/>
      <c r="VQY61" s="7"/>
      <c r="WAJ61" s="7"/>
      <c r="WAK61" s="7"/>
      <c r="WAL61" s="7"/>
      <c r="WAM61" s="7"/>
      <c r="WAN61" s="7"/>
      <c r="WAO61" s="7"/>
      <c r="WAP61" s="7"/>
      <c r="WAQ61" s="7"/>
      <c r="WAR61" s="7"/>
      <c r="WAS61" s="7"/>
      <c r="WAT61" s="7"/>
      <c r="WAU61" s="7"/>
      <c r="WKF61" s="7"/>
      <c r="WKG61" s="7"/>
      <c r="WKH61" s="7"/>
      <c r="WKI61" s="7"/>
      <c r="WKJ61" s="7"/>
      <c r="WKK61" s="7"/>
      <c r="WKL61" s="7"/>
      <c r="WKM61" s="7"/>
      <c r="WKN61" s="7"/>
      <c r="WKO61" s="7"/>
      <c r="WKP61" s="7"/>
      <c r="WKQ61" s="7"/>
      <c r="WUB61" s="7"/>
      <c r="WUC61" s="7"/>
      <c r="WUD61" s="7"/>
      <c r="WUE61" s="7"/>
      <c r="WUF61" s="7"/>
      <c r="WUG61" s="7"/>
      <c r="WUH61" s="7"/>
      <c r="WUI61" s="7"/>
      <c r="WUJ61" s="7"/>
      <c r="WUK61" s="7"/>
      <c r="WUL61" s="7"/>
      <c r="WUM61" s="7"/>
    </row>
    <row r="62" spans="1:1003 1248:2027 2272:3051 3296:4075 4320:5099 5344:6123 6368:7147 7392:8171 8416:9195 9440:10219 10464:11243 11488:12267 12512:13291 13536:14315 14560:15339 15584:16107" ht="30" customHeight="1">
      <c r="A62" s="45"/>
      <c r="H62" s="159"/>
      <c r="I62" s="196"/>
      <c r="J62" s="161"/>
      <c r="K62" s="196"/>
      <c r="L62" s="211">
        <f>Table113[[#This Row],[Qty 2]]+Table113[[#This Row],[Qty 1]]</f>
        <v>0</v>
      </c>
      <c r="M62" s="216"/>
      <c r="N62" s="216">
        <f>Table113[[#This Row],[Unit Cost]]*Table113[[#This Row],[Total Qty All Areas]]</f>
        <v>0</v>
      </c>
    </row>
    <row r="63" spans="1:1003 1248:2027 2272:3051 3296:4075 4320:5099 5344:6123 6368:7147 7392:8171 8416:9195 9440:10219 10464:11243 11488:12267 12512:13291 13536:14315 14560:15339 15584:16107" ht="30" customHeight="1">
      <c r="A63" s="45"/>
      <c r="H63" s="159"/>
      <c r="I63" s="196"/>
      <c r="J63" s="161"/>
      <c r="K63" s="196"/>
      <c r="L63" s="211">
        <f>Table113[[#This Row],[Qty 2]]+Table113[[#This Row],[Qty 1]]</f>
        <v>0</v>
      </c>
      <c r="M63" s="216"/>
      <c r="N63" s="216">
        <f>Table113[[#This Row],[Unit Cost]]*Table113[[#This Row],[Total Qty All Areas]]</f>
        <v>0</v>
      </c>
    </row>
    <row r="64" spans="1:1003 1248:2027 2272:3051 3296:4075 4320:5099 5344:6123 6368:7147 7392:8171 8416:9195 9440:10219 10464:11243 11488:12267 12512:13291 13536:14315 14560:15339 15584:16107" ht="30" customHeight="1">
      <c r="A64" s="176"/>
      <c r="D64" s="169"/>
      <c r="E64" s="169"/>
      <c r="F64" s="303"/>
      <c r="H64" s="159"/>
      <c r="I64" s="196"/>
      <c r="J64" s="161"/>
      <c r="K64" s="196"/>
      <c r="L64" s="211">
        <f>Table113[[#This Row],[Qty 2]]+Table113[[#This Row],[Qty 1]]</f>
        <v>0</v>
      </c>
      <c r="M64" s="216"/>
      <c r="N64" s="216">
        <f>Table113[[#This Row],[Unit Cost]]*Table113[[#This Row],[Total Qty All Areas]]</f>
        <v>0</v>
      </c>
    </row>
    <row r="65" spans="1:1003 1248:2027 2272:3051 3296:4075 4320:5099 5344:6123 6368:7147 7392:8171 8416:9195 9440:10219 10464:11243 11488:12267 12512:13291 13536:14315 14560:15339 15584:16107" s="167" customFormat="1" ht="30" customHeight="1">
      <c r="A65" s="175" t="str">
        <f>'Category Setup'!L45</f>
        <v>F_FLB</v>
      </c>
      <c r="B65" s="167" t="str">
        <f>'Category Setup'!E45</f>
        <v>F_FLB_Finished_Fork Lift Bucket</v>
      </c>
      <c r="C65" s="167" t="str">
        <f>'Category Setup'!N45</f>
        <v>F_FLB_Finished_Fork Lift Bucket</v>
      </c>
      <c r="D65" s="168"/>
      <c r="E65" s="168"/>
      <c r="F65" s="172"/>
      <c r="G65" s="172"/>
      <c r="H65" s="173"/>
      <c r="I65" s="197"/>
      <c r="J65" s="174"/>
      <c r="K65" s="197"/>
      <c r="L65" s="213">
        <f>Table113[[#This Row],[Qty 2]]+Table113[[#This Row],[Qty 1]]</f>
        <v>0</v>
      </c>
      <c r="M65" s="215"/>
      <c r="N65" s="215">
        <f>Table113[[#This Row],[Unit Cost]]*Table113[[#This Row],[Total Qty All Areas]]</f>
        <v>0</v>
      </c>
      <c r="HP65" s="7"/>
      <c r="HQ65" s="7"/>
      <c r="HR65" s="7"/>
      <c r="HS65" s="7"/>
      <c r="HT65" s="7"/>
      <c r="HU65" s="7"/>
      <c r="HV65" s="7"/>
      <c r="HW65" s="7"/>
      <c r="HX65" s="7"/>
      <c r="HY65" s="7"/>
      <c r="HZ65" s="7"/>
      <c r="IA65" s="7"/>
      <c r="RL65" s="7"/>
      <c r="RM65" s="7"/>
      <c r="RN65" s="7"/>
      <c r="RO65" s="7"/>
      <c r="RP65" s="7"/>
      <c r="RQ65" s="7"/>
      <c r="RR65" s="7"/>
      <c r="RS65" s="7"/>
      <c r="RT65" s="7"/>
      <c r="RU65" s="7"/>
      <c r="RV65" s="7"/>
      <c r="RW65" s="7"/>
      <c r="ABH65" s="7"/>
      <c r="ABI65" s="7"/>
      <c r="ABJ65" s="7"/>
      <c r="ABK65" s="7"/>
      <c r="ABL65" s="7"/>
      <c r="ABM65" s="7"/>
      <c r="ABN65" s="7"/>
      <c r="ABO65" s="7"/>
      <c r="ABP65" s="7"/>
      <c r="ABQ65" s="7"/>
      <c r="ABR65" s="7"/>
      <c r="ABS65" s="7"/>
      <c r="ALD65" s="7"/>
      <c r="ALE65" s="7"/>
      <c r="ALF65" s="7"/>
      <c r="ALG65" s="7"/>
      <c r="ALH65" s="7"/>
      <c r="ALI65" s="7"/>
      <c r="ALJ65" s="7"/>
      <c r="ALK65" s="7"/>
      <c r="ALL65" s="7"/>
      <c r="ALM65" s="7"/>
      <c r="ALN65" s="7"/>
      <c r="ALO65" s="7"/>
      <c r="AUZ65" s="7"/>
      <c r="AVA65" s="7"/>
      <c r="AVB65" s="7"/>
      <c r="AVC65" s="7"/>
      <c r="AVD65" s="7"/>
      <c r="AVE65" s="7"/>
      <c r="AVF65" s="7"/>
      <c r="AVG65" s="7"/>
      <c r="AVH65" s="7"/>
      <c r="AVI65" s="7"/>
      <c r="AVJ65" s="7"/>
      <c r="AVK65" s="7"/>
      <c r="BEV65" s="7"/>
      <c r="BEW65" s="7"/>
      <c r="BEX65" s="7"/>
      <c r="BEY65" s="7"/>
      <c r="BEZ65" s="7"/>
      <c r="BFA65" s="7"/>
      <c r="BFB65" s="7"/>
      <c r="BFC65" s="7"/>
      <c r="BFD65" s="7"/>
      <c r="BFE65" s="7"/>
      <c r="BFF65" s="7"/>
      <c r="BFG65" s="7"/>
      <c r="BOR65" s="7"/>
      <c r="BOS65" s="7"/>
      <c r="BOT65" s="7"/>
      <c r="BOU65" s="7"/>
      <c r="BOV65" s="7"/>
      <c r="BOW65" s="7"/>
      <c r="BOX65" s="7"/>
      <c r="BOY65" s="7"/>
      <c r="BOZ65" s="7"/>
      <c r="BPA65" s="7"/>
      <c r="BPB65" s="7"/>
      <c r="BPC65" s="7"/>
      <c r="BYN65" s="7"/>
      <c r="BYO65" s="7"/>
      <c r="BYP65" s="7"/>
      <c r="BYQ65" s="7"/>
      <c r="BYR65" s="7"/>
      <c r="BYS65" s="7"/>
      <c r="BYT65" s="7"/>
      <c r="BYU65" s="7"/>
      <c r="BYV65" s="7"/>
      <c r="BYW65" s="7"/>
      <c r="BYX65" s="7"/>
      <c r="BYY65" s="7"/>
      <c r="CIJ65" s="7"/>
      <c r="CIK65" s="7"/>
      <c r="CIL65" s="7"/>
      <c r="CIM65" s="7"/>
      <c r="CIN65" s="7"/>
      <c r="CIO65" s="7"/>
      <c r="CIP65" s="7"/>
      <c r="CIQ65" s="7"/>
      <c r="CIR65" s="7"/>
      <c r="CIS65" s="7"/>
      <c r="CIT65" s="7"/>
      <c r="CIU65" s="7"/>
      <c r="CSF65" s="7"/>
      <c r="CSG65" s="7"/>
      <c r="CSH65" s="7"/>
      <c r="CSI65" s="7"/>
      <c r="CSJ65" s="7"/>
      <c r="CSK65" s="7"/>
      <c r="CSL65" s="7"/>
      <c r="CSM65" s="7"/>
      <c r="CSN65" s="7"/>
      <c r="CSO65" s="7"/>
      <c r="CSP65" s="7"/>
      <c r="CSQ65" s="7"/>
      <c r="DCB65" s="7"/>
      <c r="DCC65" s="7"/>
      <c r="DCD65" s="7"/>
      <c r="DCE65" s="7"/>
      <c r="DCF65" s="7"/>
      <c r="DCG65" s="7"/>
      <c r="DCH65" s="7"/>
      <c r="DCI65" s="7"/>
      <c r="DCJ65" s="7"/>
      <c r="DCK65" s="7"/>
      <c r="DCL65" s="7"/>
      <c r="DCM65" s="7"/>
      <c r="DLX65" s="7"/>
      <c r="DLY65" s="7"/>
      <c r="DLZ65" s="7"/>
      <c r="DMA65" s="7"/>
      <c r="DMB65" s="7"/>
      <c r="DMC65" s="7"/>
      <c r="DMD65" s="7"/>
      <c r="DME65" s="7"/>
      <c r="DMF65" s="7"/>
      <c r="DMG65" s="7"/>
      <c r="DMH65" s="7"/>
      <c r="DMI65" s="7"/>
      <c r="DVT65" s="7"/>
      <c r="DVU65" s="7"/>
      <c r="DVV65" s="7"/>
      <c r="DVW65" s="7"/>
      <c r="DVX65" s="7"/>
      <c r="DVY65" s="7"/>
      <c r="DVZ65" s="7"/>
      <c r="DWA65" s="7"/>
      <c r="DWB65" s="7"/>
      <c r="DWC65" s="7"/>
      <c r="DWD65" s="7"/>
      <c r="DWE65" s="7"/>
      <c r="EFP65" s="7"/>
      <c r="EFQ65" s="7"/>
      <c r="EFR65" s="7"/>
      <c r="EFS65" s="7"/>
      <c r="EFT65" s="7"/>
      <c r="EFU65" s="7"/>
      <c r="EFV65" s="7"/>
      <c r="EFW65" s="7"/>
      <c r="EFX65" s="7"/>
      <c r="EFY65" s="7"/>
      <c r="EFZ65" s="7"/>
      <c r="EGA65" s="7"/>
      <c r="EPL65" s="7"/>
      <c r="EPM65" s="7"/>
      <c r="EPN65" s="7"/>
      <c r="EPO65" s="7"/>
      <c r="EPP65" s="7"/>
      <c r="EPQ65" s="7"/>
      <c r="EPR65" s="7"/>
      <c r="EPS65" s="7"/>
      <c r="EPT65" s="7"/>
      <c r="EPU65" s="7"/>
      <c r="EPV65" s="7"/>
      <c r="EPW65" s="7"/>
      <c r="EZH65" s="7"/>
      <c r="EZI65" s="7"/>
      <c r="EZJ65" s="7"/>
      <c r="EZK65" s="7"/>
      <c r="EZL65" s="7"/>
      <c r="EZM65" s="7"/>
      <c r="EZN65" s="7"/>
      <c r="EZO65" s="7"/>
      <c r="EZP65" s="7"/>
      <c r="EZQ65" s="7"/>
      <c r="EZR65" s="7"/>
      <c r="EZS65" s="7"/>
      <c r="FJD65" s="7"/>
      <c r="FJE65" s="7"/>
      <c r="FJF65" s="7"/>
      <c r="FJG65" s="7"/>
      <c r="FJH65" s="7"/>
      <c r="FJI65" s="7"/>
      <c r="FJJ65" s="7"/>
      <c r="FJK65" s="7"/>
      <c r="FJL65" s="7"/>
      <c r="FJM65" s="7"/>
      <c r="FJN65" s="7"/>
      <c r="FJO65" s="7"/>
      <c r="FSZ65" s="7"/>
      <c r="FTA65" s="7"/>
      <c r="FTB65" s="7"/>
      <c r="FTC65" s="7"/>
      <c r="FTD65" s="7"/>
      <c r="FTE65" s="7"/>
      <c r="FTF65" s="7"/>
      <c r="FTG65" s="7"/>
      <c r="FTH65" s="7"/>
      <c r="FTI65" s="7"/>
      <c r="FTJ65" s="7"/>
      <c r="FTK65" s="7"/>
      <c r="GCV65" s="7"/>
      <c r="GCW65" s="7"/>
      <c r="GCX65" s="7"/>
      <c r="GCY65" s="7"/>
      <c r="GCZ65" s="7"/>
      <c r="GDA65" s="7"/>
      <c r="GDB65" s="7"/>
      <c r="GDC65" s="7"/>
      <c r="GDD65" s="7"/>
      <c r="GDE65" s="7"/>
      <c r="GDF65" s="7"/>
      <c r="GDG65" s="7"/>
      <c r="GMR65" s="7"/>
      <c r="GMS65" s="7"/>
      <c r="GMT65" s="7"/>
      <c r="GMU65" s="7"/>
      <c r="GMV65" s="7"/>
      <c r="GMW65" s="7"/>
      <c r="GMX65" s="7"/>
      <c r="GMY65" s="7"/>
      <c r="GMZ65" s="7"/>
      <c r="GNA65" s="7"/>
      <c r="GNB65" s="7"/>
      <c r="GNC65" s="7"/>
      <c r="GWN65" s="7"/>
      <c r="GWO65" s="7"/>
      <c r="GWP65" s="7"/>
      <c r="GWQ65" s="7"/>
      <c r="GWR65" s="7"/>
      <c r="GWS65" s="7"/>
      <c r="GWT65" s="7"/>
      <c r="GWU65" s="7"/>
      <c r="GWV65" s="7"/>
      <c r="GWW65" s="7"/>
      <c r="GWX65" s="7"/>
      <c r="GWY65" s="7"/>
      <c r="HGJ65" s="7"/>
      <c r="HGK65" s="7"/>
      <c r="HGL65" s="7"/>
      <c r="HGM65" s="7"/>
      <c r="HGN65" s="7"/>
      <c r="HGO65" s="7"/>
      <c r="HGP65" s="7"/>
      <c r="HGQ65" s="7"/>
      <c r="HGR65" s="7"/>
      <c r="HGS65" s="7"/>
      <c r="HGT65" s="7"/>
      <c r="HGU65" s="7"/>
      <c r="HQF65" s="7"/>
      <c r="HQG65" s="7"/>
      <c r="HQH65" s="7"/>
      <c r="HQI65" s="7"/>
      <c r="HQJ65" s="7"/>
      <c r="HQK65" s="7"/>
      <c r="HQL65" s="7"/>
      <c r="HQM65" s="7"/>
      <c r="HQN65" s="7"/>
      <c r="HQO65" s="7"/>
      <c r="HQP65" s="7"/>
      <c r="HQQ65" s="7"/>
      <c r="IAB65" s="7"/>
      <c r="IAC65" s="7"/>
      <c r="IAD65" s="7"/>
      <c r="IAE65" s="7"/>
      <c r="IAF65" s="7"/>
      <c r="IAG65" s="7"/>
      <c r="IAH65" s="7"/>
      <c r="IAI65" s="7"/>
      <c r="IAJ65" s="7"/>
      <c r="IAK65" s="7"/>
      <c r="IAL65" s="7"/>
      <c r="IAM65" s="7"/>
      <c r="IJX65" s="7"/>
      <c r="IJY65" s="7"/>
      <c r="IJZ65" s="7"/>
      <c r="IKA65" s="7"/>
      <c r="IKB65" s="7"/>
      <c r="IKC65" s="7"/>
      <c r="IKD65" s="7"/>
      <c r="IKE65" s="7"/>
      <c r="IKF65" s="7"/>
      <c r="IKG65" s="7"/>
      <c r="IKH65" s="7"/>
      <c r="IKI65" s="7"/>
      <c r="ITT65" s="7"/>
      <c r="ITU65" s="7"/>
      <c r="ITV65" s="7"/>
      <c r="ITW65" s="7"/>
      <c r="ITX65" s="7"/>
      <c r="ITY65" s="7"/>
      <c r="ITZ65" s="7"/>
      <c r="IUA65" s="7"/>
      <c r="IUB65" s="7"/>
      <c r="IUC65" s="7"/>
      <c r="IUD65" s="7"/>
      <c r="IUE65" s="7"/>
      <c r="JDP65" s="7"/>
      <c r="JDQ65" s="7"/>
      <c r="JDR65" s="7"/>
      <c r="JDS65" s="7"/>
      <c r="JDT65" s="7"/>
      <c r="JDU65" s="7"/>
      <c r="JDV65" s="7"/>
      <c r="JDW65" s="7"/>
      <c r="JDX65" s="7"/>
      <c r="JDY65" s="7"/>
      <c r="JDZ65" s="7"/>
      <c r="JEA65" s="7"/>
      <c r="JNL65" s="7"/>
      <c r="JNM65" s="7"/>
      <c r="JNN65" s="7"/>
      <c r="JNO65" s="7"/>
      <c r="JNP65" s="7"/>
      <c r="JNQ65" s="7"/>
      <c r="JNR65" s="7"/>
      <c r="JNS65" s="7"/>
      <c r="JNT65" s="7"/>
      <c r="JNU65" s="7"/>
      <c r="JNV65" s="7"/>
      <c r="JNW65" s="7"/>
      <c r="JXH65" s="7"/>
      <c r="JXI65" s="7"/>
      <c r="JXJ65" s="7"/>
      <c r="JXK65" s="7"/>
      <c r="JXL65" s="7"/>
      <c r="JXM65" s="7"/>
      <c r="JXN65" s="7"/>
      <c r="JXO65" s="7"/>
      <c r="JXP65" s="7"/>
      <c r="JXQ65" s="7"/>
      <c r="JXR65" s="7"/>
      <c r="JXS65" s="7"/>
      <c r="KHD65" s="7"/>
      <c r="KHE65" s="7"/>
      <c r="KHF65" s="7"/>
      <c r="KHG65" s="7"/>
      <c r="KHH65" s="7"/>
      <c r="KHI65" s="7"/>
      <c r="KHJ65" s="7"/>
      <c r="KHK65" s="7"/>
      <c r="KHL65" s="7"/>
      <c r="KHM65" s="7"/>
      <c r="KHN65" s="7"/>
      <c r="KHO65" s="7"/>
      <c r="KQZ65" s="7"/>
      <c r="KRA65" s="7"/>
      <c r="KRB65" s="7"/>
      <c r="KRC65" s="7"/>
      <c r="KRD65" s="7"/>
      <c r="KRE65" s="7"/>
      <c r="KRF65" s="7"/>
      <c r="KRG65" s="7"/>
      <c r="KRH65" s="7"/>
      <c r="KRI65" s="7"/>
      <c r="KRJ65" s="7"/>
      <c r="KRK65" s="7"/>
      <c r="LAV65" s="7"/>
      <c r="LAW65" s="7"/>
      <c r="LAX65" s="7"/>
      <c r="LAY65" s="7"/>
      <c r="LAZ65" s="7"/>
      <c r="LBA65" s="7"/>
      <c r="LBB65" s="7"/>
      <c r="LBC65" s="7"/>
      <c r="LBD65" s="7"/>
      <c r="LBE65" s="7"/>
      <c r="LBF65" s="7"/>
      <c r="LBG65" s="7"/>
      <c r="LKR65" s="7"/>
      <c r="LKS65" s="7"/>
      <c r="LKT65" s="7"/>
      <c r="LKU65" s="7"/>
      <c r="LKV65" s="7"/>
      <c r="LKW65" s="7"/>
      <c r="LKX65" s="7"/>
      <c r="LKY65" s="7"/>
      <c r="LKZ65" s="7"/>
      <c r="LLA65" s="7"/>
      <c r="LLB65" s="7"/>
      <c r="LLC65" s="7"/>
      <c r="LUN65" s="7"/>
      <c r="LUO65" s="7"/>
      <c r="LUP65" s="7"/>
      <c r="LUQ65" s="7"/>
      <c r="LUR65" s="7"/>
      <c r="LUS65" s="7"/>
      <c r="LUT65" s="7"/>
      <c r="LUU65" s="7"/>
      <c r="LUV65" s="7"/>
      <c r="LUW65" s="7"/>
      <c r="LUX65" s="7"/>
      <c r="LUY65" s="7"/>
      <c r="MEJ65" s="7"/>
      <c r="MEK65" s="7"/>
      <c r="MEL65" s="7"/>
      <c r="MEM65" s="7"/>
      <c r="MEN65" s="7"/>
      <c r="MEO65" s="7"/>
      <c r="MEP65" s="7"/>
      <c r="MEQ65" s="7"/>
      <c r="MER65" s="7"/>
      <c r="MES65" s="7"/>
      <c r="MET65" s="7"/>
      <c r="MEU65" s="7"/>
      <c r="MOF65" s="7"/>
      <c r="MOG65" s="7"/>
      <c r="MOH65" s="7"/>
      <c r="MOI65" s="7"/>
      <c r="MOJ65" s="7"/>
      <c r="MOK65" s="7"/>
      <c r="MOL65" s="7"/>
      <c r="MOM65" s="7"/>
      <c r="MON65" s="7"/>
      <c r="MOO65" s="7"/>
      <c r="MOP65" s="7"/>
      <c r="MOQ65" s="7"/>
      <c r="MYB65" s="7"/>
      <c r="MYC65" s="7"/>
      <c r="MYD65" s="7"/>
      <c r="MYE65" s="7"/>
      <c r="MYF65" s="7"/>
      <c r="MYG65" s="7"/>
      <c r="MYH65" s="7"/>
      <c r="MYI65" s="7"/>
      <c r="MYJ65" s="7"/>
      <c r="MYK65" s="7"/>
      <c r="MYL65" s="7"/>
      <c r="MYM65" s="7"/>
      <c r="NHX65" s="7"/>
      <c r="NHY65" s="7"/>
      <c r="NHZ65" s="7"/>
      <c r="NIA65" s="7"/>
      <c r="NIB65" s="7"/>
      <c r="NIC65" s="7"/>
      <c r="NID65" s="7"/>
      <c r="NIE65" s="7"/>
      <c r="NIF65" s="7"/>
      <c r="NIG65" s="7"/>
      <c r="NIH65" s="7"/>
      <c r="NII65" s="7"/>
      <c r="NRT65" s="7"/>
      <c r="NRU65" s="7"/>
      <c r="NRV65" s="7"/>
      <c r="NRW65" s="7"/>
      <c r="NRX65" s="7"/>
      <c r="NRY65" s="7"/>
      <c r="NRZ65" s="7"/>
      <c r="NSA65" s="7"/>
      <c r="NSB65" s="7"/>
      <c r="NSC65" s="7"/>
      <c r="NSD65" s="7"/>
      <c r="NSE65" s="7"/>
      <c r="OBP65" s="7"/>
      <c r="OBQ65" s="7"/>
      <c r="OBR65" s="7"/>
      <c r="OBS65" s="7"/>
      <c r="OBT65" s="7"/>
      <c r="OBU65" s="7"/>
      <c r="OBV65" s="7"/>
      <c r="OBW65" s="7"/>
      <c r="OBX65" s="7"/>
      <c r="OBY65" s="7"/>
      <c r="OBZ65" s="7"/>
      <c r="OCA65" s="7"/>
      <c r="OLL65" s="7"/>
      <c r="OLM65" s="7"/>
      <c r="OLN65" s="7"/>
      <c r="OLO65" s="7"/>
      <c r="OLP65" s="7"/>
      <c r="OLQ65" s="7"/>
      <c r="OLR65" s="7"/>
      <c r="OLS65" s="7"/>
      <c r="OLT65" s="7"/>
      <c r="OLU65" s="7"/>
      <c r="OLV65" s="7"/>
      <c r="OLW65" s="7"/>
      <c r="OVH65" s="7"/>
      <c r="OVI65" s="7"/>
      <c r="OVJ65" s="7"/>
      <c r="OVK65" s="7"/>
      <c r="OVL65" s="7"/>
      <c r="OVM65" s="7"/>
      <c r="OVN65" s="7"/>
      <c r="OVO65" s="7"/>
      <c r="OVP65" s="7"/>
      <c r="OVQ65" s="7"/>
      <c r="OVR65" s="7"/>
      <c r="OVS65" s="7"/>
      <c r="PFD65" s="7"/>
      <c r="PFE65" s="7"/>
      <c r="PFF65" s="7"/>
      <c r="PFG65" s="7"/>
      <c r="PFH65" s="7"/>
      <c r="PFI65" s="7"/>
      <c r="PFJ65" s="7"/>
      <c r="PFK65" s="7"/>
      <c r="PFL65" s="7"/>
      <c r="PFM65" s="7"/>
      <c r="PFN65" s="7"/>
      <c r="PFO65" s="7"/>
      <c r="POZ65" s="7"/>
      <c r="PPA65" s="7"/>
      <c r="PPB65" s="7"/>
      <c r="PPC65" s="7"/>
      <c r="PPD65" s="7"/>
      <c r="PPE65" s="7"/>
      <c r="PPF65" s="7"/>
      <c r="PPG65" s="7"/>
      <c r="PPH65" s="7"/>
      <c r="PPI65" s="7"/>
      <c r="PPJ65" s="7"/>
      <c r="PPK65" s="7"/>
      <c r="PYV65" s="7"/>
      <c r="PYW65" s="7"/>
      <c r="PYX65" s="7"/>
      <c r="PYY65" s="7"/>
      <c r="PYZ65" s="7"/>
      <c r="PZA65" s="7"/>
      <c r="PZB65" s="7"/>
      <c r="PZC65" s="7"/>
      <c r="PZD65" s="7"/>
      <c r="PZE65" s="7"/>
      <c r="PZF65" s="7"/>
      <c r="PZG65" s="7"/>
      <c r="QIR65" s="7"/>
      <c r="QIS65" s="7"/>
      <c r="QIT65" s="7"/>
      <c r="QIU65" s="7"/>
      <c r="QIV65" s="7"/>
      <c r="QIW65" s="7"/>
      <c r="QIX65" s="7"/>
      <c r="QIY65" s="7"/>
      <c r="QIZ65" s="7"/>
      <c r="QJA65" s="7"/>
      <c r="QJB65" s="7"/>
      <c r="QJC65" s="7"/>
      <c r="QSN65" s="7"/>
      <c r="QSO65" s="7"/>
      <c r="QSP65" s="7"/>
      <c r="QSQ65" s="7"/>
      <c r="QSR65" s="7"/>
      <c r="QSS65" s="7"/>
      <c r="QST65" s="7"/>
      <c r="QSU65" s="7"/>
      <c r="QSV65" s="7"/>
      <c r="QSW65" s="7"/>
      <c r="QSX65" s="7"/>
      <c r="QSY65" s="7"/>
      <c r="RCJ65" s="7"/>
      <c r="RCK65" s="7"/>
      <c r="RCL65" s="7"/>
      <c r="RCM65" s="7"/>
      <c r="RCN65" s="7"/>
      <c r="RCO65" s="7"/>
      <c r="RCP65" s="7"/>
      <c r="RCQ65" s="7"/>
      <c r="RCR65" s="7"/>
      <c r="RCS65" s="7"/>
      <c r="RCT65" s="7"/>
      <c r="RCU65" s="7"/>
      <c r="RMF65" s="7"/>
      <c r="RMG65" s="7"/>
      <c r="RMH65" s="7"/>
      <c r="RMI65" s="7"/>
      <c r="RMJ65" s="7"/>
      <c r="RMK65" s="7"/>
      <c r="RML65" s="7"/>
      <c r="RMM65" s="7"/>
      <c r="RMN65" s="7"/>
      <c r="RMO65" s="7"/>
      <c r="RMP65" s="7"/>
      <c r="RMQ65" s="7"/>
      <c r="RWB65" s="7"/>
      <c r="RWC65" s="7"/>
      <c r="RWD65" s="7"/>
      <c r="RWE65" s="7"/>
      <c r="RWF65" s="7"/>
      <c r="RWG65" s="7"/>
      <c r="RWH65" s="7"/>
      <c r="RWI65" s="7"/>
      <c r="RWJ65" s="7"/>
      <c r="RWK65" s="7"/>
      <c r="RWL65" s="7"/>
      <c r="RWM65" s="7"/>
      <c r="SFX65" s="7"/>
      <c r="SFY65" s="7"/>
      <c r="SFZ65" s="7"/>
      <c r="SGA65" s="7"/>
      <c r="SGB65" s="7"/>
      <c r="SGC65" s="7"/>
      <c r="SGD65" s="7"/>
      <c r="SGE65" s="7"/>
      <c r="SGF65" s="7"/>
      <c r="SGG65" s="7"/>
      <c r="SGH65" s="7"/>
      <c r="SGI65" s="7"/>
      <c r="SPT65" s="7"/>
      <c r="SPU65" s="7"/>
      <c r="SPV65" s="7"/>
      <c r="SPW65" s="7"/>
      <c r="SPX65" s="7"/>
      <c r="SPY65" s="7"/>
      <c r="SPZ65" s="7"/>
      <c r="SQA65" s="7"/>
      <c r="SQB65" s="7"/>
      <c r="SQC65" s="7"/>
      <c r="SQD65" s="7"/>
      <c r="SQE65" s="7"/>
      <c r="SZP65" s="7"/>
      <c r="SZQ65" s="7"/>
      <c r="SZR65" s="7"/>
      <c r="SZS65" s="7"/>
      <c r="SZT65" s="7"/>
      <c r="SZU65" s="7"/>
      <c r="SZV65" s="7"/>
      <c r="SZW65" s="7"/>
      <c r="SZX65" s="7"/>
      <c r="SZY65" s="7"/>
      <c r="SZZ65" s="7"/>
      <c r="TAA65" s="7"/>
      <c r="TJL65" s="7"/>
      <c r="TJM65" s="7"/>
      <c r="TJN65" s="7"/>
      <c r="TJO65" s="7"/>
      <c r="TJP65" s="7"/>
      <c r="TJQ65" s="7"/>
      <c r="TJR65" s="7"/>
      <c r="TJS65" s="7"/>
      <c r="TJT65" s="7"/>
      <c r="TJU65" s="7"/>
      <c r="TJV65" s="7"/>
      <c r="TJW65" s="7"/>
      <c r="TTH65" s="7"/>
      <c r="TTI65" s="7"/>
      <c r="TTJ65" s="7"/>
      <c r="TTK65" s="7"/>
      <c r="TTL65" s="7"/>
      <c r="TTM65" s="7"/>
      <c r="TTN65" s="7"/>
      <c r="TTO65" s="7"/>
      <c r="TTP65" s="7"/>
      <c r="TTQ65" s="7"/>
      <c r="TTR65" s="7"/>
      <c r="TTS65" s="7"/>
      <c r="UDD65" s="7"/>
      <c r="UDE65" s="7"/>
      <c r="UDF65" s="7"/>
      <c r="UDG65" s="7"/>
      <c r="UDH65" s="7"/>
      <c r="UDI65" s="7"/>
      <c r="UDJ65" s="7"/>
      <c r="UDK65" s="7"/>
      <c r="UDL65" s="7"/>
      <c r="UDM65" s="7"/>
      <c r="UDN65" s="7"/>
      <c r="UDO65" s="7"/>
      <c r="UMZ65" s="7"/>
      <c r="UNA65" s="7"/>
      <c r="UNB65" s="7"/>
      <c r="UNC65" s="7"/>
      <c r="UND65" s="7"/>
      <c r="UNE65" s="7"/>
      <c r="UNF65" s="7"/>
      <c r="UNG65" s="7"/>
      <c r="UNH65" s="7"/>
      <c r="UNI65" s="7"/>
      <c r="UNJ65" s="7"/>
      <c r="UNK65" s="7"/>
      <c r="UWV65" s="7"/>
      <c r="UWW65" s="7"/>
      <c r="UWX65" s="7"/>
      <c r="UWY65" s="7"/>
      <c r="UWZ65" s="7"/>
      <c r="UXA65" s="7"/>
      <c r="UXB65" s="7"/>
      <c r="UXC65" s="7"/>
      <c r="UXD65" s="7"/>
      <c r="UXE65" s="7"/>
      <c r="UXF65" s="7"/>
      <c r="UXG65" s="7"/>
      <c r="VGR65" s="7"/>
      <c r="VGS65" s="7"/>
      <c r="VGT65" s="7"/>
      <c r="VGU65" s="7"/>
      <c r="VGV65" s="7"/>
      <c r="VGW65" s="7"/>
      <c r="VGX65" s="7"/>
      <c r="VGY65" s="7"/>
      <c r="VGZ65" s="7"/>
      <c r="VHA65" s="7"/>
      <c r="VHB65" s="7"/>
      <c r="VHC65" s="7"/>
      <c r="VQN65" s="7"/>
      <c r="VQO65" s="7"/>
      <c r="VQP65" s="7"/>
      <c r="VQQ65" s="7"/>
      <c r="VQR65" s="7"/>
      <c r="VQS65" s="7"/>
      <c r="VQT65" s="7"/>
      <c r="VQU65" s="7"/>
      <c r="VQV65" s="7"/>
      <c r="VQW65" s="7"/>
      <c r="VQX65" s="7"/>
      <c r="VQY65" s="7"/>
      <c r="WAJ65" s="7"/>
      <c r="WAK65" s="7"/>
      <c r="WAL65" s="7"/>
      <c r="WAM65" s="7"/>
      <c r="WAN65" s="7"/>
      <c r="WAO65" s="7"/>
      <c r="WAP65" s="7"/>
      <c r="WAQ65" s="7"/>
      <c r="WAR65" s="7"/>
      <c r="WAS65" s="7"/>
      <c r="WAT65" s="7"/>
      <c r="WAU65" s="7"/>
      <c r="WKF65" s="7"/>
      <c r="WKG65" s="7"/>
      <c r="WKH65" s="7"/>
      <c r="WKI65" s="7"/>
      <c r="WKJ65" s="7"/>
      <c r="WKK65" s="7"/>
      <c r="WKL65" s="7"/>
      <c r="WKM65" s="7"/>
      <c r="WKN65" s="7"/>
      <c r="WKO65" s="7"/>
      <c r="WKP65" s="7"/>
      <c r="WKQ65" s="7"/>
      <c r="WUB65" s="7"/>
      <c r="WUC65" s="7"/>
      <c r="WUD65" s="7"/>
      <c r="WUE65" s="7"/>
      <c r="WUF65" s="7"/>
      <c r="WUG65" s="7"/>
      <c r="WUH65" s="7"/>
      <c r="WUI65" s="7"/>
      <c r="WUJ65" s="7"/>
      <c r="WUK65" s="7"/>
      <c r="WUL65" s="7"/>
      <c r="WUM65" s="7"/>
    </row>
    <row r="66" spans="1:1003 1248:2027 2272:3051 3296:4075 4320:5099 5344:6123 6368:7147 7392:8171 8416:9195 9440:10219 10464:11243 11488:12267 12512:13291 13536:14315 14560:15339 15584:16107" ht="30" customHeight="1">
      <c r="A66" s="45"/>
      <c r="C66" s="7" t="s">
        <v>236</v>
      </c>
      <c r="D66" s="27">
        <v>1.5</v>
      </c>
      <c r="H66" s="159">
        <v>1</v>
      </c>
      <c r="I66" s="196" t="s">
        <v>225</v>
      </c>
      <c r="J66" s="161"/>
      <c r="K66" s="196"/>
      <c r="L66" s="211">
        <f>Table113[[#This Row],[Qty 2]]+Table113[[#This Row],[Qty 1]]</f>
        <v>1</v>
      </c>
      <c r="M66" s="216">
        <v>660</v>
      </c>
      <c r="N66" s="216">
        <f>Table113[[#This Row],[Unit Cost]]*Table113[[#This Row],[Total Qty All Areas]]</f>
        <v>660</v>
      </c>
    </row>
    <row r="67" spans="1:1003 1248:2027 2272:3051 3296:4075 4320:5099 5344:6123 6368:7147 7392:8171 8416:9195 9440:10219 10464:11243 11488:12267 12512:13291 13536:14315 14560:15339 15584:16107" ht="30" customHeight="1">
      <c r="A67" s="45"/>
      <c r="C67" s="7" t="s">
        <v>235</v>
      </c>
      <c r="D67" s="27">
        <v>1.8</v>
      </c>
      <c r="H67" s="159">
        <v>1</v>
      </c>
      <c r="I67" s="196" t="s">
        <v>225</v>
      </c>
      <c r="J67" s="161"/>
      <c r="K67" s="196"/>
      <c r="L67" s="211">
        <f>Table113[[#This Row],[Qty 2]]+Table113[[#This Row],[Qty 1]]</f>
        <v>1</v>
      </c>
      <c r="M67" s="216">
        <v>792</v>
      </c>
      <c r="N67" s="216">
        <f>Table113[[#This Row],[Unit Cost]]*Table113[[#This Row],[Total Qty All Areas]]</f>
        <v>792</v>
      </c>
    </row>
    <row r="68" spans="1:1003 1248:2027 2272:3051 3296:4075 4320:5099 5344:6123 6368:7147 7392:8171 8416:9195 9440:10219 10464:11243 11488:12267 12512:13291 13536:14315 14560:15339 15584:16107" ht="30" customHeight="1">
      <c r="A68" s="45">
        <f>'Category Setup'!L99</f>
        <v>0</v>
      </c>
      <c r="B68" s="119">
        <f>'Category Setup'!E99</f>
        <v>0</v>
      </c>
      <c r="C68" s="7" t="s">
        <v>248</v>
      </c>
      <c r="D68" s="27">
        <v>2290</v>
      </c>
      <c r="H68" s="159">
        <v>2</v>
      </c>
      <c r="I68" s="196"/>
      <c r="J68" s="159"/>
      <c r="K68" s="196"/>
      <c r="L68" s="211">
        <f>Table113[[#This Row],[Qty 2]]+Table113[[#This Row],[Qty 1]]</f>
        <v>2</v>
      </c>
      <c r="M68" s="216">
        <v>636</v>
      </c>
      <c r="N68" s="216">
        <f>Table113[[#This Row],[Unit Cost]]*Table113[[#This Row],[Total Qty All Areas]]</f>
        <v>1272</v>
      </c>
    </row>
    <row r="69" spans="1:1003 1248:2027 2272:3051 3296:4075 4320:5099 5344:6123 6368:7147 7392:8171 8416:9195 9440:10219 10464:11243 11488:12267 12512:13291 13536:14315 14560:15339 15584:16107" ht="30" customHeight="1">
      <c r="A69" s="45">
        <f>'Category Setup'!L100</f>
        <v>0</v>
      </c>
      <c r="B69" s="119">
        <f>'Category Setup'!E100</f>
        <v>0</v>
      </c>
      <c r="D69" s="27">
        <v>2440</v>
      </c>
      <c r="H69" s="159">
        <v>3</v>
      </c>
      <c r="I69" s="196"/>
      <c r="J69" s="159"/>
      <c r="K69" s="196"/>
      <c r="L69" s="211">
        <f>Table113[[#This Row],[Qty 2]]+Table113[[#This Row],[Qty 1]]</f>
        <v>3</v>
      </c>
      <c r="M69" s="216">
        <v>714</v>
      </c>
      <c r="N69" s="216">
        <f>Table113[[#This Row],[Unit Cost]]*Table113[[#This Row],[Total Qty All Areas]]</f>
        <v>2142</v>
      </c>
    </row>
    <row r="70" spans="1:1003 1248:2027 2272:3051 3296:4075 4320:5099 5344:6123 6368:7147 7392:8171 8416:9195 9440:10219 10464:11243 11488:12267 12512:13291 13536:14315 14560:15339 15584:16107" ht="30" customHeight="1">
      <c r="A70" s="45">
        <f>'Category Setup'!L101</f>
        <v>0</v>
      </c>
      <c r="B70" s="119">
        <f>'Category Setup'!E101</f>
        <v>0</v>
      </c>
      <c r="D70" s="27">
        <v>1830</v>
      </c>
      <c r="H70" s="159">
        <v>1</v>
      </c>
      <c r="I70" s="196"/>
      <c r="J70" s="159"/>
      <c r="K70" s="196"/>
      <c r="L70" s="211">
        <f>Table113[[#This Row],[Qty 2]]+Table113[[#This Row],[Qty 1]]</f>
        <v>1</v>
      </c>
      <c r="M70" s="216">
        <v>516</v>
      </c>
      <c r="N70" s="216">
        <f>Table113[[#This Row],[Unit Cost]]*Table113[[#This Row],[Total Qty All Areas]]</f>
        <v>516</v>
      </c>
    </row>
    <row r="71" spans="1:1003 1248:2027 2272:3051 3296:4075 4320:5099 5344:6123 6368:7147 7392:8171 8416:9195 9440:10219 10464:11243 11488:12267 12512:13291 13536:14315 14560:15339 15584:16107" ht="30" customHeight="1">
      <c r="A71" s="45">
        <f>'Category Setup'!L102</f>
        <v>0</v>
      </c>
      <c r="B71" s="119">
        <f>'Category Setup'!E102</f>
        <v>0</v>
      </c>
      <c r="D71" s="27">
        <v>1700</v>
      </c>
      <c r="H71" s="159">
        <v>1</v>
      </c>
      <c r="I71" s="196"/>
      <c r="J71" s="159"/>
      <c r="K71" s="196"/>
      <c r="L71" s="211">
        <f>Table113[[#This Row],[Qty 2]]+Table113[[#This Row],[Qty 1]]</f>
        <v>1</v>
      </c>
      <c r="M71" s="216">
        <v>468</v>
      </c>
      <c r="N71" s="216">
        <f>Table113[[#This Row],[Unit Cost]]*Table113[[#This Row],[Total Qty All Areas]]</f>
        <v>468</v>
      </c>
    </row>
    <row r="72" spans="1:1003 1248:2027 2272:3051 3296:4075 4320:5099 5344:6123 6368:7147 7392:8171 8416:9195 9440:10219 10464:11243 11488:12267 12512:13291 13536:14315 14560:15339 15584:16107" ht="30" customHeight="1">
      <c r="A72" s="176"/>
      <c r="D72" s="169"/>
      <c r="E72" s="169"/>
      <c r="F72" s="303"/>
      <c r="H72" s="159"/>
      <c r="I72" s="196"/>
      <c r="J72" s="161"/>
      <c r="K72" s="196"/>
      <c r="L72" s="211">
        <f>Table113[[#This Row],[Qty 2]]+Table113[[#This Row],[Qty 1]]</f>
        <v>0</v>
      </c>
      <c r="M72" s="216"/>
      <c r="N72" s="216">
        <f>Table113[[#This Row],[Unit Cost]]*Table113[[#This Row],[Total Qty All Areas]]</f>
        <v>0</v>
      </c>
    </row>
    <row r="73" spans="1:1003 1248:2027 2272:3051 3296:4075 4320:5099 5344:6123 6368:7147 7392:8171 8416:9195 9440:10219 10464:11243 11488:12267 12512:13291 13536:14315 14560:15339 15584:16107" s="167" customFormat="1" ht="30" customHeight="1">
      <c r="A73" s="175" t="str">
        <f>'Category Setup'!L46</f>
        <v>F_YS</v>
      </c>
      <c r="B73" s="167" t="str">
        <f>'Category Setup'!E46</f>
        <v>F_YS_Finished_Yardscraper</v>
      </c>
      <c r="C73" s="167" t="str">
        <f>'Category Setup'!N46</f>
        <v>F_YS_Finished_Yardscraper</v>
      </c>
      <c r="D73" s="168"/>
      <c r="E73" s="168"/>
      <c r="F73" s="172"/>
      <c r="G73" s="172"/>
      <c r="H73" s="173"/>
      <c r="I73" s="197"/>
      <c r="J73" s="174"/>
      <c r="K73" s="197"/>
      <c r="L73" s="213">
        <f>Table113[[#This Row],[Qty 2]]+Table113[[#This Row],[Qty 1]]</f>
        <v>0</v>
      </c>
      <c r="M73" s="215"/>
      <c r="N73" s="215">
        <f>Table113[[#This Row],[Unit Cost]]*Table113[[#This Row],[Total Qty All Areas]]</f>
        <v>0</v>
      </c>
      <c r="HP73" s="7"/>
      <c r="HQ73" s="7"/>
      <c r="HR73" s="7"/>
      <c r="HS73" s="7"/>
      <c r="HT73" s="7"/>
      <c r="HU73" s="7"/>
      <c r="HV73" s="7"/>
      <c r="HW73" s="7"/>
      <c r="HX73" s="7"/>
      <c r="HY73" s="7"/>
      <c r="HZ73" s="7"/>
      <c r="IA73" s="7"/>
      <c r="RL73" s="7"/>
      <c r="RM73" s="7"/>
      <c r="RN73" s="7"/>
      <c r="RO73" s="7"/>
      <c r="RP73" s="7"/>
      <c r="RQ73" s="7"/>
      <c r="RR73" s="7"/>
      <c r="RS73" s="7"/>
      <c r="RT73" s="7"/>
      <c r="RU73" s="7"/>
      <c r="RV73" s="7"/>
      <c r="RW73" s="7"/>
      <c r="ABH73" s="7"/>
      <c r="ABI73" s="7"/>
      <c r="ABJ73" s="7"/>
      <c r="ABK73" s="7"/>
      <c r="ABL73" s="7"/>
      <c r="ABM73" s="7"/>
      <c r="ABN73" s="7"/>
      <c r="ABO73" s="7"/>
      <c r="ABP73" s="7"/>
      <c r="ABQ73" s="7"/>
      <c r="ABR73" s="7"/>
      <c r="ABS73" s="7"/>
      <c r="ALD73" s="7"/>
      <c r="ALE73" s="7"/>
      <c r="ALF73" s="7"/>
      <c r="ALG73" s="7"/>
      <c r="ALH73" s="7"/>
      <c r="ALI73" s="7"/>
      <c r="ALJ73" s="7"/>
      <c r="ALK73" s="7"/>
      <c r="ALL73" s="7"/>
      <c r="ALM73" s="7"/>
      <c r="ALN73" s="7"/>
      <c r="ALO73" s="7"/>
      <c r="AUZ73" s="7"/>
      <c r="AVA73" s="7"/>
      <c r="AVB73" s="7"/>
      <c r="AVC73" s="7"/>
      <c r="AVD73" s="7"/>
      <c r="AVE73" s="7"/>
      <c r="AVF73" s="7"/>
      <c r="AVG73" s="7"/>
      <c r="AVH73" s="7"/>
      <c r="AVI73" s="7"/>
      <c r="AVJ73" s="7"/>
      <c r="AVK73" s="7"/>
      <c r="BEV73" s="7"/>
      <c r="BEW73" s="7"/>
      <c r="BEX73" s="7"/>
      <c r="BEY73" s="7"/>
      <c r="BEZ73" s="7"/>
      <c r="BFA73" s="7"/>
      <c r="BFB73" s="7"/>
      <c r="BFC73" s="7"/>
      <c r="BFD73" s="7"/>
      <c r="BFE73" s="7"/>
      <c r="BFF73" s="7"/>
      <c r="BFG73" s="7"/>
      <c r="BOR73" s="7"/>
      <c r="BOS73" s="7"/>
      <c r="BOT73" s="7"/>
      <c r="BOU73" s="7"/>
      <c r="BOV73" s="7"/>
      <c r="BOW73" s="7"/>
      <c r="BOX73" s="7"/>
      <c r="BOY73" s="7"/>
      <c r="BOZ73" s="7"/>
      <c r="BPA73" s="7"/>
      <c r="BPB73" s="7"/>
      <c r="BPC73" s="7"/>
      <c r="BYN73" s="7"/>
      <c r="BYO73" s="7"/>
      <c r="BYP73" s="7"/>
      <c r="BYQ73" s="7"/>
      <c r="BYR73" s="7"/>
      <c r="BYS73" s="7"/>
      <c r="BYT73" s="7"/>
      <c r="BYU73" s="7"/>
      <c r="BYV73" s="7"/>
      <c r="BYW73" s="7"/>
      <c r="BYX73" s="7"/>
      <c r="BYY73" s="7"/>
      <c r="CIJ73" s="7"/>
      <c r="CIK73" s="7"/>
      <c r="CIL73" s="7"/>
      <c r="CIM73" s="7"/>
      <c r="CIN73" s="7"/>
      <c r="CIO73" s="7"/>
      <c r="CIP73" s="7"/>
      <c r="CIQ73" s="7"/>
      <c r="CIR73" s="7"/>
      <c r="CIS73" s="7"/>
      <c r="CIT73" s="7"/>
      <c r="CIU73" s="7"/>
      <c r="CSF73" s="7"/>
      <c r="CSG73" s="7"/>
      <c r="CSH73" s="7"/>
      <c r="CSI73" s="7"/>
      <c r="CSJ73" s="7"/>
      <c r="CSK73" s="7"/>
      <c r="CSL73" s="7"/>
      <c r="CSM73" s="7"/>
      <c r="CSN73" s="7"/>
      <c r="CSO73" s="7"/>
      <c r="CSP73" s="7"/>
      <c r="CSQ73" s="7"/>
      <c r="DCB73" s="7"/>
      <c r="DCC73" s="7"/>
      <c r="DCD73" s="7"/>
      <c r="DCE73" s="7"/>
      <c r="DCF73" s="7"/>
      <c r="DCG73" s="7"/>
      <c r="DCH73" s="7"/>
      <c r="DCI73" s="7"/>
      <c r="DCJ73" s="7"/>
      <c r="DCK73" s="7"/>
      <c r="DCL73" s="7"/>
      <c r="DCM73" s="7"/>
      <c r="DLX73" s="7"/>
      <c r="DLY73" s="7"/>
      <c r="DLZ73" s="7"/>
      <c r="DMA73" s="7"/>
      <c r="DMB73" s="7"/>
      <c r="DMC73" s="7"/>
      <c r="DMD73" s="7"/>
      <c r="DME73" s="7"/>
      <c r="DMF73" s="7"/>
      <c r="DMG73" s="7"/>
      <c r="DMH73" s="7"/>
      <c r="DMI73" s="7"/>
      <c r="DVT73" s="7"/>
      <c r="DVU73" s="7"/>
      <c r="DVV73" s="7"/>
      <c r="DVW73" s="7"/>
      <c r="DVX73" s="7"/>
      <c r="DVY73" s="7"/>
      <c r="DVZ73" s="7"/>
      <c r="DWA73" s="7"/>
      <c r="DWB73" s="7"/>
      <c r="DWC73" s="7"/>
      <c r="DWD73" s="7"/>
      <c r="DWE73" s="7"/>
      <c r="EFP73" s="7"/>
      <c r="EFQ73" s="7"/>
      <c r="EFR73" s="7"/>
      <c r="EFS73" s="7"/>
      <c r="EFT73" s="7"/>
      <c r="EFU73" s="7"/>
      <c r="EFV73" s="7"/>
      <c r="EFW73" s="7"/>
      <c r="EFX73" s="7"/>
      <c r="EFY73" s="7"/>
      <c r="EFZ73" s="7"/>
      <c r="EGA73" s="7"/>
      <c r="EPL73" s="7"/>
      <c r="EPM73" s="7"/>
      <c r="EPN73" s="7"/>
      <c r="EPO73" s="7"/>
      <c r="EPP73" s="7"/>
      <c r="EPQ73" s="7"/>
      <c r="EPR73" s="7"/>
      <c r="EPS73" s="7"/>
      <c r="EPT73" s="7"/>
      <c r="EPU73" s="7"/>
      <c r="EPV73" s="7"/>
      <c r="EPW73" s="7"/>
      <c r="EZH73" s="7"/>
      <c r="EZI73" s="7"/>
      <c r="EZJ73" s="7"/>
      <c r="EZK73" s="7"/>
      <c r="EZL73" s="7"/>
      <c r="EZM73" s="7"/>
      <c r="EZN73" s="7"/>
      <c r="EZO73" s="7"/>
      <c r="EZP73" s="7"/>
      <c r="EZQ73" s="7"/>
      <c r="EZR73" s="7"/>
      <c r="EZS73" s="7"/>
      <c r="FJD73" s="7"/>
      <c r="FJE73" s="7"/>
      <c r="FJF73" s="7"/>
      <c r="FJG73" s="7"/>
      <c r="FJH73" s="7"/>
      <c r="FJI73" s="7"/>
      <c r="FJJ73" s="7"/>
      <c r="FJK73" s="7"/>
      <c r="FJL73" s="7"/>
      <c r="FJM73" s="7"/>
      <c r="FJN73" s="7"/>
      <c r="FJO73" s="7"/>
      <c r="FSZ73" s="7"/>
      <c r="FTA73" s="7"/>
      <c r="FTB73" s="7"/>
      <c r="FTC73" s="7"/>
      <c r="FTD73" s="7"/>
      <c r="FTE73" s="7"/>
      <c r="FTF73" s="7"/>
      <c r="FTG73" s="7"/>
      <c r="FTH73" s="7"/>
      <c r="FTI73" s="7"/>
      <c r="FTJ73" s="7"/>
      <c r="FTK73" s="7"/>
      <c r="GCV73" s="7"/>
      <c r="GCW73" s="7"/>
      <c r="GCX73" s="7"/>
      <c r="GCY73" s="7"/>
      <c r="GCZ73" s="7"/>
      <c r="GDA73" s="7"/>
      <c r="GDB73" s="7"/>
      <c r="GDC73" s="7"/>
      <c r="GDD73" s="7"/>
      <c r="GDE73" s="7"/>
      <c r="GDF73" s="7"/>
      <c r="GDG73" s="7"/>
      <c r="GMR73" s="7"/>
      <c r="GMS73" s="7"/>
      <c r="GMT73" s="7"/>
      <c r="GMU73" s="7"/>
      <c r="GMV73" s="7"/>
      <c r="GMW73" s="7"/>
      <c r="GMX73" s="7"/>
      <c r="GMY73" s="7"/>
      <c r="GMZ73" s="7"/>
      <c r="GNA73" s="7"/>
      <c r="GNB73" s="7"/>
      <c r="GNC73" s="7"/>
      <c r="GWN73" s="7"/>
      <c r="GWO73" s="7"/>
      <c r="GWP73" s="7"/>
      <c r="GWQ73" s="7"/>
      <c r="GWR73" s="7"/>
      <c r="GWS73" s="7"/>
      <c r="GWT73" s="7"/>
      <c r="GWU73" s="7"/>
      <c r="GWV73" s="7"/>
      <c r="GWW73" s="7"/>
      <c r="GWX73" s="7"/>
      <c r="GWY73" s="7"/>
      <c r="HGJ73" s="7"/>
      <c r="HGK73" s="7"/>
      <c r="HGL73" s="7"/>
      <c r="HGM73" s="7"/>
      <c r="HGN73" s="7"/>
      <c r="HGO73" s="7"/>
      <c r="HGP73" s="7"/>
      <c r="HGQ73" s="7"/>
      <c r="HGR73" s="7"/>
      <c r="HGS73" s="7"/>
      <c r="HGT73" s="7"/>
      <c r="HGU73" s="7"/>
      <c r="HQF73" s="7"/>
      <c r="HQG73" s="7"/>
      <c r="HQH73" s="7"/>
      <c r="HQI73" s="7"/>
      <c r="HQJ73" s="7"/>
      <c r="HQK73" s="7"/>
      <c r="HQL73" s="7"/>
      <c r="HQM73" s="7"/>
      <c r="HQN73" s="7"/>
      <c r="HQO73" s="7"/>
      <c r="HQP73" s="7"/>
      <c r="HQQ73" s="7"/>
      <c r="IAB73" s="7"/>
      <c r="IAC73" s="7"/>
      <c r="IAD73" s="7"/>
      <c r="IAE73" s="7"/>
      <c r="IAF73" s="7"/>
      <c r="IAG73" s="7"/>
      <c r="IAH73" s="7"/>
      <c r="IAI73" s="7"/>
      <c r="IAJ73" s="7"/>
      <c r="IAK73" s="7"/>
      <c r="IAL73" s="7"/>
      <c r="IAM73" s="7"/>
      <c r="IJX73" s="7"/>
      <c r="IJY73" s="7"/>
      <c r="IJZ73" s="7"/>
      <c r="IKA73" s="7"/>
      <c r="IKB73" s="7"/>
      <c r="IKC73" s="7"/>
      <c r="IKD73" s="7"/>
      <c r="IKE73" s="7"/>
      <c r="IKF73" s="7"/>
      <c r="IKG73" s="7"/>
      <c r="IKH73" s="7"/>
      <c r="IKI73" s="7"/>
      <c r="ITT73" s="7"/>
      <c r="ITU73" s="7"/>
      <c r="ITV73" s="7"/>
      <c r="ITW73" s="7"/>
      <c r="ITX73" s="7"/>
      <c r="ITY73" s="7"/>
      <c r="ITZ73" s="7"/>
      <c r="IUA73" s="7"/>
      <c r="IUB73" s="7"/>
      <c r="IUC73" s="7"/>
      <c r="IUD73" s="7"/>
      <c r="IUE73" s="7"/>
      <c r="JDP73" s="7"/>
      <c r="JDQ73" s="7"/>
      <c r="JDR73" s="7"/>
      <c r="JDS73" s="7"/>
      <c r="JDT73" s="7"/>
      <c r="JDU73" s="7"/>
      <c r="JDV73" s="7"/>
      <c r="JDW73" s="7"/>
      <c r="JDX73" s="7"/>
      <c r="JDY73" s="7"/>
      <c r="JDZ73" s="7"/>
      <c r="JEA73" s="7"/>
      <c r="JNL73" s="7"/>
      <c r="JNM73" s="7"/>
      <c r="JNN73" s="7"/>
      <c r="JNO73" s="7"/>
      <c r="JNP73" s="7"/>
      <c r="JNQ73" s="7"/>
      <c r="JNR73" s="7"/>
      <c r="JNS73" s="7"/>
      <c r="JNT73" s="7"/>
      <c r="JNU73" s="7"/>
      <c r="JNV73" s="7"/>
      <c r="JNW73" s="7"/>
      <c r="JXH73" s="7"/>
      <c r="JXI73" s="7"/>
      <c r="JXJ73" s="7"/>
      <c r="JXK73" s="7"/>
      <c r="JXL73" s="7"/>
      <c r="JXM73" s="7"/>
      <c r="JXN73" s="7"/>
      <c r="JXO73" s="7"/>
      <c r="JXP73" s="7"/>
      <c r="JXQ73" s="7"/>
      <c r="JXR73" s="7"/>
      <c r="JXS73" s="7"/>
      <c r="KHD73" s="7"/>
      <c r="KHE73" s="7"/>
      <c r="KHF73" s="7"/>
      <c r="KHG73" s="7"/>
      <c r="KHH73" s="7"/>
      <c r="KHI73" s="7"/>
      <c r="KHJ73" s="7"/>
      <c r="KHK73" s="7"/>
      <c r="KHL73" s="7"/>
      <c r="KHM73" s="7"/>
      <c r="KHN73" s="7"/>
      <c r="KHO73" s="7"/>
      <c r="KQZ73" s="7"/>
      <c r="KRA73" s="7"/>
      <c r="KRB73" s="7"/>
      <c r="KRC73" s="7"/>
      <c r="KRD73" s="7"/>
      <c r="KRE73" s="7"/>
      <c r="KRF73" s="7"/>
      <c r="KRG73" s="7"/>
      <c r="KRH73" s="7"/>
      <c r="KRI73" s="7"/>
      <c r="KRJ73" s="7"/>
      <c r="KRK73" s="7"/>
      <c r="LAV73" s="7"/>
      <c r="LAW73" s="7"/>
      <c r="LAX73" s="7"/>
      <c r="LAY73" s="7"/>
      <c r="LAZ73" s="7"/>
      <c r="LBA73" s="7"/>
      <c r="LBB73" s="7"/>
      <c r="LBC73" s="7"/>
      <c r="LBD73" s="7"/>
      <c r="LBE73" s="7"/>
      <c r="LBF73" s="7"/>
      <c r="LBG73" s="7"/>
      <c r="LKR73" s="7"/>
      <c r="LKS73" s="7"/>
      <c r="LKT73" s="7"/>
      <c r="LKU73" s="7"/>
      <c r="LKV73" s="7"/>
      <c r="LKW73" s="7"/>
      <c r="LKX73" s="7"/>
      <c r="LKY73" s="7"/>
      <c r="LKZ73" s="7"/>
      <c r="LLA73" s="7"/>
      <c r="LLB73" s="7"/>
      <c r="LLC73" s="7"/>
      <c r="LUN73" s="7"/>
      <c r="LUO73" s="7"/>
      <c r="LUP73" s="7"/>
      <c r="LUQ73" s="7"/>
      <c r="LUR73" s="7"/>
      <c r="LUS73" s="7"/>
      <c r="LUT73" s="7"/>
      <c r="LUU73" s="7"/>
      <c r="LUV73" s="7"/>
      <c r="LUW73" s="7"/>
      <c r="LUX73" s="7"/>
      <c r="LUY73" s="7"/>
      <c r="MEJ73" s="7"/>
      <c r="MEK73" s="7"/>
      <c r="MEL73" s="7"/>
      <c r="MEM73" s="7"/>
      <c r="MEN73" s="7"/>
      <c r="MEO73" s="7"/>
      <c r="MEP73" s="7"/>
      <c r="MEQ73" s="7"/>
      <c r="MER73" s="7"/>
      <c r="MES73" s="7"/>
      <c r="MET73" s="7"/>
      <c r="MEU73" s="7"/>
      <c r="MOF73" s="7"/>
      <c r="MOG73" s="7"/>
      <c r="MOH73" s="7"/>
      <c r="MOI73" s="7"/>
      <c r="MOJ73" s="7"/>
      <c r="MOK73" s="7"/>
      <c r="MOL73" s="7"/>
      <c r="MOM73" s="7"/>
      <c r="MON73" s="7"/>
      <c r="MOO73" s="7"/>
      <c r="MOP73" s="7"/>
      <c r="MOQ73" s="7"/>
      <c r="MYB73" s="7"/>
      <c r="MYC73" s="7"/>
      <c r="MYD73" s="7"/>
      <c r="MYE73" s="7"/>
      <c r="MYF73" s="7"/>
      <c r="MYG73" s="7"/>
      <c r="MYH73" s="7"/>
      <c r="MYI73" s="7"/>
      <c r="MYJ73" s="7"/>
      <c r="MYK73" s="7"/>
      <c r="MYL73" s="7"/>
      <c r="MYM73" s="7"/>
      <c r="NHX73" s="7"/>
      <c r="NHY73" s="7"/>
      <c r="NHZ73" s="7"/>
      <c r="NIA73" s="7"/>
      <c r="NIB73" s="7"/>
      <c r="NIC73" s="7"/>
      <c r="NID73" s="7"/>
      <c r="NIE73" s="7"/>
      <c r="NIF73" s="7"/>
      <c r="NIG73" s="7"/>
      <c r="NIH73" s="7"/>
      <c r="NII73" s="7"/>
      <c r="NRT73" s="7"/>
      <c r="NRU73" s="7"/>
      <c r="NRV73" s="7"/>
      <c r="NRW73" s="7"/>
      <c r="NRX73" s="7"/>
      <c r="NRY73" s="7"/>
      <c r="NRZ73" s="7"/>
      <c r="NSA73" s="7"/>
      <c r="NSB73" s="7"/>
      <c r="NSC73" s="7"/>
      <c r="NSD73" s="7"/>
      <c r="NSE73" s="7"/>
      <c r="OBP73" s="7"/>
      <c r="OBQ73" s="7"/>
      <c r="OBR73" s="7"/>
      <c r="OBS73" s="7"/>
      <c r="OBT73" s="7"/>
      <c r="OBU73" s="7"/>
      <c r="OBV73" s="7"/>
      <c r="OBW73" s="7"/>
      <c r="OBX73" s="7"/>
      <c r="OBY73" s="7"/>
      <c r="OBZ73" s="7"/>
      <c r="OCA73" s="7"/>
      <c r="OLL73" s="7"/>
      <c r="OLM73" s="7"/>
      <c r="OLN73" s="7"/>
      <c r="OLO73" s="7"/>
      <c r="OLP73" s="7"/>
      <c r="OLQ73" s="7"/>
      <c r="OLR73" s="7"/>
      <c r="OLS73" s="7"/>
      <c r="OLT73" s="7"/>
      <c r="OLU73" s="7"/>
      <c r="OLV73" s="7"/>
      <c r="OLW73" s="7"/>
      <c r="OVH73" s="7"/>
      <c r="OVI73" s="7"/>
      <c r="OVJ73" s="7"/>
      <c r="OVK73" s="7"/>
      <c r="OVL73" s="7"/>
      <c r="OVM73" s="7"/>
      <c r="OVN73" s="7"/>
      <c r="OVO73" s="7"/>
      <c r="OVP73" s="7"/>
      <c r="OVQ73" s="7"/>
      <c r="OVR73" s="7"/>
      <c r="OVS73" s="7"/>
      <c r="PFD73" s="7"/>
      <c r="PFE73" s="7"/>
      <c r="PFF73" s="7"/>
      <c r="PFG73" s="7"/>
      <c r="PFH73" s="7"/>
      <c r="PFI73" s="7"/>
      <c r="PFJ73" s="7"/>
      <c r="PFK73" s="7"/>
      <c r="PFL73" s="7"/>
      <c r="PFM73" s="7"/>
      <c r="PFN73" s="7"/>
      <c r="PFO73" s="7"/>
      <c r="POZ73" s="7"/>
      <c r="PPA73" s="7"/>
      <c r="PPB73" s="7"/>
      <c r="PPC73" s="7"/>
      <c r="PPD73" s="7"/>
      <c r="PPE73" s="7"/>
      <c r="PPF73" s="7"/>
      <c r="PPG73" s="7"/>
      <c r="PPH73" s="7"/>
      <c r="PPI73" s="7"/>
      <c r="PPJ73" s="7"/>
      <c r="PPK73" s="7"/>
      <c r="PYV73" s="7"/>
      <c r="PYW73" s="7"/>
      <c r="PYX73" s="7"/>
      <c r="PYY73" s="7"/>
      <c r="PYZ73" s="7"/>
      <c r="PZA73" s="7"/>
      <c r="PZB73" s="7"/>
      <c r="PZC73" s="7"/>
      <c r="PZD73" s="7"/>
      <c r="PZE73" s="7"/>
      <c r="PZF73" s="7"/>
      <c r="PZG73" s="7"/>
      <c r="QIR73" s="7"/>
      <c r="QIS73" s="7"/>
      <c r="QIT73" s="7"/>
      <c r="QIU73" s="7"/>
      <c r="QIV73" s="7"/>
      <c r="QIW73" s="7"/>
      <c r="QIX73" s="7"/>
      <c r="QIY73" s="7"/>
      <c r="QIZ73" s="7"/>
      <c r="QJA73" s="7"/>
      <c r="QJB73" s="7"/>
      <c r="QJC73" s="7"/>
      <c r="QSN73" s="7"/>
      <c r="QSO73" s="7"/>
      <c r="QSP73" s="7"/>
      <c r="QSQ73" s="7"/>
      <c r="QSR73" s="7"/>
      <c r="QSS73" s="7"/>
      <c r="QST73" s="7"/>
      <c r="QSU73" s="7"/>
      <c r="QSV73" s="7"/>
      <c r="QSW73" s="7"/>
      <c r="QSX73" s="7"/>
      <c r="QSY73" s="7"/>
      <c r="RCJ73" s="7"/>
      <c r="RCK73" s="7"/>
      <c r="RCL73" s="7"/>
      <c r="RCM73" s="7"/>
      <c r="RCN73" s="7"/>
      <c r="RCO73" s="7"/>
      <c r="RCP73" s="7"/>
      <c r="RCQ73" s="7"/>
      <c r="RCR73" s="7"/>
      <c r="RCS73" s="7"/>
      <c r="RCT73" s="7"/>
      <c r="RCU73" s="7"/>
      <c r="RMF73" s="7"/>
      <c r="RMG73" s="7"/>
      <c r="RMH73" s="7"/>
      <c r="RMI73" s="7"/>
      <c r="RMJ73" s="7"/>
      <c r="RMK73" s="7"/>
      <c r="RML73" s="7"/>
      <c r="RMM73" s="7"/>
      <c r="RMN73" s="7"/>
      <c r="RMO73" s="7"/>
      <c r="RMP73" s="7"/>
      <c r="RMQ73" s="7"/>
      <c r="RWB73" s="7"/>
      <c r="RWC73" s="7"/>
      <c r="RWD73" s="7"/>
      <c r="RWE73" s="7"/>
      <c r="RWF73" s="7"/>
      <c r="RWG73" s="7"/>
      <c r="RWH73" s="7"/>
      <c r="RWI73" s="7"/>
      <c r="RWJ73" s="7"/>
      <c r="RWK73" s="7"/>
      <c r="RWL73" s="7"/>
      <c r="RWM73" s="7"/>
      <c r="SFX73" s="7"/>
      <c r="SFY73" s="7"/>
      <c r="SFZ73" s="7"/>
      <c r="SGA73" s="7"/>
      <c r="SGB73" s="7"/>
      <c r="SGC73" s="7"/>
      <c r="SGD73" s="7"/>
      <c r="SGE73" s="7"/>
      <c r="SGF73" s="7"/>
      <c r="SGG73" s="7"/>
      <c r="SGH73" s="7"/>
      <c r="SGI73" s="7"/>
      <c r="SPT73" s="7"/>
      <c r="SPU73" s="7"/>
      <c r="SPV73" s="7"/>
      <c r="SPW73" s="7"/>
      <c r="SPX73" s="7"/>
      <c r="SPY73" s="7"/>
      <c r="SPZ73" s="7"/>
      <c r="SQA73" s="7"/>
      <c r="SQB73" s="7"/>
      <c r="SQC73" s="7"/>
      <c r="SQD73" s="7"/>
      <c r="SQE73" s="7"/>
      <c r="SZP73" s="7"/>
      <c r="SZQ73" s="7"/>
      <c r="SZR73" s="7"/>
      <c r="SZS73" s="7"/>
      <c r="SZT73" s="7"/>
      <c r="SZU73" s="7"/>
      <c r="SZV73" s="7"/>
      <c r="SZW73" s="7"/>
      <c r="SZX73" s="7"/>
      <c r="SZY73" s="7"/>
      <c r="SZZ73" s="7"/>
      <c r="TAA73" s="7"/>
      <c r="TJL73" s="7"/>
      <c r="TJM73" s="7"/>
      <c r="TJN73" s="7"/>
      <c r="TJO73" s="7"/>
      <c r="TJP73" s="7"/>
      <c r="TJQ73" s="7"/>
      <c r="TJR73" s="7"/>
      <c r="TJS73" s="7"/>
      <c r="TJT73" s="7"/>
      <c r="TJU73" s="7"/>
      <c r="TJV73" s="7"/>
      <c r="TJW73" s="7"/>
      <c r="TTH73" s="7"/>
      <c r="TTI73" s="7"/>
      <c r="TTJ73" s="7"/>
      <c r="TTK73" s="7"/>
      <c r="TTL73" s="7"/>
      <c r="TTM73" s="7"/>
      <c r="TTN73" s="7"/>
      <c r="TTO73" s="7"/>
      <c r="TTP73" s="7"/>
      <c r="TTQ73" s="7"/>
      <c r="TTR73" s="7"/>
      <c r="TTS73" s="7"/>
      <c r="UDD73" s="7"/>
      <c r="UDE73" s="7"/>
      <c r="UDF73" s="7"/>
      <c r="UDG73" s="7"/>
      <c r="UDH73" s="7"/>
      <c r="UDI73" s="7"/>
      <c r="UDJ73" s="7"/>
      <c r="UDK73" s="7"/>
      <c r="UDL73" s="7"/>
      <c r="UDM73" s="7"/>
      <c r="UDN73" s="7"/>
      <c r="UDO73" s="7"/>
      <c r="UMZ73" s="7"/>
      <c r="UNA73" s="7"/>
      <c r="UNB73" s="7"/>
      <c r="UNC73" s="7"/>
      <c r="UND73" s="7"/>
      <c r="UNE73" s="7"/>
      <c r="UNF73" s="7"/>
      <c r="UNG73" s="7"/>
      <c r="UNH73" s="7"/>
      <c r="UNI73" s="7"/>
      <c r="UNJ73" s="7"/>
      <c r="UNK73" s="7"/>
      <c r="UWV73" s="7"/>
      <c r="UWW73" s="7"/>
      <c r="UWX73" s="7"/>
      <c r="UWY73" s="7"/>
      <c r="UWZ73" s="7"/>
      <c r="UXA73" s="7"/>
      <c r="UXB73" s="7"/>
      <c r="UXC73" s="7"/>
      <c r="UXD73" s="7"/>
      <c r="UXE73" s="7"/>
      <c r="UXF73" s="7"/>
      <c r="UXG73" s="7"/>
      <c r="VGR73" s="7"/>
      <c r="VGS73" s="7"/>
      <c r="VGT73" s="7"/>
      <c r="VGU73" s="7"/>
      <c r="VGV73" s="7"/>
      <c r="VGW73" s="7"/>
      <c r="VGX73" s="7"/>
      <c r="VGY73" s="7"/>
      <c r="VGZ73" s="7"/>
      <c r="VHA73" s="7"/>
      <c r="VHB73" s="7"/>
      <c r="VHC73" s="7"/>
      <c r="VQN73" s="7"/>
      <c r="VQO73" s="7"/>
      <c r="VQP73" s="7"/>
      <c r="VQQ73" s="7"/>
      <c r="VQR73" s="7"/>
      <c r="VQS73" s="7"/>
      <c r="VQT73" s="7"/>
      <c r="VQU73" s="7"/>
      <c r="VQV73" s="7"/>
      <c r="VQW73" s="7"/>
      <c r="VQX73" s="7"/>
      <c r="VQY73" s="7"/>
      <c r="WAJ73" s="7"/>
      <c r="WAK73" s="7"/>
      <c r="WAL73" s="7"/>
      <c r="WAM73" s="7"/>
      <c r="WAN73" s="7"/>
      <c r="WAO73" s="7"/>
      <c r="WAP73" s="7"/>
      <c r="WAQ73" s="7"/>
      <c r="WAR73" s="7"/>
      <c r="WAS73" s="7"/>
      <c r="WAT73" s="7"/>
      <c r="WAU73" s="7"/>
      <c r="WKF73" s="7"/>
      <c r="WKG73" s="7"/>
      <c r="WKH73" s="7"/>
      <c r="WKI73" s="7"/>
      <c r="WKJ73" s="7"/>
      <c r="WKK73" s="7"/>
      <c r="WKL73" s="7"/>
      <c r="WKM73" s="7"/>
      <c r="WKN73" s="7"/>
      <c r="WKO73" s="7"/>
      <c r="WKP73" s="7"/>
      <c r="WKQ73" s="7"/>
      <c r="WUB73" s="7"/>
      <c r="WUC73" s="7"/>
      <c r="WUD73" s="7"/>
      <c r="WUE73" s="7"/>
      <c r="WUF73" s="7"/>
      <c r="WUG73" s="7"/>
      <c r="WUH73" s="7"/>
      <c r="WUI73" s="7"/>
      <c r="WUJ73" s="7"/>
      <c r="WUK73" s="7"/>
      <c r="WUL73" s="7"/>
      <c r="WUM73" s="7"/>
    </row>
    <row r="74" spans="1:1003 1248:2027 2272:3051 3296:4075 4320:5099 5344:6123 6368:7147 7392:8171 8416:9195 9440:10219 10464:11243 11488:12267 12512:13291 13536:14315 14560:15339 15584:16107" ht="30" customHeight="1">
      <c r="A74" s="45"/>
      <c r="C74" s="7" t="s">
        <v>249</v>
      </c>
      <c r="H74" s="159">
        <v>7</v>
      </c>
      <c r="I74" s="196" t="s">
        <v>225</v>
      </c>
      <c r="J74" s="161"/>
      <c r="K74" s="196"/>
      <c r="L74" s="211">
        <f>Table113[[#This Row],[Qty 2]]+Table113[[#This Row],[Qty 1]]</f>
        <v>7</v>
      </c>
      <c r="M74" s="216">
        <v>240</v>
      </c>
      <c r="N74" s="216">
        <f>Table113[[#This Row],[Unit Cost]]*Table113[[#This Row],[Total Qty All Areas]]</f>
        <v>1680</v>
      </c>
    </row>
    <row r="75" spans="1:1003 1248:2027 2272:3051 3296:4075 4320:5099 5344:6123 6368:7147 7392:8171 8416:9195 9440:10219 10464:11243 11488:12267 12512:13291 13536:14315 14560:15339 15584:16107" ht="30" customHeight="1">
      <c r="A75" s="45"/>
      <c r="C75" s="7" t="s">
        <v>250</v>
      </c>
      <c r="H75" s="159">
        <v>12</v>
      </c>
      <c r="I75" s="196" t="s">
        <v>225</v>
      </c>
      <c r="J75" s="161"/>
      <c r="K75" s="196"/>
      <c r="L75" s="211">
        <f>Table113[[#This Row],[Qty 2]]+Table113[[#This Row],[Qty 1]]</f>
        <v>12</v>
      </c>
      <c r="M75" s="216">
        <v>270</v>
      </c>
      <c r="N75" s="216">
        <f>Table113[[#This Row],[Unit Cost]]*Table113[[#This Row],[Total Qty All Areas]]</f>
        <v>3240</v>
      </c>
    </row>
    <row r="76" spans="1:1003 1248:2027 2272:3051 3296:4075 4320:5099 5344:6123 6368:7147 7392:8171 8416:9195 9440:10219 10464:11243 11488:12267 12512:13291 13536:14315 14560:15339 15584:16107" ht="30" customHeight="1">
      <c r="A76" s="45"/>
      <c r="C76" s="7" t="s">
        <v>251</v>
      </c>
      <c r="H76" s="159">
        <v>5</v>
      </c>
      <c r="I76" s="196" t="s">
        <v>225</v>
      </c>
      <c r="J76" s="161"/>
      <c r="K76" s="196"/>
      <c r="L76" s="211">
        <f>Table113[[#This Row],[Qty 2]]+Table113[[#This Row],[Qty 1]]</f>
        <v>5</v>
      </c>
      <c r="M76" s="216">
        <v>180</v>
      </c>
      <c r="N76" s="216">
        <f>Table113[[#This Row],[Unit Cost]]*Table113[[#This Row],[Total Qty All Areas]]</f>
        <v>900</v>
      </c>
    </row>
    <row r="77" spans="1:1003 1248:2027 2272:3051 3296:4075 4320:5099 5344:6123 6368:7147 7392:8171 8416:9195 9440:10219 10464:11243 11488:12267 12512:13291 13536:14315 14560:15339 15584:16107" ht="30" customHeight="1">
      <c r="A77" s="45"/>
      <c r="C77" s="7" t="s">
        <v>252</v>
      </c>
      <c r="H77" s="159">
        <v>1</v>
      </c>
      <c r="I77" s="196" t="s">
        <v>225</v>
      </c>
      <c r="J77" s="161"/>
      <c r="K77" s="196"/>
      <c r="L77" s="211">
        <f>Table113[[#This Row],[Qty 2]]+Table113[[#This Row],[Qty 1]]</f>
        <v>1</v>
      </c>
      <c r="M77" s="216">
        <v>510</v>
      </c>
      <c r="N77" s="216">
        <f>Table113[[#This Row],[Unit Cost]]*Table113[[#This Row],[Total Qty All Areas]]</f>
        <v>510</v>
      </c>
    </row>
    <row r="78" spans="1:1003 1248:2027 2272:3051 3296:4075 4320:5099 5344:6123 6368:7147 7392:8171 8416:9195 9440:10219 10464:11243 11488:12267 12512:13291 13536:14315 14560:15339 15584:16107" ht="30" customHeight="1">
      <c r="A78" s="176"/>
      <c r="C78" s="6" t="s">
        <v>253</v>
      </c>
      <c r="D78" s="169"/>
      <c r="E78" s="169"/>
      <c r="F78" s="303"/>
      <c r="H78" s="159">
        <v>4</v>
      </c>
      <c r="I78" s="196" t="s">
        <v>225</v>
      </c>
      <c r="J78" s="161">
        <v>1</v>
      </c>
      <c r="K78" s="196" t="s">
        <v>225</v>
      </c>
      <c r="L78" s="211">
        <f>Table113[[#This Row],[Qty 2]]+Table113[[#This Row],[Qty 1]]</f>
        <v>5</v>
      </c>
      <c r="M78" s="216">
        <v>140</v>
      </c>
      <c r="N78" s="216">
        <f>Table113[[#This Row],[Unit Cost]]*Table113[[#This Row],[Total Qty All Areas]]</f>
        <v>700</v>
      </c>
    </row>
    <row r="79" spans="1:1003 1248:2027 2272:3051 3296:4075 4320:5099 5344:6123 6368:7147 7392:8171 8416:9195 9440:10219 10464:11243 11488:12267 12512:13291 13536:14315 14560:15339 15584:16107" s="167" customFormat="1" ht="30" customHeight="1">
      <c r="A79" s="175" t="str">
        <f>'Category Setup'!L47</f>
        <v>F_SP</v>
      </c>
      <c r="B79" s="167" t="str">
        <f>'Category Setup'!E47</f>
        <v>F_SP_Finished_Snow Plough</v>
      </c>
      <c r="C79" s="167" t="str">
        <f>'Category Setup'!N47</f>
        <v>F_SP_Finished_Snow Plough</v>
      </c>
      <c r="D79" s="168"/>
      <c r="E79" s="168"/>
      <c r="F79" s="172"/>
      <c r="G79" s="172"/>
      <c r="H79" s="173"/>
      <c r="I79" s="197"/>
      <c r="J79" s="174"/>
      <c r="K79" s="197"/>
      <c r="L79" s="213">
        <f>Table113[[#This Row],[Qty 2]]+Table113[[#This Row],[Qty 1]]</f>
        <v>0</v>
      </c>
      <c r="M79" s="215"/>
      <c r="N79" s="215">
        <f>Table113[[#This Row],[Unit Cost]]*Table113[[#This Row],[Total Qty All Areas]]</f>
        <v>0</v>
      </c>
      <c r="HP79" s="7"/>
      <c r="HQ79" s="7"/>
      <c r="HR79" s="7"/>
      <c r="HS79" s="7"/>
      <c r="HT79" s="7"/>
      <c r="HU79" s="7"/>
      <c r="HV79" s="7"/>
      <c r="HW79" s="7"/>
      <c r="HX79" s="7"/>
      <c r="HY79" s="7"/>
      <c r="HZ79" s="7"/>
      <c r="IA79" s="7"/>
      <c r="RL79" s="7"/>
      <c r="RM79" s="7"/>
      <c r="RN79" s="7"/>
      <c r="RO79" s="7"/>
      <c r="RP79" s="7"/>
      <c r="RQ79" s="7"/>
      <c r="RR79" s="7"/>
      <c r="RS79" s="7"/>
      <c r="RT79" s="7"/>
      <c r="RU79" s="7"/>
      <c r="RV79" s="7"/>
      <c r="RW79" s="7"/>
      <c r="ABH79" s="7"/>
      <c r="ABI79" s="7"/>
      <c r="ABJ79" s="7"/>
      <c r="ABK79" s="7"/>
      <c r="ABL79" s="7"/>
      <c r="ABM79" s="7"/>
      <c r="ABN79" s="7"/>
      <c r="ABO79" s="7"/>
      <c r="ABP79" s="7"/>
      <c r="ABQ79" s="7"/>
      <c r="ABR79" s="7"/>
      <c r="ABS79" s="7"/>
      <c r="ALD79" s="7"/>
      <c r="ALE79" s="7"/>
      <c r="ALF79" s="7"/>
      <c r="ALG79" s="7"/>
      <c r="ALH79" s="7"/>
      <c r="ALI79" s="7"/>
      <c r="ALJ79" s="7"/>
      <c r="ALK79" s="7"/>
      <c r="ALL79" s="7"/>
      <c r="ALM79" s="7"/>
      <c r="ALN79" s="7"/>
      <c r="ALO79" s="7"/>
      <c r="AUZ79" s="7"/>
      <c r="AVA79" s="7"/>
      <c r="AVB79" s="7"/>
      <c r="AVC79" s="7"/>
      <c r="AVD79" s="7"/>
      <c r="AVE79" s="7"/>
      <c r="AVF79" s="7"/>
      <c r="AVG79" s="7"/>
      <c r="AVH79" s="7"/>
      <c r="AVI79" s="7"/>
      <c r="AVJ79" s="7"/>
      <c r="AVK79" s="7"/>
      <c r="BEV79" s="7"/>
      <c r="BEW79" s="7"/>
      <c r="BEX79" s="7"/>
      <c r="BEY79" s="7"/>
      <c r="BEZ79" s="7"/>
      <c r="BFA79" s="7"/>
      <c r="BFB79" s="7"/>
      <c r="BFC79" s="7"/>
      <c r="BFD79" s="7"/>
      <c r="BFE79" s="7"/>
      <c r="BFF79" s="7"/>
      <c r="BFG79" s="7"/>
      <c r="BOR79" s="7"/>
      <c r="BOS79" s="7"/>
      <c r="BOT79" s="7"/>
      <c r="BOU79" s="7"/>
      <c r="BOV79" s="7"/>
      <c r="BOW79" s="7"/>
      <c r="BOX79" s="7"/>
      <c r="BOY79" s="7"/>
      <c r="BOZ79" s="7"/>
      <c r="BPA79" s="7"/>
      <c r="BPB79" s="7"/>
      <c r="BPC79" s="7"/>
      <c r="BYN79" s="7"/>
      <c r="BYO79" s="7"/>
      <c r="BYP79" s="7"/>
      <c r="BYQ79" s="7"/>
      <c r="BYR79" s="7"/>
      <c r="BYS79" s="7"/>
      <c r="BYT79" s="7"/>
      <c r="BYU79" s="7"/>
      <c r="BYV79" s="7"/>
      <c r="BYW79" s="7"/>
      <c r="BYX79" s="7"/>
      <c r="BYY79" s="7"/>
      <c r="CIJ79" s="7"/>
      <c r="CIK79" s="7"/>
      <c r="CIL79" s="7"/>
      <c r="CIM79" s="7"/>
      <c r="CIN79" s="7"/>
      <c r="CIO79" s="7"/>
      <c r="CIP79" s="7"/>
      <c r="CIQ79" s="7"/>
      <c r="CIR79" s="7"/>
      <c r="CIS79" s="7"/>
      <c r="CIT79" s="7"/>
      <c r="CIU79" s="7"/>
      <c r="CSF79" s="7"/>
      <c r="CSG79" s="7"/>
      <c r="CSH79" s="7"/>
      <c r="CSI79" s="7"/>
      <c r="CSJ79" s="7"/>
      <c r="CSK79" s="7"/>
      <c r="CSL79" s="7"/>
      <c r="CSM79" s="7"/>
      <c r="CSN79" s="7"/>
      <c r="CSO79" s="7"/>
      <c r="CSP79" s="7"/>
      <c r="CSQ79" s="7"/>
      <c r="DCB79" s="7"/>
      <c r="DCC79" s="7"/>
      <c r="DCD79" s="7"/>
      <c r="DCE79" s="7"/>
      <c r="DCF79" s="7"/>
      <c r="DCG79" s="7"/>
      <c r="DCH79" s="7"/>
      <c r="DCI79" s="7"/>
      <c r="DCJ79" s="7"/>
      <c r="DCK79" s="7"/>
      <c r="DCL79" s="7"/>
      <c r="DCM79" s="7"/>
      <c r="DLX79" s="7"/>
      <c r="DLY79" s="7"/>
      <c r="DLZ79" s="7"/>
      <c r="DMA79" s="7"/>
      <c r="DMB79" s="7"/>
      <c r="DMC79" s="7"/>
      <c r="DMD79" s="7"/>
      <c r="DME79" s="7"/>
      <c r="DMF79" s="7"/>
      <c r="DMG79" s="7"/>
      <c r="DMH79" s="7"/>
      <c r="DMI79" s="7"/>
      <c r="DVT79" s="7"/>
      <c r="DVU79" s="7"/>
      <c r="DVV79" s="7"/>
      <c r="DVW79" s="7"/>
      <c r="DVX79" s="7"/>
      <c r="DVY79" s="7"/>
      <c r="DVZ79" s="7"/>
      <c r="DWA79" s="7"/>
      <c r="DWB79" s="7"/>
      <c r="DWC79" s="7"/>
      <c r="DWD79" s="7"/>
      <c r="DWE79" s="7"/>
      <c r="EFP79" s="7"/>
      <c r="EFQ79" s="7"/>
      <c r="EFR79" s="7"/>
      <c r="EFS79" s="7"/>
      <c r="EFT79" s="7"/>
      <c r="EFU79" s="7"/>
      <c r="EFV79" s="7"/>
      <c r="EFW79" s="7"/>
      <c r="EFX79" s="7"/>
      <c r="EFY79" s="7"/>
      <c r="EFZ79" s="7"/>
      <c r="EGA79" s="7"/>
      <c r="EPL79" s="7"/>
      <c r="EPM79" s="7"/>
      <c r="EPN79" s="7"/>
      <c r="EPO79" s="7"/>
      <c r="EPP79" s="7"/>
      <c r="EPQ79" s="7"/>
      <c r="EPR79" s="7"/>
      <c r="EPS79" s="7"/>
      <c r="EPT79" s="7"/>
      <c r="EPU79" s="7"/>
      <c r="EPV79" s="7"/>
      <c r="EPW79" s="7"/>
      <c r="EZH79" s="7"/>
      <c r="EZI79" s="7"/>
      <c r="EZJ79" s="7"/>
      <c r="EZK79" s="7"/>
      <c r="EZL79" s="7"/>
      <c r="EZM79" s="7"/>
      <c r="EZN79" s="7"/>
      <c r="EZO79" s="7"/>
      <c r="EZP79" s="7"/>
      <c r="EZQ79" s="7"/>
      <c r="EZR79" s="7"/>
      <c r="EZS79" s="7"/>
      <c r="FJD79" s="7"/>
      <c r="FJE79" s="7"/>
      <c r="FJF79" s="7"/>
      <c r="FJG79" s="7"/>
      <c r="FJH79" s="7"/>
      <c r="FJI79" s="7"/>
      <c r="FJJ79" s="7"/>
      <c r="FJK79" s="7"/>
      <c r="FJL79" s="7"/>
      <c r="FJM79" s="7"/>
      <c r="FJN79" s="7"/>
      <c r="FJO79" s="7"/>
      <c r="FSZ79" s="7"/>
      <c r="FTA79" s="7"/>
      <c r="FTB79" s="7"/>
      <c r="FTC79" s="7"/>
      <c r="FTD79" s="7"/>
      <c r="FTE79" s="7"/>
      <c r="FTF79" s="7"/>
      <c r="FTG79" s="7"/>
      <c r="FTH79" s="7"/>
      <c r="FTI79" s="7"/>
      <c r="FTJ79" s="7"/>
      <c r="FTK79" s="7"/>
      <c r="GCV79" s="7"/>
      <c r="GCW79" s="7"/>
      <c r="GCX79" s="7"/>
      <c r="GCY79" s="7"/>
      <c r="GCZ79" s="7"/>
      <c r="GDA79" s="7"/>
      <c r="GDB79" s="7"/>
      <c r="GDC79" s="7"/>
      <c r="GDD79" s="7"/>
      <c r="GDE79" s="7"/>
      <c r="GDF79" s="7"/>
      <c r="GDG79" s="7"/>
      <c r="GMR79" s="7"/>
      <c r="GMS79" s="7"/>
      <c r="GMT79" s="7"/>
      <c r="GMU79" s="7"/>
      <c r="GMV79" s="7"/>
      <c r="GMW79" s="7"/>
      <c r="GMX79" s="7"/>
      <c r="GMY79" s="7"/>
      <c r="GMZ79" s="7"/>
      <c r="GNA79" s="7"/>
      <c r="GNB79" s="7"/>
      <c r="GNC79" s="7"/>
      <c r="GWN79" s="7"/>
      <c r="GWO79" s="7"/>
      <c r="GWP79" s="7"/>
      <c r="GWQ79" s="7"/>
      <c r="GWR79" s="7"/>
      <c r="GWS79" s="7"/>
      <c r="GWT79" s="7"/>
      <c r="GWU79" s="7"/>
      <c r="GWV79" s="7"/>
      <c r="GWW79" s="7"/>
      <c r="GWX79" s="7"/>
      <c r="GWY79" s="7"/>
      <c r="HGJ79" s="7"/>
      <c r="HGK79" s="7"/>
      <c r="HGL79" s="7"/>
      <c r="HGM79" s="7"/>
      <c r="HGN79" s="7"/>
      <c r="HGO79" s="7"/>
      <c r="HGP79" s="7"/>
      <c r="HGQ79" s="7"/>
      <c r="HGR79" s="7"/>
      <c r="HGS79" s="7"/>
      <c r="HGT79" s="7"/>
      <c r="HGU79" s="7"/>
      <c r="HQF79" s="7"/>
      <c r="HQG79" s="7"/>
      <c r="HQH79" s="7"/>
      <c r="HQI79" s="7"/>
      <c r="HQJ79" s="7"/>
      <c r="HQK79" s="7"/>
      <c r="HQL79" s="7"/>
      <c r="HQM79" s="7"/>
      <c r="HQN79" s="7"/>
      <c r="HQO79" s="7"/>
      <c r="HQP79" s="7"/>
      <c r="HQQ79" s="7"/>
      <c r="IAB79" s="7"/>
      <c r="IAC79" s="7"/>
      <c r="IAD79" s="7"/>
      <c r="IAE79" s="7"/>
      <c r="IAF79" s="7"/>
      <c r="IAG79" s="7"/>
      <c r="IAH79" s="7"/>
      <c r="IAI79" s="7"/>
      <c r="IAJ79" s="7"/>
      <c r="IAK79" s="7"/>
      <c r="IAL79" s="7"/>
      <c r="IAM79" s="7"/>
      <c r="IJX79" s="7"/>
      <c r="IJY79" s="7"/>
      <c r="IJZ79" s="7"/>
      <c r="IKA79" s="7"/>
      <c r="IKB79" s="7"/>
      <c r="IKC79" s="7"/>
      <c r="IKD79" s="7"/>
      <c r="IKE79" s="7"/>
      <c r="IKF79" s="7"/>
      <c r="IKG79" s="7"/>
      <c r="IKH79" s="7"/>
      <c r="IKI79" s="7"/>
      <c r="ITT79" s="7"/>
      <c r="ITU79" s="7"/>
      <c r="ITV79" s="7"/>
      <c r="ITW79" s="7"/>
      <c r="ITX79" s="7"/>
      <c r="ITY79" s="7"/>
      <c r="ITZ79" s="7"/>
      <c r="IUA79" s="7"/>
      <c r="IUB79" s="7"/>
      <c r="IUC79" s="7"/>
      <c r="IUD79" s="7"/>
      <c r="IUE79" s="7"/>
      <c r="JDP79" s="7"/>
      <c r="JDQ79" s="7"/>
      <c r="JDR79" s="7"/>
      <c r="JDS79" s="7"/>
      <c r="JDT79" s="7"/>
      <c r="JDU79" s="7"/>
      <c r="JDV79" s="7"/>
      <c r="JDW79" s="7"/>
      <c r="JDX79" s="7"/>
      <c r="JDY79" s="7"/>
      <c r="JDZ79" s="7"/>
      <c r="JEA79" s="7"/>
      <c r="JNL79" s="7"/>
      <c r="JNM79" s="7"/>
      <c r="JNN79" s="7"/>
      <c r="JNO79" s="7"/>
      <c r="JNP79" s="7"/>
      <c r="JNQ79" s="7"/>
      <c r="JNR79" s="7"/>
      <c r="JNS79" s="7"/>
      <c r="JNT79" s="7"/>
      <c r="JNU79" s="7"/>
      <c r="JNV79" s="7"/>
      <c r="JNW79" s="7"/>
      <c r="JXH79" s="7"/>
      <c r="JXI79" s="7"/>
      <c r="JXJ79" s="7"/>
      <c r="JXK79" s="7"/>
      <c r="JXL79" s="7"/>
      <c r="JXM79" s="7"/>
      <c r="JXN79" s="7"/>
      <c r="JXO79" s="7"/>
      <c r="JXP79" s="7"/>
      <c r="JXQ79" s="7"/>
      <c r="JXR79" s="7"/>
      <c r="JXS79" s="7"/>
      <c r="KHD79" s="7"/>
      <c r="KHE79" s="7"/>
      <c r="KHF79" s="7"/>
      <c r="KHG79" s="7"/>
      <c r="KHH79" s="7"/>
      <c r="KHI79" s="7"/>
      <c r="KHJ79" s="7"/>
      <c r="KHK79" s="7"/>
      <c r="KHL79" s="7"/>
      <c r="KHM79" s="7"/>
      <c r="KHN79" s="7"/>
      <c r="KHO79" s="7"/>
      <c r="KQZ79" s="7"/>
      <c r="KRA79" s="7"/>
      <c r="KRB79" s="7"/>
      <c r="KRC79" s="7"/>
      <c r="KRD79" s="7"/>
      <c r="KRE79" s="7"/>
      <c r="KRF79" s="7"/>
      <c r="KRG79" s="7"/>
      <c r="KRH79" s="7"/>
      <c r="KRI79" s="7"/>
      <c r="KRJ79" s="7"/>
      <c r="KRK79" s="7"/>
      <c r="LAV79" s="7"/>
      <c r="LAW79" s="7"/>
      <c r="LAX79" s="7"/>
      <c r="LAY79" s="7"/>
      <c r="LAZ79" s="7"/>
      <c r="LBA79" s="7"/>
      <c r="LBB79" s="7"/>
      <c r="LBC79" s="7"/>
      <c r="LBD79" s="7"/>
      <c r="LBE79" s="7"/>
      <c r="LBF79" s="7"/>
      <c r="LBG79" s="7"/>
      <c r="LKR79" s="7"/>
      <c r="LKS79" s="7"/>
      <c r="LKT79" s="7"/>
      <c r="LKU79" s="7"/>
      <c r="LKV79" s="7"/>
      <c r="LKW79" s="7"/>
      <c r="LKX79" s="7"/>
      <c r="LKY79" s="7"/>
      <c r="LKZ79" s="7"/>
      <c r="LLA79" s="7"/>
      <c r="LLB79" s="7"/>
      <c r="LLC79" s="7"/>
      <c r="LUN79" s="7"/>
      <c r="LUO79" s="7"/>
      <c r="LUP79" s="7"/>
      <c r="LUQ79" s="7"/>
      <c r="LUR79" s="7"/>
      <c r="LUS79" s="7"/>
      <c r="LUT79" s="7"/>
      <c r="LUU79" s="7"/>
      <c r="LUV79" s="7"/>
      <c r="LUW79" s="7"/>
      <c r="LUX79" s="7"/>
      <c r="LUY79" s="7"/>
      <c r="MEJ79" s="7"/>
      <c r="MEK79" s="7"/>
      <c r="MEL79" s="7"/>
      <c r="MEM79" s="7"/>
      <c r="MEN79" s="7"/>
      <c r="MEO79" s="7"/>
      <c r="MEP79" s="7"/>
      <c r="MEQ79" s="7"/>
      <c r="MER79" s="7"/>
      <c r="MES79" s="7"/>
      <c r="MET79" s="7"/>
      <c r="MEU79" s="7"/>
      <c r="MOF79" s="7"/>
      <c r="MOG79" s="7"/>
      <c r="MOH79" s="7"/>
      <c r="MOI79" s="7"/>
      <c r="MOJ79" s="7"/>
      <c r="MOK79" s="7"/>
      <c r="MOL79" s="7"/>
      <c r="MOM79" s="7"/>
      <c r="MON79" s="7"/>
      <c r="MOO79" s="7"/>
      <c r="MOP79" s="7"/>
      <c r="MOQ79" s="7"/>
      <c r="MYB79" s="7"/>
      <c r="MYC79" s="7"/>
      <c r="MYD79" s="7"/>
      <c r="MYE79" s="7"/>
      <c r="MYF79" s="7"/>
      <c r="MYG79" s="7"/>
      <c r="MYH79" s="7"/>
      <c r="MYI79" s="7"/>
      <c r="MYJ79" s="7"/>
      <c r="MYK79" s="7"/>
      <c r="MYL79" s="7"/>
      <c r="MYM79" s="7"/>
      <c r="NHX79" s="7"/>
      <c r="NHY79" s="7"/>
      <c r="NHZ79" s="7"/>
      <c r="NIA79" s="7"/>
      <c r="NIB79" s="7"/>
      <c r="NIC79" s="7"/>
      <c r="NID79" s="7"/>
      <c r="NIE79" s="7"/>
      <c r="NIF79" s="7"/>
      <c r="NIG79" s="7"/>
      <c r="NIH79" s="7"/>
      <c r="NII79" s="7"/>
      <c r="NRT79" s="7"/>
      <c r="NRU79" s="7"/>
      <c r="NRV79" s="7"/>
      <c r="NRW79" s="7"/>
      <c r="NRX79" s="7"/>
      <c r="NRY79" s="7"/>
      <c r="NRZ79" s="7"/>
      <c r="NSA79" s="7"/>
      <c r="NSB79" s="7"/>
      <c r="NSC79" s="7"/>
      <c r="NSD79" s="7"/>
      <c r="NSE79" s="7"/>
      <c r="OBP79" s="7"/>
      <c r="OBQ79" s="7"/>
      <c r="OBR79" s="7"/>
      <c r="OBS79" s="7"/>
      <c r="OBT79" s="7"/>
      <c r="OBU79" s="7"/>
      <c r="OBV79" s="7"/>
      <c r="OBW79" s="7"/>
      <c r="OBX79" s="7"/>
      <c r="OBY79" s="7"/>
      <c r="OBZ79" s="7"/>
      <c r="OCA79" s="7"/>
      <c r="OLL79" s="7"/>
      <c r="OLM79" s="7"/>
      <c r="OLN79" s="7"/>
      <c r="OLO79" s="7"/>
      <c r="OLP79" s="7"/>
      <c r="OLQ79" s="7"/>
      <c r="OLR79" s="7"/>
      <c r="OLS79" s="7"/>
      <c r="OLT79" s="7"/>
      <c r="OLU79" s="7"/>
      <c r="OLV79" s="7"/>
      <c r="OLW79" s="7"/>
      <c r="OVH79" s="7"/>
      <c r="OVI79" s="7"/>
      <c r="OVJ79" s="7"/>
      <c r="OVK79" s="7"/>
      <c r="OVL79" s="7"/>
      <c r="OVM79" s="7"/>
      <c r="OVN79" s="7"/>
      <c r="OVO79" s="7"/>
      <c r="OVP79" s="7"/>
      <c r="OVQ79" s="7"/>
      <c r="OVR79" s="7"/>
      <c r="OVS79" s="7"/>
      <c r="PFD79" s="7"/>
      <c r="PFE79" s="7"/>
      <c r="PFF79" s="7"/>
      <c r="PFG79" s="7"/>
      <c r="PFH79" s="7"/>
      <c r="PFI79" s="7"/>
      <c r="PFJ79" s="7"/>
      <c r="PFK79" s="7"/>
      <c r="PFL79" s="7"/>
      <c r="PFM79" s="7"/>
      <c r="PFN79" s="7"/>
      <c r="PFO79" s="7"/>
      <c r="POZ79" s="7"/>
      <c r="PPA79" s="7"/>
      <c r="PPB79" s="7"/>
      <c r="PPC79" s="7"/>
      <c r="PPD79" s="7"/>
      <c r="PPE79" s="7"/>
      <c r="PPF79" s="7"/>
      <c r="PPG79" s="7"/>
      <c r="PPH79" s="7"/>
      <c r="PPI79" s="7"/>
      <c r="PPJ79" s="7"/>
      <c r="PPK79" s="7"/>
      <c r="PYV79" s="7"/>
      <c r="PYW79" s="7"/>
      <c r="PYX79" s="7"/>
      <c r="PYY79" s="7"/>
      <c r="PYZ79" s="7"/>
      <c r="PZA79" s="7"/>
      <c r="PZB79" s="7"/>
      <c r="PZC79" s="7"/>
      <c r="PZD79" s="7"/>
      <c r="PZE79" s="7"/>
      <c r="PZF79" s="7"/>
      <c r="PZG79" s="7"/>
      <c r="QIR79" s="7"/>
      <c r="QIS79" s="7"/>
      <c r="QIT79" s="7"/>
      <c r="QIU79" s="7"/>
      <c r="QIV79" s="7"/>
      <c r="QIW79" s="7"/>
      <c r="QIX79" s="7"/>
      <c r="QIY79" s="7"/>
      <c r="QIZ79" s="7"/>
      <c r="QJA79" s="7"/>
      <c r="QJB79" s="7"/>
      <c r="QJC79" s="7"/>
      <c r="QSN79" s="7"/>
      <c r="QSO79" s="7"/>
      <c r="QSP79" s="7"/>
      <c r="QSQ79" s="7"/>
      <c r="QSR79" s="7"/>
      <c r="QSS79" s="7"/>
      <c r="QST79" s="7"/>
      <c r="QSU79" s="7"/>
      <c r="QSV79" s="7"/>
      <c r="QSW79" s="7"/>
      <c r="QSX79" s="7"/>
      <c r="QSY79" s="7"/>
      <c r="RCJ79" s="7"/>
      <c r="RCK79" s="7"/>
      <c r="RCL79" s="7"/>
      <c r="RCM79" s="7"/>
      <c r="RCN79" s="7"/>
      <c r="RCO79" s="7"/>
      <c r="RCP79" s="7"/>
      <c r="RCQ79" s="7"/>
      <c r="RCR79" s="7"/>
      <c r="RCS79" s="7"/>
      <c r="RCT79" s="7"/>
      <c r="RCU79" s="7"/>
      <c r="RMF79" s="7"/>
      <c r="RMG79" s="7"/>
      <c r="RMH79" s="7"/>
      <c r="RMI79" s="7"/>
      <c r="RMJ79" s="7"/>
      <c r="RMK79" s="7"/>
      <c r="RML79" s="7"/>
      <c r="RMM79" s="7"/>
      <c r="RMN79" s="7"/>
      <c r="RMO79" s="7"/>
      <c r="RMP79" s="7"/>
      <c r="RMQ79" s="7"/>
      <c r="RWB79" s="7"/>
      <c r="RWC79" s="7"/>
      <c r="RWD79" s="7"/>
      <c r="RWE79" s="7"/>
      <c r="RWF79" s="7"/>
      <c r="RWG79" s="7"/>
      <c r="RWH79" s="7"/>
      <c r="RWI79" s="7"/>
      <c r="RWJ79" s="7"/>
      <c r="RWK79" s="7"/>
      <c r="RWL79" s="7"/>
      <c r="RWM79" s="7"/>
      <c r="SFX79" s="7"/>
      <c r="SFY79" s="7"/>
      <c r="SFZ79" s="7"/>
      <c r="SGA79" s="7"/>
      <c r="SGB79" s="7"/>
      <c r="SGC79" s="7"/>
      <c r="SGD79" s="7"/>
      <c r="SGE79" s="7"/>
      <c r="SGF79" s="7"/>
      <c r="SGG79" s="7"/>
      <c r="SGH79" s="7"/>
      <c r="SGI79" s="7"/>
      <c r="SPT79" s="7"/>
      <c r="SPU79" s="7"/>
      <c r="SPV79" s="7"/>
      <c r="SPW79" s="7"/>
      <c r="SPX79" s="7"/>
      <c r="SPY79" s="7"/>
      <c r="SPZ79" s="7"/>
      <c r="SQA79" s="7"/>
      <c r="SQB79" s="7"/>
      <c r="SQC79" s="7"/>
      <c r="SQD79" s="7"/>
      <c r="SQE79" s="7"/>
      <c r="SZP79" s="7"/>
      <c r="SZQ79" s="7"/>
      <c r="SZR79" s="7"/>
      <c r="SZS79" s="7"/>
      <c r="SZT79" s="7"/>
      <c r="SZU79" s="7"/>
      <c r="SZV79" s="7"/>
      <c r="SZW79" s="7"/>
      <c r="SZX79" s="7"/>
      <c r="SZY79" s="7"/>
      <c r="SZZ79" s="7"/>
      <c r="TAA79" s="7"/>
      <c r="TJL79" s="7"/>
      <c r="TJM79" s="7"/>
      <c r="TJN79" s="7"/>
      <c r="TJO79" s="7"/>
      <c r="TJP79" s="7"/>
      <c r="TJQ79" s="7"/>
      <c r="TJR79" s="7"/>
      <c r="TJS79" s="7"/>
      <c r="TJT79" s="7"/>
      <c r="TJU79" s="7"/>
      <c r="TJV79" s="7"/>
      <c r="TJW79" s="7"/>
      <c r="TTH79" s="7"/>
      <c r="TTI79" s="7"/>
      <c r="TTJ79" s="7"/>
      <c r="TTK79" s="7"/>
      <c r="TTL79" s="7"/>
      <c r="TTM79" s="7"/>
      <c r="TTN79" s="7"/>
      <c r="TTO79" s="7"/>
      <c r="TTP79" s="7"/>
      <c r="TTQ79" s="7"/>
      <c r="TTR79" s="7"/>
      <c r="TTS79" s="7"/>
      <c r="UDD79" s="7"/>
      <c r="UDE79" s="7"/>
      <c r="UDF79" s="7"/>
      <c r="UDG79" s="7"/>
      <c r="UDH79" s="7"/>
      <c r="UDI79" s="7"/>
      <c r="UDJ79" s="7"/>
      <c r="UDK79" s="7"/>
      <c r="UDL79" s="7"/>
      <c r="UDM79" s="7"/>
      <c r="UDN79" s="7"/>
      <c r="UDO79" s="7"/>
      <c r="UMZ79" s="7"/>
      <c r="UNA79" s="7"/>
      <c r="UNB79" s="7"/>
      <c r="UNC79" s="7"/>
      <c r="UND79" s="7"/>
      <c r="UNE79" s="7"/>
      <c r="UNF79" s="7"/>
      <c r="UNG79" s="7"/>
      <c r="UNH79" s="7"/>
      <c r="UNI79" s="7"/>
      <c r="UNJ79" s="7"/>
      <c r="UNK79" s="7"/>
      <c r="UWV79" s="7"/>
      <c r="UWW79" s="7"/>
      <c r="UWX79" s="7"/>
      <c r="UWY79" s="7"/>
      <c r="UWZ79" s="7"/>
      <c r="UXA79" s="7"/>
      <c r="UXB79" s="7"/>
      <c r="UXC79" s="7"/>
      <c r="UXD79" s="7"/>
      <c r="UXE79" s="7"/>
      <c r="UXF79" s="7"/>
      <c r="UXG79" s="7"/>
      <c r="VGR79" s="7"/>
      <c r="VGS79" s="7"/>
      <c r="VGT79" s="7"/>
      <c r="VGU79" s="7"/>
      <c r="VGV79" s="7"/>
      <c r="VGW79" s="7"/>
      <c r="VGX79" s="7"/>
      <c r="VGY79" s="7"/>
      <c r="VGZ79" s="7"/>
      <c r="VHA79" s="7"/>
      <c r="VHB79" s="7"/>
      <c r="VHC79" s="7"/>
      <c r="VQN79" s="7"/>
      <c r="VQO79" s="7"/>
      <c r="VQP79" s="7"/>
      <c r="VQQ79" s="7"/>
      <c r="VQR79" s="7"/>
      <c r="VQS79" s="7"/>
      <c r="VQT79" s="7"/>
      <c r="VQU79" s="7"/>
      <c r="VQV79" s="7"/>
      <c r="VQW79" s="7"/>
      <c r="VQX79" s="7"/>
      <c r="VQY79" s="7"/>
      <c r="WAJ79" s="7"/>
      <c r="WAK79" s="7"/>
      <c r="WAL79" s="7"/>
      <c r="WAM79" s="7"/>
      <c r="WAN79" s="7"/>
      <c r="WAO79" s="7"/>
      <c r="WAP79" s="7"/>
      <c r="WAQ79" s="7"/>
      <c r="WAR79" s="7"/>
      <c r="WAS79" s="7"/>
      <c r="WAT79" s="7"/>
      <c r="WAU79" s="7"/>
      <c r="WKF79" s="7"/>
      <c r="WKG79" s="7"/>
      <c r="WKH79" s="7"/>
      <c r="WKI79" s="7"/>
      <c r="WKJ79" s="7"/>
      <c r="WKK79" s="7"/>
      <c r="WKL79" s="7"/>
      <c r="WKM79" s="7"/>
      <c r="WKN79" s="7"/>
      <c r="WKO79" s="7"/>
      <c r="WKP79" s="7"/>
      <c r="WKQ79" s="7"/>
      <c r="WUB79" s="7"/>
      <c r="WUC79" s="7"/>
      <c r="WUD79" s="7"/>
      <c r="WUE79" s="7"/>
      <c r="WUF79" s="7"/>
      <c r="WUG79" s="7"/>
      <c r="WUH79" s="7"/>
      <c r="WUI79" s="7"/>
      <c r="WUJ79" s="7"/>
      <c r="WUK79" s="7"/>
      <c r="WUL79" s="7"/>
      <c r="WUM79" s="7"/>
    </row>
    <row r="80" spans="1:1003 1248:2027 2272:3051 3296:4075 4320:5099 5344:6123 6368:7147 7392:8171 8416:9195 9440:10219 10464:11243 11488:12267 12512:13291 13536:14315 14560:15339 15584:16107" ht="30" customHeight="1">
      <c r="A80" s="45"/>
      <c r="H80" s="159"/>
      <c r="I80" s="196"/>
      <c r="J80" s="161"/>
      <c r="K80" s="196"/>
      <c r="L80" s="211">
        <f>Table113[[#This Row],[Qty 2]]+Table113[[#This Row],[Qty 1]]</f>
        <v>0</v>
      </c>
      <c r="M80" s="216"/>
      <c r="N80" s="216">
        <f>Table113[[#This Row],[Unit Cost]]*Table113[[#This Row],[Total Qty All Areas]]</f>
        <v>0</v>
      </c>
    </row>
    <row r="81" spans="1:1003 1248:2027 2272:3051 3296:4075 4320:5099 5344:6123 6368:7147 7392:8171 8416:9195 9440:10219 10464:11243 11488:12267 12512:13291 13536:14315 14560:15339 15584:16107" ht="30" customHeight="1">
      <c r="A81" s="45"/>
      <c r="H81" s="159"/>
      <c r="I81" s="196"/>
      <c r="J81" s="161"/>
      <c r="K81" s="196"/>
      <c r="L81" s="211">
        <f>Table113[[#This Row],[Qty 2]]+Table113[[#This Row],[Qty 1]]</f>
        <v>0</v>
      </c>
      <c r="M81" s="216"/>
      <c r="N81" s="216">
        <f>Table113[[#This Row],[Unit Cost]]*Table113[[#This Row],[Total Qty All Areas]]</f>
        <v>0</v>
      </c>
    </row>
    <row r="82" spans="1:1003 1248:2027 2272:3051 3296:4075 4320:5099 5344:6123 6368:7147 7392:8171 8416:9195 9440:10219 10464:11243 11488:12267 12512:13291 13536:14315 14560:15339 15584:16107" ht="30" customHeight="1">
      <c r="A82" s="176"/>
      <c r="D82" s="169"/>
      <c r="E82" s="169"/>
      <c r="F82" s="303"/>
      <c r="H82" s="159"/>
      <c r="I82" s="196"/>
      <c r="J82" s="161"/>
      <c r="K82" s="196"/>
      <c r="L82" s="211">
        <f>Table113[[#This Row],[Qty 2]]+Table113[[#This Row],[Qty 1]]</f>
        <v>0</v>
      </c>
      <c r="M82" s="216"/>
      <c r="N82" s="216">
        <f>Table113[[#This Row],[Unit Cost]]*Table113[[#This Row],[Total Qty All Areas]]</f>
        <v>0</v>
      </c>
    </row>
    <row r="83" spans="1:1003 1248:2027 2272:3051 3296:4075 4320:5099 5344:6123 6368:7147 7392:8171 8416:9195 9440:10219 10464:11243 11488:12267 12512:13291 13536:14315 14560:15339 15584:16107" s="167" customFormat="1" ht="30" customHeight="1">
      <c r="A83" s="175" t="str">
        <f>'Category Setup'!L48</f>
        <v>PF_BH</v>
      </c>
      <c r="B83" s="167" t="str">
        <f>'Category Setup'!E48</f>
        <v>PF_BH_Part Finished_Bale Handlers</v>
      </c>
      <c r="C83" s="167" t="str">
        <f>'Category Setup'!N48</f>
        <v>PF_BH_Part Finished_Bale Handlers</v>
      </c>
      <c r="D83" s="168"/>
      <c r="E83" s="168"/>
      <c r="F83" s="172"/>
      <c r="G83" s="172"/>
      <c r="H83" s="173"/>
      <c r="I83" s="197"/>
      <c r="J83" s="174"/>
      <c r="K83" s="197"/>
      <c r="L83" s="213">
        <f>Table113[[#This Row],[Qty 2]]+Table113[[#This Row],[Qty 1]]</f>
        <v>0</v>
      </c>
      <c r="M83" s="215"/>
      <c r="N83" s="215">
        <f>Table113[[#This Row],[Unit Cost]]*Table113[[#This Row],[Total Qty All Areas]]</f>
        <v>0</v>
      </c>
      <c r="HP83" s="7"/>
      <c r="HQ83" s="7"/>
      <c r="HR83" s="7"/>
      <c r="HS83" s="7"/>
      <c r="HT83" s="7"/>
      <c r="HU83" s="7"/>
      <c r="HV83" s="7"/>
      <c r="HW83" s="7"/>
      <c r="HX83" s="7"/>
      <c r="HY83" s="7"/>
      <c r="HZ83" s="7"/>
      <c r="IA83" s="7"/>
      <c r="RL83" s="7"/>
      <c r="RM83" s="7"/>
      <c r="RN83" s="7"/>
      <c r="RO83" s="7"/>
      <c r="RP83" s="7"/>
      <c r="RQ83" s="7"/>
      <c r="RR83" s="7"/>
      <c r="RS83" s="7"/>
      <c r="RT83" s="7"/>
      <c r="RU83" s="7"/>
      <c r="RV83" s="7"/>
      <c r="RW83" s="7"/>
      <c r="ABH83" s="7"/>
      <c r="ABI83" s="7"/>
      <c r="ABJ83" s="7"/>
      <c r="ABK83" s="7"/>
      <c r="ABL83" s="7"/>
      <c r="ABM83" s="7"/>
      <c r="ABN83" s="7"/>
      <c r="ABO83" s="7"/>
      <c r="ABP83" s="7"/>
      <c r="ABQ83" s="7"/>
      <c r="ABR83" s="7"/>
      <c r="ABS83" s="7"/>
      <c r="ALD83" s="7"/>
      <c r="ALE83" s="7"/>
      <c r="ALF83" s="7"/>
      <c r="ALG83" s="7"/>
      <c r="ALH83" s="7"/>
      <c r="ALI83" s="7"/>
      <c r="ALJ83" s="7"/>
      <c r="ALK83" s="7"/>
      <c r="ALL83" s="7"/>
      <c r="ALM83" s="7"/>
      <c r="ALN83" s="7"/>
      <c r="ALO83" s="7"/>
      <c r="AUZ83" s="7"/>
      <c r="AVA83" s="7"/>
      <c r="AVB83" s="7"/>
      <c r="AVC83" s="7"/>
      <c r="AVD83" s="7"/>
      <c r="AVE83" s="7"/>
      <c r="AVF83" s="7"/>
      <c r="AVG83" s="7"/>
      <c r="AVH83" s="7"/>
      <c r="AVI83" s="7"/>
      <c r="AVJ83" s="7"/>
      <c r="AVK83" s="7"/>
      <c r="BEV83" s="7"/>
      <c r="BEW83" s="7"/>
      <c r="BEX83" s="7"/>
      <c r="BEY83" s="7"/>
      <c r="BEZ83" s="7"/>
      <c r="BFA83" s="7"/>
      <c r="BFB83" s="7"/>
      <c r="BFC83" s="7"/>
      <c r="BFD83" s="7"/>
      <c r="BFE83" s="7"/>
      <c r="BFF83" s="7"/>
      <c r="BFG83" s="7"/>
      <c r="BOR83" s="7"/>
      <c r="BOS83" s="7"/>
      <c r="BOT83" s="7"/>
      <c r="BOU83" s="7"/>
      <c r="BOV83" s="7"/>
      <c r="BOW83" s="7"/>
      <c r="BOX83" s="7"/>
      <c r="BOY83" s="7"/>
      <c r="BOZ83" s="7"/>
      <c r="BPA83" s="7"/>
      <c r="BPB83" s="7"/>
      <c r="BPC83" s="7"/>
      <c r="BYN83" s="7"/>
      <c r="BYO83" s="7"/>
      <c r="BYP83" s="7"/>
      <c r="BYQ83" s="7"/>
      <c r="BYR83" s="7"/>
      <c r="BYS83" s="7"/>
      <c r="BYT83" s="7"/>
      <c r="BYU83" s="7"/>
      <c r="BYV83" s="7"/>
      <c r="BYW83" s="7"/>
      <c r="BYX83" s="7"/>
      <c r="BYY83" s="7"/>
      <c r="CIJ83" s="7"/>
      <c r="CIK83" s="7"/>
      <c r="CIL83" s="7"/>
      <c r="CIM83" s="7"/>
      <c r="CIN83" s="7"/>
      <c r="CIO83" s="7"/>
      <c r="CIP83" s="7"/>
      <c r="CIQ83" s="7"/>
      <c r="CIR83" s="7"/>
      <c r="CIS83" s="7"/>
      <c r="CIT83" s="7"/>
      <c r="CIU83" s="7"/>
      <c r="CSF83" s="7"/>
      <c r="CSG83" s="7"/>
      <c r="CSH83" s="7"/>
      <c r="CSI83" s="7"/>
      <c r="CSJ83" s="7"/>
      <c r="CSK83" s="7"/>
      <c r="CSL83" s="7"/>
      <c r="CSM83" s="7"/>
      <c r="CSN83" s="7"/>
      <c r="CSO83" s="7"/>
      <c r="CSP83" s="7"/>
      <c r="CSQ83" s="7"/>
      <c r="DCB83" s="7"/>
      <c r="DCC83" s="7"/>
      <c r="DCD83" s="7"/>
      <c r="DCE83" s="7"/>
      <c r="DCF83" s="7"/>
      <c r="DCG83" s="7"/>
      <c r="DCH83" s="7"/>
      <c r="DCI83" s="7"/>
      <c r="DCJ83" s="7"/>
      <c r="DCK83" s="7"/>
      <c r="DCL83" s="7"/>
      <c r="DCM83" s="7"/>
      <c r="DLX83" s="7"/>
      <c r="DLY83" s="7"/>
      <c r="DLZ83" s="7"/>
      <c r="DMA83" s="7"/>
      <c r="DMB83" s="7"/>
      <c r="DMC83" s="7"/>
      <c r="DMD83" s="7"/>
      <c r="DME83" s="7"/>
      <c r="DMF83" s="7"/>
      <c r="DMG83" s="7"/>
      <c r="DMH83" s="7"/>
      <c r="DMI83" s="7"/>
      <c r="DVT83" s="7"/>
      <c r="DVU83" s="7"/>
      <c r="DVV83" s="7"/>
      <c r="DVW83" s="7"/>
      <c r="DVX83" s="7"/>
      <c r="DVY83" s="7"/>
      <c r="DVZ83" s="7"/>
      <c r="DWA83" s="7"/>
      <c r="DWB83" s="7"/>
      <c r="DWC83" s="7"/>
      <c r="DWD83" s="7"/>
      <c r="DWE83" s="7"/>
      <c r="EFP83" s="7"/>
      <c r="EFQ83" s="7"/>
      <c r="EFR83" s="7"/>
      <c r="EFS83" s="7"/>
      <c r="EFT83" s="7"/>
      <c r="EFU83" s="7"/>
      <c r="EFV83" s="7"/>
      <c r="EFW83" s="7"/>
      <c r="EFX83" s="7"/>
      <c r="EFY83" s="7"/>
      <c r="EFZ83" s="7"/>
      <c r="EGA83" s="7"/>
      <c r="EPL83" s="7"/>
      <c r="EPM83" s="7"/>
      <c r="EPN83" s="7"/>
      <c r="EPO83" s="7"/>
      <c r="EPP83" s="7"/>
      <c r="EPQ83" s="7"/>
      <c r="EPR83" s="7"/>
      <c r="EPS83" s="7"/>
      <c r="EPT83" s="7"/>
      <c r="EPU83" s="7"/>
      <c r="EPV83" s="7"/>
      <c r="EPW83" s="7"/>
      <c r="EZH83" s="7"/>
      <c r="EZI83" s="7"/>
      <c r="EZJ83" s="7"/>
      <c r="EZK83" s="7"/>
      <c r="EZL83" s="7"/>
      <c r="EZM83" s="7"/>
      <c r="EZN83" s="7"/>
      <c r="EZO83" s="7"/>
      <c r="EZP83" s="7"/>
      <c r="EZQ83" s="7"/>
      <c r="EZR83" s="7"/>
      <c r="EZS83" s="7"/>
      <c r="FJD83" s="7"/>
      <c r="FJE83" s="7"/>
      <c r="FJF83" s="7"/>
      <c r="FJG83" s="7"/>
      <c r="FJH83" s="7"/>
      <c r="FJI83" s="7"/>
      <c r="FJJ83" s="7"/>
      <c r="FJK83" s="7"/>
      <c r="FJL83" s="7"/>
      <c r="FJM83" s="7"/>
      <c r="FJN83" s="7"/>
      <c r="FJO83" s="7"/>
      <c r="FSZ83" s="7"/>
      <c r="FTA83" s="7"/>
      <c r="FTB83" s="7"/>
      <c r="FTC83" s="7"/>
      <c r="FTD83" s="7"/>
      <c r="FTE83" s="7"/>
      <c r="FTF83" s="7"/>
      <c r="FTG83" s="7"/>
      <c r="FTH83" s="7"/>
      <c r="FTI83" s="7"/>
      <c r="FTJ83" s="7"/>
      <c r="FTK83" s="7"/>
      <c r="GCV83" s="7"/>
      <c r="GCW83" s="7"/>
      <c r="GCX83" s="7"/>
      <c r="GCY83" s="7"/>
      <c r="GCZ83" s="7"/>
      <c r="GDA83" s="7"/>
      <c r="GDB83" s="7"/>
      <c r="GDC83" s="7"/>
      <c r="GDD83" s="7"/>
      <c r="GDE83" s="7"/>
      <c r="GDF83" s="7"/>
      <c r="GDG83" s="7"/>
      <c r="GMR83" s="7"/>
      <c r="GMS83" s="7"/>
      <c r="GMT83" s="7"/>
      <c r="GMU83" s="7"/>
      <c r="GMV83" s="7"/>
      <c r="GMW83" s="7"/>
      <c r="GMX83" s="7"/>
      <c r="GMY83" s="7"/>
      <c r="GMZ83" s="7"/>
      <c r="GNA83" s="7"/>
      <c r="GNB83" s="7"/>
      <c r="GNC83" s="7"/>
      <c r="GWN83" s="7"/>
      <c r="GWO83" s="7"/>
      <c r="GWP83" s="7"/>
      <c r="GWQ83" s="7"/>
      <c r="GWR83" s="7"/>
      <c r="GWS83" s="7"/>
      <c r="GWT83" s="7"/>
      <c r="GWU83" s="7"/>
      <c r="GWV83" s="7"/>
      <c r="GWW83" s="7"/>
      <c r="GWX83" s="7"/>
      <c r="GWY83" s="7"/>
      <c r="HGJ83" s="7"/>
      <c r="HGK83" s="7"/>
      <c r="HGL83" s="7"/>
      <c r="HGM83" s="7"/>
      <c r="HGN83" s="7"/>
      <c r="HGO83" s="7"/>
      <c r="HGP83" s="7"/>
      <c r="HGQ83" s="7"/>
      <c r="HGR83" s="7"/>
      <c r="HGS83" s="7"/>
      <c r="HGT83" s="7"/>
      <c r="HGU83" s="7"/>
      <c r="HQF83" s="7"/>
      <c r="HQG83" s="7"/>
      <c r="HQH83" s="7"/>
      <c r="HQI83" s="7"/>
      <c r="HQJ83" s="7"/>
      <c r="HQK83" s="7"/>
      <c r="HQL83" s="7"/>
      <c r="HQM83" s="7"/>
      <c r="HQN83" s="7"/>
      <c r="HQO83" s="7"/>
      <c r="HQP83" s="7"/>
      <c r="HQQ83" s="7"/>
      <c r="IAB83" s="7"/>
      <c r="IAC83" s="7"/>
      <c r="IAD83" s="7"/>
      <c r="IAE83" s="7"/>
      <c r="IAF83" s="7"/>
      <c r="IAG83" s="7"/>
      <c r="IAH83" s="7"/>
      <c r="IAI83" s="7"/>
      <c r="IAJ83" s="7"/>
      <c r="IAK83" s="7"/>
      <c r="IAL83" s="7"/>
      <c r="IAM83" s="7"/>
      <c r="IJX83" s="7"/>
      <c r="IJY83" s="7"/>
      <c r="IJZ83" s="7"/>
      <c r="IKA83" s="7"/>
      <c r="IKB83" s="7"/>
      <c r="IKC83" s="7"/>
      <c r="IKD83" s="7"/>
      <c r="IKE83" s="7"/>
      <c r="IKF83" s="7"/>
      <c r="IKG83" s="7"/>
      <c r="IKH83" s="7"/>
      <c r="IKI83" s="7"/>
      <c r="ITT83" s="7"/>
      <c r="ITU83" s="7"/>
      <c r="ITV83" s="7"/>
      <c r="ITW83" s="7"/>
      <c r="ITX83" s="7"/>
      <c r="ITY83" s="7"/>
      <c r="ITZ83" s="7"/>
      <c r="IUA83" s="7"/>
      <c r="IUB83" s="7"/>
      <c r="IUC83" s="7"/>
      <c r="IUD83" s="7"/>
      <c r="IUE83" s="7"/>
      <c r="JDP83" s="7"/>
      <c r="JDQ83" s="7"/>
      <c r="JDR83" s="7"/>
      <c r="JDS83" s="7"/>
      <c r="JDT83" s="7"/>
      <c r="JDU83" s="7"/>
      <c r="JDV83" s="7"/>
      <c r="JDW83" s="7"/>
      <c r="JDX83" s="7"/>
      <c r="JDY83" s="7"/>
      <c r="JDZ83" s="7"/>
      <c r="JEA83" s="7"/>
      <c r="JNL83" s="7"/>
      <c r="JNM83" s="7"/>
      <c r="JNN83" s="7"/>
      <c r="JNO83" s="7"/>
      <c r="JNP83" s="7"/>
      <c r="JNQ83" s="7"/>
      <c r="JNR83" s="7"/>
      <c r="JNS83" s="7"/>
      <c r="JNT83" s="7"/>
      <c r="JNU83" s="7"/>
      <c r="JNV83" s="7"/>
      <c r="JNW83" s="7"/>
      <c r="JXH83" s="7"/>
      <c r="JXI83" s="7"/>
      <c r="JXJ83" s="7"/>
      <c r="JXK83" s="7"/>
      <c r="JXL83" s="7"/>
      <c r="JXM83" s="7"/>
      <c r="JXN83" s="7"/>
      <c r="JXO83" s="7"/>
      <c r="JXP83" s="7"/>
      <c r="JXQ83" s="7"/>
      <c r="JXR83" s="7"/>
      <c r="JXS83" s="7"/>
      <c r="KHD83" s="7"/>
      <c r="KHE83" s="7"/>
      <c r="KHF83" s="7"/>
      <c r="KHG83" s="7"/>
      <c r="KHH83" s="7"/>
      <c r="KHI83" s="7"/>
      <c r="KHJ83" s="7"/>
      <c r="KHK83" s="7"/>
      <c r="KHL83" s="7"/>
      <c r="KHM83" s="7"/>
      <c r="KHN83" s="7"/>
      <c r="KHO83" s="7"/>
      <c r="KQZ83" s="7"/>
      <c r="KRA83" s="7"/>
      <c r="KRB83" s="7"/>
      <c r="KRC83" s="7"/>
      <c r="KRD83" s="7"/>
      <c r="KRE83" s="7"/>
      <c r="KRF83" s="7"/>
      <c r="KRG83" s="7"/>
      <c r="KRH83" s="7"/>
      <c r="KRI83" s="7"/>
      <c r="KRJ83" s="7"/>
      <c r="KRK83" s="7"/>
      <c r="LAV83" s="7"/>
      <c r="LAW83" s="7"/>
      <c r="LAX83" s="7"/>
      <c r="LAY83" s="7"/>
      <c r="LAZ83" s="7"/>
      <c r="LBA83" s="7"/>
      <c r="LBB83" s="7"/>
      <c r="LBC83" s="7"/>
      <c r="LBD83" s="7"/>
      <c r="LBE83" s="7"/>
      <c r="LBF83" s="7"/>
      <c r="LBG83" s="7"/>
      <c r="LKR83" s="7"/>
      <c r="LKS83" s="7"/>
      <c r="LKT83" s="7"/>
      <c r="LKU83" s="7"/>
      <c r="LKV83" s="7"/>
      <c r="LKW83" s="7"/>
      <c r="LKX83" s="7"/>
      <c r="LKY83" s="7"/>
      <c r="LKZ83" s="7"/>
      <c r="LLA83" s="7"/>
      <c r="LLB83" s="7"/>
      <c r="LLC83" s="7"/>
      <c r="LUN83" s="7"/>
      <c r="LUO83" s="7"/>
      <c r="LUP83" s="7"/>
      <c r="LUQ83" s="7"/>
      <c r="LUR83" s="7"/>
      <c r="LUS83" s="7"/>
      <c r="LUT83" s="7"/>
      <c r="LUU83" s="7"/>
      <c r="LUV83" s="7"/>
      <c r="LUW83" s="7"/>
      <c r="LUX83" s="7"/>
      <c r="LUY83" s="7"/>
      <c r="MEJ83" s="7"/>
      <c r="MEK83" s="7"/>
      <c r="MEL83" s="7"/>
      <c r="MEM83" s="7"/>
      <c r="MEN83" s="7"/>
      <c r="MEO83" s="7"/>
      <c r="MEP83" s="7"/>
      <c r="MEQ83" s="7"/>
      <c r="MER83" s="7"/>
      <c r="MES83" s="7"/>
      <c r="MET83" s="7"/>
      <c r="MEU83" s="7"/>
      <c r="MOF83" s="7"/>
      <c r="MOG83" s="7"/>
      <c r="MOH83" s="7"/>
      <c r="MOI83" s="7"/>
      <c r="MOJ83" s="7"/>
      <c r="MOK83" s="7"/>
      <c r="MOL83" s="7"/>
      <c r="MOM83" s="7"/>
      <c r="MON83" s="7"/>
      <c r="MOO83" s="7"/>
      <c r="MOP83" s="7"/>
      <c r="MOQ83" s="7"/>
      <c r="MYB83" s="7"/>
      <c r="MYC83" s="7"/>
      <c r="MYD83" s="7"/>
      <c r="MYE83" s="7"/>
      <c r="MYF83" s="7"/>
      <c r="MYG83" s="7"/>
      <c r="MYH83" s="7"/>
      <c r="MYI83" s="7"/>
      <c r="MYJ83" s="7"/>
      <c r="MYK83" s="7"/>
      <c r="MYL83" s="7"/>
      <c r="MYM83" s="7"/>
      <c r="NHX83" s="7"/>
      <c r="NHY83" s="7"/>
      <c r="NHZ83" s="7"/>
      <c r="NIA83" s="7"/>
      <c r="NIB83" s="7"/>
      <c r="NIC83" s="7"/>
      <c r="NID83" s="7"/>
      <c r="NIE83" s="7"/>
      <c r="NIF83" s="7"/>
      <c r="NIG83" s="7"/>
      <c r="NIH83" s="7"/>
      <c r="NII83" s="7"/>
      <c r="NRT83" s="7"/>
      <c r="NRU83" s="7"/>
      <c r="NRV83" s="7"/>
      <c r="NRW83" s="7"/>
      <c r="NRX83" s="7"/>
      <c r="NRY83" s="7"/>
      <c r="NRZ83" s="7"/>
      <c r="NSA83" s="7"/>
      <c r="NSB83" s="7"/>
      <c r="NSC83" s="7"/>
      <c r="NSD83" s="7"/>
      <c r="NSE83" s="7"/>
      <c r="OBP83" s="7"/>
      <c r="OBQ83" s="7"/>
      <c r="OBR83" s="7"/>
      <c r="OBS83" s="7"/>
      <c r="OBT83" s="7"/>
      <c r="OBU83" s="7"/>
      <c r="OBV83" s="7"/>
      <c r="OBW83" s="7"/>
      <c r="OBX83" s="7"/>
      <c r="OBY83" s="7"/>
      <c r="OBZ83" s="7"/>
      <c r="OCA83" s="7"/>
      <c r="OLL83" s="7"/>
      <c r="OLM83" s="7"/>
      <c r="OLN83" s="7"/>
      <c r="OLO83" s="7"/>
      <c r="OLP83" s="7"/>
      <c r="OLQ83" s="7"/>
      <c r="OLR83" s="7"/>
      <c r="OLS83" s="7"/>
      <c r="OLT83" s="7"/>
      <c r="OLU83" s="7"/>
      <c r="OLV83" s="7"/>
      <c r="OLW83" s="7"/>
      <c r="OVH83" s="7"/>
      <c r="OVI83" s="7"/>
      <c r="OVJ83" s="7"/>
      <c r="OVK83" s="7"/>
      <c r="OVL83" s="7"/>
      <c r="OVM83" s="7"/>
      <c r="OVN83" s="7"/>
      <c r="OVO83" s="7"/>
      <c r="OVP83" s="7"/>
      <c r="OVQ83" s="7"/>
      <c r="OVR83" s="7"/>
      <c r="OVS83" s="7"/>
      <c r="PFD83" s="7"/>
      <c r="PFE83" s="7"/>
      <c r="PFF83" s="7"/>
      <c r="PFG83" s="7"/>
      <c r="PFH83" s="7"/>
      <c r="PFI83" s="7"/>
      <c r="PFJ83" s="7"/>
      <c r="PFK83" s="7"/>
      <c r="PFL83" s="7"/>
      <c r="PFM83" s="7"/>
      <c r="PFN83" s="7"/>
      <c r="PFO83" s="7"/>
      <c r="POZ83" s="7"/>
      <c r="PPA83" s="7"/>
      <c r="PPB83" s="7"/>
      <c r="PPC83" s="7"/>
      <c r="PPD83" s="7"/>
      <c r="PPE83" s="7"/>
      <c r="PPF83" s="7"/>
      <c r="PPG83" s="7"/>
      <c r="PPH83" s="7"/>
      <c r="PPI83" s="7"/>
      <c r="PPJ83" s="7"/>
      <c r="PPK83" s="7"/>
      <c r="PYV83" s="7"/>
      <c r="PYW83" s="7"/>
      <c r="PYX83" s="7"/>
      <c r="PYY83" s="7"/>
      <c r="PYZ83" s="7"/>
      <c r="PZA83" s="7"/>
      <c r="PZB83" s="7"/>
      <c r="PZC83" s="7"/>
      <c r="PZD83" s="7"/>
      <c r="PZE83" s="7"/>
      <c r="PZF83" s="7"/>
      <c r="PZG83" s="7"/>
      <c r="QIR83" s="7"/>
      <c r="QIS83" s="7"/>
      <c r="QIT83" s="7"/>
      <c r="QIU83" s="7"/>
      <c r="QIV83" s="7"/>
      <c r="QIW83" s="7"/>
      <c r="QIX83" s="7"/>
      <c r="QIY83" s="7"/>
      <c r="QIZ83" s="7"/>
      <c r="QJA83" s="7"/>
      <c r="QJB83" s="7"/>
      <c r="QJC83" s="7"/>
      <c r="QSN83" s="7"/>
      <c r="QSO83" s="7"/>
      <c r="QSP83" s="7"/>
      <c r="QSQ83" s="7"/>
      <c r="QSR83" s="7"/>
      <c r="QSS83" s="7"/>
      <c r="QST83" s="7"/>
      <c r="QSU83" s="7"/>
      <c r="QSV83" s="7"/>
      <c r="QSW83" s="7"/>
      <c r="QSX83" s="7"/>
      <c r="QSY83" s="7"/>
      <c r="RCJ83" s="7"/>
      <c r="RCK83" s="7"/>
      <c r="RCL83" s="7"/>
      <c r="RCM83" s="7"/>
      <c r="RCN83" s="7"/>
      <c r="RCO83" s="7"/>
      <c r="RCP83" s="7"/>
      <c r="RCQ83" s="7"/>
      <c r="RCR83" s="7"/>
      <c r="RCS83" s="7"/>
      <c r="RCT83" s="7"/>
      <c r="RCU83" s="7"/>
      <c r="RMF83" s="7"/>
      <c r="RMG83" s="7"/>
      <c r="RMH83" s="7"/>
      <c r="RMI83" s="7"/>
      <c r="RMJ83" s="7"/>
      <c r="RMK83" s="7"/>
      <c r="RML83" s="7"/>
      <c r="RMM83" s="7"/>
      <c r="RMN83" s="7"/>
      <c r="RMO83" s="7"/>
      <c r="RMP83" s="7"/>
      <c r="RMQ83" s="7"/>
      <c r="RWB83" s="7"/>
      <c r="RWC83" s="7"/>
      <c r="RWD83" s="7"/>
      <c r="RWE83" s="7"/>
      <c r="RWF83" s="7"/>
      <c r="RWG83" s="7"/>
      <c r="RWH83" s="7"/>
      <c r="RWI83" s="7"/>
      <c r="RWJ83" s="7"/>
      <c r="RWK83" s="7"/>
      <c r="RWL83" s="7"/>
      <c r="RWM83" s="7"/>
      <c r="SFX83" s="7"/>
      <c r="SFY83" s="7"/>
      <c r="SFZ83" s="7"/>
      <c r="SGA83" s="7"/>
      <c r="SGB83" s="7"/>
      <c r="SGC83" s="7"/>
      <c r="SGD83" s="7"/>
      <c r="SGE83" s="7"/>
      <c r="SGF83" s="7"/>
      <c r="SGG83" s="7"/>
      <c r="SGH83" s="7"/>
      <c r="SGI83" s="7"/>
      <c r="SPT83" s="7"/>
      <c r="SPU83" s="7"/>
      <c r="SPV83" s="7"/>
      <c r="SPW83" s="7"/>
      <c r="SPX83" s="7"/>
      <c r="SPY83" s="7"/>
      <c r="SPZ83" s="7"/>
      <c r="SQA83" s="7"/>
      <c r="SQB83" s="7"/>
      <c r="SQC83" s="7"/>
      <c r="SQD83" s="7"/>
      <c r="SQE83" s="7"/>
      <c r="SZP83" s="7"/>
      <c r="SZQ83" s="7"/>
      <c r="SZR83" s="7"/>
      <c r="SZS83" s="7"/>
      <c r="SZT83" s="7"/>
      <c r="SZU83" s="7"/>
      <c r="SZV83" s="7"/>
      <c r="SZW83" s="7"/>
      <c r="SZX83" s="7"/>
      <c r="SZY83" s="7"/>
      <c r="SZZ83" s="7"/>
      <c r="TAA83" s="7"/>
      <c r="TJL83" s="7"/>
      <c r="TJM83" s="7"/>
      <c r="TJN83" s="7"/>
      <c r="TJO83" s="7"/>
      <c r="TJP83" s="7"/>
      <c r="TJQ83" s="7"/>
      <c r="TJR83" s="7"/>
      <c r="TJS83" s="7"/>
      <c r="TJT83" s="7"/>
      <c r="TJU83" s="7"/>
      <c r="TJV83" s="7"/>
      <c r="TJW83" s="7"/>
      <c r="TTH83" s="7"/>
      <c r="TTI83" s="7"/>
      <c r="TTJ83" s="7"/>
      <c r="TTK83" s="7"/>
      <c r="TTL83" s="7"/>
      <c r="TTM83" s="7"/>
      <c r="TTN83" s="7"/>
      <c r="TTO83" s="7"/>
      <c r="TTP83" s="7"/>
      <c r="TTQ83" s="7"/>
      <c r="TTR83" s="7"/>
      <c r="TTS83" s="7"/>
      <c r="UDD83" s="7"/>
      <c r="UDE83" s="7"/>
      <c r="UDF83" s="7"/>
      <c r="UDG83" s="7"/>
      <c r="UDH83" s="7"/>
      <c r="UDI83" s="7"/>
      <c r="UDJ83" s="7"/>
      <c r="UDK83" s="7"/>
      <c r="UDL83" s="7"/>
      <c r="UDM83" s="7"/>
      <c r="UDN83" s="7"/>
      <c r="UDO83" s="7"/>
      <c r="UMZ83" s="7"/>
      <c r="UNA83" s="7"/>
      <c r="UNB83" s="7"/>
      <c r="UNC83" s="7"/>
      <c r="UND83" s="7"/>
      <c r="UNE83" s="7"/>
      <c r="UNF83" s="7"/>
      <c r="UNG83" s="7"/>
      <c r="UNH83" s="7"/>
      <c r="UNI83" s="7"/>
      <c r="UNJ83" s="7"/>
      <c r="UNK83" s="7"/>
      <c r="UWV83" s="7"/>
      <c r="UWW83" s="7"/>
      <c r="UWX83" s="7"/>
      <c r="UWY83" s="7"/>
      <c r="UWZ83" s="7"/>
      <c r="UXA83" s="7"/>
      <c r="UXB83" s="7"/>
      <c r="UXC83" s="7"/>
      <c r="UXD83" s="7"/>
      <c r="UXE83" s="7"/>
      <c r="UXF83" s="7"/>
      <c r="UXG83" s="7"/>
      <c r="VGR83" s="7"/>
      <c r="VGS83" s="7"/>
      <c r="VGT83" s="7"/>
      <c r="VGU83" s="7"/>
      <c r="VGV83" s="7"/>
      <c r="VGW83" s="7"/>
      <c r="VGX83" s="7"/>
      <c r="VGY83" s="7"/>
      <c r="VGZ83" s="7"/>
      <c r="VHA83" s="7"/>
      <c r="VHB83" s="7"/>
      <c r="VHC83" s="7"/>
      <c r="VQN83" s="7"/>
      <c r="VQO83" s="7"/>
      <c r="VQP83" s="7"/>
      <c r="VQQ83" s="7"/>
      <c r="VQR83" s="7"/>
      <c r="VQS83" s="7"/>
      <c r="VQT83" s="7"/>
      <c r="VQU83" s="7"/>
      <c r="VQV83" s="7"/>
      <c r="VQW83" s="7"/>
      <c r="VQX83" s="7"/>
      <c r="VQY83" s="7"/>
      <c r="WAJ83" s="7"/>
      <c r="WAK83" s="7"/>
      <c r="WAL83" s="7"/>
      <c r="WAM83" s="7"/>
      <c r="WAN83" s="7"/>
      <c r="WAO83" s="7"/>
      <c r="WAP83" s="7"/>
      <c r="WAQ83" s="7"/>
      <c r="WAR83" s="7"/>
      <c r="WAS83" s="7"/>
      <c r="WAT83" s="7"/>
      <c r="WAU83" s="7"/>
      <c r="WKF83" s="7"/>
      <c r="WKG83" s="7"/>
      <c r="WKH83" s="7"/>
      <c r="WKI83" s="7"/>
      <c r="WKJ83" s="7"/>
      <c r="WKK83" s="7"/>
      <c r="WKL83" s="7"/>
      <c r="WKM83" s="7"/>
      <c r="WKN83" s="7"/>
      <c r="WKO83" s="7"/>
      <c r="WKP83" s="7"/>
      <c r="WKQ83" s="7"/>
      <c r="WUB83" s="7"/>
      <c r="WUC83" s="7"/>
      <c r="WUD83" s="7"/>
      <c r="WUE83" s="7"/>
      <c r="WUF83" s="7"/>
      <c r="WUG83" s="7"/>
      <c r="WUH83" s="7"/>
      <c r="WUI83" s="7"/>
      <c r="WUJ83" s="7"/>
      <c r="WUK83" s="7"/>
      <c r="WUL83" s="7"/>
      <c r="WUM83" s="7"/>
    </row>
    <row r="84" spans="1:1003 1248:2027 2272:3051 3296:4075 4320:5099 5344:6123 6368:7147 7392:8171 8416:9195 9440:10219 10464:11243 11488:12267 12512:13291 13536:14315 14560:15339 15584:16107" ht="30" customHeight="1">
      <c r="A84" s="45"/>
      <c r="H84" s="159"/>
      <c r="I84" s="196"/>
      <c r="J84" s="161"/>
      <c r="K84" s="196"/>
      <c r="L84" s="211">
        <f>Table113[[#This Row],[Qty 2]]+Table113[[#This Row],[Qty 1]]</f>
        <v>0</v>
      </c>
      <c r="M84" s="216"/>
      <c r="N84" s="216">
        <f>Table113[[#This Row],[Unit Cost]]*Table113[[#This Row],[Total Qty All Areas]]</f>
        <v>0</v>
      </c>
    </row>
    <row r="85" spans="1:1003 1248:2027 2272:3051 3296:4075 4320:5099 5344:6123 6368:7147 7392:8171 8416:9195 9440:10219 10464:11243 11488:12267 12512:13291 13536:14315 14560:15339 15584:16107" ht="30" customHeight="1">
      <c r="A85" s="45"/>
      <c r="H85" s="159"/>
      <c r="I85" s="196"/>
      <c r="J85" s="161"/>
      <c r="K85" s="196"/>
      <c r="L85" s="211">
        <f>Table113[[#This Row],[Qty 2]]+Table113[[#This Row],[Qty 1]]</f>
        <v>0</v>
      </c>
      <c r="M85" s="216"/>
      <c r="N85" s="216">
        <f>Table113[[#This Row],[Unit Cost]]*Table113[[#This Row],[Total Qty All Areas]]</f>
        <v>0</v>
      </c>
    </row>
    <row r="86" spans="1:1003 1248:2027 2272:3051 3296:4075 4320:5099 5344:6123 6368:7147 7392:8171 8416:9195 9440:10219 10464:11243 11488:12267 12512:13291 13536:14315 14560:15339 15584:16107" ht="30" customHeight="1">
      <c r="A86" s="176"/>
      <c r="D86" s="169"/>
      <c r="E86" s="169"/>
      <c r="F86" s="303"/>
      <c r="H86" s="159"/>
      <c r="I86" s="196"/>
      <c r="J86" s="161"/>
      <c r="K86" s="196"/>
      <c r="L86" s="211">
        <f>Table113[[#This Row],[Qty 2]]+Table113[[#This Row],[Qty 1]]</f>
        <v>0</v>
      </c>
      <c r="M86" s="216"/>
      <c r="N86" s="216">
        <f>Table113[[#This Row],[Unit Cost]]*Table113[[#This Row],[Total Qty All Areas]]</f>
        <v>0</v>
      </c>
    </row>
    <row r="87" spans="1:1003 1248:2027 2272:3051 3296:4075 4320:5099 5344:6123 6368:7147 7392:8171 8416:9195 9440:10219 10464:11243 11488:12267 12512:13291 13536:14315 14560:15339 15584:16107" s="167" customFormat="1" ht="30" customHeight="1">
      <c r="A87" s="175" t="str">
        <f>'Category Setup'!L49</f>
        <v>PF_PB</v>
      </c>
      <c r="B87" s="167" t="str">
        <f>'Category Setup'!E49</f>
        <v>PF_PB_Part Finished_Power Boxes</v>
      </c>
      <c r="C87" s="167" t="str">
        <f>'Category Setup'!N49</f>
        <v>PF_PB_Part Finished_Power Boxes</v>
      </c>
      <c r="D87" s="168"/>
      <c r="E87" s="168"/>
      <c r="F87" s="172"/>
      <c r="G87" s="172"/>
      <c r="H87" s="173"/>
      <c r="I87" s="197"/>
      <c r="J87" s="174"/>
      <c r="K87" s="197"/>
      <c r="L87" s="213">
        <f>Table113[[#This Row],[Qty 2]]+Table113[[#This Row],[Qty 1]]</f>
        <v>0</v>
      </c>
      <c r="M87" s="215"/>
      <c r="N87" s="215">
        <f>Table113[[#This Row],[Unit Cost]]*Table113[[#This Row],[Total Qty All Areas]]</f>
        <v>0</v>
      </c>
      <c r="HP87" s="7"/>
      <c r="HQ87" s="7"/>
      <c r="HR87" s="7"/>
      <c r="HS87" s="7"/>
      <c r="HT87" s="7"/>
      <c r="HU87" s="7"/>
      <c r="HV87" s="7"/>
      <c r="HW87" s="7"/>
      <c r="HX87" s="7"/>
      <c r="HY87" s="7"/>
      <c r="HZ87" s="7"/>
      <c r="IA87" s="7"/>
      <c r="RL87" s="7"/>
      <c r="RM87" s="7"/>
      <c r="RN87" s="7"/>
      <c r="RO87" s="7"/>
      <c r="RP87" s="7"/>
      <c r="RQ87" s="7"/>
      <c r="RR87" s="7"/>
      <c r="RS87" s="7"/>
      <c r="RT87" s="7"/>
      <c r="RU87" s="7"/>
      <c r="RV87" s="7"/>
      <c r="RW87" s="7"/>
      <c r="ABH87" s="7"/>
      <c r="ABI87" s="7"/>
      <c r="ABJ87" s="7"/>
      <c r="ABK87" s="7"/>
      <c r="ABL87" s="7"/>
      <c r="ABM87" s="7"/>
      <c r="ABN87" s="7"/>
      <c r="ABO87" s="7"/>
      <c r="ABP87" s="7"/>
      <c r="ABQ87" s="7"/>
      <c r="ABR87" s="7"/>
      <c r="ABS87" s="7"/>
      <c r="ALD87" s="7"/>
      <c r="ALE87" s="7"/>
      <c r="ALF87" s="7"/>
      <c r="ALG87" s="7"/>
      <c r="ALH87" s="7"/>
      <c r="ALI87" s="7"/>
      <c r="ALJ87" s="7"/>
      <c r="ALK87" s="7"/>
      <c r="ALL87" s="7"/>
      <c r="ALM87" s="7"/>
      <c r="ALN87" s="7"/>
      <c r="ALO87" s="7"/>
      <c r="AUZ87" s="7"/>
      <c r="AVA87" s="7"/>
      <c r="AVB87" s="7"/>
      <c r="AVC87" s="7"/>
      <c r="AVD87" s="7"/>
      <c r="AVE87" s="7"/>
      <c r="AVF87" s="7"/>
      <c r="AVG87" s="7"/>
      <c r="AVH87" s="7"/>
      <c r="AVI87" s="7"/>
      <c r="AVJ87" s="7"/>
      <c r="AVK87" s="7"/>
      <c r="BEV87" s="7"/>
      <c r="BEW87" s="7"/>
      <c r="BEX87" s="7"/>
      <c r="BEY87" s="7"/>
      <c r="BEZ87" s="7"/>
      <c r="BFA87" s="7"/>
      <c r="BFB87" s="7"/>
      <c r="BFC87" s="7"/>
      <c r="BFD87" s="7"/>
      <c r="BFE87" s="7"/>
      <c r="BFF87" s="7"/>
      <c r="BFG87" s="7"/>
      <c r="BOR87" s="7"/>
      <c r="BOS87" s="7"/>
      <c r="BOT87" s="7"/>
      <c r="BOU87" s="7"/>
      <c r="BOV87" s="7"/>
      <c r="BOW87" s="7"/>
      <c r="BOX87" s="7"/>
      <c r="BOY87" s="7"/>
      <c r="BOZ87" s="7"/>
      <c r="BPA87" s="7"/>
      <c r="BPB87" s="7"/>
      <c r="BPC87" s="7"/>
      <c r="BYN87" s="7"/>
      <c r="BYO87" s="7"/>
      <c r="BYP87" s="7"/>
      <c r="BYQ87" s="7"/>
      <c r="BYR87" s="7"/>
      <c r="BYS87" s="7"/>
      <c r="BYT87" s="7"/>
      <c r="BYU87" s="7"/>
      <c r="BYV87" s="7"/>
      <c r="BYW87" s="7"/>
      <c r="BYX87" s="7"/>
      <c r="BYY87" s="7"/>
      <c r="CIJ87" s="7"/>
      <c r="CIK87" s="7"/>
      <c r="CIL87" s="7"/>
      <c r="CIM87" s="7"/>
      <c r="CIN87" s="7"/>
      <c r="CIO87" s="7"/>
      <c r="CIP87" s="7"/>
      <c r="CIQ87" s="7"/>
      <c r="CIR87" s="7"/>
      <c r="CIS87" s="7"/>
      <c r="CIT87" s="7"/>
      <c r="CIU87" s="7"/>
      <c r="CSF87" s="7"/>
      <c r="CSG87" s="7"/>
      <c r="CSH87" s="7"/>
      <c r="CSI87" s="7"/>
      <c r="CSJ87" s="7"/>
      <c r="CSK87" s="7"/>
      <c r="CSL87" s="7"/>
      <c r="CSM87" s="7"/>
      <c r="CSN87" s="7"/>
      <c r="CSO87" s="7"/>
      <c r="CSP87" s="7"/>
      <c r="CSQ87" s="7"/>
      <c r="DCB87" s="7"/>
      <c r="DCC87" s="7"/>
      <c r="DCD87" s="7"/>
      <c r="DCE87" s="7"/>
      <c r="DCF87" s="7"/>
      <c r="DCG87" s="7"/>
      <c r="DCH87" s="7"/>
      <c r="DCI87" s="7"/>
      <c r="DCJ87" s="7"/>
      <c r="DCK87" s="7"/>
      <c r="DCL87" s="7"/>
      <c r="DCM87" s="7"/>
      <c r="DLX87" s="7"/>
      <c r="DLY87" s="7"/>
      <c r="DLZ87" s="7"/>
      <c r="DMA87" s="7"/>
      <c r="DMB87" s="7"/>
      <c r="DMC87" s="7"/>
      <c r="DMD87" s="7"/>
      <c r="DME87" s="7"/>
      <c r="DMF87" s="7"/>
      <c r="DMG87" s="7"/>
      <c r="DMH87" s="7"/>
      <c r="DMI87" s="7"/>
      <c r="DVT87" s="7"/>
      <c r="DVU87" s="7"/>
      <c r="DVV87" s="7"/>
      <c r="DVW87" s="7"/>
      <c r="DVX87" s="7"/>
      <c r="DVY87" s="7"/>
      <c r="DVZ87" s="7"/>
      <c r="DWA87" s="7"/>
      <c r="DWB87" s="7"/>
      <c r="DWC87" s="7"/>
      <c r="DWD87" s="7"/>
      <c r="DWE87" s="7"/>
      <c r="EFP87" s="7"/>
      <c r="EFQ87" s="7"/>
      <c r="EFR87" s="7"/>
      <c r="EFS87" s="7"/>
      <c r="EFT87" s="7"/>
      <c r="EFU87" s="7"/>
      <c r="EFV87" s="7"/>
      <c r="EFW87" s="7"/>
      <c r="EFX87" s="7"/>
      <c r="EFY87" s="7"/>
      <c r="EFZ87" s="7"/>
      <c r="EGA87" s="7"/>
      <c r="EPL87" s="7"/>
      <c r="EPM87" s="7"/>
      <c r="EPN87" s="7"/>
      <c r="EPO87" s="7"/>
      <c r="EPP87" s="7"/>
      <c r="EPQ87" s="7"/>
      <c r="EPR87" s="7"/>
      <c r="EPS87" s="7"/>
      <c r="EPT87" s="7"/>
      <c r="EPU87" s="7"/>
      <c r="EPV87" s="7"/>
      <c r="EPW87" s="7"/>
      <c r="EZH87" s="7"/>
      <c r="EZI87" s="7"/>
      <c r="EZJ87" s="7"/>
      <c r="EZK87" s="7"/>
      <c r="EZL87" s="7"/>
      <c r="EZM87" s="7"/>
      <c r="EZN87" s="7"/>
      <c r="EZO87" s="7"/>
      <c r="EZP87" s="7"/>
      <c r="EZQ87" s="7"/>
      <c r="EZR87" s="7"/>
      <c r="EZS87" s="7"/>
      <c r="FJD87" s="7"/>
      <c r="FJE87" s="7"/>
      <c r="FJF87" s="7"/>
      <c r="FJG87" s="7"/>
      <c r="FJH87" s="7"/>
      <c r="FJI87" s="7"/>
      <c r="FJJ87" s="7"/>
      <c r="FJK87" s="7"/>
      <c r="FJL87" s="7"/>
      <c r="FJM87" s="7"/>
      <c r="FJN87" s="7"/>
      <c r="FJO87" s="7"/>
      <c r="FSZ87" s="7"/>
      <c r="FTA87" s="7"/>
      <c r="FTB87" s="7"/>
      <c r="FTC87" s="7"/>
      <c r="FTD87" s="7"/>
      <c r="FTE87" s="7"/>
      <c r="FTF87" s="7"/>
      <c r="FTG87" s="7"/>
      <c r="FTH87" s="7"/>
      <c r="FTI87" s="7"/>
      <c r="FTJ87" s="7"/>
      <c r="FTK87" s="7"/>
      <c r="GCV87" s="7"/>
      <c r="GCW87" s="7"/>
      <c r="GCX87" s="7"/>
      <c r="GCY87" s="7"/>
      <c r="GCZ87" s="7"/>
      <c r="GDA87" s="7"/>
      <c r="GDB87" s="7"/>
      <c r="GDC87" s="7"/>
      <c r="GDD87" s="7"/>
      <c r="GDE87" s="7"/>
      <c r="GDF87" s="7"/>
      <c r="GDG87" s="7"/>
      <c r="GMR87" s="7"/>
      <c r="GMS87" s="7"/>
      <c r="GMT87" s="7"/>
      <c r="GMU87" s="7"/>
      <c r="GMV87" s="7"/>
      <c r="GMW87" s="7"/>
      <c r="GMX87" s="7"/>
      <c r="GMY87" s="7"/>
      <c r="GMZ87" s="7"/>
      <c r="GNA87" s="7"/>
      <c r="GNB87" s="7"/>
      <c r="GNC87" s="7"/>
      <c r="GWN87" s="7"/>
      <c r="GWO87" s="7"/>
      <c r="GWP87" s="7"/>
      <c r="GWQ87" s="7"/>
      <c r="GWR87" s="7"/>
      <c r="GWS87" s="7"/>
      <c r="GWT87" s="7"/>
      <c r="GWU87" s="7"/>
      <c r="GWV87" s="7"/>
      <c r="GWW87" s="7"/>
      <c r="GWX87" s="7"/>
      <c r="GWY87" s="7"/>
      <c r="HGJ87" s="7"/>
      <c r="HGK87" s="7"/>
      <c r="HGL87" s="7"/>
      <c r="HGM87" s="7"/>
      <c r="HGN87" s="7"/>
      <c r="HGO87" s="7"/>
      <c r="HGP87" s="7"/>
      <c r="HGQ87" s="7"/>
      <c r="HGR87" s="7"/>
      <c r="HGS87" s="7"/>
      <c r="HGT87" s="7"/>
      <c r="HGU87" s="7"/>
      <c r="HQF87" s="7"/>
      <c r="HQG87" s="7"/>
      <c r="HQH87" s="7"/>
      <c r="HQI87" s="7"/>
      <c r="HQJ87" s="7"/>
      <c r="HQK87" s="7"/>
      <c r="HQL87" s="7"/>
      <c r="HQM87" s="7"/>
      <c r="HQN87" s="7"/>
      <c r="HQO87" s="7"/>
      <c r="HQP87" s="7"/>
      <c r="HQQ87" s="7"/>
      <c r="IAB87" s="7"/>
      <c r="IAC87" s="7"/>
      <c r="IAD87" s="7"/>
      <c r="IAE87" s="7"/>
      <c r="IAF87" s="7"/>
      <c r="IAG87" s="7"/>
      <c r="IAH87" s="7"/>
      <c r="IAI87" s="7"/>
      <c r="IAJ87" s="7"/>
      <c r="IAK87" s="7"/>
      <c r="IAL87" s="7"/>
      <c r="IAM87" s="7"/>
      <c r="IJX87" s="7"/>
      <c r="IJY87" s="7"/>
      <c r="IJZ87" s="7"/>
      <c r="IKA87" s="7"/>
      <c r="IKB87" s="7"/>
      <c r="IKC87" s="7"/>
      <c r="IKD87" s="7"/>
      <c r="IKE87" s="7"/>
      <c r="IKF87" s="7"/>
      <c r="IKG87" s="7"/>
      <c r="IKH87" s="7"/>
      <c r="IKI87" s="7"/>
      <c r="ITT87" s="7"/>
      <c r="ITU87" s="7"/>
      <c r="ITV87" s="7"/>
      <c r="ITW87" s="7"/>
      <c r="ITX87" s="7"/>
      <c r="ITY87" s="7"/>
      <c r="ITZ87" s="7"/>
      <c r="IUA87" s="7"/>
      <c r="IUB87" s="7"/>
      <c r="IUC87" s="7"/>
      <c r="IUD87" s="7"/>
      <c r="IUE87" s="7"/>
      <c r="JDP87" s="7"/>
      <c r="JDQ87" s="7"/>
      <c r="JDR87" s="7"/>
      <c r="JDS87" s="7"/>
      <c r="JDT87" s="7"/>
      <c r="JDU87" s="7"/>
      <c r="JDV87" s="7"/>
      <c r="JDW87" s="7"/>
      <c r="JDX87" s="7"/>
      <c r="JDY87" s="7"/>
      <c r="JDZ87" s="7"/>
      <c r="JEA87" s="7"/>
      <c r="JNL87" s="7"/>
      <c r="JNM87" s="7"/>
      <c r="JNN87" s="7"/>
      <c r="JNO87" s="7"/>
      <c r="JNP87" s="7"/>
      <c r="JNQ87" s="7"/>
      <c r="JNR87" s="7"/>
      <c r="JNS87" s="7"/>
      <c r="JNT87" s="7"/>
      <c r="JNU87" s="7"/>
      <c r="JNV87" s="7"/>
      <c r="JNW87" s="7"/>
      <c r="JXH87" s="7"/>
      <c r="JXI87" s="7"/>
      <c r="JXJ87" s="7"/>
      <c r="JXK87" s="7"/>
      <c r="JXL87" s="7"/>
      <c r="JXM87" s="7"/>
      <c r="JXN87" s="7"/>
      <c r="JXO87" s="7"/>
      <c r="JXP87" s="7"/>
      <c r="JXQ87" s="7"/>
      <c r="JXR87" s="7"/>
      <c r="JXS87" s="7"/>
      <c r="KHD87" s="7"/>
      <c r="KHE87" s="7"/>
      <c r="KHF87" s="7"/>
      <c r="KHG87" s="7"/>
      <c r="KHH87" s="7"/>
      <c r="KHI87" s="7"/>
      <c r="KHJ87" s="7"/>
      <c r="KHK87" s="7"/>
      <c r="KHL87" s="7"/>
      <c r="KHM87" s="7"/>
      <c r="KHN87" s="7"/>
      <c r="KHO87" s="7"/>
      <c r="KQZ87" s="7"/>
      <c r="KRA87" s="7"/>
      <c r="KRB87" s="7"/>
      <c r="KRC87" s="7"/>
      <c r="KRD87" s="7"/>
      <c r="KRE87" s="7"/>
      <c r="KRF87" s="7"/>
      <c r="KRG87" s="7"/>
      <c r="KRH87" s="7"/>
      <c r="KRI87" s="7"/>
      <c r="KRJ87" s="7"/>
      <c r="KRK87" s="7"/>
      <c r="LAV87" s="7"/>
      <c r="LAW87" s="7"/>
      <c r="LAX87" s="7"/>
      <c r="LAY87" s="7"/>
      <c r="LAZ87" s="7"/>
      <c r="LBA87" s="7"/>
      <c r="LBB87" s="7"/>
      <c r="LBC87" s="7"/>
      <c r="LBD87" s="7"/>
      <c r="LBE87" s="7"/>
      <c r="LBF87" s="7"/>
      <c r="LBG87" s="7"/>
      <c r="LKR87" s="7"/>
      <c r="LKS87" s="7"/>
      <c r="LKT87" s="7"/>
      <c r="LKU87" s="7"/>
      <c r="LKV87" s="7"/>
      <c r="LKW87" s="7"/>
      <c r="LKX87" s="7"/>
      <c r="LKY87" s="7"/>
      <c r="LKZ87" s="7"/>
      <c r="LLA87" s="7"/>
      <c r="LLB87" s="7"/>
      <c r="LLC87" s="7"/>
      <c r="LUN87" s="7"/>
      <c r="LUO87" s="7"/>
      <c r="LUP87" s="7"/>
      <c r="LUQ87" s="7"/>
      <c r="LUR87" s="7"/>
      <c r="LUS87" s="7"/>
      <c r="LUT87" s="7"/>
      <c r="LUU87" s="7"/>
      <c r="LUV87" s="7"/>
      <c r="LUW87" s="7"/>
      <c r="LUX87" s="7"/>
      <c r="LUY87" s="7"/>
      <c r="MEJ87" s="7"/>
      <c r="MEK87" s="7"/>
      <c r="MEL87" s="7"/>
      <c r="MEM87" s="7"/>
      <c r="MEN87" s="7"/>
      <c r="MEO87" s="7"/>
      <c r="MEP87" s="7"/>
      <c r="MEQ87" s="7"/>
      <c r="MER87" s="7"/>
      <c r="MES87" s="7"/>
      <c r="MET87" s="7"/>
      <c r="MEU87" s="7"/>
      <c r="MOF87" s="7"/>
      <c r="MOG87" s="7"/>
      <c r="MOH87" s="7"/>
      <c r="MOI87" s="7"/>
      <c r="MOJ87" s="7"/>
      <c r="MOK87" s="7"/>
      <c r="MOL87" s="7"/>
      <c r="MOM87" s="7"/>
      <c r="MON87" s="7"/>
      <c r="MOO87" s="7"/>
      <c r="MOP87" s="7"/>
      <c r="MOQ87" s="7"/>
      <c r="MYB87" s="7"/>
      <c r="MYC87" s="7"/>
      <c r="MYD87" s="7"/>
      <c r="MYE87" s="7"/>
      <c r="MYF87" s="7"/>
      <c r="MYG87" s="7"/>
      <c r="MYH87" s="7"/>
      <c r="MYI87" s="7"/>
      <c r="MYJ87" s="7"/>
      <c r="MYK87" s="7"/>
      <c r="MYL87" s="7"/>
      <c r="MYM87" s="7"/>
      <c r="NHX87" s="7"/>
      <c r="NHY87" s="7"/>
      <c r="NHZ87" s="7"/>
      <c r="NIA87" s="7"/>
      <c r="NIB87" s="7"/>
      <c r="NIC87" s="7"/>
      <c r="NID87" s="7"/>
      <c r="NIE87" s="7"/>
      <c r="NIF87" s="7"/>
      <c r="NIG87" s="7"/>
      <c r="NIH87" s="7"/>
      <c r="NII87" s="7"/>
      <c r="NRT87" s="7"/>
      <c r="NRU87" s="7"/>
      <c r="NRV87" s="7"/>
      <c r="NRW87" s="7"/>
      <c r="NRX87" s="7"/>
      <c r="NRY87" s="7"/>
      <c r="NRZ87" s="7"/>
      <c r="NSA87" s="7"/>
      <c r="NSB87" s="7"/>
      <c r="NSC87" s="7"/>
      <c r="NSD87" s="7"/>
      <c r="NSE87" s="7"/>
      <c r="OBP87" s="7"/>
      <c r="OBQ87" s="7"/>
      <c r="OBR87" s="7"/>
      <c r="OBS87" s="7"/>
      <c r="OBT87" s="7"/>
      <c r="OBU87" s="7"/>
      <c r="OBV87" s="7"/>
      <c r="OBW87" s="7"/>
      <c r="OBX87" s="7"/>
      <c r="OBY87" s="7"/>
      <c r="OBZ87" s="7"/>
      <c r="OCA87" s="7"/>
      <c r="OLL87" s="7"/>
      <c r="OLM87" s="7"/>
      <c r="OLN87" s="7"/>
      <c r="OLO87" s="7"/>
      <c r="OLP87" s="7"/>
      <c r="OLQ87" s="7"/>
      <c r="OLR87" s="7"/>
      <c r="OLS87" s="7"/>
      <c r="OLT87" s="7"/>
      <c r="OLU87" s="7"/>
      <c r="OLV87" s="7"/>
      <c r="OLW87" s="7"/>
      <c r="OVH87" s="7"/>
      <c r="OVI87" s="7"/>
      <c r="OVJ87" s="7"/>
      <c r="OVK87" s="7"/>
      <c r="OVL87" s="7"/>
      <c r="OVM87" s="7"/>
      <c r="OVN87" s="7"/>
      <c r="OVO87" s="7"/>
      <c r="OVP87" s="7"/>
      <c r="OVQ87" s="7"/>
      <c r="OVR87" s="7"/>
      <c r="OVS87" s="7"/>
      <c r="PFD87" s="7"/>
      <c r="PFE87" s="7"/>
      <c r="PFF87" s="7"/>
      <c r="PFG87" s="7"/>
      <c r="PFH87" s="7"/>
      <c r="PFI87" s="7"/>
      <c r="PFJ87" s="7"/>
      <c r="PFK87" s="7"/>
      <c r="PFL87" s="7"/>
      <c r="PFM87" s="7"/>
      <c r="PFN87" s="7"/>
      <c r="PFO87" s="7"/>
      <c r="POZ87" s="7"/>
      <c r="PPA87" s="7"/>
      <c r="PPB87" s="7"/>
      <c r="PPC87" s="7"/>
      <c r="PPD87" s="7"/>
      <c r="PPE87" s="7"/>
      <c r="PPF87" s="7"/>
      <c r="PPG87" s="7"/>
      <c r="PPH87" s="7"/>
      <c r="PPI87" s="7"/>
      <c r="PPJ87" s="7"/>
      <c r="PPK87" s="7"/>
      <c r="PYV87" s="7"/>
      <c r="PYW87" s="7"/>
      <c r="PYX87" s="7"/>
      <c r="PYY87" s="7"/>
      <c r="PYZ87" s="7"/>
      <c r="PZA87" s="7"/>
      <c r="PZB87" s="7"/>
      <c r="PZC87" s="7"/>
      <c r="PZD87" s="7"/>
      <c r="PZE87" s="7"/>
      <c r="PZF87" s="7"/>
      <c r="PZG87" s="7"/>
      <c r="QIR87" s="7"/>
      <c r="QIS87" s="7"/>
      <c r="QIT87" s="7"/>
      <c r="QIU87" s="7"/>
      <c r="QIV87" s="7"/>
      <c r="QIW87" s="7"/>
      <c r="QIX87" s="7"/>
      <c r="QIY87" s="7"/>
      <c r="QIZ87" s="7"/>
      <c r="QJA87" s="7"/>
      <c r="QJB87" s="7"/>
      <c r="QJC87" s="7"/>
      <c r="QSN87" s="7"/>
      <c r="QSO87" s="7"/>
      <c r="QSP87" s="7"/>
      <c r="QSQ87" s="7"/>
      <c r="QSR87" s="7"/>
      <c r="QSS87" s="7"/>
      <c r="QST87" s="7"/>
      <c r="QSU87" s="7"/>
      <c r="QSV87" s="7"/>
      <c r="QSW87" s="7"/>
      <c r="QSX87" s="7"/>
      <c r="QSY87" s="7"/>
      <c r="RCJ87" s="7"/>
      <c r="RCK87" s="7"/>
      <c r="RCL87" s="7"/>
      <c r="RCM87" s="7"/>
      <c r="RCN87" s="7"/>
      <c r="RCO87" s="7"/>
      <c r="RCP87" s="7"/>
      <c r="RCQ87" s="7"/>
      <c r="RCR87" s="7"/>
      <c r="RCS87" s="7"/>
      <c r="RCT87" s="7"/>
      <c r="RCU87" s="7"/>
      <c r="RMF87" s="7"/>
      <c r="RMG87" s="7"/>
      <c r="RMH87" s="7"/>
      <c r="RMI87" s="7"/>
      <c r="RMJ87" s="7"/>
      <c r="RMK87" s="7"/>
      <c r="RML87" s="7"/>
      <c r="RMM87" s="7"/>
      <c r="RMN87" s="7"/>
      <c r="RMO87" s="7"/>
      <c r="RMP87" s="7"/>
      <c r="RMQ87" s="7"/>
      <c r="RWB87" s="7"/>
      <c r="RWC87" s="7"/>
      <c r="RWD87" s="7"/>
      <c r="RWE87" s="7"/>
      <c r="RWF87" s="7"/>
      <c r="RWG87" s="7"/>
      <c r="RWH87" s="7"/>
      <c r="RWI87" s="7"/>
      <c r="RWJ87" s="7"/>
      <c r="RWK87" s="7"/>
      <c r="RWL87" s="7"/>
      <c r="RWM87" s="7"/>
      <c r="SFX87" s="7"/>
      <c r="SFY87" s="7"/>
      <c r="SFZ87" s="7"/>
      <c r="SGA87" s="7"/>
      <c r="SGB87" s="7"/>
      <c r="SGC87" s="7"/>
      <c r="SGD87" s="7"/>
      <c r="SGE87" s="7"/>
      <c r="SGF87" s="7"/>
      <c r="SGG87" s="7"/>
      <c r="SGH87" s="7"/>
      <c r="SGI87" s="7"/>
      <c r="SPT87" s="7"/>
      <c r="SPU87" s="7"/>
      <c r="SPV87" s="7"/>
      <c r="SPW87" s="7"/>
      <c r="SPX87" s="7"/>
      <c r="SPY87" s="7"/>
      <c r="SPZ87" s="7"/>
      <c r="SQA87" s="7"/>
      <c r="SQB87" s="7"/>
      <c r="SQC87" s="7"/>
      <c r="SQD87" s="7"/>
      <c r="SQE87" s="7"/>
      <c r="SZP87" s="7"/>
      <c r="SZQ87" s="7"/>
      <c r="SZR87" s="7"/>
      <c r="SZS87" s="7"/>
      <c r="SZT87" s="7"/>
      <c r="SZU87" s="7"/>
      <c r="SZV87" s="7"/>
      <c r="SZW87" s="7"/>
      <c r="SZX87" s="7"/>
      <c r="SZY87" s="7"/>
      <c r="SZZ87" s="7"/>
      <c r="TAA87" s="7"/>
      <c r="TJL87" s="7"/>
      <c r="TJM87" s="7"/>
      <c r="TJN87" s="7"/>
      <c r="TJO87" s="7"/>
      <c r="TJP87" s="7"/>
      <c r="TJQ87" s="7"/>
      <c r="TJR87" s="7"/>
      <c r="TJS87" s="7"/>
      <c r="TJT87" s="7"/>
      <c r="TJU87" s="7"/>
      <c r="TJV87" s="7"/>
      <c r="TJW87" s="7"/>
      <c r="TTH87" s="7"/>
      <c r="TTI87" s="7"/>
      <c r="TTJ87" s="7"/>
      <c r="TTK87" s="7"/>
      <c r="TTL87" s="7"/>
      <c r="TTM87" s="7"/>
      <c r="TTN87" s="7"/>
      <c r="TTO87" s="7"/>
      <c r="TTP87" s="7"/>
      <c r="TTQ87" s="7"/>
      <c r="TTR87" s="7"/>
      <c r="TTS87" s="7"/>
      <c r="UDD87" s="7"/>
      <c r="UDE87" s="7"/>
      <c r="UDF87" s="7"/>
      <c r="UDG87" s="7"/>
      <c r="UDH87" s="7"/>
      <c r="UDI87" s="7"/>
      <c r="UDJ87" s="7"/>
      <c r="UDK87" s="7"/>
      <c r="UDL87" s="7"/>
      <c r="UDM87" s="7"/>
      <c r="UDN87" s="7"/>
      <c r="UDO87" s="7"/>
      <c r="UMZ87" s="7"/>
      <c r="UNA87" s="7"/>
      <c r="UNB87" s="7"/>
      <c r="UNC87" s="7"/>
      <c r="UND87" s="7"/>
      <c r="UNE87" s="7"/>
      <c r="UNF87" s="7"/>
      <c r="UNG87" s="7"/>
      <c r="UNH87" s="7"/>
      <c r="UNI87" s="7"/>
      <c r="UNJ87" s="7"/>
      <c r="UNK87" s="7"/>
      <c r="UWV87" s="7"/>
      <c r="UWW87" s="7"/>
      <c r="UWX87" s="7"/>
      <c r="UWY87" s="7"/>
      <c r="UWZ87" s="7"/>
      <c r="UXA87" s="7"/>
      <c r="UXB87" s="7"/>
      <c r="UXC87" s="7"/>
      <c r="UXD87" s="7"/>
      <c r="UXE87" s="7"/>
      <c r="UXF87" s="7"/>
      <c r="UXG87" s="7"/>
      <c r="VGR87" s="7"/>
      <c r="VGS87" s="7"/>
      <c r="VGT87" s="7"/>
      <c r="VGU87" s="7"/>
      <c r="VGV87" s="7"/>
      <c r="VGW87" s="7"/>
      <c r="VGX87" s="7"/>
      <c r="VGY87" s="7"/>
      <c r="VGZ87" s="7"/>
      <c r="VHA87" s="7"/>
      <c r="VHB87" s="7"/>
      <c r="VHC87" s="7"/>
      <c r="VQN87" s="7"/>
      <c r="VQO87" s="7"/>
      <c r="VQP87" s="7"/>
      <c r="VQQ87" s="7"/>
      <c r="VQR87" s="7"/>
      <c r="VQS87" s="7"/>
      <c r="VQT87" s="7"/>
      <c r="VQU87" s="7"/>
      <c r="VQV87" s="7"/>
      <c r="VQW87" s="7"/>
      <c r="VQX87" s="7"/>
      <c r="VQY87" s="7"/>
      <c r="WAJ87" s="7"/>
      <c r="WAK87" s="7"/>
      <c r="WAL87" s="7"/>
      <c r="WAM87" s="7"/>
      <c r="WAN87" s="7"/>
      <c r="WAO87" s="7"/>
      <c r="WAP87" s="7"/>
      <c r="WAQ87" s="7"/>
      <c r="WAR87" s="7"/>
      <c r="WAS87" s="7"/>
      <c r="WAT87" s="7"/>
      <c r="WAU87" s="7"/>
      <c r="WKF87" s="7"/>
      <c r="WKG87" s="7"/>
      <c r="WKH87" s="7"/>
      <c r="WKI87" s="7"/>
      <c r="WKJ87" s="7"/>
      <c r="WKK87" s="7"/>
      <c r="WKL87" s="7"/>
      <c r="WKM87" s="7"/>
      <c r="WKN87" s="7"/>
      <c r="WKO87" s="7"/>
      <c r="WKP87" s="7"/>
      <c r="WKQ87" s="7"/>
      <c r="WUB87" s="7"/>
      <c r="WUC87" s="7"/>
      <c r="WUD87" s="7"/>
      <c r="WUE87" s="7"/>
      <c r="WUF87" s="7"/>
      <c r="WUG87" s="7"/>
      <c r="WUH87" s="7"/>
      <c r="WUI87" s="7"/>
      <c r="WUJ87" s="7"/>
      <c r="WUK87" s="7"/>
      <c r="WUL87" s="7"/>
      <c r="WUM87" s="7"/>
    </row>
    <row r="88" spans="1:1003 1248:2027 2272:3051 3296:4075 4320:5099 5344:6123 6368:7147 7392:8171 8416:9195 9440:10219 10464:11243 11488:12267 12512:13291 13536:14315 14560:15339 15584:16107" ht="30" customHeight="1">
      <c r="A88" s="45"/>
      <c r="H88" s="159"/>
      <c r="I88" s="196"/>
      <c r="J88" s="161"/>
      <c r="K88" s="196"/>
      <c r="L88" s="211">
        <f>Table113[[#This Row],[Qty 2]]+Table113[[#This Row],[Qty 1]]</f>
        <v>0</v>
      </c>
      <c r="M88" s="216"/>
      <c r="N88" s="216">
        <f>Table113[[#This Row],[Unit Cost]]*Table113[[#This Row],[Total Qty All Areas]]</f>
        <v>0</v>
      </c>
    </row>
    <row r="89" spans="1:1003 1248:2027 2272:3051 3296:4075 4320:5099 5344:6123 6368:7147 7392:8171 8416:9195 9440:10219 10464:11243 11488:12267 12512:13291 13536:14315 14560:15339 15584:16107" ht="30" customHeight="1">
      <c r="A89" s="45"/>
      <c r="H89" s="159"/>
      <c r="I89" s="196"/>
      <c r="J89" s="161"/>
      <c r="K89" s="196"/>
      <c r="L89" s="211">
        <f>Table113[[#This Row],[Qty 2]]+Table113[[#This Row],[Qty 1]]</f>
        <v>0</v>
      </c>
      <c r="M89" s="216"/>
      <c r="N89" s="216">
        <f>Table113[[#This Row],[Unit Cost]]*Table113[[#This Row],[Total Qty All Areas]]</f>
        <v>0</v>
      </c>
    </row>
    <row r="90" spans="1:1003 1248:2027 2272:3051 3296:4075 4320:5099 5344:6123 6368:7147 7392:8171 8416:9195 9440:10219 10464:11243 11488:12267 12512:13291 13536:14315 14560:15339 15584:16107" ht="30" customHeight="1">
      <c r="A90" s="176"/>
      <c r="D90" s="169"/>
      <c r="E90" s="169"/>
      <c r="F90" s="303"/>
      <c r="H90" s="159"/>
      <c r="I90" s="196"/>
      <c r="J90" s="161"/>
      <c r="K90" s="196"/>
      <c r="L90" s="211">
        <f>Table113[[#This Row],[Qty 2]]+Table113[[#This Row],[Qty 1]]</f>
        <v>0</v>
      </c>
      <c r="M90" s="216"/>
      <c r="N90" s="216">
        <f>Table113[[#This Row],[Unit Cost]]*Table113[[#This Row],[Total Qty All Areas]]</f>
        <v>0</v>
      </c>
    </row>
    <row r="91" spans="1:1003 1248:2027 2272:3051 3296:4075 4320:5099 5344:6123 6368:7147 7392:8171 8416:9195 9440:10219 10464:11243 11488:12267 12512:13291 13536:14315 14560:15339 15584:16107" s="167" customFormat="1" ht="30" customHeight="1">
      <c r="A91" s="175" t="str">
        <f>'Category Setup'!L50</f>
        <v>PF_TB</v>
      </c>
      <c r="B91" s="167" t="str">
        <f>'Category Setup'!E50</f>
        <v>PF_TB_Part Finished_Transport Boxes</v>
      </c>
      <c r="C91" s="167" t="str">
        <f>'Category Setup'!N50</f>
        <v>PF_TB_Part Finished_Transport Boxes</v>
      </c>
      <c r="D91" s="168"/>
      <c r="E91" s="168"/>
      <c r="F91" s="172"/>
      <c r="G91" s="172"/>
      <c r="H91" s="173"/>
      <c r="I91" s="197"/>
      <c r="J91" s="174"/>
      <c r="K91" s="197"/>
      <c r="L91" s="213">
        <f>Table113[[#This Row],[Qty 2]]+Table113[[#This Row],[Qty 1]]</f>
        <v>0</v>
      </c>
      <c r="M91" s="215"/>
      <c r="N91" s="215">
        <f>Table113[[#This Row],[Unit Cost]]*Table113[[#This Row],[Total Qty All Areas]]</f>
        <v>0</v>
      </c>
      <c r="HP91" s="7"/>
      <c r="HQ91" s="7"/>
      <c r="HR91" s="7"/>
      <c r="HS91" s="7"/>
      <c r="HT91" s="7"/>
      <c r="HU91" s="7"/>
      <c r="HV91" s="7"/>
      <c r="HW91" s="7"/>
      <c r="HX91" s="7"/>
      <c r="HY91" s="7"/>
      <c r="HZ91" s="7"/>
      <c r="IA91" s="7"/>
      <c r="RL91" s="7"/>
      <c r="RM91" s="7"/>
      <c r="RN91" s="7"/>
      <c r="RO91" s="7"/>
      <c r="RP91" s="7"/>
      <c r="RQ91" s="7"/>
      <c r="RR91" s="7"/>
      <c r="RS91" s="7"/>
      <c r="RT91" s="7"/>
      <c r="RU91" s="7"/>
      <c r="RV91" s="7"/>
      <c r="RW91" s="7"/>
      <c r="ABH91" s="7"/>
      <c r="ABI91" s="7"/>
      <c r="ABJ91" s="7"/>
      <c r="ABK91" s="7"/>
      <c r="ABL91" s="7"/>
      <c r="ABM91" s="7"/>
      <c r="ABN91" s="7"/>
      <c r="ABO91" s="7"/>
      <c r="ABP91" s="7"/>
      <c r="ABQ91" s="7"/>
      <c r="ABR91" s="7"/>
      <c r="ABS91" s="7"/>
      <c r="ALD91" s="7"/>
      <c r="ALE91" s="7"/>
      <c r="ALF91" s="7"/>
      <c r="ALG91" s="7"/>
      <c r="ALH91" s="7"/>
      <c r="ALI91" s="7"/>
      <c r="ALJ91" s="7"/>
      <c r="ALK91" s="7"/>
      <c r="ALL91" s="7"/>
      <c r="ALM91" s="7"/>
      <c r="ALN91" s="7"/>
      <c r="ALO91" s="7"/>
      <c r="AUZ91" s="7"/>
      <c r="AVA91" s="7"/>
      <c r="AVB91" s="7"/>
      <c r="AVC91" s="7"/>
      <c r="AVD91" s="7"/>
      <c r="AVE91" s="7"/>
      <c r="AVF91" s="7"/>
      <c r="AVG91" s="7"/>
      <c r="AVH91" s="7"/>
      <c r="AVI91" s="7"/>
      <c r="AVJ91" s="7"/>
      <c r="AVK91" s="7"/>
      <c r="BEV91" s="7"/>
      <c r="BEW91" s="7"/>
      <c r="BEX91" s="7"/>
      <c r="BEY91" s="7"/>
      <c r="BEZ91" s="7"/>
      <c r="BFA91" s="7"/>
      <c r="BFB91" s="7"/>
      <c r="BFC91" s="7"/>
      <c r="BFD91" s="7"/>
      <c r="BFE91" s="7"/>
      <c r="BFF91" s="7"/>
      <c r="BFG91" s="7"/>
      <c r="BOR91" s="7"/>
      <c r="BOS91" s="7"/>
      <c r="BOT91" s="7"/>
      <c r="BOU91" s="7"/>
      <c r="BOV91" s="7"/>
      <c r="BOW91" s="7"/>
      <c r="BOX91" s="7"/>
      <c r="BOY91" s="7"/>
      <c r="BOZ91" s="7"/>
      <c r="BPA91" s="7"/>
      <c r="BPB91" s="7"/>
      <c r="BPC91" s="7"/>
      <c r="BYN91" s="7"/>
      <c r="BYO91" s="7"/>
      <c r="BYP91" s="7"/>
      <c r="BYQ91" s="7"/>
      <c r="BYR91" s="7"/>
      <c r="BYS91" s="7"/>
      <c r="BYT91" s="7"/>
      <c r="BYU91" s="7"/>
      <c r="BYV91" s="7"/>
      <c r="BYW91" s="7"/>
      <c r="BYX91" s="7"/>
      <c r="BYY91" s="7"/>
      <c r="CIJ91" s="7"/>
      <c r="CIK91" s="7"/>
      <c r="CIL91" s="7"/>
      <c r="CIM91" s="7"/>
      <c r="CIN91" s="7"/>
      <c r="CIO91" s="7"/>
      <c r="CIP91" s="7"/>
      <c r="CIQ91" s="7"/>
      <c r="CIR91" s="7"/>
      <c r="CIS91" s="7"/>
      <c r="CIT91" s="7"/>
      <c r="CIU91" s="7"/>
      <c r="CSF91" s="7"/>
      <c r="CSG91" s="7"/>
      <c r="CSH91" s="7"/>
      <c r="CSI91" s="7"/>
      <c r="CSJ91" s="7"/>
      <c r="CSK91" s="7"/>
      <c r="CSL91" s="7"/>
      <c r="CSM91" s="7"/>
      <c r="CSN91" s="7"/>
      <c r="CSO91" s="7"/>
      <c r="CSP91" s="7"/>
      <c r="CSQ91" s="7"/>
      <c r="DCB91" s="7"/>
      <c r="DCC91" s="7"/>
      <c r="DCD91" s="7"/>
      <c r="DCE91" s="7"/>
      <c r="DCF91" s="7"/>
      <c r="DCG91" s="7"/>
      <c r="DCH91" s="7"/>
      <c r="DCI91" s="7"/>
      <c r="DCJ91" s="7"/>
      <c r="DCK91" s="7"/>
      <c r="DCL91" s="7"/>
      <c r="DCM91" s="7"/>
      <c r="DLX91" s="7"/>
      <c r="DLY91" s="7"/>
      <c r="DLZ91" s="7"/>
      <c r="DMA91" s="7"/>
      <c r="DMB91" s="7"/>
      <c r="DMC91" s="7"/>
      <c r="DMD91" s="7"/>
      <c r="DME91" s="7"/>
      <c r="DMF91" s="7"/>
      <c r="DMG91" s="7"/>
      <c r="DMH91" s="7"/>
      <c r="DMI91" s="7"/>
      <c r="DVT91" s="7"/>
      <c r="DVU91" s="7"/>
      <c r="DVV91" s="7"/>
      <c r="DVW91" s="7"/>
      <c r="DVX91" s="7"/>
      <c r="DVY91" s="7"/>
      <c r="DVZ91" s="7"/>
      <c r="DWA91" s="7"/>
      <c r="DWB91" s="7"/>
      <c r="DWC91" s="7"/>
      <c r="DWD91" s="7"/>
      <c r="DWE91" s="7"/>
      <c r="EFP91" s="7"/>
      <c r="EFQ91" s="7"/>
      <c r="EFR91" s="7"/>
      <c r="EFS91" s="7"/>
      <c r="EFT91" s="7"/>
      <c r="EFU91" s="7"/>
      <c r="EFV91" s="7"/>
      <c r="EFW91" s="7"/>
      <c r="EFX91" s="7"/>
      <c r="EFY91" s="7"/>
      <c r="EFZ91" s="7"/>
      <c r="EGA91" s="7"/>
      <c r="EPL91" s="7"/>
      <c r="EPM91" s="7"/>
      <c r="EPN91" s="7"/>
      <c r="EPO91" s="7"/>
      <c r="EPP91" s="7"/>
      <c r="EPQ91" s="7"/>
      <c r="EPR91" s="7"/>
      <c r="EPS91" s="7"/>
      <c r="EPT91" s="7"/>
      <c r="EPU91" s="7"/>
      <c r="EPV91" s="7"/>
      <c r="EPW91" s="7"/>
      <c r="EZH91" s="7"/>
      <c r="EZI91" s="7"/>
      <c r="EZJ91" s="7"/>
      <c r="EZK91" s="7"/>
      <c r="EZL91" s="7"/>
      <c r="EZM91" s="7"/>
      <c r="EZN91" s="7"/>
      <c r="EZO91" s="7"/>
      <c r="EZP91" s="7"/>
      <c r="EZQ91" s="7"/>
      <c r="EZR91" s="7"/>
      <c r="EZS91" s="7"/>
      <c r="FJD91" s="7"/>
      <c r="FJE91" s="7"/>
      <c r="FJF91" s="7"/>
      <c r="FJG91" s="7"/>
      <c r="FJH91" s="7"/>
      <c r="FJI91" s="7"/>
      <c r="FJJ91" s="7"/>
      <c r="FJK91" s="7"/>
      <c r="FJL91" s="7"/>
      <c r="FJM91" s="7"/>
      <c r="FJN91" s="7"/>
      <c r="FJO91" s="7"/>
      <c r="FSZ91" s="7"/>
      <c r="FTA91" s="7"/>
      <c r="FTB91" s="7"/>
      <c r="FTC91" s="7"/>
      <c r="FTD91" s="7"/>
      <c r="FTE91" s="7"/>
      <c r="FTF91" s="7"/>
      <c r="FTG91" s="7"/>
      <c r="FTH91" s="7"/>
      <c r="FTI91" s="7"/>
      <c r="FTJ91" s="7"/>
      <c r="FTK91" s="7"/>
      <c r="GCV91" s="7"/>
      <c r="GCW91" s="7"/>
      <c r="GCX91" s="7"/>
      <c r="GCY91" s="7"/>
      <c r="GCZ91" s="7"/>
      <c r="GDA91" s="7"/>
      <c r="GDB91" s="7"/>
      <c r="GDC91" s="7"/>
      <c r="GDD91" s="7"/>
      <c r="GDE91" s="7"/>
      <c r="GDF91" s="7"/>
      <c r="GDG91" s="7"/>
      <c r="GMR91" s="7"/>
      <c r="GMS91" s="7"/>
      <c r="GMT91" s="7"/>
      <c r="GMU91" s="7"/>
      <c r="GMV91" s="7"/>
      <c r="GMW91" s="7"/>
      <c r="GMX91" s="7"/>
      <c r="GMY91" s="7"/>
      <c r="GMZ91" s="7"/>
      <c r="GNA91" s="7"/>
      <c r="GNB91" s="7"/>
      <c r="GNC91" s="7"/>
      <c r="GWN91" s="7"/>
      <c r="GWO91" s="7"/>
      <c r="GWP91" s="7"/>
      <c r="GWQ91" s="7"/>
      <c r="GWR91" s="7"/>
      <c r="GWS91" s="7"/>
      <c r="GWT91" s="7"/>
      <c r="GWU91" s="7"/>
      <c r="GWV91" s="7"/>
      <c r="GWW91" s="7"/>
      <c r="GWX91" s="7"/>
      <c r="GWY91" s="7"/>
      <c r="HGJ91" s="7"/>
      <c r="HGK91" s="7"/>
      <c r="HGL91" s="7"/>
      <c r="HGM91" s="7"/>
      <c r="HGN91" s="7"/>
      <c r="HGO91" s="7"/>
      <c r="HGP91" s="7"/>
      <c r="HGQ91" s="7"/>
      <c r="HGR91" s="7"/>
      <c r="HGS91" s="7"/>
      <c r="HGT91" s="7"/>
      <c r="HGU91" s="7"/>
      <c r="HQF91" s="7"/>
      <c r="HQG91" s="7"/>
      <c r="HQH91" s="7"/>
      <c r="HQI91" s="7"/>
      <c r="HQJ91" s="7"/>
      <c r="HQK91" s="7"/>
      <c r="HQL91" s="7"/>
      <c r="HQM91" s="7"/>
      <c r="HQN91" s="7"/>
      <c r="HQO91" s="7"/>
      <c r="HQP91" s="7"/>
      <c r="HQQ91" s="7"/>
      <c r="IAB91" s="7"/>
      <c r="IAC91" s="7"/>
      <c r="IAD91" s="7"/>
      <c r="IAE91" s="7"/>
      <c r="IAF91" s="7"/>
      <c r="IAG91" s="7"/>
      <c r="IAH91" s="7"/>
      <c r="IAI91" s="7"/>
      <c r="IAJ91" s="7"/>
      <c r="IAK91" s="7"/>
      <c r="IAL91" s="7"/>
      <c r="IAM91" s="7"/>
      <c r="IJX91" s="7"/>
      <c r="IJY91" s="7"/>
      <c r="IJZ91" s="7"/>
      <c r="IKA91" s="7"/>
      <c r="IKB91" s="7"/>
      <c r="IKC91" s="7"/>
      <c r="IKD91" s="7"/>
      <c r="IKE91" s="7"/>
      <c r="IKF91" s="7"/>
      <c r="IKG91" s="7"/>
      <c r="IKH91" s="7"/>
      <c r="IKI91" s="7"/>
      <c r="ITT91" s="7"/>
      <c r="ITU91" s="7"/>
      <c r="ITV91" s="7"/>
      <c r="ITW91" s="7"/>
      <c r="ITX91" s="7"/>
      <c r="ITY91" s="7"/>
      <c r="ITZ91" s="7"/>
      <c r="IUA91" s="7"/>
      <c r="IUB91" s="7"/>
      <c r="IUC91" s="7"/>
      <c r="IUD91" s="7"/>
      <c r="IUE91" s="7"/>
      <c r="JDP91" s="7"/>
      <c r="JDQ91" s="7"/>
      <c r="JDR91" s="7"/>
      <c r="JDS91" s="7"/>
      <c r="JDT91" s="7"/>
      <c r="JDU91" s="7"/>
      <c r="JDV91" s="7"/>
      <c r="JDW91" s="7"/>
      <c r="JDX91" s="7"/>
      <c r="JDY91" s="7"/>
      <c r="JDZ91" s="7"/>
      <c r="JEA91" s="7"/>
      <c r="JNL91" s="7"/>
      <c r="JNM91" s="7"/>
      <c r="JNN91" s="7"/>
      <c r="JNO91" s="7"/>
      <c r="JNP91" s="7"/>
      <c r="JNQ91" s="7"/>
      <c r="JNR91" s="7"/>
      <c r="JNS91" s="7"/>
      <c r="JNT91" s="7"/>
      <c r="JNU91" s="7"/>
      <c r="JNV91" s="7"/>
      <c r="JNW91" s="7"/>
      <c r="JXH91" s="7"/>
      <c r="JXI91" s="7"/>
      <c r="JXJ91" s="7"/>
      <c r="JXK91" s="7"/>
      <c r="JXL91" s="7"/>
      <c r="JXM91" s="7"/>
      <c r="JXN91" s="7"/>
      <c r="JXO91" s="7"/>
      <c r="JXP91" s="7"/>
      <c r="JXQ91" s="7"/>
      <c r="JXR91" s="7"/>
      <c r="JXS91" s="7"/>
      <c r="KHD91" s="7"/>
      <c r="KHE91" s="7"/>
      <c r="KHF91" s="7"/>
      <c r="KHG91" s="7"/>
      <c r="KHH91" s="7"/>
      <c r="KHI91" s="7"/>
      <c r="KHJ91" s="7"/>
      <c r="KHK91" s="7"/>
      <c r="KHL91" s="7"/>
      <c r="KHM91" s="7"/>
      <c r="KHN91" s="7"/>
      <c r="KHO91" s="7"/>
      <c r="KQZ91" s="7"/>
      <c r="KRA91" s="7"/>
      <c r="KRB91" s="7"/>
      <c r="KRC91" s="7"/>
      <c r="KRD91" s="7"/>
      <c r="KRE91" s="7"/>
      <c r="KRF91" s="7"/>
      <c r="KRG91" s="7"/>
      <c r="KRH91" s="7"/>
      <c r="KRI91" s="7"/>
      <c r="KRJ91" s="7"/>
      <c r="KRK91" s="7"/>
      <c r="LAV91" s="7"/>
      <c r="LAW91" s="7"/>
      <c r="LAX91" s="7"/>
      <c r="LAY91" s="7"/>
      <c r="LAZ91" s="7"/>
      <c r="LBA91" s="7"/>
      <c r="LBB91" s="7"/>
      <c r="LBC91" s="7"/>
      <c r="LBD91" s="7"/>
      <c r="LBE91" s="7"/>
      <c r="LBF91" s="7"/>
      <c r="LBG91" s="7"/>
      <c r="LKR91" s="7"/>
      <c r="LKS91" s="7"/>
      <c r="LKT91" s="7"/>
      <c r="LKU91" s="7"/>
      <c r="LKV91" s="7"/>
      <c r="LKW91" s="7"/>
      <c r="LKX91" s="7"/>
      <c r="LKY91" s="7"/>
      <c r="LKZ91" s="7"/>
      <c r="LLA91" s="7"/>
      <c r="LLB91" s="7"/>
      <c r="LLC91" s="7"/>
      <c r="LUN91" s="7"/>
      <c r="LUO91" s="7"/>
      <c r="LUP91" s="7"/>
      <c r="LUQ91" s="7"/>
      <c r="LUR91" s="7"/>
      <c r="LUS91" s="7"/>
      <c r="LUT91" s="7"/>
      <c r="LUU91" s="7"/>
      <c r="LUV91" s="7"/>
      <c r="LUW91" s="7"/>
      <c r="LUX91" s="7"/>
      <c r="LUY91" s="7"/>
      <c r="MEJ91" s="7"/>
      <c r="MEK91" s="7"/>
      <c r="MEL91" s="7"/>
      <c r="MEM91" s="7"/>
      <c r="MEN91" s="7"/>
      <c r="MEO91" s="7"/>
      <c r="MEP91" s="7"/>
      <c r="MEQ91" s="7"/>
      <c r="MER91" s="7"/>
      <c r="MES91" s="7"/>
      <c r="MET91" s="7"/>
      <c r="MEU91" s="7"/>
      <c r="MOF91" s="7"/>
      <c r="MOG91" s="7"/>
      <c r="MOH91" s="7"/>
      <c r="MOI91" s="7"/>
      <c r="MOJ91" s="7"/>
      <c r="MOK91" s="7"/>
      <c r="MOL91" s="7"/>
      <c r="MOM91" s="7"/>
      <c r="MON91" s="7"/>
      <c r="MOO91" s="7"/>
      <c r="MOP91" s="7"/>
      <c r="MOQ91" s="7"/>
      <c r="MYB91" s="7"/>
      <c r="MYC91" s="7"/>
      <c r="MYD91" s="7"/>
      <c r="MYE91" s="7"/>
      <c r="MYF91" s="7"/>
      <c r="MYG91" s="7"/>
      <c r="MYH91" s="7"/>
      <c r="MYI91" s="7"/>
      <c r="MYJ91" s="7"/>
      <c r="MYK91" s="7"/>
      <c r="MYL91" s="7"/>
      <c r="MYM91" s="7"/>
      <c r="NHX91" s="7"/>
      <c r="NHY91" s="7"/>
      <c r="NHZ91" s="7"/>
      <c r="NIA91" s="7"/>
      <c r="NIB91" s="7"/>
      <c r="NIC91" s="7"/>
      <c r="NID91" s="7"/>
      <c r="NIE91" s="7"/>
      <c r="NIF91" s="7"/>
      <c r="NIG91" s="7"/>
      <c r="NIH91" s="7"/>
      <c r="NII91" s="7"/>
      <c r="NRT91" s="7"/>
      <c r="NRU91" s="7"/>
      <c r="NRV91" s="7"/>
      <c r="NRW91" s="7"/>
      <c r="NRX91" s="7"/>
      <c r="NRY91" s="7"/>
      <c r="NRZ91" s="7"/>
      <c r="NSA91" s="7"/>
      <c r="NSB91" s="7"/>
      <c r="NSC91" s="7"/>
      <c r="NSD91" s="7"/>
      <c r="NSE91" s="7"/>
      <c r="OBP91" s="7"/>
      <c r="OBQ91" s="7"/>
      <c r="OBR91" s="7"/>
      <c r="OBS91" s="7"/>
      <c r="OBT91" s="7"/>
      <c r="OBU91" s="7"/>
      <c r="OBV91" s="7"/>
      <c r="OBW91" s="7"/>
      <c r="OBX91" s="7"/>
      <c r="OBY91" s="7"/>
      <c r="OBZ91" s="7"/>
      <c r="OCA91" s="7"/>
      <c r="OLL91" s="7"/>
      <c r="OLM91" s="7"/>
      <c r="OLN91" s="7"/>
      <c r="OLO91" s="7"/>
      <c r="OLP91" s="7"/>
      <c r="OLQ91" s="7"/>
      <c r="OLR91" s="7"/>
      <c r="OLS91" s="7"/>
      <c r="OLT91" s="7"/>
      <c r="OLU91" s="7"/>
      <c r="OLV91" s="7"/>
      <c r="OLW91" s="7"/>
      <c r="OVH91" s="7"/>
      <c r="OVI91" s="7"/>
      <c r="OVJ91" s="7"/>
      <c r="OVK91" s="7"/>
      <c r="OVL91" s="7"/>
      <c r="OVM91" s="7"/>
      <c r="OVN91" s="7"/>
      <c r="OVO91" s="7"/>
      <c r="OVP91" s="7"/>
      <c r="OVQ91" s="7"/>
      <c r="OVR91" s="7"/>
      <c r="OVS91" s="7"/>
      <c r="PFD91" s="7"/>
      <c r="PFE91" s="7"/>
      <c r="PFF91" s="7"/>
      <c r="PFG91" s="7"/>
      <c r="PFH91" s="7"/>
      <c r="PFI91" s="7"/>
      <c r="PFJ91" s="7"/>
      <c r="PFK91" s="7"/>
      <c r="PFL91" s="7"/>
      <c r="PFM91" s="7"/>
      <c r="PFN91" s="7"/>
      <c r="PFO91" s="7"/>
      <c r="POZ91" s="7"/>
      <c r="PPA91" s="7"/>
      <c r="PPB91" s="7"/>
      <c r="PPC91" s="7"/>
      <c r="PPD91" s="7"/>
      <c r="PPE91" s="7"/>
      <c r="PPF91" s="7"/>
      <c r="PPG91" s="7"/>
      <c r="PPH91" s="7"/>
      <c r="PPI91" s="7"/>
      <c r="PPJ91" s="7"/>
      <c r="PPK91" s="7"/>
      <c r="PYV91" s="7"/>
      <c r="PYW91" s="7"/>
      <c r="PYX91" s="7"/>
      <c r="PYY91" s="7"/>
      <c r="PYZ91" s="7"/>
      <c r="PZA91" s="7"/>
      <c r="PZB91" s="7"/>
      <c r="PZC91" s="7"/>
      <c r="PZD91" s="7"/>
      <c r="PZE91" s="7"/>
      <c r="PZF91" s="7"/>
      <c r="PZG91" s="7"/>
      <c r="QIR91" s="7"/>
      <c r="QIS91" s="7"/>
      <c r="QIT91" s="7"/>
      <c r="QIU91" s="7"/>
      <c r="QIV91" s="7"/>
      <c r="QIW91" s="7"/>
      <c r="QIX91" s="7"/>
      <c r="QIY91" s="7"/>
      <c r="QIZ91" s="7"/>
      <c r="QJA91" s="7"/>
      <c r="QJB91" s="7"/>
      <c r="QJC91" s="7"/>
      <c r="QSN91" s="7"/>
      <c r="QSO91" s="7"/>
      <c r="QSP91" s="7"/>
      <c r="QSQ91" s="7"/>
      <c r="QSR91" s="7"/>
      <c r="QSS91" s="7"/>
      <c r="QST91" s="7"/>
      <c r="QSU91" s="7"/>
      <c r="QSV91" s="7"/>
      <c r="QSW91" s="7"/>
      <c r="QSX91" s="7"/>
      <c r="QSY91" s="7"/>
      <c r="RCJ91" s="7"/>
      <c r="RCK91" s="7"/>
      <c r="RCL91" s="7"/>
      <c r="RCM91" s="7"/>
      <c r="RCN91" s="7"/>
      <c r="RCO91" s="7"/>
      <c r="RCP91" s="7"/>
      <c r="RCQ91" s="7"/>
      <c r="RCR91" s="7"/>
      <c r="RCS91" s="7"/>
      <c r="RCT91" s="7"/>
      <c r="RCU91" s="7"/>
      <c r="RMF91" s="7"/>
      <c r="RMG91" s="7"/>
      <c r="RMH91" s="7"/>
      <c r="RMI91" s="7"/>
      <c r="RMJ91" s="7"/>
      <c r="RMK91" s="7"/>
      <c r="RML91" s="7"/>
      <c r="RMM91" s="7"/>
      <c r="RMN91" s="7"/>
      <c r="RMO91" s="7"/>
      <c r="RMP91" s="7"/>
      <c r="RMQ91" s="7"/>
      <c r="RWB91" s="7"/>
      <c r="RWC91" s="7"/>
      <c r="RWD91" s="7"/>
      <c r="RWE91" s="7"/>
      <c r="RWF91" s="7"/>
      <c r="RWG91" s="7"/>
      <c r="RWH91" s="7"/>
      <c r="RWI91" s="7"/>
      <c r="RWJ91" s="7"/>
      <c r="RWK91" s="7"/>
      <c r="RWL91" s="7"/>
      <c r="RWM91" s="7"/>
      <c r="SFX91" s="7"/>
      <c r="SFY91" s="7"/>
      <c r="SFZ91" s="7"/>
      <c r="SGA91" s="7"/>
      <c r="SGB91" s="7"/>
      <c r="SGC91" s="7"/>
      <c r="SGD91" s="7"/>
      <c r="SGE91" s="7"/>
      <c r="SGF91" s="7"/>
      <c r="SGG91" s="7"/>
      <c r="SGH91" s="7"/>
      <c r="SGI91" s="7"/>
      <c r="SPT91" s="7"/>
      <c r="SPU91" s="7"/>
      <c r="SPV91" s="7"/>
      <c r="SPW91" s="7"/>
      <c r="SPX91" s="7"/>
      <c r="SPY91" s="7"/>
      <c r="SPZ91" s="7"/>
      <c r="SQA91" s="7"/>
      <c r="SQB91" s="7"/>
      <c r="SQC91" s="7"/>
      <c r="SQD91" s="7"/>
      <c r="SQE91" s="7"/>
      <c r="SZP91" s="7"/>
      <c r="SZQ91" s="7"/>
      <c r="SZR91" s="7"/>
      <c r="SZS91" s="7"/>
      <c r="SZT91" s="7"/>
      <c r="SZU91" s="7"/>
      <c r="SZV91" s="7"/>
      <c r="SZW91" s="7"/>
      <c r="SZX91" s="7"/>
      <c r="SZY91" s="7"/>
      <c r="SZZ91" s="7"/>
      <c r="TAA91" s="7"/>
      <c r="TJL91" s="7"/>
      <c r="TJM91" s="7"/>
      <c r="TJN91" s="7"/>
      <c r="TJO91" s="7"/>
      <c r="TJP91" s="7"/>
      <c r="TJQ91" s="7"/>
      <c r="TJR91" s="7"/>
      <c r="TJS91" s="7"/>
      <c r="TJT91" s="7"/>
      <c r="TJU91" s="7"/>
      <c r="TJV91" s="7"/>
      <c r="TJW91" s="7"/>
      <c r="TTH91" s="7"/>
      <c r="TTI91" s="7"/>
      <c r="TTJ91" s="7"/>
      <c r="TTK91" s="7"/>
      <c r="TTL91" s="7"/>
      <c r="TTM91" s="7"/>
      <c r="TTN91" s="7"/>
      <c r="TTO91" s="7"/>
      <c r="TTP91" s="7"/>
      <c r="TTQ91" s="7"/>
      <c r="TTR91" s="7"/>
      <c r="TTS91" s="7"/>
      <c r="UDD91" s="7"/>
      <c r="UDE91" s="7"/>
      <c r="UDF91" s="7"/>
      <c r="UDG91" s="7"/>
      <c r="UDH91" s="7"/>
      <c r="UDI91" s="7"/>
      <c r="UDJ91" s="7"/>
      <c r="UDK91" s="7"/>
      <c r="UDL91" s="7"/>
      <c r="UDM91" s="7"/>
      <c r="UDN91" s="7"/>
      <c r="UDO91" s="7"/>
      <c r="UMZ91" s="7"/>
      <c r="UNA91" s="7"/>
      <c r="UNB91" s="7"/>
      <c r="UNC91" s="7"/>
      <c r="UND91" s="7"/>
      <c r="UNE91" s="7"/>
      <c r="UNF91" s="7"/>
      <c r="UNG91" s="7"/>
      <c r="UNH91" s="7"/>
      <c r="UNI91" s="7"/>
      <c r="UNJ91" s="7"/>
      <c r="UNK91" s="7"/>
      <c r="UWV91" s="7"/>
      <c r="UWW91" s="7"/>
      <c r="UWX91" s="7"/>
      <c r="UWY91" s="7"/>
      <c r="UWZ91" s="7"/>
      <c r="UXA91" s="7"/>
      <c r="UXB91" s="7"/>
      <c r="UXC91" s="7"/>
      <c r="UXD91" s="7"/>
      <c r="UXE91" s="7"/>
      <c r="UXF91" s="7"/>
      <c r="UXG91" s="7"/>
      <c r="VGR91" s="7"/>
      <c r="VGS91" s="7"/>
      <c r="VGT91" s="7"/>
      <c r="VGU91" s="7"/>
      <c r="VGV91" s="7"/>
      <c r="VGW91" s="7"/>
      <c r="VGX91" s="7"/>
      <c r="VGY91" s="7"/>
      <c r="VGZ91" s="7"/>
      <c r="VHA91" s="7"/>
      <c r="VHB91" s="7"/>
      <c r="VHC91" s="7"/>
      <c r="VQN91" s="7"/>
      <c r="VQO91" s="7"/>
      <c r="VQP91" s="7"/>
      <c r="VQQ91" s="7"/>
      <c r="VQR91" s="7"/>
      <c r="VQS91" s="7"/>
      <c r="VQT91" s="7"/>
      <c r="VQU91" s="7"/>
      <c r="VQV91" s="7"/>
      <c r="VQW91" s="7"/>
      <c r="VQX91" s="7"/>
      <c r="VQY91" s="7"/>
      <c r="WAJ91" s="7"/>
      <c r="WAK91" s="7"/>
      <c r="WAL91" s="7"/>
      <c r="WAM91" s="7"/>
      <c r="WAN91" s="7"/>
      <c r="WAO91" s="7"/>
      <c r="WAP91" s="7"/>
      <c r="WAQ91" s="7"/>
      <c r="WAR91" s="7"/>
      <c r="WAS91" s="7"/>
      <c r="WAT91" s="7"/>
      <c r="WAU91" s="7"/>
      <c r="WKF91" s="7"/>
      <c r="WKG91" s="7"/>
      <c r="WKH91" s="7"/>
      <c r="WKI91" s="7"/>
      <c r="WKJ91" s="7"/>
      <c r="WKK91" s="7"/>
      <c r="WKL91" s="7"/>
      <c r="WKM91" s="7"/>
      <c r="WKN91" s="7"/>
      <c r="WKO91" s="7"/>
      <c r="WKP91" s="7"/>
      <c r="WKQ91" s="7"/>
      <c r="WUB91" s="7"/>
      <c r="WUC91" s="7"/>
      <c r="WUD91" s="7"/>
      <c r="WUE91" s="7"/>
      <c r="WUF91" s="7"/>
      <c r="WUG91" s="7"/>
      <c r="WUH91" s="7"/>
      <c r="WUI91" s="7"/>
      <c r="WUJ91" s="7"/>
      <c r="WUK91" s="7"/>
      <c r="WUL91" s="7"/>
      <c r="WUM91" s="7"/>
    </row>
    <row r="92" spans="1:1003 1248:2027 2272:3051 3296:4075 4320:5099 5344:6123 6368:7147 7392:8171 8416:9195 9440:10219 10464:11243 11488:12267 12512:13291 13536:14315 14560:15339 15584:16107" ht="30" customHeight="1">
      <c r="A92" s="175"/>
      <c r="H92" s="159"/>
      <c r="I92" s="196"/>
      <c r="J92" s="161"/>
      <c r="K92" s="196"/>
      <c r="L92" s="211">
        <f>Table113[[#This Row],[Qty 2]]+Table113[[#This Row],[Qty 1]]</f>
        <v>0</v>
      </c>
      <c r="M92" s="216"/>
      <c r="N92" s="216">
        <f>Table113[[#This Row],[Unit Cost]]*Table113[[#This Row],[Total Qty All Areas]]</f>
        <v>0</v>
      </c>
    </row>
    <row r="93" spans="1:1003 1248:2027 2272:3051 3296:4075 4320:5099 5344:6123 6368:7147 7392:8171 8416:9195 9440:10219 10464:11243 11488:12267 12512:13291 13536:14315 14560:15339 15584:16107" ht="30" customHeight="1">
      <c r="A93" s="175"/>
      <c r="H93" s="159"/>
      <c r="I93" s="196"/>
      <c r="J93" s="161"/>
      <c r="K93" s="196"/>
      <c r="L93" s="211">
        <f>Table113[[#This Row],[Qty 2]]+Table113[[#This Row],[Qty 1]]</f>
        <v>0</v>
      </c>
      <c r="M93" s="216"/>
      <c r="N93" s="216">
        <f>Table113[[#This Row],[Unit Cost]]*Table113[[#This Row],[Total Qty All Areas]]</f>
        <v>0</v>
      </c>
    </row>
    <row r="94" spans="1:1003 1248:2027 2272:3051 3296:4075 4320:5099 5344:6123 6368:7147 7392:8171 8416:9195 9440:10219 10464:11243 11488:12267 12512:13291 13536:14315 14560:15339 15584:16107" ht="30" customHeight="1">
      <c r="A94" s="175"/>
      <c r="D94" s="169"/>
      <c r="E94" s="169"/>
      <c r="F94" s="303"/>
      <c r="H94" s="159"/>
      <c r="I94" s="196"/>
      <c r="J94" s="161"/>
      <c r="K94" s="196"/>
      <c r="L94" s="211">
        <f>Table113[[#This Row],[Qty 2]]+Table113[[#This Row],[Qty 1]]</f>
        <v>0</v>
      </c>
      <c r="M94" s="216"/>
      <c r="N94" s="216">
        <f>Table113[[#This Row],[Unit Cost]]*Table113[[#This Row],[Total Qty All Areas]]</f>
        <v>0</v>
      </c>
    </row>
    <row r="95" spans="1:1003 1248:2027 2272:3051 3296:4075 4320:5099 5344:6123 6368:7147 7392:8171 8416:9195 9440:10219 10464:11243 11488:12267 12512:13291 13536:14315 14560:15339 15584:16107" s="167" customFormat="1" ht="30" customHeight="1">
      <c r="A95" s="175" t="str">
        <f>'Category Setup'!L51</f>
        <v>PF_PS</v>
      </c>
      <c r="B95" s="167" t="str">
        <f>'Category Setup'!E51</f>
        <v>PF_PS_Part Finished_Power Scoop</v>
      </c>
      <c r="C95" s="167" t="str">
        <f>'Category Setup'!N51</f>
        <v>PF_PS_Part Finished_Power Scoop</v>
      </c>
      <c r="D95" s="168"/>
      <c r="E95" s="168"/>
      <c r="F95" s="172"/>
      <c r="G95" s="172"/>
      <c r="H95" s="173"/>
      <c r="I95" s="197"/>
      <c r="J95" s="174"/>
      <c r="K95" s="197"/>
      <c r="L95" s="213">
        <f>Table113[[#This Row],[Qty 2]]+Table113[[#This Row],[Qty 1]]</f>
        <v>0</v>
      </c>
      <c r="M95" s="215"/>
      <c r="N95" s="215">
        <f>Table113[[#This Row],[Unit Cost]]*Table113[[#This Row],[Total Qty All Areas]]</f>
        <v>0</v>
      </c>
      <c r="HP95" s="7"/>
      <c r="HQ95" s="7"/>
      <c r="HR95" s="7"/>
      <c r="HS95" s="7"/>
      <c r="HT95" s="7"/>
      <c r="HU95" s="7"/>
      <c r="HV95" s="7"/>
      <c r="HW95" s="7"/>
      <c r="HX95" s="7"/>
      <c r="HY95" s="7"/>
      <c r="HZ95" s="7"/>
      <c r="IA95" s="7"/>
      <c r="RL95" s="7"/>
      <c r="RM95" s="7"/>
      <c r="RN95" s="7"/>
      <c r="RO95" s="7"/>
      <c r="RP95" s="7"/>
      <c r="RQ95" s="7"/>
      <c r="RR95" s="7"/>
      <c r="RS95" s="7"/>
      <c r="RT95" s="7"/>
      <c r="RU95" s="7"/>
      <c r="RV95" s="7"/>
      <c r="RW95" s="7"/>
      <c r="ABH95" s="7"/>
      <c r="ABI95" s="7"/>
      <c r="ABJ95" s="7"/>
      <c r="ABK95" s="7"/>
      <c r="ABL95" s="7"/>
      <c r="ABM95" s="7"/>
      <c r="ABN95" s="7"/>
      <c r="ABO95" s="7"/>
      <c r="ABP95" s="7"/>
      <c r="ABQ95" s="7"/>
      <c r="ABR95" s="7"/>
      <c r="ABS95" s="7"/>
      <c r="ALD95" s="7"/>
      <c r="ALE95" s="7"/>
      <c r="ALF95" s="7"/>
      <c r="ALG95" s="7"/>
      <c r="ALH95" s="7"/>
      <c r="ALI95" s="7"/>
      <c r="ALJ95" s="7"/>
      <c r="ALK95" s="7"/>
      <c r="ALL95" s="7"/>
      <c r="ALM95" s="7"/>
      <c r="ALN95" s="7"/>
      <c r="ALO95" s="7"/>
      <c r="AUZ95" s="7"/>
      <c r="AVA95" s="7"/>
      <c r="AVB95" s="7"/>
      <c r="AVC95" s="7"/>
      <c r="AVD95" s="7"/>
      <c r="AVE95" s="7"/>
      <c r="AVF95" s="7"/>
      <c r="AVG95" s="7"/>
      <c r="AVH95" s="7"/>
      <c r="AVI95" s="7"/>
      <c r="AVJ95" s="7"/>
      <c r="AVK95" s="7"/>
      <c r="BEV95" s="7"/>
      <c r="BEW95" s="7"/>
      <c r="BEX95" s="7"/>
      <c r="BEY95" s="7"/>
      <c r="BEZ95" s="7"/>
      <c r="BFA95" s="7"/>
      <c r="BFB95" s="7"/>
      <c r="BFC95" s="7"/>
      <c r="BFD95" s="7"/>
      <c r="BFE95" s="7"/>
      <c r="BFF95" s="7"/>
      <c r="BFG95" s="7"/>
      <c r="BOR95" s="7"/>
      <c r="BOS95" s="7"/>
      <c r="BOT95" s="7"/>
      <c r="BOU95" s="7"/>
      <c r="BOV95" s="7"/>
      <c r="BOW95" s="7"/>
      <c r="BOX95" s="7"/>
      <c r="BOY95" s="7"/>
      <c r="BOZ95" s="7"/>
      <c r="BPA95" s="7"/>
      <c r="BPB95" s="7"/>
      <c r="BPC95" s="7"/>
      <c r="BYN95" s="7"/>
      <c r="BYO95" s="7"/>
      <c r="BYP95" s="7"/>
      <c r="BYQ95" s="7"/>
      <c r="BYR95" s="7"/>
      <c r="BYS95" s="7"/>
      <c r="BYT95" s="7"/>
      <c r="BYU95" s="7"/>
      <c r="BYV95" s="7"/>
      <c r="BYW95" s="7"/>
      <c r="BYX95" s="7"/>
      <c r="BYY95" s="7"/>
      <c r="CIJ95" s="7"/>
      <c r="CIK95" s="7"/>
      <c r="CIL95" s="7"/>
      <c r="CIM95" s="7"/>
      <c r="CIN95" s="7"/>
      <c r="CIO95" s="7"/>
      <c r="CIP95" s="7"/>
      <c r="CIQ95" s="7"/>
      <c r="CIR95" s="7"/>
      <c r="CIS95" s="7"/>
      <c r="CIT95" s="7"/>
      <c r="CIU95" s="7"/>
      <c r="CSF95" s="7"/>
      <c r="CSG95" s="7"/>
      <c r="CSH95" s="7"/>
      <c r="CSI95" s="7"/>
      <c r="CSJ95" s="7"/>
      <c r="CSK95" s="7"/>
      <c r="CSL95" s="7"/>
      <c r="CSM95" s="7"/>
      <c r="CSN95" s="7"/>
      <c r="CSO95" s="7"/>
      <c r="CSP95" s="7"/>
      <c r="CSQ95" s="7"/>
      <c r="DCB95" s="7"/>
      <c r="DCC95" s="7"/>
      <c r="DCD95" s="7"/>
      <c r="DCE95" s="7"/>
      <c r="DCF95" s="7"/>
      <c r="DCG95" s="7"/>
      <c r="DCH95" s="7"/>
      <c r="DCI95" s="7"/>
      <c r="DCJ95" s="7"/>
      <c r="DCK95" s="7"/>
      <c r="DCL95" s="7"/>
      <c r="DCM95" s="7"/>
      <c r="DLX95" s="7"/>
      <c r="DLY95" s="7"/>
      <c r="DLZ95" s="7"/>
      <c r="DMA95" s="7"/>
      <c r="DMB95" s="7"/>
      <c r="DMC95" s="7"/>
      <c r="DMD95" s="7"/>
      <c r="DME95" s="7"/>
      <c r="DMF95" s="7"/>
      <c r="DMG95" s="7"/>
      <c r="DMH95" s="7"/>
      <c r="DMI95" s="7"/>
      <c r="DVT95" s="7"/>
      <c r="DVU95" s="7"/>
      <c r="DVV95" s="7"/>
      <c r="DVW95" s="7"/>
      <c r="DVX95" s="7"/>
      <c r="DVY95" s="7"/>
      <c r="DVZ95" s="7"/>
      <c r="DWA95" s="7"/>
      <c r="DWB95" s="7"/>
      <c r="DWC95" s="7"/>
      <c r="DWD95" s="7"/>
      <c r="DWE95" s="7"/>
      <c r="EFP95" s="7"/>
      <c r="EFQ95" s="7"/>
      <c r="EFR95" s="7"/>
      <c r="EFS95" s="7"/>
      <c r="EFT95" s="7"/>
      <c r="EFU95" s="7"/>
      <c r="EFV95" s="7"/>
      <c r="EFW95" s="7"/>
      <c r="EFX95" s="7"/>
      <c r="EFY95" s="7"/>
      <c r="EFZ95" s="7"/>
      <c r="EGA95" s="7"/>
      <c r="EPL95" s="7"/>
      <c r="EPM95" s="7"/>
      <c r="EPN95" s="7"/>
      <c r="EPO95" s="7"/>
      <c r="EPP95" s="7"/>
      <c r="EPQ95" s="7"/>
      <c r="EPR95" s="7"/>
      <c r="EPS95" s="7"/>
      <c r="EPT95" s="7"/>
      <c r="EPU95" s="7"/>
      <c r="EPV95" s="7"/>
      <c r="EPW95" s="7"/>
      <c r="EZH95" s="7"/>
      <c r="EZI95" s="7"/>
      <c r="EZJ95" s="7"/>
      <c r="EZK95" s="7"/>
      <c r="EZL95" s="7"/>
      <c r="EZM95" s="7"/>
      <c r="EZN95" s="7"/>
      <c r="EZO95" s="7"/>
      <c r="EZP95" s="7"/>
      <c r="EZQ95" s="7"/>
      <c r="EZR95" s="7"/>
      <c r="EZS95" s="7"/>
      <c r="FJD95" s="7"/>
      <c r="FJE95" s="7"/>
      <c r="FJF95" s="7"/>
      <c r="FJG95" s="7"/>
      <c r="FJH95" s="7"/>
      <c r="FJI95" s="7"/>
      <c r="FJJ95" s="7"/>
      <c r="FJK95" s="7"/>
      <c r="FJL95" s="7"/>
      <c r="FJM95" s="7"/>
      <c r="FJN95" s="7"/>
      <c r="FJO95" s="7"/>
      <c r="FSZ95" s="7"/>
      <c r="FTA95" s="7"/>
      <c r="FTB95" s="7"/>
      <c r="FTC95" s="7"/>
      <c r="FTD95" s="7"/>
      <c r="FTE95" s="7"/>
      <c r="FTF95" s="7"/>
      <c r="FTG95" s="7"/>
      <c r="FTH95" s="7"/>
      <c r="FTI95" s="7"/>
      <c r="FTJ95" s="7"/>
      <c r="FTK95" s="7"/>
      <c r="GCV95" s="7"/>
      <c r="GCW95" s="7"/>
      <c r="GCX95" s="7"/>
      <c r="GCY95" s="7"/>
      <c r="GCZ95" s="7"/>
      <c r="GDA95" s="7"/>
      <c r="GDB95" s="7"/>
      <c r="GDC95" s="7"/>
      <c r="GDD95" s="7"/>
      <c r="GDE95" s="7"/>
      <c r="GDF95" s="7"/>
      <c r="GDG95" s="7"/>
      <c r="GMR95" s="7"/>
      <c r="GMS95" s="7"/>
      <c r="GMT95" s="7"/>
      <c r="GMU95" s="7"/>
      <c r="GMV95" s="7"/>
      <c r="GMW95" s="7"/>
      <c r="GMX95" s="7"/>
      <c r="GMY95" s="7"/>
      <c r="GMZ95" s="7"/>
      <c r="GNA95" s="7"/>
      <c r="GNB95" s="7"/>
      <c r="GNC95" s="7"/>
      <c r="GWN95" s="7"/>
      <c r="GWO95" s="7"/>
      <c r="GWP95" s="7"/>
      <c r="GWQ95" s="7"/>
      <c r="GWR95" s="7"/>
      <c r="GWS95" s="7"/>
      <c r="GWT95" s="7"/>
      <c r="GWU95" s="7"/>
      <c r="GWV95" s="7"/>
      <c r="GWW95" s="7"/>
      <c r="GWX95" s="7"/>
      <c r="GWY95" s="7"/>
      <c r="HGJ95" s="7"/>
      <c r="HGK95" s="7"/>
      <c r="HGL95" s="7"/>
      <c r="HGM95" s="7"/>
      <c r="HGN95" s="7"/>
      <c r="HGO95" s="7"/>
      <c r="HGP95" s="7"/>
      <c r="HGQ95" s="7"/>
      <c r="HGR95" s="7"/>
      <c r="HGS95" s="7"/>
      <c r="HGT95" s="7"/>
      <c r="HGU95" s="7"/>
      <c r="HQF95" s="7"/>
      <c r="HQG95" s="7"/>
      <c r="HQH95" s="7"/>
      <c r="HQI95" s="7"/>
      <c r="HQJ95" s="7"/>
      <c r="HQK95" s="7"/>
      <c r="HQL95" s="7"/>
      <c r="HQM95" s="7"/>
      <c r="HQN95" s="7"/>
      <c r="HQO95" s="7"/>
      <c r="HQP95" s="7"/>
      <c r="HQQ95" s="7"/>
      <c r="IAB95" s="7"/>
      <c r="IAC95" s="7"/>
      <c r="IAD95" s="7"/>
      <c r="IAE95" s="7"/>
      <c r="IAF95" s="7"/>
      <c r="IAG95" s="7"/>
      <c r="IAH95" s="7"/>
      <c r="IAI95" s="7"/>
      <c r="IAJ95" s="7"/>
      <c r="IAK95" s="7"/>
      <c r="IAL95" s="7"/>
      <c r="IAM95" s="7"/>
      <c r="IJX95" s="7"/>
      <c r="IJY95" s="7"/>
      <c r="IJZ95" s="7"/>
      <c r="IKA95" s="7"/>
      <c r="IKB95" s="7"/>
      <c r="IKC95" s="7"/>
      <c r="IKD95" s="7"/>
      <c r="IKE95" s="7"/>
      <c r="IKF95" s="7"/>
      <c r="IKG95" s="7"/>
      <c r="IKH95" s="7"/>
      <c r="IKI95" s="7"/>
      <c r="ITT95" s="7"/>
      <c r="ITU95" s="7"/>
      <c r="ITV95" s="7"/>
      <c r="ITW95" s="7"/>
      <c r="ITX95" s="7"/>
      <c r="ITY95" s="7"/>
      <c r="ITZ95" s="7"/>
      <c r="IUA95" s="7"/>
      <c r="IUB95" s="7"/>
      <c r="IUC95" s="7"/>
      <c r="IUD95" s="7"/>
      <c r="IUE95" s="7"/>
      <c r="JDP95" s="7"/>
      <c r="JDQ95" s="7"/>
      <c r="JDR95" s="7"/>
      <c r="JDS95" s="7"/>
      <c r="JDT95" s="7"/>
      <c r="JDU95" s="7"/>
      <c r="JDV95" s="7"/>
      <c r="JDW95" s="7"/>
      <c r="JDX95" s="7"/>
      <c r="JDY95" s="7"/>
      <c r="JDZ95" s="7"/>
      <c r="JEA95" s="7"/>
      <c r="JNL95" s="7"/>
      <c r="JNM95" s="7"/>
      <c r="JNN95" s="7"/>
      <c r="JNO95" s="7"/>
      <c r="JNP95" s="7"/>
      <c r="JNQ95" s="7"/>
      <c r="JNR95" s="7"/>
      <c r="JNS95" s="7"/>
      <c r="JNT95" s="7"/>
      <c r="JNU95" s="7"/>
      <c r="JNV95" s="7"/>
      <c r="JNW95" s="7"/>
      <c r="JXH95" s="7"/>
      <c r="JXI95" s="7"/>
      <c r="JXJ95" s="7"/>
      <c r="JXK95" s="7"/>
      <c r="JXL95" s="7"/>
      <c r="JXM95" s="7"/>
      <c r="JXN95" s="7"/>
      <c r="JXO95" s="7"/>
      <c r="JXP95" s="7"/>
      <c r="JXQ95" s="7"/>
      <c r="JXR95" s="7"/>
      <c r="JXS95" s="7"/>
      <c r="KHD95" s="7"/>
      <c r="KHE95" s="7"/>
      <c r="KHF95" s="7"/>
      <c r="KHG95" s="7"/>
      <c r="KHH95" s="7"/>
      <c r="KHI95" s="7"/>
      <c r="KHJ95" s="7"/>
      <c r="KHK95" s="7"/>
      <c r="KHL95" s="7"/>
      <c r="KHM95" s="7"/>
      <c r="KHN95" s="7"/>
      <c r="KHO95" s="7"/>
      <c r="KQZ95" s="7"/>
      <c r="KRA95" s="7"/>
      <c r="KRB95" s="7"/>
      <c r="KRC95" s="7"/>
      <c r="KRD95" s="7"/>
      <c r="KRE95" s="7"/>
      <c r="KRF95" s="7"/>
      <c r="KRG95" s="7"/>
      <c r="KRH95" s="7"/>
      <c r="KRI95" s="7"/>
      <c r="KRJ95" s="7"/>
      <c r="KRK95" s="7"/>
      <c r="LAV95" s="7"/>
      <c r="LAW95" s="7"/>
      <c r="LAX95" s="7"/>
      <c r="LAY95" s="7"/>
      <c r="LAZ95" s="7"/>
      <c r="LBA95" s="7"/>
      <c r="LBB95" s="7"/>
      <c r="LBC95" s="7"/>
      <c r="LBD95" s="7"/>
      <c r="LBE95" s="7"/>
      <c r="LBF95" s="7"/>
      <c r="LBG95" s="7"/>
      <c r="LKR95" s="7"/>
      <c r="LKS95" s="7"/>
      <c r="LKT95" s="7"/>
      <c r="LKU95" s="7"/>
      <c r="LKV95" s="7"/>
      <c r="LKW95" s="7"/>
      <c r="LKX95" s="7"/>
      <c r="LKY95" s="7"/>
      <c r="LKZ95" s="7"/>
      <c r="LLA95" s="7"/>
      <c r="LLB95" s="7"/>
      <c r="LLC95" s="7"/>
      <c r="LUN95" s="7"/>
      <c r="LUO95" s="7"/>
      <c r="LUP95" s="7"/>
      <c r="LUQ95" s="7"/>
      <c r="LUR95" s="7"/>
      <c r="LUS95" s="7"/>
      <c r="LUT95" s="7"/>
      <c r="LUU95" s="7"/>
      <c r="LUV95" s="7"/>
      <c r="LUW95" s="7"/>
      <c r="LUX95" s="7"/>
      <c r="LUY95" s="7"/>
      <c r="MEJ95" s="7"/>
      <c r="MEK95" s="7"/>
      <c r="MEL95" s="7"/>
      <c r="MEM95" s="7"/>
      <c r="MEN95" s="7"/>
      <c r="MEO95" s="7"/>
      <c r="MEP95" s="7"/>
      <c r="MEQ95" s="7"/>
      <c r="MER95" s="7"/>
      <c r="MES95" s="7"/>
      <c r="MET95" s="7"/>
      <c r="MEU95" s="7"/>
      <c r="MOF95" s="7"/>
      <c r="MOG95" s="7"/>
      <c r="MOH95" s="7"/>
      <c r="MOI95" s="7"/>
      <c r="MOJ95" s="7"/>
      <c r="MOK95" s="7"/>
      <c r="MOL95" s="7"/>
      <c r="MOM95" s="7"/>
      <c r="MON95" s="7"/>
      <c r="MOO95" s="7"/>
      <c r="MOP95" s="7"/>
      <c r="MOQ95" s="7"/>
      <c r="MYB95" s="7"/>
      <c r="MYC95" s="7"/>
      <c r="MYD95" s="7"/>
      <c r="MYE95" s="7"/>
      <c r="MYF95" s="7"/>
      <c r="MYG95" s="7"/>
      <c r="MYH95" s="7"/>
      <c r="MYI95" s="7"/>
      <c r="MYJ95" s="7"/>
      <c r="MYK95" s="7"/>
      <c r="MYL95" s="7"/>
      <c r="MYM95" s="7"/>
      <c r="NHX95" s="7"/>
      <c r="NHY95" s="7"/>
      <c r="NHZ95" s="7"/>
      <c r="NIA95" s="7"/>
      <c r="NIB95" s="7"/>
      <c r="NIC95" s="7"/>
      <c r="NID95" s="7"/>
      <c r="NIE95" s="7"/>
      <c r="NIF95" s="7"/>
      <c r="NIG95" s="7"/>
      <c r="NIH95" s="7"/>
      <c r="NII95" s="7"/>
      <c r="NRT95" s="7"/>
      <c r="NRU95" s="7"/>
      <c r="NRV95" s="7"/>
      <c r="NRW95" s="7"/>
      <c r="NRX95" s="7"/>
      <c r="NRY95" s="7"/>
      <c r="NRZ95" s="7"/>
      <c r="NSA95" s="7"/>
      <c r="NSB95" s="7"/>
      <c r="NSC95" s="7"/>
      <c r="NSD95" s="7"/>
      <c r="NSE95" s="7"/>
      <c r="OBP95" s="7"/>
      <c r="OBQ95" s="7"/>
      <c r="OBR95" s="7"/>
      <c r="OBS95" s="7"/>
      <c r="OBT95" s="7"/>
      <c r="OBU95" s="7"/>
      <c r="OBV95" s="7"/>
      <c r="OBW95" s="7"/>
      <c r="OBX95" s="7"/>
      <c r="OBY95" s="7"/>
      <c r="OBZ95" s="7"/>
      <c r="OCA95" s="7"/>
      <c r="OLL95" s="7"/>
      <c r="OLM95" s="7"/>
      <c r="OLN95" s="7"/>
      <c r="OLO95" s="7"/>
      <c r="OLP95" s="7"/>
      <c r="OLQ95" s="7"/>
      <c r="OLR95" s="7"/>
      <c r="OLS95" s="7"/>
      <c r="OLT95" s="7"/>
      <c r="OLU95" s="7"/>
      <c r="OLV95" s="7"/>
      <c r="OLW95" s="7"/>
      <c r="OVH95" s="7"/>
      <c r="OVI95" s="7"/>
      <c r="OVJ95" s="7"/>
      <c r="OVK95" s="7"/>
      <c r="OVL95" s="7"/>
      <c r="OVM95" s="7"/>
      <c r="OVN95" s="7"/>
      <c r="OVO95" s="7"/>
      <c r="OVP95" s="7"/>
      <c r="OVQ95" s="7"/>
      <c r="OVR95" s="7"/>
      <c r="OVS95" s="7"/>
      <c r="PFD95" s="7"/>
      <c r="PFE95" s="7"/>
      <c r="PFF95" s="7"/>
      <c r="PFG95" s="7"/>
      <c r="PFH95" s="7"/>
      <c r="PFI95" s="7"/>
      <c r="PFJ95" s="7"/>
      <c r="PFK95" s="7"/>
      <c r="PFL95" s="7"/>
      <c r="PFM95" s="7"/>
      <c r="PFN95" s="7"/>
      <c r="PFO95" s="7"/>
      <c r="POZ95" s="7"/>
      <c r="PPA95" s="7"/>
      <c r="PPB95" s="7"/>
      <c r="PPC95" s="7"/>
      <c r="PPD95" s="7"/>
      <c r="PPE95" s="7"/>
      <c r="PPF95" s="7"/>
      <c r="PPG95" s="7"/>
      <c r="PPH95" s="7"/>
      <c r="PPI95" s="7"/>
      <c r="PPJ95" s="7"/>
      <c r="PPK95" s="7"/>
      <c r="PYV95" s="7"/>
      <c r="PYW95" s="7"/>
      <c r="PYX95" s="7"/>
      <c r="PYY95" s="7"/>
      <c r="PYZ95" s="7"/>
      <c r="PZA95" s="7"/>
      <c r="PZB95" s="7"/>
      <c r="PZC95" s="7"/>
      <c r="PZD95" s="7"/>
      <c r="PZE95" s="7"/>
      <c r="PZF95" s="7"/>
      <c r="PZG95" s="7"/>
      <c r="QIR95" s="7"/>
      <c r="QIS95" s="7"/>
      <c r="QIT95" s="7"/>
      <c r="QIU95" s="7"/>
      <c r="QIV95" s="7"/>
      <c r="QIW95" s="7"/>
      <c r="QIX95" s="7"/>
      <c r="QIY95" s="7"/>
      <c r="QIZ95" s="7"/>
      <c r="QJA95" s="7"/>
      <c r="QJB95" s="7"/>
      <c r="QJC95" s="7"/>
      <c r="QSN95" s="7"/>
      <c r="QSO95" s="7"/>
      <c r="QSP95" s="7"/>
      <c r="QSQ95" s="7"/>
      <c r="QSR95" s="7"/>
      <c r="QSS95" s="7"/>
      <c r="QST95" s="7"/>
      <c r="QSU95" s="7"/>
      <c r="QSV95" s="7"/>
      <c r="QSW95" s="7"/>
      <c r="QSX95" s="7"/>
      <c r="QSY95" s="7"/>
      <c r="RCJ95" s="7"/>
      <c r="RCK95" s="7"/>
      <c r="RCL95" s="7"/>
      <c r="RCM95" s="7"/>
      <c r="RCN95" s="7"/>
      <c r="RCO95" s="7"/>
      <c r="RCP95" s="7"/>
      <c r="RCQ95" s="7"/>
      <c r="RCR95" s="7"/>
      <c r="RCS95" s="7"/>
      <c r="RCT95" s="7"/>
      <c r="RCU95" s="7"/>
      <c r="RMF95" s="7"/>
      <c r="RMG95" s="7"/>
      <c r="RMH95" s="7"/>
      <c r="RMI95" s="7"/>
      <c r="RMJ95" s="7"/>
      <c r="RMK95" s="7"/>
      <c r="RML95" s="7"/>
      <c r="RMM95" s="7"/>
      <c r="RMN95" s="7"/>
      <c r="RMO95" s="7"/>
      <c r="RMP95" s="7"/>
      <c r="RMQ95" s="7"/>
      <c r="RWB95" s="7"/>
      <c r="RWC95" s="7"/>
      <c r="RWD95" s="7"/>
      <c r="RWE95" s="7"/>
      <c r="RWF95" s="7"/>
      <c r="RWG95" s="7"/>
      <c r="RWH95" s="7"/>
      <c r="RWI95" s="7"/>
      <c r="RWJ95" s="7"/>
      <c r="RWK95" s="7"/>
      <c r="RWL95" s="7"/>
      <c r="RWM95" s="7"/>
      <c r="SFX95" s="7"/>
      <c r="SFY95" s="7"/>
      <c r="SFZ95" s="7"/>
      <c r="SGA95" s="7"/>
      <c r="SGB95" s="7"/>
      <c r="SGC95" s="7"/>
      <c r="SGD95" s="7"/>
      <c r="SGE95" s="7"/>
      <c r="SGF95" s="7"/>
      <c r="SGG95" s="7"/>
      <c r="SGH95" s="7"/>
      <c r="SGI95" s="7"/>
      <c r="SPT95" s="7"/>
      <c r="SPU95" s="7"/>
      <c r="SPV95" s="7"/>
      <c r="SPW95" s="7"/>
      <c r="SPX95" s="7"/>
      <c r="SPY95" s="7"/>
      <c r="SPZ95" s="7"/>
      <c r="SQA95" s="7"/>
      <c r="SQB95" s="7"/>
      <c r="SQC95" s="7"/>
      <c r="SQD95" s="7"/>
      <c r="SQE95" s="7"/>
      <c r="SZP95" s="7"/>
      <c r="SZQ95" s="7"/>
      <c r="SZR95" s="7"/>
      <c r="SZS95" s="7"/>
      <c r="SZT95" s="7"/>
      <c r="SZU95" s="7"/>
      <c r="SZV95" s="7"/>
      <c r="SZW95" s="7"/>
      <c r="SZX95" s="7"/>
      <c r="SZY95" s="7"/>
      <c r="SZZ95" s="7"/>
      <c r="TAA95" s="7"/>
      <c r="TJL95" s="7"/>
      <c r="TJM95" s="7"/>
      <c r="TJN95" s="7"/>
      <c r="TJO95" s="7"/>
      <c r="TJP95" s="7"/>
      <c r="TJQ95" s="7"/>
      <c r="TJR95" s="7"/>
      <c r="TJS95" s="7"/>
      <c r="TJT95" s="7"/>
      <c r="TJU95" s="7"/>
      <c r="TJV95" s="7"/>
      <c r="TJW95" s="7"/>
      <c r="TTH95" s="7"/>
      <c r="TTI95" s="7"/>
      <c r="TTJ95" s="7"/>
      <c r="TTK95" s="7"/>
      <c r="TTL95" s="7"/>
      <c r="TTM95" s="7"/>
      <c r="TTN95" s="7"/>
      <c r="TTO95" s="7"/>
      <c r="TTP95" s="7"/>
      <c r="TTQ95" s="7"/>
      <c r="TTR95" s="7"/>
      <c r="TTS95" s="7"/>
      <c r="UDD95" s="7"/>
      <c r="UDE95" s="7"/>
      <c r="UDF95" s="7"/>
      <c r="UDG95" s="7"/>
      <c r="UDH95" s="7"/>
      <c r="UDI95" s="7"/>
      <c r="UDJ95" s="7"/>
      <c r="UDK95" s="7"/>
      <c r="UDL95" s="7"/>
      <c r="UDM95" s="7"/>
      <c r="UDN95" s="7"/>
      <c r="UDO95" s="7"/>
      <c r="UMZ95" s="7"/>
      <c r="UNA95" s="7"/>
      <c r="UNB95" s="7"/>
      <c r="UNC95" s="7"/>
      <c r="UND95" s="7"/>
      <c r="UNE95" s="7"/>
      <c r="UNF95" s="7"/>
      <c r="UNG95" s="7"/>
      <c r="UNH95" s="7"/>
      <c r="UNI95" s="7"/>
      <c r="UNJ95" s="7"/>
      <c r="UNK95" s="7"/>
      <c r="UWV95" s="7"/>
      <c r="UWW95" s="7"/>
      <c r="UWX95" s="7"/>
      <c r="UWY95" s="7"/>
      <c r="UWZ95" s="7"/>
      <c r="UXA95" s="7"/>
      <c r="UXB95" s="7"/>
      <c r="UXC95" s="7"/>
      <c r="UXD95" s="7"/>
      <c r="UXE95" s="7"/>
      <c r="UXF95" s="7"/>
      <c r="UXG95" s="7"/>
      <c r="VGR95" s="7"/>
      <c r="VGS95" s="7"/>
      <c r="VGT95" s="7"/>
      <c r="VGU95" s="7"/>
      <c r="VGV95" s="7"/>
      <c r="VGW95" s="7"/>
      <c r="VGX95" s="7"/>
      <c r="VGY95" s="7"/>
      <c r="VGZ95" s="7"/>
      <c r="VHA95" s="7"/>
      <c r="VHB95" s="7"/>
      <c r="VHC95" s="7"/>
      <c r="VQN95" s="7"/>
      <c r="VQO95" s="7"/>
      <c r="VQP95" s="7"/>
      <c r="VQQ95" s="7"/>
      <c r="VQR95" s="7"/>
      <c r="VQS95" s="7"/>
      <c r="VQT95" s="7"/>
      <c r="VQU95" s="7"/>
      <c r="VQV95" s="7"/>
      <c r="VQW95" s="7"/>
      <c r="VQX95" s="7"/>
      <c r="VQY95" s="7"/>
      <c r="WAJ95" s="7"/>
      <c r="WAK95" s="7"/>
      <c r="WAL95" s="7"/>
      <c r="WAM95" s="7"/>
      <c r="WAN95" s="7"/>
      <c r="WAO95" s="7"/>
      <c r="WAP95" s="7"/>
      <c r="WAQ95" s="7"/>
      <c r="WAR95" s="7"/>
      <c r="WAS95" s="7"/>
      <c r="WAT95" s="7"/>
      <c r="WAU95" s="7"/>
      <c r="WKF95" s="7"/>
      <c r="WKG95" s="7"/>
      <c r="WKH95" s="7"/>
      <c r="WKI95" s="7"/>
      <c r="WKJ95" s="7"/>
      <c r="WKK95" s="7"/>
      <c r="WKL95" s="7"/>
      <c r="WKM95" s="7"/>
      <c r="WKN95" s="7"/>
      <c r="WKO95" s="7"/>
      <c r="WKP95" s="7"/>
      <c r="WKQ95" s="7"/>
      <c r="WUB95" s="7"/>
      <c r="WUC95" s="7"/>
      <c r="WUD95" s="7"/>
      <c r="WUE95" s="7"/>
      <c r="WUF95" s="7"/>
      <c r="WUG95" s="7"/>
      <c r="WUH95" s="7"/>
      <c r="WUI95" s="7"/>
      <c r="WUJ95" s="7"/>
      <c r="WUK95" s="7"/>
      <c r="WUL95" s="7"/>
      <c r="WUM95" s="7"/>
    </row>
    <row r="96" spans="1:1003 1248:2027 2272:3051 3296:4075 4320:5099 5344:6123 6368:7147 7392:8171 8416:9195 9440:10219 10464:11243 11488:12267 12512:13291 13536:14315 14560:15339 15584:16107" ht="30" customHeight="1">
      <c r="A96" s="45"/>
      <c r="H96" s="159"/>
      <c r="I96" s="196"/>
      <c r="J96" s="161"/>
      <c r="K96" s="196"/>
      <c r="L96" s="211">
        <f>Table113[[#This Row],[Qty 2]]+Table113[[#This Row],[Qty 1]]</f>
        <v>0</v>
      </c>
      <c r="M96" s="216"/>
      <c r="N96" s="216">
        <f>Table113[[#This Row],[Unit Cost]]*Table113[[#This Row],[Total Qty All Areas]]</f>
        <v>0</v>
      </c>
    </row>
    <row r="97" spans="1:1003 1248:2027 2272:3051 3296:4075 4320:5099 5344:6123 6368:7147 7392:8171 8416:9195 9440:10219 10464:11243 11488:12267 12512:13291 13536:14315 14560:15339 15584:16107" ht="30" customHeight="1">
      <c r="A97" s="45"/>
      <c r="H97" s="159"/>
      <c r="I97" s="196"/>
      <c r="J97" s="161"/>
      <c r="K97" s="196"/>
      <c r="L97" s="211">
        <f>Table113[[#This Row],[Qty 2]]+Table113[[#This Row],[Qty 1]]</f>
        <v>0</v>
      </c>
      <c r="M97" s="216"/>
      <c r="N97" s="216">
        <f>Table113[[#This Row],[Unit Cost]]*Table113[[#This Row],[Total Qty All Areas]]</f>
        <v>0</v>
      </c>
    </row>
    <row r="98" spans="1:1003 1248:2027 2272:3051 3296:4075 4320:5099 5344:6123 6368:7147 7392:8171 8416:9195 9440:10219 10464:11243 11488:12267 12512:13291 13536:14315 14560:15339 15584:16107" ht="30" customHeight="1">
      <c r="A98" s="176"/>
      <c r="D98" s="169"/>
      <c r="E98" s="169"/>
      <c r="F98" s="303"/>
      <c r="H98" s="159"/>
      <c r="I98" s="196"/>
      <c r="J98" s="161"/>
      <c r="K98" s="196"/>
      <c r="L98" s="211">
        <f>Table113[[#This Row],[Qty 2]]+Table113[[#This Row],[Qty 1]]</f>
        <v>0</v>
      </c>
      <c r="M98" s="216"/>
      <c r="N98" s="216">
        <f>Table113[[#This Row],[Unit Cost]]*Table113[[#This Row],[Total Qty All Areas]]</f>
        <v>0</v>
      </c>
    </row>
    <row r="99" spans="1:1003 1248:2027 2272:3051 3296:4075 4320:5099 5344:6123 6368:7147 7392:8171 8416:9195 9440:10219 10464:11243 11488:12267 12512:13291 13536:14315 14560:15339 15584:16107" s="167" customFormat="1" ht="30" customHeight="1">
      <c r="A99" s="175" t="str">
        <f>'Category Setup'!L52</f>
        <v>PF_LL</v>
      </c>
      <c r="B99" s="167" t="str">
        <f>'Category Setup'!E52</f>
        <v>PF_LL_Part Finished_Land Leveller</v>
      </c>
      <c r="C99" s="167" t="str">
        <f>'Category Setup'!N52</f>
        <v>PF_LL_Part Finished_Land Leveller</v>
      </c>
      <c r="D99" s="168"/>
      <c r="E99" s="168"/>
      <c r="F99" s="172"/>
      <c r="G99" s="172"/>
      <c r="H99" s="173"/>
      <c r="I99" s="197"/>
      <c r="J99" s="174"/>
      <c r="K99" s="197"/>
      <c r="L99" s="213">
        <f>Table113[[#This Row],[Qty 2]]+Table113[[#This Row],[Qty 1]]</f>
        <v>0</v>
      </c>
      <c r="M99" s="215"/>
      <c r="N99" s="215">
        <f>Table113[[#This Row],[Unit Cost]]*Table113[[#This Row],[Total Qty All Areas]]</f>
        <v>0</v>
      </c>
      <c r="HP99" s="7"/>
      <c r="HQ99" s="7"/>
      <c r="HR99" s="7"/>
      <c r="HS99" s="7"/>
      <c r="HT99" s="7"/>
      <c r="HU99" s="7"/>
      <c r="HV99" s="7"/>
      <c r="HW99" s="7"/>
      <c r="HX99" s="7"/>
      <c r="HY99" s="7"/>
      <c r="HZ99" s="7"/>
      <c r="IA99" s="7"/>
      <c r="RL99" s="7"/>
      <c r="RM99" s="7"/>
      <c r="RN99" s="7"/>
      <c r="RO99" s="7"/>
      <c r="RP99" s="7"/>
      <c r="RQ99" s="7"/>
      <c r="RR99" s="7"/>
      <c r="RS99" s="7"/>
      <c r="RT99" s="7"/>
      <c r="RU99" s="7"/>
      <c r="RV99" s="7"/>
      <c r="RW99" s="7"/>
      <c r="ABH99" s="7"/>
      <c r="ABI99" s="7"/>
      <c r="ABJ99" s="7"/>
      <c r="ABK99" s="7"/>
      <c r="ABL99" s="7"/>
      <c r="ABM99" s="7"/>
      <c r="ABN99" s="7"/>
      <c r="ABO99" s="7"/>
      <c r="ABP99" s="7"/>
      <c r="ABQ99" s="7"/>
      <c r="ABR99" s="7"/>
      <c r="ABS99" s="7"/>
      <c r="ALD99" s="7"/>
      <c r="ALE99" s="7"/>
      <c r="ALF99" s="7"/>
      <c r="ALG99" s="7"/>
      <c r="ALH99" s="7"/>
      <c r="ALI99" s="7"/>
      <c r="ALJ99" s="7"/>
      <c r="ALK99" s="7"/>
      <c r="ALL99" s="7"/>
      <c r="ALM99" s="7"/>
      <c r="ALN99" s="7"/>
      <c r="ALO99" s="7"/>
      <c r="AUZ99" s="7"/>
      <c r="AVA99" s="7"/>
      <c r="AVB99" s="7"/>
      <c r="AVC99" s="7"/>
      <c r="AVD99" s="7"/>
      <c r="AVE99" s="7"/>
      <c r="AVF99" s="7"/>
      <c r="AVG99" s="7"/>
      <c r="AVH99" s="7"/>
      <c r="AVI99" s="7"/>
      <c r="AVJ99" s="7"/>
      <c r="AVK99" s="7"/>
      <c r="BEV99" s="7"/>
      <c r="BEW99" s="7"/>
      <c r="BEX99" s="7"/>
      <c r="BEY99" s="7"/>
      <c r="BEZ99" s="7"/>
      <c r="BFA99" s="7"/>
      <c r="BFB99" s="7"/>
      <c r="BFC99" s="7"/>
      <c r="BFD99" s="7"/>
      <c r="BFE99" s="7"/>
      <c r="BFF99" s="7"/>
      <c r="BFG99" s="7"/>
      <c r="BOR99" s="7"/>
      <c r="BOS99" s="7"/>
      <c r="BOT99" s="7"/>
      <c r="BOU99" s="7"/>
      <c r="BOV99" s="7"/>
      <c r="BOW99" s="7"/>
      <c r="BOX99" s="7"/>
      <c r="BOY99" s="7"/>
      <c r="BOZ99" s="7"/>
      <c r="BPA99" s="7"/>
      <c r="BPB99" s="7"/>
      <c r="BPC99" s="7"/>
      <c r="BYN99" s="7"/>
      <c r="BYO99" s="7"/>
      <c r="BYP99" s="7"/>
      <c r="BYQ99" s="7"/>
      <c r="BYR99" s="7"/>
      <c r="BYS99" s="7"/>
      <c r="BYT99" s="7"/>
      <c r="BYU99" s="7"/>
      <c r="BYV99" s="7"/>
      <c r="BYW99" s="7"/>
      <c r="BYX99" s="7"/>
      <c r="BYY99" s="7"/>
      <c r="CIJ99" s="7"/>
      <c r="CIK99" s="7"/>
      <c r="CIL99" s="7"/>
      <c r="CIM99" s="7"/>
      <c r="CIN99" s="7"/>
      <c r="CIO99" s="7"/>
      <c r="CIP99" s="7"/>
      <c r="CIQ99" s="7"/>
      <c r="CIR99" s="7"/>
      <c r="CIS99" s="7"/>
      <c r="CIT99" s="7"/>
      <c r="CIU99" s="7"/>
      <c r="CSF99" s="7"/>
      <c r="CSG99" s="7"/>
      <c r="CSH99" s="7"/>
      <c r="CSI99" s="7"/>
      <c r="CSJ99" s="7"/>
      <c r="CSK99" s="7"/>
      <c r="CSL99" s="7"/>
      <c r="CSM99" s="7"/>
      <c r="CSN99" s="7"/>
      <c r="CSO99" s="7"/>
      <c r="CSP99" s="7"/>
      <c r="CSQ99" s="7"/>
      <c r="DCB99" s="7"/>
      <c r="DCC99" s="7"/>
      <c r="DCD99" s="7"/>
      <c r="DCE99" s="7"/>
      <c r="DCF99" s="7"/>
      <c r="DCG99" s="7"/>
      <c r="DCH99" s="7"/>
      <c r="DCI99" s="7"/>
      <c r="DCJ99" s="7"/>
      <c r="DCK99" s="7"/>
      <c r="DCL99" s="7"/>
      <c r="DCM99" s="7"/>
      <c r="DLX99" s="7"/>
      <c r="DLY99" s="7"/>
      <c r="DLZ99" s="7"/>
      <c r="DMA99" s="7"/>
      <c r="DMB99" s="7"/>
      <c r="DMC99" s="7"/>
      <c r="DMD99" s="7"/>
      <c r="DME99" s="7"/>
      <c r="DMF99" s="7"/>
      <c r="DMG99" s="7"/>
      <c r="DMH99" s="7"/>
      <c r="DMI99" s="7"/>
      <c r="DVT99" s="7"/>
      <c r="DVU99" s="7"/>
      <c r="DVV99" s="7"/>
      <c r="DVW99" s="7"/>
      <c r="DVX99" s="7"/>
      <c r="DVY99" s="7"/>
      <c r="DVZ99" s="7"/>
      <c r="DWA99" s="7"/>
      <c r="DWB99" s="7"/>
      <c r="DWC99" s="7"/>
      <c r="DWD99" s="7"/>
      <c r="DWE99" s="7"/>
      <c r="EFP99" s="7"/>
      <c r="EFQ99" s="7"/>
      <c r="EFR99" s="7"/>
      <c r="EFS99" s="7"/>
      <c r="EFT99" s="7"/>
      <c r="EFU99" s="7"/>
      <c r="EFV99" s="7"/>
      <c r="EFW99" s="7"/>
      <c r="EFX99" s="7"/>
      <c r="EFY99" s="7"/>
      <c r="EFZ99" s="7"/>
      <c r="EGA99" s="7"/>
      <c r="EPL99" s="7"/>
      <c r="EPM99" s="7"/>
      <c r="EPN99" s="7"/>
      <c r="EPO99" s="7"/>
      <c r="EPP99" s="7"/>
      <c r="EPQ99" s="7"/>
      <c r="EPR99" s="7"/>
      <c r="EPS99" s="7"/>
      <c r="EPT99" s="7"/>
      <c r="EPU99" s="7"/>
      <c r="EPV99" s="7"/>
      <c r="EPW99" s="7"/>
      <c r="EZH99" s="7"/>
      <c r="EZI99" s="7"/>
      <c r="EZJ99" s="7"/>
      <c r="EZK99" s="7"/>
      <c r="EZL99" s="7"/>
      <c r="EZM99" s="7"/>
      <c r="EZN99" s="7"/>
      <c r="EZO99" s="7"/>
      <c r="EZP99" s="7"/>
      <c r="EZQ99" s="7"/>
      <c r="EZR99" s="7"/>
      <c r="EZS99" s="7"/>
      <c r="FJD99" s="7"/>
      <c r="FJE99" s="7"/>
      <c r="FJF99" s="7"/>
      <c r="FJG99" s="7"/>
      <c r="FJH99" s="7"/>
      <c r="FJI99" s="7"/>
      <c r="FJJ99" s="7"/>
      <c r="FJK99" s="7"/>
      <c r="FJL99" s="7"/>
      <c r="FJM99" s="7"/>
      <c r="FJN99" s="7"/>
      <c r="FJO99" s="7"/>
      <c r="FSZ99" s="7"/>
      <c r="FTA99" s="7"/>
      <c r="FTB99" s="7"/>
      <c r="FTC99" s="7"/>
      <c r="FTD99" s="7"/>
      <c r="FTE99" s="7"/>
      <c r="FTF99" s="7"/>
      <c r="FTG99" s="7"/>
      <c r="FTH99" s="7"/>
      <c r="FTI99" s="7"/>
      <c r="FTJ99" s="7"/>
      <c r="FTK99" s="7"/>
      <c r="GCV99" s="7"/>
      <c r="GCW99" s="7"/>
      <c r="GCX99" s="7"/>
      <c r="GCY99" s="7"/>
      <c r="GCZ99" s="7"/>
      <c r="GDA99" s="7"/>
      <c r="GDB99" s="7"/>
      <c r="GDC99" s="7"/>
      <c r="GDD99" s="7"/>
      <c r="GDE99" s="7"/>
      <c r="GDF99" s="7"/>
      <c r="GDG99" s="7"/>
      <c r="GMR99" s="7"/>
      <c r="GMS99" s="7"/>
      <c r="GMT99" s="7"/>
      <c r="GMU99" s="7"/>
      <c r="GMV99" s="7"/>
      <c r="GMW99" s="7"/>
      <c r="GMX99" s="7"/>
      <c r="GMY99" s="7"/>
      <c r="GMZ99" s="7"/>
      <c r="GNA99" s="7"/>
      <c r="GNB99" s="7"/>
      <c r="GNC99" s="7"/>
      <c r="GWN99" s="7"/>
      <c r="GWO99" s="7"/>
      <c r="GWP99" s="7"/>
      <c r="GWQ99" s="7"/>
      <c r="GWR99" s="7"/>
      <c r="GWS99" s="7"/>
      <c r="GWT99" s="7"/>
      <c r="GWU99" s="7"/>
      <c r="GWV99" s="7"/>
      <c r="GWW99" s="7"/>
      <c r="GWX99" s="7"/>
      <c r="GWY99" s="7"/>
      <c r="HGJ99" s="7"/>
      <c r="HGK99" s="7"/>
      <c r="HGL99" s="7"/>
      <c r="HGM99" s="7"/>
      <c r="HGN99" s="7"/>
      <c r="HGO99" s="7"/>
      <c r="HGP99" s="7"/>
      <c r="HGQ99" s="7"/>
      <c r="HGR99" s="7"/>
      <c r="HGS99" s="7"/>
      <c r="HGT99" s="7"/>
      <c r="HGU99" s="7"/>
      <c r="HQF99" s="7"/>
      <c r="HQG99" s="7"/>
      <c r="HQH99" s="7"/>
      <c r="HQI99" s="7"/>
      <c r="HQJ99" s="7"/>
      <c r="HQK99" s="7"/>
      <c r="HQL99" s="7"/>
      <c r="HQM99" s="7"/>
      <c r="HQN99" s="7"/>
      <c r="HQO99" s="7"/>
      <c r="HQP99" s="7"/>
      <c r="HQQ99" s="7"/>
      <c r="IAB99" s="7"/>
      <c r="IAC99" s="7"/>
      <c r="IAD99" s="7"/>
      <c r="IAE99" s="7"/>
      <c r="IAF99" s="7"/>
      <c r="IAG99" s="7"/>
      <c r="IAH99" s="7"/>
      <c r="IAI99" s="7"/>
      <c r="IAJ99" s="7"/>
      <c r="IAK99" s="7"/>
      <c r="IAL99" s="7"/>
      <c r="IAM99" s="7"/>
      <c r="IJX99" s="7"/>
      <c r="IJY99" s="7"/>
      <c r="IJZ99" s="7"/>
      <c r="IKA99" s="7"/>
      <c r="IKB99" s="7"/>
      <c r="IKC99" s="7"/>
      <c r="IKD99" s="7"/>
      <c r="IKE99" s="7"/>
      <c r="IKF99" s="7"/>
      <c r="IKG99" s="7"/>
      <c r="IKH99" s="7"/>
      <c r="IKI99" s="7"/>
      <c r="ITT99" s="7"/>
      <c r="ITU99" s="7"/>
      <c r="ITV99" s="7"/>
      <c r="ITW99" s="7"/>
      <c r="ITX99" s="7"/>
      <c r="ITY99" s="7"/>
      <c r="ITZ99" s="7"/>
      <c r="IUA99" s="7"/>
      <c r="IUB99" s="7"/>
      <c r="IUC99" s="7"/>
      <c r="IUD99" s="7"/>
      <c r="IUE99" s="7"/>
      <c r="JDP99" s="7"/>
      <c r="JDQ99" s="7"/>
      <c r="JDR99" s="7"/>
      <c r="JDS99" s="7"/>
      <c r="JDT99" s="7"/>
      <c r="JDU99" s="7"/>
      <c r="JDV99" s="7"/>
      <c r="JDW99" s="7"/>
      <c r="JDX99" s="7"/>
      <c r="JDY99" s="7"/>
      <c r="JDZ99" s="7"/>
      <c r="JEA99" s="7"/>
      <c r="JNL99" s="7"/>
      <c r="JNM99" s="7"/>
      <c r="JNN99" s="7"/>
      <c r="JNO99" s="7"/>
      <c r="JNP99" s="7"/>
      <c r="JNQ99" s="7"/>
      <c r="JNR99" s="7"/>
      <c r="JNS99" s="7"/>
      <c r="JNT99" s="7"/>
      <c r="JNU99" s="7"/>
      <c r="JNV99" s="7"/>
      <c r="JNW99" s="7"/>
      <c r="JXH99" s="7"/>
      <c r="JXI99" s="7"/>
      <c r="JXJ99" s="7"/>
      <c r="JXK99" s="7"/>
      <c r="JXL99" s="7"/>
      <c r="JXM99" s="7"/>
      <c r="JXN99" s="7"/>
      <c r="JXO99" s="7"/>
      <c r="JXP99" s="7"/>
      <c r="JXQ99" s="7"/>
      <c r="JXR99" s="7"/>
      <c r="JXS99" s="7"/>
      <c r="KHD99" s="7"/>
      <c r="KHE99" s="7"/>
      <c r="KHF99" s="7"/>
      <c r="KHG99" s="7"/>
      <c r="KHH99" s="7"/>
      <c r="KHI99" s="7"/>
      <c r="KHJ99" s="7"/>
      <c r="KHK99" s="7"/>
      <c r="KHL99" s="7"/>
      <c r="KHM99" s="7"/>
      <c r="KHN99" s="7"/>
      <c r="KHO99" s="7"/>
      <c r="KQZ99" s="7"/>
      <c r="KRA99" s="7"/>
      <c r="KRB99" s="7"/>
      <c r="KRC99" s="7"/>
      <c r="KRD99" s="7"/>
      <c r="KRE99" s="7"/>
      <c r="KRF99" s="7"/>
      <c r="KRG99" s="7"/>
      <c r="KRH99" s="7"/>
      <c r="KRI99" s="7"/>
      <c r="KRJ99" s="7"/>
      <c r="KRK99" s="7"/>
      <c r="LAV99" s="7"/>
      <c r="LAW99" s="7"/>
      <c r="LAX99" s="7"/>
      <c r="LAY99" s="7"/>
      <c r="LAZ99" s="7"/>
      <c r="LBA99" s="7"/>
      <c r="LBB99" s="7"/>
      <c r="LBC99" s="7"/>
      <c r="LBD99" s="7"/>
      <c r="LBE99" s="7"/>
      <c r="LBF99" s="7"/>
      <c r="LBG99" s="7"/>
      <c r="LKR99" s="7"/>
      <c r="LKS99" s="7"/>
      <c r="LKT99" s="7"/>
      <c r="LKU99" s="7"/>
      <c r="LKV99" s="7"/>
      <c r="LKW99" s="7"/>
      <c r="LKX99" s="7"/>
      <c r="LKY99" s="7"/>
      <c r="LKZ99" s="7"/>
      <c r="LLA99" s="7"/>
      <c r="LLB99" s="7"/>
      <c r="LLC99" s="7"/>
      <c r="LUN99" s="7"/>
      <c r="LUO99" s="7"/>
      <c r="LUP99" s="7"/>
      <c r="LUQ99" s="7"/>
      <c r="LUR99" s="7"/>
      <c r="LUS99" s="7"/>
      <c r="LUT99" s="7"/>
      <c r="LUU99" s="7"/>
      <c r="LUV99" s="7"/>
      <c r="LUW99" s="7"/>
      <c r="LUX99" s="7"/>
      <c r="LUY99" s="7"/>
      <c r="MEJ99" s="7"/>
      <c r="MEK99" s="7"/>
      <c r="MEL99" s="7"/>
      <c r="MEM99" s="7"/>
      <c r="MEN99" s="7"/>
      <c r="MEO99" s="7"/>
      <c r="MEP99" s="7"/>
      <c r="MEQ99" s="7"/>
      <c r="MER99" s="7"/>
      <c r="MES99" s="7"/>
      <c r="MET99" s="7"/>
      <c r="MEU99" s="7"/>
      <c r="MOF99" s="7"/>
      <c r="MOG99" s="7"/>
      <c r="MOH99" s="7"/>
      <c r="MOI99" s="7"/>
      <c r="MOJ99" s="7"/>
      <c r="MOK99" s="7"/>
      <c r="MOL99" s="7"/>
      <c r="MOM99" s="7"/>
      <c r="MON99" s="7"/>
      <c r="MOO99" s="7"/>
      <c r="MOP99" s="7"/>
      <c r="MOQ99" s="7"/>
      <c r="MYB99" s="7"/>
      <c r="MYC99" s="7"/>
      <c r="MYD99" s="7"/>
      <c r="MYE99" s="7"/>
      <c r="MYF99" s="7"/>
      <c r="MYG99" s="7"/>
      <c r="MYH99" s="7"/>
      <c r="MYI99" s="7"/>
      <c r="MYJ99" s="7"/>
      <c r="MYK99" s="7"/>
      <c r="MYL99" s="7"/>
      <c r="MYM99" s="7"/>
      <c r="NHX99" s="7"/>
      <c r="NHY99" s="7"/>
      <c r="NHZ99" s="7"/>
      <c r="NIA99" s="7"/>
      <c r="NIB99" s="7"/>
      <c r="NIC99" s="7"/>
      <c r="NID99" s="7"/>
      <c r="NIE99" s="7"/>
      <c r="NIF99" s="7"/>
      <c r="NIG99" s="7"/>
      <c r="NIH99" s="7"/>
      <c r="NII99" s="7"/>
      <c r="NRT99" s="7"/>
      <c r="NRU99" s="7"/>
      <c r="NRV99" s="7"/>
      <c r="NRW99" s="7"/>
      <c r="NRX99" s="7"/>
      <c r="NRY99" s="7"/>
      <c r="NRZ99" s="7"/>
      <c r="NSA99" s="7"/>
      <c r="NSB99" s="7"/>
      <c r="NSC99" s="7"/>
      <c r="NSD99" s="7"/>
      <c r="NSE99" s="7"/>
      <c r="OBP99" s="7"/>
      <c r="OBQ99" s="7"/>
      <c r="OBR99" s="7"/>
      <c r="OBS99" s="7"/>
      <c r="OBT99" s="7"/>
      <c r="OBU99" s="7"/>
      <c r="OBV99" s="7"/>
      <c r="OBW99" s="7"/>
      <c r="OBX99" s="7"/>
      <c r="OBY99" s="7"/>
      <c r="OBZ99" s="7"/>
      <c r="OCA99" s="7"/>
      <c r="OLL99" s="7"/>
      <c r="OLM99" s="7"/>
      <c r="OLN99" s="7"/>
      <c r="OLO99" s="7"/>
      <c r="OLP99" s="7"/>
      <c r="OLQ99" s="7"/>
      <c r="OLR99" s="7"/>
      <c r="OLS99" s="7"/>
      <c r="OLT99" s="7"/>
      <c r="OLU99" s="7"/>
      <c r="OLV99" s="7"/>
      <c r="OLW99" s="7"/>
      <c r="OVH99" s="7"/>
      <c r="OVI99" s="7"/>
      <c r="OVJ99" s="7"/>
      <c r="OVK99" s="7"/>
      <c r="OVL99" s="7"/>
      <c r="OVM99" s="7"/>
      <c r="OVN99" s="7"/>
      <c r="OVO99" s="7"/>
      <c r="OVP99" s="7"/>
      <c r="OVQ99" s="7"/>
      <c r="OVR99" s="7"/>
      <c r="OVS99" s="7"/>
      <c r="PFD99" s="7"/>
      <c r="PFE99" s="7"/>
      <c r="PFF99" s="7"/>
      <c r="PFG99" s="7"/>
      <c r="PFH99" s="7"/>
      <c r="PFI99" s="7"/>
      <c r="PFJ99" s="7"/>
      <c r="PFK99" s="7"/>
      <c r="PFL99" s="7"/>
      <c r="PFM99" s="7"/>
      <c r="PFN99" s="7"/>
      <c r="PFO99" s="7"/>
      <c r="POZ99" s="7"/>
      <c r="PPA99" s="7"/>
      <c r="PPB99" s="7"/>
      <c r="PPC99" s="7"/>
      <c r="PPD99" s="7"/>
      <c r="PPE99" s="7"/>
      <c r="PPF99" s="7"/>
      <c r="PPG99" s="7"/>
      <c r="PPH99" s="7"/>
      <c r="PPI99" s="7"/>
      <c r="PPJ99" s="7"/>
      <c r="PPK99" s="7"/>
      <c r="PYV99" s="7"/>
      <c r="PYW99" s="7"/>
      <c r="PYX99" s="7"/>
      <c r="PYY99" s="7"/>
      <c r="PYZ99" s="7"/>
      <c r="PZA99" s="7"/>
      <c r="PZB99" s="7"/>
      <c r="PZC99" s="7"/>
      <c r="PZD99" s="7"/>
      <c r="PZE99" s="7"/>
      <c r="PZF99" s="7"/>
      <c r="PZG99" s="7"/>
      <c r="QIR99" s="7"/>
      <c r="QIS99" s="7"/>
      <c r="QIT99" s="7"/>
      <c r="QIU99" s="7"/>
      <c r="QIV99" s="7"/>
      <c r="QIW99" s="7"/>
      <c r="QIX99" s="7"/>
      <c r="QIY99" s="7"/>
      <c r="QIZ99" s="7"/>
      <c r="QJA99" s="7"/>
      <c r="QJB99" s="7"/>
      <c r="QJC99" s="7"/>
      <c r="QSN99" s="7"/>
      <c r="QSO99" s="7"/>
      <c r="QSP99" s="7"/>
      <c r="QSQ99" s="7"/>
      <c r="QSR99" s="7"/>
      <c r="QSS99" s="7"/>
      <c r="QST99" s="7"/>
      <c r="QSU99" s="7"/>
      <c r="QSV99" s="7"/>
      <c r="QSW99" s="7"/>
      <c r="QSX99" s="7"/>
      <c r="QSY99" s="7"/>
      <c r="RCJ99" s="7"/>
      <c r="RCK99" s="7"/>
      <c r="RCL99" s="7"/>
      <c r="RCM99" s="7"/>
      <c r="RCN99" s="7"/>
      <c r="RCO99" s="7"/>
      <c r="RCP99" s="7"/>
      <c r="RCQ99" s="7"/>
      <c r="RCR99" s="7"/>
      <c r="RCS99" s="7"/>
      <c r="RCT99" s="7"/>
      <c r="RCU99" s="7"/>
      <c r="RMF99" s="7"/>
      <c r="RMG99" s="7"/>
      <c r="RMH99" s="7"/>
      <c r="RMI99" s="7"/>
      <c r="RMJ99" s="7"/>
      <c r="RMK99" s="7"/>
      <c r="RML99" s="7"/>
      <c r="RMM99" s="7"/>
      <c r="RMN99" s="7"/>
      <c r="RMO99" s="7"/>
      <c r="RMP99" s="7"/>
      <c r="RMQ99" s="7"/>
      <c r="RWB99" s="7"/>
      <c r="RWC99" s="7"/>
      <c r="RWD99" s="7"/>
      <c r="RWE99" s="7"/>
      <c r="RWF99" s="7"/>
      <c r="RWG99" s="7"/>
      <c r="RWH99" s="7"/>
      <c r="RWI99" s="7"/>
      <c r="RWJ99" s="7"/>
      <c r="RWK99" s="7"/>
      <c r="RWL99" s="7"/>
      <c r="RWM99" s="7"/>
      <c r="SFX99" s="7"/>
      <c r="SFY99" s="7"/>
      <c r="SFZ99" s="7"/>
      <c r="SGA99" s="7"/>
      <c r="SGB99" s="7"/>
      <c r="SGC99" s="7"/>
      <c r="SGD99" s="7"/>
      <c r="SGE99" s="7"/>
      <c r="SGF99" s="7"/>
      <c r="SGG99" s="7"/>
      <c r="SGH99" s="7"/>
      <c r="SGI99" s="7"/>
      <c r="SPT99" s="7"/>
      <c r="SPU99" s="7"/>
      <c r="SPV99" s="7"/>
      <c r="SPW99" s="7"/>
      <c r="SPX99" s="7"/>
      <c r="SPY99" s="7"/>
      <c r="SPZ99" s="7"/>
      <c r="SQA99" s="7"/>
      <c r="SQB99" s="7"/>
      <c r="SQC99" s="7"/>
      <c r="SQD99" s="7"/>
      <c r="SQE99" s="7"/>
      <c r="SZP99" s="7"/>
      <c r="SZQ99" s="7"/>
      <c r="SZR99" s="7"/>
      <c r="SZS99" s="7"/>
      <c r="SZT99" s="7"/>
      <c r="SZU99" s="7"/>
      <c r="SZV99" s="7"/>
      <c r="SZW99" s="7"/>
      <c r="SZX99" s="7"/>
      <c r="SZY99" s="7"/>
      <c r="SZZ99" s="7"/>
      <c r="TAA99" s="7"/>
      <c r="TJL99" s="7"/>
      <c r="TJM99" s="7"/>
      <c r="TJN99" s="7"/>
      <c r="TJO99" s="7"/>
      <c r="TJP99" s="7"/>
      <c r="TJQ99" s="7"/>
      <c r="TJR99" s="7"/>
      <c r="TJS99" s="7"/>
      <c r="TJT99" s="7"/>
      <c r="TJU99" s="7"/>
      <c r="TJV99" s="7"/>
      <c r="TJW99" s="7"/>
      <c r="TTH99" s="7"/>
      <c r="TTI99" s="7"/>
      <c r="TTJ99" s="7"/>
      <c r="TTK99" s="7"/>
      <c r="TTL99" s="7"/>
      <c r="TTM99" s="7"/>
      <c r="TTN99" s="7"/>
      <c r="TTO99" s="7"/>
      <c r="TTP99" s="7"/>
      <c r="TTQ99" s="7"/>
      <c r="TTR99" s="7"/>
      <c r="TTS99" s="7"/>
      <c r="UDD99" s="7"/>
      <c r="UDE99" s="7"/>
      <c r="UDF99" s="7"/>
      <c r="UDG99" s="7"/>
      <c r="UDH99" s="7"/>
      <c r="UDI99" s="7"/>
      <c r="UDJ99" s="7"/>
      <c r="UDK99" s="7"/>
      <c r="UDL99" s="7"/>
      <c r="UDM99" s="7"/>
      <c r="UDN99" s="7"/>
      <c r="UDO99" s="7"/>
      <c r="UMZ99" s="7"/>
      <c r="UNA99" s="7"/>
      <c r="UNB99" s="7"/>
      <c r="UNC99" s="7"/>
      <c r="UND99" s="7"/>
      <c r="UNE99" s="7"/>
      <c r="UNF99" s="7"/>
      <c r="UNG99" s="7"/>
      <c r="UNH99" s="7"/>
      <c r="UNI99" s="7"/>
      <c r="UNJ99" s="7"/>
      <c r="UNK99" s="7"/>
      <c r="UWV99" s="7"/>
      <c r="UWW99" s="7"/>
      <c r="UWX99" s="7"/>
      <c r="UWY99" s="7"/>
      <c r="UWZ99" s="7"/>
      <c r="UXA99" s="7"/>
      <c r="UXB99" s="7"/>
      <c r="UXC99" s="7"/>
      <c r="UXD99" s="7"/>
      <c r="UXE99" s="7"/>
      <c r="UXF99" s="7"/>
      <c r="UXG99" s="7"/>
      <c r="VGR99" s="7"/>
      <c r="VGS99" s="7"/>
      <c r="VGT99" s="7"/>
      <c r="VGU99" s="7"/>
      <c r="VGV99" s="7"/>
      <c r="VGW99" s="7"/>
      <c r="VGX99" s="7"/>
      <c r="VGY99" s="7"/>
      <c r="VGZ99" s="7"/>
      <c r="VHA99" s="7"/>
      <c r="VHB99" s="7"/>
      <c r="VHC99" s="7"/>
      <c r="VQN99" s="7"/>
      <c r="VQO99" s="7"/>
      <c r="VQP99" s="7"/>
      <c r="VQQ99" s="7"/>
      <c r="VQR99" s="7"/>
      <c r="VQS99" s="7"/>
      <c r="VQT99" s="7"/>
      <c r="VQU99" s="7"/>
      <c r="VQV99" s="7"/>
      <c r="VQW99" s="7"/>
      <c r="VQX99" s="7"/>
      <c r="VQY99" s="7"/>
      <c r="WAJ99" s="7"/>
      <c r="WAK99" s="7"/>
      <c r="WAL99" s="7"/>
      <c r="WAM99" s="7"/>
      <c r="WAN99" s="7"/>
      <c r="WAO99" s="7"/>
      <c r="WAP99" s="7"/>
      <c r="WAQ99" s="7"/>
      <c r="WAR99" s="7"/>
      <c r="WAS99" s="7"/>
      <c r="WAT99" s="7"/>
      <c r="WAU99" s="7"/>
      <c r="WKF99" s="7"/>
      <c r="WKG99" s="7"/>
      <c r="WKH99" s="7"/>
      <c r="WKI99" s="7"/>
      <c r="WKJ99" s="7"/>
      <c r="WKK99" s="7"/>
      <c r="WKL99" s="7"/>
      <c r="WKM99" s="7"/>
      <c r="WKN99" s="7"/>
      <c r="WKO99" s="7"/>
      <c r="WKP99" s="7"/>
      <c r="WKQ99" s="7"/>
      <c r="WUB99" s="7"/>
      <c r="WUC99" s="7"/>
      <c r="WUD99" s="7"/>
      <c r="WUE99" s="7"/>
      <c r="WUF99" s="7"/>
      <c r="WUG99" s="7"/>
      <c r="WUH99" s="7"/>
      <c r="WUI99" s="7"/>
      <c r="WUJ99" s="7"/>
      <c r="WUK99" s="7"/>
      <c r="WUL99" s="7"/>
      <c r="WUM99" s="7"/>
    </row>
    <row r="100" spans="1:1003 1248:2027 2272:3051 3296:4075 4320:5099 5344:6123 6368:7147 7392:8171 8416:9195 9440:10219 10464:11243 11488:12267 12512:13291 13536:14315 14560:15339 15584:16107" ht="30" customHeight="1">
      <c r="A100" s="45"/>
      <c r="H100" s="159"/>
      <c r="I100" s="196"/>
      <c r="J100" s="161"/>
      <c r="K100" s="196"/>
      <c r="L100" s="211">
        <f>Table113[[#This Row],[Qty 2]]+Table113[[#This Row],[Qty 1]]</f>
        <v>0</v>
      </c>
      <c r="M100" s="216"/>
      <c r="N100" s="216">
        <f>Table113[[#This Row],[Unit Cost]]*Table113[[#This Row],[Total Qty All Areas]]</f>
        <v>0</v>
      </c>
    </row>
    <row r="101" spans="1:1003 1248:2027 2272:3051 3296:4075 4320:5099 5344:6123 6368:7147 7392:8171 8416:9195 9440:10219 10464:11243 11488:12267 12512:13291 13536:14315 14560:15339 15584:16107" ht="30" customHeight="1">
      <c r="A101" s="45"/>
      <c r="H101" s="159"/>
      <c r="I101" s="196"/>
      <c r="J101" s="161"/>
      <c r="K101" s="196"/>
      <c r="L101" s="211">
        <f>Table113[[#This Row],[Qty 2]]+Table113[[#This Row],[Qty 1]]</f>
        <v>0</v>
      </c>
      <c r="M101" s="216"/>
      <c r="N101" s="216">
        <f>Table113[[#This Row],[Unit Cost]]*Table113[[#This Row],[Total Qty All Areas]]</f>
        <v>0</v>
      </c>
    </row>
    <row r="102" spans="1:1003 1248:2027 2272:3051 3296:4075 4320:5099 5344:6123 6368:7147 7392:8171 8416:9195 9440:10219 10464:11243 11488:12267 12512:13291 13536:14315 14560:15339 15584:16107" ht="30" customHeight="1">
      <c r="A102" s="176"/>
      <c r="D102" s="169"/>
      <c r="E102" s="169"/>
      <c r="F102" s="303"/>
      <c r="H102" s="159"/>
      <c r="I102" s="196"/>
      <c r="J102" s="161"/>
      <c r="K102" s="196"/>
      <c r="L102" s="211">
        <f>Table113[[#This Row],[Qty 2]]+Table113[[#This Row],[Qty 1]]</f>
        <v>0</v>
      </c>
      <c r="M102" s="216"/>
      <c r="N102" s="216">
        <f>Table113[[#This Row],[Unit Cost]]*Table113[[#This Row],[Total Qty All Areas]]</f>
        <v>0</v>
      </c>
    </row>
    <row r="103" spans="1:1003 1248:2027 2272:3051 3296:4075 4320:5099 5344:6123 6368:7147 7392:8171 8416:9195 9440:10219 10464:11243 11488:12267 12512:13291 13536:14315 14560:15339 15584:16107" s="167" customFormat="1" ht="30" customHeight="1">
      <c r="A103" s="175" t="str">
        <f>'Category Setup'!L53</f>
        <v>PF_TS</v>
      </c>
      <c r="B103" s="167" t="str">
        <f>'Category Setup'!E53</f>
        <v>PF_TS_Part Finished_Tip Skip</v>
      </c>
      <c r="C103" s="167" t="str">
        <f>'Category Setup'!N53</f>
        <v>PF_TS_Part Finished_Tip Skip</v>
      </c>
      <c r="D103" s="168"/>
      <c r="E103" s="168"/>
      <c r="F103" s="172"/>
      <c r="G103" s="172"/>
      <c r="H103" s="173"/>
      <c r="I103" s="197"/>
      <c r="J103" s="174"/>
      <c r="K103" s="197"/>
      <c r="L103" s="213">
        <f>Table113[[#This Row],[Qty 2]]+Table113[[#This Row],[Qty 1]]</f>
        <v>0</v>
      </c>
      <c r="M103" s="215"/>
      <c r="N103" s="215">
        <f>Table113[[#This Row],[Unit Cost]]*Table113[[#This Row],[Total Qty All Areas]]</f>
        <v>0</v>
      </c>
      <c r="HP103" s="7"/>
      <c r="HQ103" s="7"/>
      <c r="HR103" s="7"/>
      <c r="HS103" s="7"/>
      <c r="HT103" s="7"/>
      <c r="HU103" s="7"/>
      <c r="HV103" s="7"/>
      <c r="HW103" s="7"/>
      <c r="HX103" s="7"/>
      <c r="HY103" s="7"/>
      <c r="HZ103" s="7"/>
      <c r="IA103" s="7"/>
      <c r="RL103" s="7"/>
      <c r="RM103" s="7"/>
      <c r="RN103" s="7"/>
      <c r="RO103" s="7"/>
      <c r="RP103" s="7"/>
      <c r="RQ103" s="7"/>
      <c r="RR103" s="7"/>
      <c r="RS103" s="7"/>
      <c r="RT103" s="7"/>
      <c r="RU103" s="7"/>
      <c r="RV103" s="7"/>
      <c r="RW103" s="7"/>
      <c r="ABH103" s="7"/>
      <c r="ABI103" s="7"/>
      <c r="ABJ103" s="7"/>
      <c r="ABK103" s="7"/>
      <c r="ABL103" s="7"/>
      <c r="ABM103" s="7"/>
      <c r="ABN103" s="7"/>
      <c r="ABO103" s="7"/>
      <c r="ABP103" s="7"/>
      <c r="ABQ103" s="7"/>
      <c r="ABR103" s="7"/>
      <c r="ABS103" s="7"/>
      <c r="ALD103" s="7"/>
      <c r="ALE103" s="7"/>
      <c r="ALF103" s="7"/>
      <c r="ALG103" s="7"/>
      <c r="ALH103" s="7"/>
      <c r="ALI103" s="7"/>
      <c r="ALJ103" s="7"/>
      <c r="ALK103" s="7"/>
      <c r="ALL103" s="7"/>
      <c r="ALM103" s="7"/>
      <c r="ALN103" s="7"/>
      <c r="ALO103" s="7"/>
      <c r="AUZ103" s="7"/>
      <c r="AVA103" s="7"/>
      <c r="AVB103" s="7"/>
      <c r="AVC103" s="7"/>
      <c r="AVD103" s="7"/>
      <c r="AVE103" s="7"/>
      <c r="AVF103" s="7"/>
      <c r="AVG103" s="7"/>
      <c r="AVH103" s="7"/>
      <c r="AVI103" s="7"/>
      <c r="AVJ103" s="7"/>
      <c r="AVK103" s="7"/>
      <c r="BEV103" s="7"/>
      <c r="BEW103" s="7"/>
      <c r="BEX103" s="7"/>
      <c r="BEY103" s="7"/>
      <c r="BEZ103" s="7"/>
      <c r="BFA103" s="7"/>
      <c r="BFB103" s="7"/>
      <c r="BFC103" s="7"/>
      <c r="BFD103" s="7"/>
      <c r="BFE103" s="7"/>
      <c r="BFF103" s="7"/>
      <c r="BFG103" s="7"/>
      <c r="BOR103" s="7"/>
      <c r="BOS103" s="7"/>
      <c r="BOT103" s="7"/>
      <c r="BOU103" s="7"/>
      <c r="BOV103" s="7"/>
      <c r="BOW103" s="7"/>
      <c r="BOX103" s="7"/>
      <c r="BOY103" s="7"/>
      <c r="BOZ103" s="7"/>
      <c r="BPA103" s="7"/>
      <c r="BPB103" s="7"/>
      <c r="BPC103" s="7"/>
      <c r="BYN103" s="7"/>
      <c r="BYO103" s="7"/>
      <c r="BYP103" s="7"/>
      <c r="BYQ103" s="7"/>
      <c r="BYR103" s="7"/>
      <c r="BYS103" s="7"/>
      <c r="BYT103" s="7"/>
      <c r="BYU103" s="7"/>
      <c r="BYV103" s="7"/>
      <c r="BYW103" s="7"/>
      <c r="BYX103" s="7"/>
      <c r="BYY103" s="7"/>
      <c r="CIJ103" s="7"/>
      <c r="CIK103" s="7"/>
      <c r="CIL103" s="7"/>
      <c r="CIM103" s="7"/>
      <c r="CIN103" s="7"/>
      <c r="CIO103" s="7"/>
      <c r="CIP103" s="7"/>
      <c r="CIQ103" s="7"/>
      <c r="CIR103" s="7"/>
      <c r="CIS103" s="7"/>
      <c r="CIT103" s="7"/>
      <c r="CIU103" s="7"/>
      <c r="CSF103" s="7"/>
      <c r="CSG103" s="7"/>
      <c r="CSH103" s="7"/>
      <c r="CSI103" s="7"/>
      <c r="CSJ103" s="7"/>
      <c r="CSK103" s="7"/>
      <c r="CSL103" s="7"/>
      <c r="CSM103" s="7"/>
      <c r="CSN103" s="7"/>
      <c r="CSO103" s="7"/>
      <c r="CSP103" s="7"/>
      <c r="CSQ103" s="7"/>
      <c r="DCB103" s="7"/>
      <c r="DCC103" s="7"/>
      <c r="DCD103" s="7"/>
      <c r="DCE103" s="7"/>
      <c r="DCF103" s="7"/>
      <c r="DCG103" s="7"/>
      <c r="DCH103" s="7"/>
      <c r="DCI103" s="7"/>
      <c r="DCJ103" s="7"/>
      <c r="DCK103" s="7"/>
      <c r="DCL103" s="7"/>
      <c r="DCM103" s="7"/>
      <c r="DLX103" s="7"/>
      <c r="DLY103" s="7"/>
      <c r="DLZ103" s="7"/>
      <c r="DMA103" s="7"/>
      <c r="DMB103" s="7"/>
      <c r="DMC103" s="7"/>
      <c r="DMD103" s="7"/>
      <c r="DME103" s="7"/>
      <c r="DMF103" s="7"/>
      <c r="DMG103" s="7"/>
      <c r="DMH103" s="7"/>
      <c r="DMI103" s="7"/>
      <c r="DVT103" s="7"/>
      <c r="DVU103" s="7"/>
      <c r="DVV103" s="7"/>
      <c r="DVW103" s="7"/>
      <c r="DVX103" s="7"/>
      <c r="DVY103" s="7"/>
      <c r="DVZ103" s="7"/>
      <c r="DWA103" s="7"/>
      <c r="DWB103" s="7"/>
      <c r="DWC103" s="7"/>
      <c r="DWD103" s="7"/>
      <c r="DWE103" s="7"/>
      <c r="EFP103" s="7"/>
      <c r="EFQ103" s="7"/>
      <c r="EFR103" s="7"/>
      <c r="EFS103" s="7"/>
      <c r="EFT103" s="7"/>
      <c r="EFU103" s="7"/>
      <c r="EFV103" s="7"/>
      <c r="EFW103" s="7"/>
      <c r="EFX103" s="7"/>
      <c r="EFY103" s="7"/>
      <c r="EFZ103" s="7"/>
      <c r="EGA103" s="7"/>
      <c r="EPL103" s="7"/>
      <c r="EPM103" s="7"/>
      <c r="EPN103" s="7"/>
      <c r="EPO103" s="7"/>
      <c r="EPP103" s="7"/>
      <c r="EPQ103" s="7"/>
      <c r="EPR103" s="7"/>
      <c r="EPS103" s="7"/>
      <c r="EPT103" s="7"/>
      <c r="EPU103" s="7"/>
      <c r="EPV103" s="7"/>
      <c r="EPW103" s="7"/>
      <c r="EZH103" s="7"/>
      <c r="EZI103" s="7"/>
      <c r="EZJ103" s="7"/>
      <c r="EZK103" s="7"/>
      <c r="EZL103" s="7"/>
      <c r="EZM103" s="7"/>
      <c r="EZN103" s="7"/>
      <c r="EZO103" s="7"/>
      <c r="EZP103" s="7"/>
      <c r="EZQ103" s="7"/>
      <c r="EZR103" s="7"/>
      <c r="EZS103" s="7"/>
      <c r="FJD103" s="7"/>
      <c r="FJE103" s="7"/>
      <c r="FJF103" s="7"/>
      <c r="FJG103" s="7"/>
      <c r="FJH103" s="7"/>
      <c r="FJI103" s="7"/>
      <c r="FJJ103" s="7"/>
      <c r="FJK103" s="7"/>
      <c r="FJL103" s="7"/>
      <c r="FJM103" s="7"/>
      <c r="FJN103" s="7"/>
      <c r="FJO103" s="7"/>
      <c r="FSZ103" s="7"/>
      <c r="FTA103" s="7"/>
      <c r="FTB103" s="7"/>
      <c r="FTC103" s="7"/>
      <c r="FTD103" s="7"/>
      <c r="FTE103" s="7"/>
      <c r="FTF103" s="7"/>
      <c r="FTG103" s="7"/>
      <c r="FTH103" s="7"/>
      <c r="FTI103" s="7"/>
      <c r="FTJ103" s="7"/>
      <c r="FTK103" s="7"/>
      <c r="GCV103" s="7"/>
      <c r="GCW103" s="7"/>
      <c r="GCX103" s="7"/>
      <c r="GCY103" s="7"/>
      <c r="GCZ103" s="7"/>
      <c r="GDA103" s="7"/>
      <c r="GDB103" s="7"/>
      <c r="GDC103" s="7"/>
      <c r="GDD103" s="7"/>
      <c r="GDE103" s="7"/>
      <c r="GDF103" s="7"/>
      <c r="GDG103" s="7"/>
      <c r="GMR103" s="7"/>
      <c r="GMS103" s="7"/>
      <c r="GMT103" s="7"/>
      <c r="GMU103" s="7"/>
      <c r="GMV103" s="7"/>
      <c r="GMW103" s="7"/>
      <c r="GMX103" s="7"/>
      <c r="GMY103" s="7"/>
      <c r="GMZ103" s="7"/>
      <c r="GNA103" s="7"/>
      <c r="GNB103" s="7"/>
      <c r="GNC103" s="7"/>
      <c r="GWN103" s="7"/>
      <c r="GWO103" s="7"/>
      <c r="GWP103" s="7"/>
      <c r="GWQ103" s="7"/>
      <c r="GWR103" s="7"/>
      <c r="GWS103" s="7"/>
      <c r="GWT103" s="7"/>
      <c r="GWU103" s="7"/>
      <c r="GWV103" s="7"/>
      <c r="GWW103" s="7"/>
      <c r="GWX103" s="7"/>
      <c r="GWY103" s="7"/>
      <c r="HGJ103" s="7"/>
      <c r="HGK103" s="7"/>
      <c r="HGL103" s="7"/>
      <c r="HGM103" s="7"/>
      <c r="HGN103" s="7"/>
      <c r="HGO103" s="7"/>
      <c r="HGP103" s="7"/>
      <c r="HGQ103" s="7"/>
      <c r="HGR103" s="7"/>
      <c r="HGS103" s="7"/>
      <c r="HGT103" s="7"/>
      <c r="HGU103" s="7"/>
      <c r="HQF103" s="7"/>
      <c r="HQG103" s="7"/>
      <c r="HQH103" s="7"/>
      <c r="HQI103" s="7"/>
      <c r="HQJ103" s="7"/>
      <c r="HQK103" s="7"/>
      <c r="HQL103" s="7"/>
      <c r="HQM103" s="7"/>
      <c r="HQN103" s="7"/>
      <c r="HQO103" s="7"/>
      <c r="HQP103" s="7"/>
      <c r="HQQ103" s="7"/>
      <c r="IAB103" s="7"/>
      <c r="IAC103" s="7"/>
      <c r="IAD103" s="7"/>
      <c r="IAE103" s="7"/>
      <c r="IAF103" s="7"/>
      <c r="IAG103" s="7"/>
      <c r="IAH103" s="7"/>
      <c r="IAI103" s="7"/>
      <c r="IAJ103" s="7"/>
      <c r="IAK103" s="7"/>
      <c r="IAL103" s="7"/>
      <c r="IAM103" s="7"/>
      <c r="IJX103" s="7"/>
      <c r="IJY103" s="7"/>
      <c r="IJZ103" s="7"/>
      <c r="IKA103" s="7"/>
      <c r="IKB103" s="7"/>
      <c r="IKC103" s="7"/>
      <c r="IKD103" s="7"/>
      <c r="IKE103" s="7"/>
      <c r="IKF103" s="7"/>
      <c r="IKG103" s="7"/>
      <c r="IKH103" s="7"/>
      <c r="IKI103" s="7"/>
      <c r="ITT103" s="7"/>
      <c r="ITU103" s="7"/>
      <c r="ITV103" s="7"/>
      <c r="ITW103" s="7"/>
      <c r="ITX103" s="7"/>
      <c r="ITY103" s="7"/>
      <c r="ITZ103" s="7"/>
      <c r="IUA103" s="7"/>
      <c r="IUB103" s="7"/>
      <c r="IUC103" s="7"/>
      <c r="IUD103" s="7"/>
      <c r="IUE103" s="7"/>
      <c r="JDP103" s="7"/>
      <c r="JDQ103" s="7"/>
      <c r="JDR103" s="7"/>
      <c r="JDS103" s="7"/>
      <c r="JDT103" s="7"/>
      <c r="JDU103" s="7"/>
      <c r="JDV103" s="7"/>
      <c r="JDW103" s="7"/>
      <c r="JDX103" s="7"/>
      <c r="JDY103" s="7"/>
      <c r="JDZ103" s="7"/>
      <c r="JEA103" s="7"/>
      <c r="JNL103" s="7"/>
      <c r="JNM103" s="7"/>
      <c r="JNN103" s="7"/>
      <c r="JNO103" s="7"/>
      <c r="JNP103" s="7"/>
      <c r="JNQ103" s="7"/>
      <c r="JNR103" s="7"/>
      <c r="JNS103" s="7"/>
      <c r="JNT103" s="7"/>
      <c r="JNU103" s="7"/>
      <c r="JNV103" s="7"/>
      <c r="JNW103" s="7"/>
      <c r="JXH103" s="7"/>
      <c r="JXI103" s="7"/>
      <c r="JXJ103" s="7"/>
      <c r="JXK103" s="7"/>
      <c r="JXL103" s="7"/>
      <c r="JXM103" s="7"/>
      <c r="JXN103" s="7"/>
      <c r="JXO103" s="7"/>
      <c r="JXP103" s="7"/>
      <c r="JXQ103" s="7"/>
      <c r="JXR103" s="7"/>
      <c r="JXS103" s="7"/>
      <c r="KHD103" s="7"/>
      <c r="KHE103" s="7"/>
      <c r="KHF103" s="7"/>
      <c r="KHG103" s="7"/>
      <c r="KHH103" s="7"/>
      <c r="KHI103" s="7"/>
      <c r="KHJ103" s="7"/>
      <c r="KHK103" s="7"/>
      <c r="KHL103" s="7"/>
      <c r="KHM103" s="7"/>
      <c r="KHN103" s="7"/>
      <c r="KHO103" s="7"/>
      <c r="KQZ103" s="7"/>
      <c r="KRA103" s="7"/>
      <c r="KRB103" s="7"/>
      <c r="KRC103" s="7"/>
      <c r="KRD103" s="7"/>
      <c r="KRE103" s="7"/>
      <c r="KRF103" s="7"/>
      <c r="KRG103" s="7"/>
      <c r="KRH103" s="7"/>
      <c r="KRI103" s="7"/>
      <c r="KRJ103" s="7"/>
      <c r="KRK103" s="7"/>
      <c r="LAV103" s="7"/>
      <c r="LAW103" s="7"/>
      <c r="LAX103" s="7"/>
      <c r="LAY103" s="7"/>
      <c r="LAZ103" s="7"/>
      <c r="LBA103" s="7"/>
      <c r="LBB103" s="7"/>
      <c r="LBC103" s="7"/>
      <c r="LBD103" s="7"/>
      <c r="LBE103" s="7"/>
      <c r="LBF103" s="7"/>
      <c r="LBG103" s="7"/>
      <c r="LKR103" s="7"/>
      <c r="LKS103" s="7"/>
      <c r="LKT103" s="7"/>
      <c r="LKU103" s="7"/>
      <c r="LKV103" s="7"/>
      <c r="LKW103" s="7"/>
      <c r="LKX103" s="7"/>
      <c r="LKY103" s="7"/>
      <c r="LKZ103" s="7"/>
      <c r="LLA103" s="7"/>
      <c r="LLB103" s="7"/>
      <c r="LLC103" s="7"/>
      <c r="LUN103" s="7"/>
      <c r="LUO103" s="7"/>
      <c r="LUP103" s="7"/>
      <c r="LUQ103" s="7"/>
      <c r="LUR103" s="7"/>
      <c r="LUS103" s="7"/>
      <c r="LUT103" s="7"/>
      <c r="LUU103" s="7"/>
      <c r="LUV103" s="7"/>
      <c r="LUW103" s="7"/>
      <c r="LUX103" s="7"/>
      <c r="LUY103" s="7"/>
      <c r="MEJ103" s="7"/>
      <c r="MEK103" s="7"/>
      <c r="MEL103" s="7"/>
      <c r="MEM103" s="7"/>
      <c r="MEN103" s="7"/>
      <c r="MEO103" s="7"/>
      <c r="MEP103" s="7"/>
      <c r="MEQ103" s="7"/>
      <c r="MER103" s="7"/>
      <c r="MES103" s="7"/>
      <c r="MET103" s="7"/>
      <c r="MEU103" s="7"/>
      <c r="MOF103" s="7"/>
      <c r="MOG103" s="7"/>
      <c r="MOH103" s="7"/>
      <c r="MOI103" s="7"/>
      <c r="MOJ103" s="7"/>
      <c r="MOK103" s="7"/>
      <c r="MOL103" s="7"/>
      <c r="MOM103" s="7"/>
      <c r="MON103" s="7"/>
      <c r="MOO103" s="7"/>
      <c r="MOP103" s="7"/>
      <c r="MOQ103" s="7"/>
      <c r="MYB103" s="7"/>
      <c r="MYC103" s="7"/>
      <c r="MYD103" s="7"/>
      <c r="MYE103" s="7"/>
      <c r="MYF103" s="7"/>
      <c r="MYG103" s="7"/>
      <c r="MYH103" s="7"/>
      <c r="MYI103" s="7"/>
      <c r="MYJ103" s="7"/>
      <c r="MYK103" s="7"/>
      <c r="MYL103" s="7"/>
      <c r="MYM103" s="7"/>
      <c r="NHX103" s="7"/>
      <c r="NHY103" s="7"/>
      <c r="NHZ103" s="7"/>
      <c r="NIA103" s="7"/>
      <c r="NIB103" s="7"/>
      <c r="NIC103" s="7"/>
      <c r="NID103" s="7"/>
      <c r="NIE103" s="7"/>
      <c r="NIF103" s="7"/>
      <c r="NIG103" s="7"/>
      <c r="NIH103" s="7"/>
      <c r="NII103" s="7"/>
      <c r="NRT103" s="7"/>
      <c r="NRU103" s="7"/>
      <c r="NRV103" s="7"/>
      <c r="NRW103" s="7"/>
      <c r="NRX103" s="7"/>
      <c r="NRY103" s="7"/>
      <c r="NRZ103" s="7"/>
      <c r="NSA103" s="7"/>
      <c r="NSB103" s="7"/>
      <c r="NSC103" s="7"/>
      <c r="NSD103" s="7"/>
      <c r="NSE103" s="7"/>
      <c r="OBP103" s="7"/>
      <c r="OBQ103" s="7"/>
      <c r="OBR103" s="7"/>
      <c r="OBS103" s="7"/>
      <c r="OBT103" s="7"/>
      <c r="OBU103" s="7"/>
      <c r="OBV103" s="7"/>
      <c r="OBW103" s="7"/>
      <c r="OBX103" s="7"/>
      <c r="OBY103" s="7"/>
      <c r="OBZ103" s="7"/>
      <c r="OCA103" s="7"/>
      <c r="OLL103" s="7"/>
      <c r="OLM103" s="7"/>
      <c r="OLN103" s="7"/>
      <c r="OLO103" s="7"/>
      <c r="OLP103" s="7"/>
      <c r="OLQ103" s="7"/>
      <c r="OLR103" s="7"/>
      <c r="OLS103" s="7"/>
      <c r="OLT103" s="7"/>
      <c r="OLU103" s="7"/>
      <c r="OLV103" s="7"/>
      <c r="OLW103" s="7"/>
      <c r="OVH103" s="7"/>
      <c r="OVI103" s="7"/>
      <c r="OVJ103" s="7"/>
      <c r="OVK103" s="7"/>
      <c r="OVL103" s="7"/>
      <c r="OVM103" s="7"/>
      <c r="OVN103" s="7"/>
      <c r="OVO103" s="7"/>
      <c r="OVP103" s="7"/>
      <c r="OVQ103" s="7"/>
      <c r="OVR103" s="7"/>
      <c r="OVS103" s="7"/>
      <c r="PFD103" s="7"/>
      <c r="PFE103" s="7"/>
      <c r="PFF103" s="7"/>
      <c r="PFG103" s="7"/>
      <c r="PFH103" s="7"/>
      <c r="PFI103" s="7"/>
      <c r="PFJ103" s="7"/>
      <c r="PFK103" s="7"/>
      <c r="PFL103" s="7"/>
      <c r="PFM103" s="7"/>
      <c r="PFN103" s="7"/>
      <c r="PFO103" s="7"/>
      <c r="POZ103" s="7"/>
      <c r="PPA103" s="7"/>
      <c r="PPB103" s="7"/>
      <c r="PPC103" s="7"/>
      <c r="PPD103" s="7"/>
      <c r="PPE103" s="7"/>
      <c r="PPF103" s="7"/>
      <c r="PPG103" s="7"/>
      <c r="PPH103" s="7"/>
      <c r="PPI103" s="7"/>
      <c r="PPJ103" s="7"/>
      <c r="PPK103" s="7"/>
      <c r="PYV103" s="7"/>
      <c r="PYW103" s="7"/>
      <c r="PYX103" s="7"/>
      <c r="PYY103" s="7"/>
      <c r="PYZ103" s="7"/>
      <c r="PZA103" s="7"/>
      <c r="PZB103" s="7"/>
      <c r="PZC103" s="7"/>
      <c r="PZD103" s="7"/>
      <c r="PZE103" s="7"/>
      <c r="PZF103" s="7"/>
      <c r="PZG103" s="7"/>
      <c r="QIR103" s="7"/>
      <c r="QIS103" s="7"/>
      <c r="QIT103" s="7"/>
      <c r="QIU103" s="7"/>
      <c r="QIV103" s="7"/>
      <c r="QIW103" s="7"/>
      <c r="QIX103" s="7"/>
      <c r="QIY103" s="7"/>
      <c r="QIZ103" s="7"/>
      <c r="QJA103" s="7"/>
      <c r="QJB103" s="7"/>
      <c r="QJC103" s="7"/>
      <c r="QSN103" s="7"/>
      <c r="QSO103" s="7"/>
      <c r="QSP103" s="7"/>
      <c r="QSQ103" s="7"/>
      <c r="QSR103" s="7"/>
      <c r="QSS103" s="7"/>
      <c r="QST103" s="7"/>
      <c r="QSU103" s="7"/>
      <c r="QSV103" s="7"/>
      <c r="QSW103" s="7"/>
      <c r="QSX103" s="7"/>
      <c r="QSY103" s="7"/>
      <c r="RCJ103" s="7"/>
      <c r="RCK103" s="7"/>
      <c r="RCL103" s="7"/>
      <c r="RCM103" s="7"/>
      <c r="RCN103" s="7"/>
      <c r="RCO103" s="7"/>
      <c r="RCP103" s="7"/>
      <c r="RCQ103" s="7"/>
      <c r="RCR103" s="7"/>
      <c r="RCS103" s="7"/>
      <c r="RCT103" s="7"/>
      <c r="RCU103" s="7"/>
      <c r="RMF103" s="7"/>
      <c r="RMG103" s="7"/>
      <c r="RMH103" s="7"/>
      <c r="RMI103" s="7"/>
      <c r="RMJ103" s="7"/>
      <c r="RMK103" s="7"/>
      <c r="RML103" s="7"/>
      <c r="RMM103" s="7"/>
      <c r="RMN103" s="7"/>
      <c r="RMO103" s="7"/>
      <c r="RMP103" s="7"/>
      <c r="RMQ103" s="7"/>
      <c r="RWB103" s="7"/>
      <c r="RWC103" s="7"/>
      <c r="RWD103" s="7"/>
      <c r="RWE103" s="7"/>
      <c r="RWF103" s="7"/>
      <c r="RWG103" s="7"/>
      <c r="RWH103" s="7"/>
      <c r="RWI103" s="7"/>
      <c r="RWJ103" s="7"/>
      <c r="RWK103" s="7"/>
      <c r="RWL103" s="7"/>
      <c r="RWM103" s="7"/>
      <c r="SFX103" s="7"/>
      <c r="SFY103" s="7"/>
      <c r="SFZ103" s="7"/>
      <c r="SGA103" s="7"/>
      <c r="SGB103" s="7"/>
      <c r="SGC103" s="7"/>
      <c r="SGD103" s="7"/>
      <c r="SGE103" s="7"/>
      <c r="SGF103" s="7"/>
      <c r="SGG103" s="7"/>
      <c r="SGH103" s="7"/>
      <c r="SGI103" s="7"/>
      <c r="SPT103" s="7"/>
      <c r="SPU103" s="7"/>
      <c r="SPV103" s="7"/>
      <c r="SPW103" s="7"/>
      <c r="SPX103" s="7"/>
      <c r="SPY103" s="7"/>
      <c r="SPZ103" s="7"/>
      <c r="SQA103" s="7"/>
      <c r="SQB103" s="7"/>
      <c r="SQC103" s="7"/>
      <c r="SQD103" s="7"/>
      <c r="SQE103" s="7"/>
      <c r="SZP103" s="7"/>
      <c r="SZQ103" s="7"/>
      <c r="SZR103" s="7"/>
      <c r="SZS103" s="7"/>
      <c r="SZT103" s="7"/>
      <c r="SZU103" s="7"/>
      <c r="SZV103" s="7"/>
      <c r="SZW103" s="7"/>
      <c r="SZX103" s="7"/>
      <c r="SZY103" s="7"/>
      <c r="SZZ103" s="7"/>
      <c r="TAA103" s="7"/>
      <c r="TJL103" s="7"/>
      <c r="TJM103" s="7"/>
      <c r="TJN103" s="7"/>
      <c r="TJO103" s="7"/>
      <c r="TJP103" s="7"/>
      <c r="TJQ103" s="7"/>
      <c r="TJR103" s="7"/>
      <c r="TJS103" s="7"/>
      <c r="TJT103" s="7"/>
      <c r="TJU103" s="7"/>
      <c r="TJV103" s="7"/>
      <c r="TJW103" s="7"/>
      <c r="TTH103" s="7"/>
      <c r="TTI103" s="7"/>
      <c r="TTJ103" s="7"/>
      <c r="TTK103" s="7"/>
      <c r="TTL103" s="7"/>
      <c r="TTM103" s="7"/>
      <c r="TTN103" s="7"/>
      <c r="TTO103" s="7"/>
      <c r="TTP103" s="7"/>
      <c r="TTQ103" s="7"/>
      <c r="TTR103" s="7"/>
      <c r="TTS103" s="7"/>
      <c r="UDD103" s="7"/>
      <c r="UDE103" s="7"/>
      <c r="UDF103" s="7"/>
      <c r="UDG103" s="7"/>
      <c r="UDH103" s="7"/>
      <c r="UDI103" s="7"/>
      <c r="UDJ103" s="7"/>
      <c r="UDK103" s="7"/>
      <c r="UDL103" s="7"/>
      <c r="UDM103" s="7"/>
      <c r="UDN103" s="7"/>
      <c r="UDO103" s="7"/>
      <c r="UMZ103" s="7"/>
      <c r="UNA103" s="7"/>
      <c r="UNB103" s="7"/>
      <c r="UNC103" s="7"/>
      <c r="UND103" s="7"/>
      <c r="UNE103" s="7"/>
      <c r="UNF103" s="7"/>
      <c r="UNG103" s="7"/>
      <c r="UNH103" s="7"/>
      <c r="UNI103" s="7"/>
      <c r="UNJ103" s="7"/>
      <c r="UNK103" s="7"/>
      <c r="UWV103" s="7"/>
      <c r="UWW103" s="7"/>
      <c r="UWX103" s="7"/>
      <c r="UWY103" s="7"/>
      <c r="UWZ103" s="7"/>
      <c r="UXA103" s="7"/>
      <c r="UXB103" s="7"/>
      <c r="UXC103" s="7"/>
      <c r="UXD103" s="7"/>
      <c r="UXE103" s="7"/>
      <c r="UXF103" s="7"/>
      <c r="UXG103" s="7"/>
      <c r="VGR103" s="7"/>
      <c r="VGS103" s="7"/>
      <c r="VGT103" s="7"/>
      <c r="VGU103" s="7"/>
      <c r="VGV103" s="7"/>
      <c r="VGW103" s="7"/>
      <c r="VGX103" s="7"/>
      <c r="VGY103" s="7"/>
      <c r="VGZ103" s="7"/>
      <c r="VHA103" s="7"/>
      <c r="VHB103" s="7"/>
      <c r="VHC103" s="7"/>
      <c r="VQN103" s="7"/>
      <c r="VQO103" s="7"/>
      <c r="VQP103" s="7"/>
      <c r="VQQ103" s="7"/>
      <c r="VQR103" s="7"/>
      <c r="VQS103" s="7"/>
      <c r="VQT103" s="7"/>
      <c r="VQU103" s="7"/>
      <c r="VQV103" s="7"/>
      <c r="VQW103" s="7"/>
      <c r="VQX103" s="7"/>
      <c r="VQY103" s="7"/>
      <c r="WAJ103" s="7"/>
      <c r="WAK103" s="7"/>
      <c r="WAL103" s="7"/>
      <c r="WAM103" s="7"/>
      <c r="WAN103" s="7"/>
      <c r="WAO103" s="7"/>
      <c r="WAP103" s="7"/>
      <c r="WAQ103" s="7"/>
      <c r="WAR103" s="7"/>
      <c r="WAS103" s="7"/>
      <c r="WAT103" s="7"/>
      <c r="WAU103" s="7"/>
      <c r="WKF103" s="7"/>
      <c r="WKG103" s="7"/>
      <c r="WKH103" s="7"/>
      <c r="WKI103" s="7"/>
      <c r="WKJ103" s="7"/>
      <c r="WKK103" s="7"/>
      <c r="WKL103" s="7"/>
      <c r="WKM103" s="7"/>
      <c r="WKN103" s="7"/>
      <c r="WKO103" s="7"/>
      <c r="WKP103" s="7"/>
      <c r="WKQ103" s="7"/>
      <c r="WUB103" s="7"/>
      <c r="WUC103" s="7"/>
      <c r="WUD103" s="7"/>
      <c r="WUE103" s="7"/>
      <c r="WUF103" s="7"/>
      <c r="WUG103" s="7"/>
      <c r="WUH103" s="7"/>
      <c r="WUI103" s="7"/>
      <c r="WUJ103" s="7"/>
      <c r="WUK103" s="7"/>
      <c r="WUL103" s="7"/>
      <c r="WUM103" s="7"/>
    </row>
    <row r="104" spans="1:1003 1248:2027 2272:3051 3296:4075 4320:5099 5344:6123 6368:7147 7392:8171 8416:9195 9440:10219 10464:11243 11488:12267 12512:13291 13536:14315 14560:15339 15584:16107" ht="30" customHeight="1">
      <c r="A104" s="45"/>
      <c r="H104" s="159"/>
      <c r="I104" s="196"/>
      <c r="J104" s="161"/>
      <c r="K104" s="196"/>
      <c r="L104" s="211">
        <f>Table113[[#This Row],[Qty 2]]+Table113[[#This Row],[Qty 1]]</f>
        <v>0</v>
      </c>
      <c r="M104" s="216"/>
      <c r="N104" s="216">
        <f>Table113[[#This Row],[Unit Cost]]*Table113[[#This Row],[Total Qty All Areas]]</f>
        <v>0</v>
      </c>
    </row>
    <row r="105" spans="1:1003 1248:2027 2272:3051 3296:4075 4320:5099 5344:6123 6368:7147 7392:8171 8416:9195 9440:10219 10464:11243 11488:12267 12512:13291 13536:14315 14560:15339 15584:16107" ht="30" customHeight="1">
      <c r="A105" s="45"/>
      <c r="H105" s="159"/>
      <c r="I105" s="196"/>
      <c r="J105" s="161"/>
      <c r="K105" s="196"/>
      <c r="L105" s="211">
        <f>Table113[[#This Row],[Qty 2]]+Table113[[#This Row],[Qty 1]]</f>
        <v>0</v>
      </c>
      <c r="M105" s="216"/>
      <c r="N105" s="216">
        <f>Table113[[#This Row],[Unit Cost]]*Table113[[#This Row],[Total Qty All Areas]]</f>
        <v>0</v>
      </c>
    </row>
    <row r="106" spans="1:1003 1248:2027 2272:3051 3296:4075 4320:5099 5344:6123 6368:7147 7392:8171 8416:9195 9440:10219 10464:11243 11488:12267 12512:13291 13536:14315 14560:15339 15584:16107" ht="30" customHeight="1">
      <c r="A106" s="176"/>
      <c r="D106" s="169"/>
      <c r="E106" s="169"/>
      <c r="F106" s="303"/>
      <c r="H106" s="159"/>
      <c r="I106" s="196"/>
      <c r="J106" s="161"/>
      <c r="K106" s="196"/>
      <c r="L106" s="211">
        <f>Table113[[#This Row],[Qty 2]]+Table113[[#This Row],[Qty 1]]</f>
        <v>0</v>
      </c>
      <c r="M106" s="216"/>
      <c r="N106" s="216">
        <f>Table113[[#This Row],[Unit Cost]]*Table113[[#This Row],[Total Qty All Areas]]</f>
        <v>0</v>
      </c>
    </row>
    <row r="107" spans="1:1003 1248:2027 2272:3051 3296:4075 4320:5099 5344:6123 6368:7147 7392:8171 8416:9195 9440:10219 10464:11243 11488:12267 12512:13291 13536:14315 14560:15339 15584:16107" s="167" customFormat="1" ht="30" customHeight="1">
      <c r="A107" s="175" t="str">
        <f>'Category Setup'!L54</f>
        <v>PF_LR</v>
      </c>
      <c r="B107" s="167" t="str">
        <f>'Category Setup'!E54</f>
        <v>PF_LR_Part Finished_Land Rollers</v>
      </c>
      <c r="C107" s="167" t="str">
        <f>'Category Setup'!N54</f>
        <v>PF_LR_Part Finished_Land Rollers</v>
      </c>
      <c r="D107" s="177" t="s">
        <v>240</v>
      </c>
      <c r="E107" s="177" t="s">
        <v>241</v>
      </c>
      <c r="F107" s="304" t="s">
        <v>242</v>
      </c>
      <c r="G107" s="172"/>
      <c r="H107" s="173"/>
      <c r="I107" s="197"/>
      <c r="J107" s="174"/>
      <c r="K107" s="197"/>
      <c r="L107" s="213">
        <f>Table113[[#This Row],[Qty 2]]+Table113[[#This Row],[Qty 1]]</f>
        <v>0</v>
      </c>
      <c r="M107" s="215"/>
      <c r="N107" s="215">
        <f>Table113[[#This Row],[Unit Cost]]*Table113[[#This Row],[Total Qty All Areas]]</f>
        <v>0</v>
      </c>
      <c r="HP107" s="7"/>
      <c r="HQ107" s="7"/>
      <c r="HR107" s="7"/>
      <c r="HS107" s="7"/>
      <c r="HT107" s="7"/>
      <c r="HU107" s="7"/>
      <c r="HV107" s="7"/>
      <c r="HW107" s="7"/>
      <c r="HX107" s="7"/>
      <c r="HY107" s="7"/>
      <c r="HZ107" s="7"/>
      <c r="IA107" s="7"/>
      <c r="RL107" s="7"/>
      <c r="RM107" s="7"/>
      <c r="RN107" s="7"/>
      <c r="RO107" s="7"/>
      <c r="RP107" s="7"/>
      <c r="RQ107" s="7"/>
      <c r="RR107" s="7"/>
      <c r="RS107" s="7"/>
      <c r="RT107" s="7"/>
      <c r="RU107" s="7"/>
      <c r="RV107" s="7"/>
      <c r="RW107" s="7"/>
      <c r="ABH107" s="7"/>
      <c r="ABI107" s="7"/>
      <c r="ABJ107" s="7"/>
      <c r="ABK107" s="7"/>
      <c r="ABL107" s="7"/>
      <c r="ABM107" s="7"/>
      <c r="ABN107" s="7"/>
      <c r="ABO107" s="7"/>
      <c r="ABP107" s="7"/>
      <c r="ABQ107" s="7"/>
      <c r="ABR107" s="7"/>
      <c r="ABS107" s="7"/>
      <c r="ALD107" s="7"/>
      <c r="ALE107" s="7"/>
      <c r="ALF107" s="7"/>
      <c r="ALG107" s="7"/>
      <c r="ALH107" s="7"/>
      <c r="ALI107" s="7"/>
      <c r="ALJ107" s="7"/>
      <c r="ALK107" s="7"/>
      <c r="ALL107" s="7"/>
      <c r="ALM107" s="7"/>
      <c r="ALN107" s="7"/>
      <c r="ALO107" s="7"/>
      <c r="AUZ107" s="7"/>
      <c r="AVA107" s="7"/>
      <c r="AVB107" s="7"/>
      <c r="AVC107" s="7"/>
      <c r="AVD107" s="7"/>
      <c r="AVE107" s="7"/>
      <c r="AVF107" s="7"/>
      <c r="AVG107" s="7"/>
      <c r="AVH107" s="7"/>
      <c r="AVI107" s="7"/>
      <c r="AVJ107" s="7"/>
      <c r="AVK107" s="7"/>
      <c r="BEV107" s="7"/>
      <c r="BEW107" s="7"/>
      <c r="BEX107" s="7"/>
      <c r="BEY107" s="7"/>
      <c r="BEZ107" s="7"/>
      <c r="BFA107" s="7"/>
      <c r="BFB107" s="7"/>
      <c r="BFC107" s="7"/>
      <c r="BFD107" s="7"/>
      <c r="BFE107" s="7"/>
      <c r="BFF107" s="7"/>
      <c r="BFG107" s="7"/>
      <c r="BOR107" s="7"/>
      <c r="BOS107" s="7"/>
      <c r="BOT107" s="7"/>
      <c r="BOU107" s="7"/>
      <c r="BOV107" s="7"/>
      <c r="BOW107" s="7"/>
      <c r="BOX107" s="7"/>
      <c r="BOY107" s="7"/>
      <c r="BOZ107" s="7"/>
      <c r="BPA107" s="7"/>
      <c r="BPB107" s="7"/>
      <c r="BPC107" s="7"/>
      <c r="BYN107" s="7"/>
      <c r="BYO107" s="7"/>
      <c r="BYP107" s="7"/>
      <c r="BYQ107" s="7"/>
      <c r="BYR107" s="7"/>
      <c r="BYS107" s="7"/>
      <c r="BYT107" s="7"/>
      <c r="BYU107" s="7"/>
      <c r="BYV107" s="7"/>
      <c r="BYW107" s="7"/>
      <c r="BYX107" s="7"/>
      <c r="BYY107" s="7"/>
      <c r="CIJ107" s="7"/>
      <c r="CIK107" s="7"/>
      <c r="CIL107" s="7"/>
      <c r="CIM107" s="7"/>
      <c r="CIN107" s="7"/>
      <c r="CIO107" s="7"/>
      <c r="CIP107" s="7"/>
      <c r="CIQ107" s="7"/>
      <c r="CIR107" s="7"/>
      <c r="CIS107" s="7"/>
      <c r="CIT107" s="7"/>
      <c r="CIU107" s="7"/>
      <c r="CSF107" s="7"/>
      <c r="CSG107" s="7"/>
      <c r="CSH107" s="7"/>
      <c r="CSI107" s="7"/>
      <c r="CSJ107" s="7"/>
      <c r="CSK107" s="7"/>
      <c r="CSL107" s="7"/>
      <c r="CSM107" s="7"/>
      <c r="CSN107" s="7"/>
      <c r="CSO107" s="7"/>
      <c r="CSP107" s="7"/>
      <c r="CSQ107" s="7"/>
      <c r="DCB107" s="7"/>
      <c r="DCC107" s="7"/>
      <c r="DCD107" s="7"/>
      <c r="DCE107" s="7"/>
      <c r="DCF107" s="7"/>
      <c r="DCG107" s="7"/>
      <c r="DCH107" s="7"/>
      <c r="DCI107" s="7"/>
      <c r="DCJ107" s="7"/>
      <c r="DCK107" s="7"/>
      <c r="DCL107" s="7"/>
      <c r="DCM107" s="7"/>
      <c r="DLX107" s="7"/>
      <c r="DLY107" s="7"/>
      <c r="DLZ107" s="7"/>
      <c r="DMA107" s="7"/>
      <c r="DMB107" s="7"/>
      <c r="DMC107" s="7"/>
      <c r="DMD107" s="7"/>
      <c r="DME107" s="7"/>
      <c r="DMF107" s="7"/>
      <c r="DMG107" s="7"/>
      <c r="DMH107" s="7"/>
      <c r="DMI107" s="7"/>
      <c r="DVT107" s="7"/>
      <c r="DVU107" s="7"/>
      <c r="DVV107" s="7"/>
      <c r="DVW107" s="7"/>
      <c r="DVX107" s="7"/>
      <c r="DVY107" s="7"/>
      <c r="DVZ107" s="7"/>
      <c r="DWA107" s="7"/>
      <c r="DWB107" s="7"/>
      <c r="DWC107" s="7"/>
      <c r="DWD107" s="7"/>
      <c r="DWE107" s="7"/>
      <c r="EFP107" s="7"/>
      <c r="EFQ107" s="7"/>
      <c r="EFR107" s="7"/>
      <c r="EFS107" s="7"/>
      <c r="EFT107" s="7"/>
      <c r="EFU107" s="7"/>
      <c r="EFV107" s="7"/>
      <c r="EFW107" s="7"/>
      <c r="EFX107" s="7"/>
      <c r="EFY107" s="7"/>
      <c r="EFZ107" s="7"/>
      <c r="EGA107" s="7"/>
      <c r="EPL107" s="7"/>
      <c r="EPM107" s="7"/>
      <c r="EPN107" s="7"/>
      <c r="EPO107" s="7"/>
      <c r="EPP107" s="7"/>
      <c r="EPQ107" s="7"/>
      <c r="EPR107" s="7"/>
      <c r="EPS107" s="7"/>
      <c r="EPT107" s="7"/>
      <c r="EPU107" s="7"/>
      <c r="EPV107" s="7"/>
      <c r="EPW107" s="7"/>
      <c r="EZH107" s="7"/>
      <c r="EZI107" s="7"/>
      <c r="EZJ107" s="7"/>
      <c r="EZK107" s="7"/>
      <c r="EZL107" s="7"/>
      <c r="EZM107" s="7"/>
      <c r="EZN107" s="7"/>
      <c r="EZO107" s="7"/>
      <c r="EZP107" s="7"/>
      <c r="EZQ107" s="7"/>
      <c r="EZR107" s="7"/>
      <c r="EZS107" s="7"/>
      <c r="FJD107" s="7"/>
      <c r="FJE107" s="7"/>
      <c r="FJF107" s="7"/>
      <c r="FJG107" s="7"/>
      <c r="FJH107" s="7"/>
      <c r="FJI107" s="7"/>
      <c r="FJJ107" s="7"/>
      <c r="FJK107" s="7"/>
      <c r="FJL107" s="7"/>
      <c r="FJM107" s="7"/>
      <c r="FJN107" s="7"/>
      <c r="FJO107" s="7"/>
      <c r="FSZ107" s="7"/>
      <c r="FTA107" s="7"/>
      <c r="FTB107" s="7"/>
      <c r="FTC107" s="7"/>
      <c r="FTD107" s="7"/>
      <c r="FTE107" s="7"/>
      <c r="FTF107" s="7"/>
      <c r="FTG107" s="7"/>
      <c r="FTH107" s="7"/>
      <c r="FTI107" s="7"/>
      <c r="FTJ107" s="7"/>
      <c r="FTK107" s="7"/>
      <c r="GCV107" s="7"/>
      <c r="GCW107" s="7"/>
      <c r="GCX107" s="7"/>
      <c r="GCY107" s="7"/>
      <c r="GCZ107" s="7"/>
      <c r="GDA107" s="7"/>
      <c r="GDB107" s="7"/>
      <c r="GDC107" s="7"/>
      <c r="GDD107" s="7"/>
      <c r="GDE107" s="7"/>
      <c r="GDF107" s="7"/>
      <c r="GDG107" s="7"/>
      <c r="GMR107" s="7"/>
      <c r="GMS107" s="7"/>
      <c r="GMT107" s="7"/>
      <c r="GMU107" s="7"/>
      <c r="GMV107" s="7"/>
      <c r="GMW107" s="7"/>
      <c r="GMX107" s="7"/>
      <c r="GMY107" s="7"/>
      <c r="GMZ107" s="7"/>
      <c r="GNA107" s="7"/>
      <c r="GNB107" s="7"/>
      <c r="GNC107" s="7"/>
      <c r="GWN107" s="7"/>
      <c r="GWO107" s="7"/>
      <c r="GWP107" s="7"/>
      <c r="GWQ107" s="7"/>
      <c r="GWR107" s="7"/>
      <c r="GWS107" s="7"/>
      <c r="GWT107" s="7"/>
      <c r="GWU107" s="7"/>
      <c r="GWV107" s="7"/>
      <c r="GWW107" s="7"/>
      <c r="GWX107" s="7"/>
      <c r="GWY107" s="7"/>
      <c r="HGJ107" s="7"/>
      <c r="HGK107" s="7"/>
      <c r="HGL107" s="7"/>
      <c r="HGM107" s="7"/>
      <c r="HGN107" s="7"/>
      <c r="HGO107" s="7"/>
      <c r="HGP107" s="7"/>
      <c r="HGQ107" s="7"/>
      <c r="HGR107" s="7"/>
      <c r="HGS107" s="7"/>
      <c r="HGT107" s="7"/>
      <c r="HGU107" s="7"/>
      <c r="HQF107" s="7"/>
      <c r="HQG107" s="7"/>
      <c r="HQH107" s="7"/>
      <c r="HQI107" s="7"/>
      <c r="HQJ107" s="7"/>
      <c r="HQK107" s="7"/>
      <c r="HQL107" s="7"/>
      <c r="HQM107" s="7"/>
      <c r="HQN107" s="7"/>
      <c r="HQO107" s="7"/>
      <c r="HQP107" s="7"/>
      <c r="HQQ107" s="7"/>
      <c r="IAB107" s="7"/>
      <c r="IAC107" s="7"/>
      <c r="IAD107" s="7"/>
      <c r="IAE107" s="7"/>
      <c r="IAF107" s="7"/>
      <c r="IAG107" s="7"/>
      <c r="IAH107" s="7"/>
      <c r="IAI107" s="7"/>
      <c r="IAJ107" s="7"/>
      <c r="IAK107" s="7"/>
      <c r="IAL107" s="7"/>
      <c r="IAM107" s="7"/>
      <c r="IJX107" s="7"/>
      <c r="IJY107" s="7"/>
      <c r="IJZ107" s="7"/>
      <c r="IKA107" s="7"/>
      <c r="IKB107" s="7"/>
      <c r="IKC107" s="7"/>
      <c r="IKD107" s="7"/>
      <c r="IKE107" s="7"/>
      <c r="IKF107" s="7"/>
      <c r="IKG107" s="7"/>
      <c r="IKH107" s="7"/>
      <c r="IKI107" s="7"/>
      <c r="ITT107" s="7"/>
      <c r="ITU107" s="7"/>
      <c r="ITV107" s="7"/>
      <c r="ITW107" s="7"/>
      <c r="ITX107" s="7"/>
      <c r="ITY107" s="7"/>
      <c r="ITZ107" s="7"/>
      <c r="IUA107" s="7"/>
      <c r="IUB107" s="7"/>
      <c r="IUC107" s="7"/>
      <c r="IUD107" s="7"/>
      <c r="IUE107" s="7"/>
      <c r="JDP107" s="7"/>
      <c r="JDQ107" s="7"/>
      <c r="JDR107" s="7"/>
      <c r="JDS107" s="7"/>
      <c r="JDT107" s="7"/>
      <c r="JDU107" s="7"/>
      <c r="JDV107" s="7"/>
      <c r="JDW107" s="7"/>
      <c r="JDX107" s="7"/>
      <c r="JDY107" s="7"/>
      <c r="JDZ107" s="7"/>
      <c r="JEA107" s="7"/>
      <c r="JNL107" s="7"/>
      <c r="JNM107" s="7"/>
      <c r="JNN107" s="7"/>
      <c r="JNO107" s="7"/>
      <c r="JNP107" s="7"/>
      <c r="JNQ107" s="7"/>
      <c r="JNR107" s="7"/>
      <c r="JNS107" s="7"/>
      <c r="JNT107" s="7"/>
      <c r="JNU107" s="7"/>
      <c r="JNV107" s="7"/>
      <c r="JNW107" s="7"/>
      <c r="JXH107" s="7"/>
      <c r="JXI107" s="7"/>
      <c r="JXJ107" s="7"/>
      <c r="JXK107" s="7"/>
      <c r="JXL107" s="7"/>
      <c r="JXM107" s="7"/>
      <c r="JXN107" s="7"/>
      <c r="JXO107" s="7"/>
      <c r="JXP107" s="7"/>
      <c r="JXQ107" s="7"/>
      <c r="JXR107" s="7"/>
      <c r="JXS107" s="7"/>
      <c r="KHD107" s="7"/>
      <c r="KHE107" s="7"/>
      <c r="KHF107" s="7"/>
      <c r="KHG107" s="7"/>
      <c r="KHH107" s="7"/>
      <c r="KHI107" s="7"/>
      <c r="KHJ107" s="7"/>
      <c r="KHK107" s="7"/>
      <c r="KHL107" s="7"/>
      <c r="KHM107" s="7"/>
      <c r="KHN107" s="7"/>
      <c r="KHO107" s="7"/>
      <c r="KQZ107" s="7"/>
      <c r="KRA107" s="7"/>
      <c r="KRB107" s="7"/>
      <c r="KRC107" s="7"/>
      <c r="KRD107" s="7"/>
      <c r="KRE107" s="7"/>
      <c r="KRF107" s="7"/>
      <c r="KRG107" s="7"/>
      <c r="KRH107" s="7"/>
      <c r="KRI107" s="7"/>
      <c r="KRJ107" s="7"/>
      <c r="KRK107" s="7"/>
      <c r="LAV107" s="7"/>
      <c r="LAW107" s="7"/>
      <c r="LAX107" s="7"/>
      <c r="LAY107" s="7"/>
      <c r="LAZ107" s="7"/>
      <c r="LBA107" s="7"/>
      <c r="LBB107" s="7"/>
      <c r="LBC107" s="7"/>
      <c r="LBD107" s="7"/>
      <c r="LBE107" s="7"/>
      <c r="LBF107" s="7"/>
      <c r="LBG107" s="7"/>
      <c r="LKR107" s="7"/>
      <c r="LKS107" s="7"/>
      <c r="LKT107" s="7"/>
      <c r="LKU107" s="7"/>
      <c r="LKV107" s="7"/>
      <c r="LKW107" s="7"/>
      <c r="LKX107" s="7"/>
      <c r="LKY107" s="7"/>
      <c r="LKZ107" s="7"/>
      <c r="LLA107" s="7"/>
      <c r="LLB107" s="7"/>
      <c r="LLC107" s="7"/>
      <c r="LUN107" s="7"/>
      <c r="LUO107" s="7"/>
      <c r="LUP107" s="7"/>
      <c r="LUQ107" s="7"/>
      <c r="LUR107" s="7"/>
      <c r="LUS107" s="7"/>
      <c r="LUT107" s="7"/>
      <c r="LUU107" s="7"/>
      <c r="LUV107" s="7"/>
      <c r="LUW107" s="7"/>
      <c r="LUX107" s="7"/>
      <c r="LUY107" s="7"/>
      <c r="MEJ107" s="7"/>
      <c r="MEK107" s="7"/>
      <c r="MEL107" s="7"/>
      <c r="MEM107" s="7"/>
      <c r="MEN107" s="7"/>
      <c r="MEO107" s="7"/>
      <c r="MEP107" s="7"/>
      <c r="MEQ107" s="7"/>
      <c r="MER107" s="7"/>
      <c r="MES107" s="7"/>
      <c r="MET107" s="7"/>
      <c r="MEU107" s="7"/>
      <c r="MOF107" s="7"/>
      <c r="MOG107" s="7"/>
      <c r="MOH107" s="7"/>
      <c r="MOI107" s="7"/>
      <c r="MOJ107" s="7"/>
      <c r="MOK107" s="7"/>
      <c r="MOL107" s="7"/>
      <c r="MOM107" s="7"/>
      <c r="MON107" s="7"/>
      <c r="MOO107" s="7"/>
      <c r="MOP107" s="7"/>
      <c r="MOQ107" s="7"/>
      <c r="MYB107" s="7"/>
      <c r="MYC107" s="7"/>
      <c r="MYD107" s="7"/>
      <c r="MYE107" s="7"/>
      <c r="MYF107" s="7"/>
      <c r="MYG107" s="7"/>
      <c r="MYH107" s="7"/>
      <c r="MYI107" s="7"/>
      <c r="MYJ107" s="7"/>
      <c r="MYK107" s="7"/>
      <c r="MYL107" s="7"/>
      <c r="MYM107" s="7"/>
      <c r="NHX107" s="7"/>
      <c r="NHY107" s="7"/>
      <c r="NHZ107" s="7"/>
      <c r="NIA107" s="7"/>
      <c r="NIB107" s="7"/>
      <c r="NIC107" s="7"/>
      <c r="NID107" s="7"/>
      <c r="NIE107" s="7"/>
      <c r="NIF107" s="7"/>
      <c r="NIG107" s="7"/>
      <c r="NIH107" s="7"/>
      <c r="NII107" s="7"/>
      <c r="NRT107" s="7"/>
      <c r="NRU107" s="7"/>
      <c r="NRV107" s="7"/>
      <c r="NRW107" s="7"/>
      <c r="NRX107" s="7"/>
      <c r="NRY107" s="7"/>
      <c r="NRZ107" s="7"/>
      <c r="NSA107" s="7"/>
      <c r="NSB107" s="7"/>
      <c r="NSC107" s="7"/>
      <c r="NSD107" s="7"/>
      <c r="NSE107" s="7"/>
      <c r="OBP107" s="7"/>
      <c r="OBQ107" s="7"/>
      <c r="OBR107" s="7"/>
      <c r="OBS107" s="7"/>
      <c r="OBT107" s="7"/>
      <c r="OBU107" s="7"/>
      <c r="OBV107" s="7"/>
      <c r="OBW107" s="7"/>
      <c r="OBX107" s="7"/>
      <c r="OBY107" s="7"/>
      <c r="OBZ107" s="7"/>
      <c r="OCA107" s="7"/>
      <c r="OLL107" s="7"/>
      <c r="OLM107" s="7"/>
      <c r="OLN107" s="7"/>
      <c r="OLO107" s="7"/>
      <c r="OLP107" s="7"/>
      <c r="OLQ107" s="7"/>
      <c r="OLR107" s="7"/>
      <c r="OLS107" s="7"/>
      <c r="OLT107" s="7"/>
      <c r="OLU107" s="7"/>
      <c r="OLV107" s="7"/>
      <c r="OLW107" s="7"/>
      <c r="OVH107" s="7"/>
      <c r="OVI107" s="7"/>
      <c r="OVJ107" s="7"/>
      <c r="OVK107" s="7"/>
      <c r="OVL107" s="7"/>
      <c r="OVM107" s="7"/>
      <c r="OVN107" s="7"/>
      <c r="OVO107" s="7"/>
      <c r="OVP107" s="7"/>
      <c r="OVQ107" s="7"/>
      <c r="OVR107" s="7"/>
      <c r="OVS107" s="7"/>
      <c r="PFD107" s="7"/>
      <c r="PFE107" s="7"/>
      <c r="PFF107" s="7"/>
      <c r="PFG107" s="7"/>
      <c r="PFH107" s="7"/>
      <c r="PFI107" s="7"/>
      <c r="PFJ107" s="7"/>
      <c r="PFK107" s="7"/>
      <c r="PFL107" s="7"/>
      <c r="PFM107" s="7"/>
      <c r="PFN107" s="7"/>
      <c r="PFO107" s="7"/>
      <c r="POZ107" s="7"/>
      <c r="PPA107" s="7"/>
      <c r="PPB107" s="7"/>
      <c r="PPC107" s="7"/>
      <c r="PPD107" s="7"/>
      <c r="PPE107" s="7"/>
      <c r="PPF107" s="7"/>
      <c r="PPG107" s="7"/>
      <c r="PPH107" s="7"/>
      <c r="PPI107" s="7"/>
      <c r="PPJ107" s="7"/>
      <c r="PPK107" s="7"/>
      <c r="PYV107" s="7"/>
      <c r="PYW107" s="7"/>
      <c r="PYX107" s="7"/>
      <c r="PYY107" s="7"/>
      <c r="PYZ107" s="7"/>
      <c r="PZA107" s="7"/>
      <c r="PZB107" s="7"/>
      <c r="PZC107" s="7"/>
      <c r="PZD107" s="7"/>
      <c r="PZE107" s="7"/>
      <c r="PZF107" s="7"/>
      <c r="PZG107" s="7"/>
      <c r="QIR107" s="7"/>
      <c r="QIS107" s="7"/>
      <c r="QIT107" s="7"/>
      <c r="QIU107" s="7"/>
      <c r="QIV107" s="7"/>
      <c r="QIW107" s="7"/>
      <c r="QIX107" s="7"/>
      <c r="QIY107" s="7"/>
      <c r="QIZ107" s="7"/>
      <c r="QJA107" s="7"/>
      <c r="QJB107" s="7"/>
      <c r="QJC107" s="7"/>
      <c r="QSN107" s="7"/>
      <c r="QSO107" s="7"/>
      <c r="QSP107" s="7"/>
      <c r="QSQ107" s="7"/>
      <c r="QSR107" s="7"/>
      <c r="QSS107" s="7"/>
      <c r="QST107" s="7"/>
      <c r="QSU107" s="7"/>
      <c r="QSV107" s="7"/>
      <c r="QSW107" s="7"/>
      <c r="QSX107" s="7"/>
      <c r="QSY107" s="7"/>
      <c r="RCJ107" s="7"/>
      <c r="RCK107" s="7"/>
      <c r="RCL107" s="7"/>
      <c r="RCM107" s="7"/>
      <c r="RCN107" s="7"/>
      <c r="RCO107" s="7"/>
      <c r="RCP107" s="7"/>
      <c r="RCQ107" s="7"/>
      <c r="RCR107" s="7"/>
      <c r="RCS107" s="7"/>
      <c r="RCT107" s="7"/>
      <c r="RCU107" s="7"/>
      <c r="RMF107" s="7"/>
      <c r="RMG107" s="7"/>
      <c r="RMH107" s="7"/>
      <c r="RMI107" s="7"/>
      <c r="RMJ107" s="7"/>
      <c r="RMK107" s="7"/>
      <c r="RML107" s="7"/>
      <c r="RMM107" s="7"/>
      <c r="RMN107" s="7"/>
      <c r="RMO107" s="7"/>
      <c r="RMP107" s="7"/>
      <c r="RMQ107" s="7"/>
      <c r="RWB107" s="7"/>
      <c r="RWC107" s="7"/>
      <c r="RWD107" s="7"/>
      <c r="RWE107" s="7"/>
      <c r="RWF107" s="7"/>
      <c r="RWG107" s="7"/>
      <c r="RWH107" s="7"/>
      <c r="RWI107" s="7"/>
      <c r="RWJ107" s="7"/>
      <c r="RWK107" s="7"/>
      <c r="RWL107" s="7"/>
      <c r="RWM107" s="7"/>
      <c r="SFX107" s="7"/>
      <c r="SFY107" s="7"/>
      <c r="SFZ107" s="7"/>
      <c r="SGA107" s="7"/>
      <c r="SGB107" s="7"/>
      <c r="SGC107" s="7"/>
      <c r="SGD107" s="7"/>
      <c r="SGE107" s="7"/>
      <c r="SGF107" s="7"/>
      <c r="SGG107" s="7"/>
      <c r="SGH107" s="7"/>
      <c r="SGI107" s="7"/>
      <c r="SPT107" s="7"/>
      <c r="SPU107" s="7"/>
      <c r="SPV107" s="7"/>
      <c r="SPW107" s="7"/>
      <c r="SPX107" s="7"/>
      <c r="SPY107" s="7"/>
      <c r="SPZ107" s="7"/>
      <c r="SQA107" s="7"/>
      <c r="SQB107" s="7"/>
      <c r="SQC107" s="7"/>
      <c r="SQD107" s="7"/>
      <c r="SQE107" s="7"/>
      <c r="SZP107" s="7"/>
      <c r="SZQ107" s="7"/>
      <c r="SZR107" s="7"/>
      <c r="SZS107" s="7"/>
      <c r="SZT107" s="7"/>
      <c r="SZU107" s="7"/>
      <c r="SZV107" s="7"/>
      <c r="SZW107" s="7"/>
      <c r="SZX107" s="7"/>
      <c r="SZY107" s="7"/>
      <c r="SZZ107" s="7"/>
      <c r="TAA107" s="7"/>
      <c r="TJL107" s="7"/>
      <c r="TJM107" s="7"/>
      <c r="TJN107" s="7"/>
      <c r="TJO107" s="7"/>
      <c r="TJP107" s="7"/>
      <c r="TJQ107" s="7"/>
      <c r="TJR107" s="7"/>
      <c r="TJS107" s="7"/>
      <c r="TJT107" s="7"/>
      <c r="TJU107" s="7"/>
      <c r="TJV107" s="7"/>
      <c r="TJW107" s="7"/>
      <c r="TTH107" s="7"/>
      <c r="TTI107" s="7"/>
      <c r="TTJ107" s="7"/>
      <c r="TTK107" s="7"/>
      <c r="TTL107" s="7"/>
      <c r="TTM107" s="7"/>
      <c r="TTN107" s="7"/>
      <c r="TTO107" s="7"/>
      <c r="TTP107" s="7"/>
      <c r="TTQ107" s="7"/>
      <c r="TTR107" s="7"/>
      <c r="TTS107" s="7"/>
      <c r="UDD107" s="7"/>
      <c r="UDE107" s="7"/>
      <c r="UDF107" s="7"/>
      <c r="UDG107" s="7"/>
      <c r="UDH107" s="7"/>
      <c r="UDI107" s="7"/>
      <c r="UDJ107" s="7"/>
      <c r="UDK107" s="7"/>
      <c r="UDL107" s="7"/>
      <c r="UDM107" s="7"/>
      <c r="UDN107" s="7"/>
      <c r="UDO107" s="7"/>
      <c r="UMZ107" s="7"/>
      <c r="UNA107" s="7"/>
      <c r="UNB107" s="7"/>
      <c r="UNC107" s="7"/>
      <c r="UND107" s="7"/>
      <c r="UNE107" s="7"/>
      <c r="UNF107" s="7"/>
      <c r="UNG107" s="7"/>
      <c r="UNH107" s="7"/>
      <c r="UNI107" s="7"/>
      <c r="UNJ107" s="7"/>
      <c r="UNK107" s="7"/>
      <c r="UWV107" s="7"/>
      <c r="UWW107" s="7"/>
      <c r="UWX107" s="7"/>
      <c r="UWY107" s="7"/>
      <c r="UWZ107" s="7"/>
      <c r="UXA107" s="7"/>
      <c r="UXB107" s="7"/>
      <c r="UXC107" s="7"/>
      <c r="UXD107" s="7"/>
      <c r="UXE107" s="7"/>
      <c r="UXF107" s="7"/>
      <c r="UXG107" s="7"/>
      <c r="VGR107" s="7"/>
      <c r="VGS107" s="7"/>
      <c r="VGT107" s="7"/>
      <c r="VGU107" s="7"/>
      <c r="VGV107" s="7"/>
      <c r="VGW107" s="7"/>
      <c r="VGX107" s="7"/>
      <c r="VGY107" s="7"/>
      <c r="VGZ107" s="7"/>
      <c r="VHA107" s="7"/>
      <c r="VHB107" s="7"/>
      <c r="VHC107" s="7"/>
      <c r="VQN107" s="7"/>
      <c r="VQO107" s="7"/>
      <c r="VQP107" s="7"/>
      <c r="VQQ107" s="7"/>
      <c r="VQR107" s="7"/>
      <c r="VQS107" s="7"/>
      <c r="VQT107" s="7"/>
      <c r="VQU107" s="7"/>
      <c r="VQV107" s="7"/>
      <c r="VQW107" s="7"/>
      <c r="VQX107" s="7"/>
      <c r="VQY107" s="7"/>
      <c r="WAJ107" s="7"/>
      <c r="WAK107" s="7"/>
      <c r="WAL107" s="7"/>
      <c r="WAM107" s="7"/>
      <c r="WAN107" s="7"/>
      <c r="WAO107" s="7"/>
      <c r="WAP107" s="7"/>
      <c r="WAQ107" s="7"/>
      <c r="WAR107" s="7"/>
      <c r="WAS107" s="7"/>
      <c r="WAT107" s="7"/>
      <c r="WAU107" s="7"/>
      <c r="WKF107" s="7"/>
      <c r="WKG107" s="7"/>
      <c r="WKH107" s="7"/>
      <c r="WKI107" s="7"/>
      <c r="WKJ107" s="7"/>
      <c r="WKK107" s="7"/>
      <c r="WKL107" s="7"/>
      <c r="WKM107" s="7"/>
      <c r="WKN107" s="7"/>
      <c r="WKO107" s="7"/>
      <c r="WKP107" s="7"/>
      <c r="WKQ107" s="7"/>
      <c r="WUB107" s="7"/>
      <c r="WUC107" s="7"/>
      <c r="WUD107" s="7"/>
      <c r="WUE107" s="7"/>
      <c r="WUF107" s="7"/>
      <c r="WUG107" s="7"/>
      <c r="WUH107" s="7"/>
      <c r="WUI107" s="7"/>
      <c r="WUJ107" s="7"/>
      <c r="WUK107" s="7"/>
      <c r="WUL107" s="7"/>
      <c r="WUM107" s="7"/>
    </row>
    <row r="108" spans="1:1003 1248:2027 2272:3051 3296:4075 4320:5099 5344:6123 6368:7147 7392:8171 8416:9195 9440:10219 10464:11243 11488:12267 12512:13291 13536:14315 14560:15339 15584:16107" ht="30" customHeight="1">
      <c r="A108" s="45"/>
      <c r="C108" s="7" t="s">
        <v>254</v>
      </c>
      <c r="F108" s="112">
        <v>16</v>
      </c>
      <c r="H108" s="159"/>
      <c r="I108" s="196" t="s">
        <v>255</v>
      </c>
      <c r="J108" s="161"/>
      <c r="K108" s="196"/>
      <c r="L108" s="211">
        <f>Table113[[#This Row],[Qty 2]]+Table113[[#This Row],[Qty 1]]</f>
        <v>0</v>
      </c>
      <c r="M108" s="216"/>
      <c r="N108" s="216">
        <f>Table113[[#This Row],[Unit Cost]]*Table113[[#This Row],[Total Qty All Areas]]</f>
        <v>0</v>
      </c>
    </row>
    <row r="109" spans="1:1003 1248:2027 2272:3051 3296:4075 4320:5099 5344:6123 6368:7147 7392:8171 8416:9195 9440:10219 10464:11243 11488:12267 12512:13291 13536:14315 14560:15339 15584:16107" ht="30" customHeight="1">
      <c r="A109" s="45"/>
      <c r="C109" s="7" t="s">
        <v>254</v>
      </c>
      <c r="F109" s="112">
        <v>12</v>
      </c>
      <c r="H109" s="159"/>
      <c r="I109" s="196" t="s">
        <v>255</v>
      </c>
      <c r="J109" s="161"/>
      <c r="K109" s="196"/>
      <c r="L109" s="211">
        <f>Table113[[#This Row],[Qty 2]]+Table113[[#This Row],[Qty 1]]</f>
        <v>0</v>
      </c>
      <c r="M109" s="216"/>
      <c r="N109" s="216">
        <f>Table113[[#This Row],[Unit Cost]]*Table113[[#This Row],[Total Qty All Areas]]</f>
        <v>0</v>
      </c>
    </row>
    <row r="110" spans="1:1003 1248:2027 2272:3051 3296:4075 4320:5099 5344:6123 6368:7147 7392:8171 8416:9195 9440:10219 10464:11243 11488:12267 12512:13291 13536:14315 14560:15339 15584:16107" ht="30" customHeight="1">
      <c r="A110" s="45"/>
      <c r="C110" s="7" t="s">
        <v>254</v>
      </c>
      <c r="F110" s="112">
        <v>20</v>
      </c>
      <c r="H110" s="159"/>
      <c r="I110" s="196" t="s">
        <v>255</v>
      </c>
      <c r="J110" s="161"/>
      <c r="K110" s="196"/>
      <c r="L110" s="211">
        <f>Table113[[#This Row],[Qty 2]]+Table113[[#This Row],[Qty 1]]</f>
        <v>0</v>
      </c>
      <c r="M110" s="216"/>
      <c r="N110" s="216">
        <f>Table113[[#This Row],[Unit Cost]]*Table113[[#This Row],[Total Qty All Areas]]</f>
        <v>0</v>
      </c>
    </row>
    <row r="111" spans="1:1003 1248:2027 2272:3051 3296:4075 4320:5099 5344:6123 6368:7147 7392:8171 8416:9195 9440:10219 10464:11243 11488:12267 12512:13291 13536:14315 14560:15339 15584:16107" ht="30" customHeight="1">
      <c r="A111" s="45"/>
      <c r="C111" s="7" t="s">
        <v>254</v>
      </c>
      <c r="F111" s="112">
        <v>16</v>
      </c>
      <c r="H111" s="159"/>
      <c r="I111" s="196" t="s">
        <v>255</v>
      </c>
      <c r="J111" s="161"/>
      <c r="K111" s="196"/>
      <c r="L111" s="211">
        <f>Table113[[#This Row],[Qty 2]]+Table113[[#This Row],[Qty 1]]</f>
        <v>0</v>
      </c>
      <c r="M111" s="216"/>
      <c r="N111" s="216">
        <f>Table113[[#This Row],[Unit Cost]]*Table113[[#This Row],[Total Qty All Areas]]</f>
        <v>0</v>
      </c>
    </row>
    <row r="112" spans="1:1003 1248:2027 2272:3051 3296:4075 4320:5099 5344:6123 6368:7147 7392:8171 8416:9195 9440:10219 10464:11243 11488:12267 12512:13291 13536:14315 14560:15339 15584:16107" ht="30" customHeight="1">
      <c r="A112" s="45"/>
      <c r="C112" s="7" t="s">
        <v>254</v>
      </c>
      <c r="F112" s="112">
        <v>12</v>
      </c>
      <c r="H112" s="159"/>
      <c r="I112" s="196" t="s">
        <v>255</v>
      </c>
      <c r="J112" s="161"/>
      <c r="K112" s="196"/>
      <c r="L112" s="211">
        <f>Table113[[#This Row],[Qty 2]]+Table113[[#This Row],[Qty 1]]</f>
        <v>0</v>
      </c>
      <c r="M112" s="216"/>
      <c r="N112" s="216">
        <f>Table113[[#This Row],[Unit Cost]]*Table113[[#This Row],[Total Qty All Areas]]</f>
        <v>0</v>
      </c>
    </row>
    <row r="113" spans="1:1003 1248:2027 2272:3051 3296:4075 4320:5099 5344:6123 6368:7147 7392:8171 8416:9195 9440:10219 10464:11243 11488:12267 12512:13291 13536:14315 14560:15339 15584:16107" ht="30" customHeight="1">
      <c r="A113" s="45"/>
      <c r="C113" s="7" t="s">
        <v>254</v>
      </c>
      <c r="F113" s="112">
        <v>12</v>
      </c>
      <c r="H113" s="159"/>
      <c r="I113" s="196" t="s">
        <v>255</v>
      </c>
      <c r="J113" s="161"/>
      <c r="K113" s="196"/>
      <c r="L113" s="211">
        <f>Table113[[#This Row],[Qty 2]]+Table113[[#This Row],[Qty 1]]</f>
        <v>0</v>
      </c>
      <c r="M113" s="216"/>
      <c r="N113" s="216">
        <f>Table113[[#This Row],[Unit Cost]]*Table113[[#This Row],[Total Qty All Areas]]</f>
        <v>0</v>
      </c>
    </row>
    <row r="114" spans="1:1003 1248:2027 2272:3051 3296:4075 4320:5099 5344:6123 6368:7147 7392:8171 8416:9195 9440:10219 10464:11243 11488:12267 12512:13291 13536:14315 14560:15339 15584:16107" ht="30" customHeight="1">
      <c r="A114" s="45"/>
      <c r="C114" s="7" t="s">
        <v>254</v>
      </c>
      <c r="F114" s="112">
        <v>10</v>
      </c>
      <c r="H114" s="159"/>
      <c r="I114" s="196" t="s">
        <v>255</v>
      </c>
      <c r="J114" s="161"/>
      <c r="K114" s="196"/>
      <c r="L114" s="211">
        <f>Table113[[#This Row],[Qty 2]]+Table113[[#This Row],[Qty 1]]</f>
        <v>0</v>
      </c>
      <c r="M114" s="216"/>
      <c r="N114" s="216">
        <f>Table113[[#This Row],[Unit Cost]]*Table113[[#This Row],[Total Qty All Areas]]</f>
        <v>0</v>
      </c>
    </row>
    <row r="115" spans="1:1003 1248:2027 2272:3051 3296:4075 4320:5099 5344:6123 6368:7147 7392:8171 8416:9195 9440:10219 10464:11243 11488:12267 12512:13291 13536:14315 14560:15339 15584:16107" ht="30" customHeight="1">
      <c r="A115" s="45"/>
      <c r="C115" s="7" t="s">
        <v>254</v>
      </c>
      <c r="F115" s="112">
        <v>12</v>
      </c>
      <c r="H115" s="159"/>
      <c r="I115" s="196" t="s">
        <v>255</v>
      </c>
      <c r="J115" s="161"/>
      <c r="K115" s="196"/>
      <c r="L115" s="211">
        <f>Table113[[#This Row],[Qty 2]]+Table113[[#This Row],[Qty 1]]</f>
        <v>0</v>
      </c>
      <c r="M115" s="216"/>
      <c r="N115" s="216">
        <f>Table113[[#This Row],[Unit Cost]]*Table113[[#This Row],[Total Qty All Areas]]</f>
        <v>0</v>
      </c>
    </row>
    <row r="116" spans="1:1003 1248:2027 2272:3051 3296:4075 4320:5099 5344:6123 6368:7147 7392:8171 8416:9195 9440:10219 10464:11243 11488:12267 12512:13291 13536:14315 14560:15339 15584:16107" ht="30" customHeight="1">
      <c r="A116" s="45"/>
      <c r="C116" s="7" t="s">
        <v>254</v>
      </c>
      <c r="F116" s="112">
        <v>20</v>
      </c>
      <c r="H116" s="159"/>
      <c r="I116" s="196" t="s">
        <v>255</v>
      </c>
      <c r="J116" s="161"/>
      <c r="K116" s="196"/>
      <c r="L116" s="211">
        <f>Table113[[#This Row],[Qty 2]]+Table113[[#This Row],[Qty 1]]</f>
        <v>0</v>
      </c>
      <c r="M116" s="216"/>
      <c r="N116" s="216">
        <f>Table113[[#This Row],[Unit Cost]]*Table113[[#This Row],[Total Qty All Areas]]</f>
        <v>0</v>
      </c>
    </row>
    <row r="117" spans="1:1003 1248:2027 2272:3051 3296:4075 4320:5099 5344:6123 6368:7147 7392:8171 8416:9195 9440:10219 10464:11243 11488:12267 12512:13291 13536:14315 14560:15339 15584:16107" ht="30" customHeight="1">
      <c r="A117" s="45"/>
      <c r="C117" s="7" t="s">
        <v>256</v>
      </c>
      <c r="F117" s="112"/>
      <c r="H117" s="159"/>
      <c r="I117" s="196" t="s">
        <v>255</v>
      </c>
      <c r="J117" s="161"/>
      <c r="K117" s="196"/>
      <c r="L117" s="211">
        <f>Table113[[#This Row],[Qty 2]]+Table113[[#This Row],[Qty 1]]</f>
        <v>0</v>
      </c>
      <c r="M117" s="216"/>
      <c r="N117" s="216">
        <f>Table113[[#This Row],[Unit Cost]]*Table113[[#This Row],[Total Qty All Areas]]</f>
        <v>0</v>
      </c>
    </row>
    <row r="118" spans="1:1003 1248:2027 2272:3051 3296:4075 4320:5099 5344:6123 6368:7147 7392:8171 8416:9195 9440:10219 10464:11243 11488:12267 12512:13291 13536:14315 14560:15339 15584:16107" ht="30" customHeight="1">
      <c r="A118" s="45"/>
      <c r="C118" s="7" t="s">
        <v>256</v>
      </c>
      <c r="F118" s="112"/>
      <c r="H118" s="159"/>
      <c r="I118" s="196" t="s">
        <v>255</v>
      </c>
      <c r="J118" s="161"/>
      <c r="K118" s="196"/>
      <c r="L118" s="211">
        <f>Table113[[#This Row],[Qty 2]]+Table113[[#This Row],[Qty 1]]</f>
        <v>0</v>
      </c>
      <c r="M118" s="216"/>
      <c r="N118" s="216">
        <f>Table113[[#This Row],[Unit Cost]]*Table113[[#This Row],[Total Qty All Areas]]</f>
        <v>0</v>
      </c>
    </row>
    <row r="119" spans="1:1003 1248:2027 2272:3051 3296:4075 4320:5099 5344:6123 6368:7147 7392:8171 8416:9195 9440:10219 10464:11243 11488:12267 12512:13291 13536:14315 14560:15339 15584:16107" ht="30" customHeight="1">
      <c r="A119" s="45"/>
      <c r="C119" s="7" t="s">
        <v>257</v>
      </c>
      <c r="F119" s="112"/>
      <c r="H119" s="159"/>
      <c r="I119" s="196" t="s">
        <v>243</v>
      </c>
      <c r="J119" s="161"/>
      <c r="K119" s="196"/>
      <c r="L119" s="211">
        <f>Table113[[#This Row],[Qty 2]]+Table113[[#This Row],[Qty 1]]</f>
        <v>0</v>
      </c>
      <c r="M119" s="216"/>
      <c r="N119" s="216">
        <f>Table113[[#This Row],[Unit Cost]]*Table113[[#This Row],[Total Qty All Areas]]</f>
        <v>0</v>
      </c>
    </row>
    <row r="120" spans="1:1003 1248:2027 2272:3051 3296:4075 4320:5099 5344:6123 6368:7147 7392:8171 8416:9195 9440:10219 10464:11243 11488:12267 12512:13291 13536:14315 14560:15339 15584:16107" ht="30" customHeight="1">
      <c r="A120" s="45"/>
      <c r="C120" s="7" t="s">
        <v>257</v>
      </c>
      <c r="F120" s="112"/>
      <c r="H120" s="159"/>
      <c r="I120" s="196" t="s">
        <v>243</v>
      </c>
      <c r="J120" s="161"/>
      <c r="K120" s="196"/>
      <c r="L120" s="211">
        <f>Table113[[#This Row],[Qty 2]]+Table113[[#This Row],[Qty 1]]</f>
        <v>0</v>
      </c>
      <c r="M120" s="216"/>
      <c r="N120" s="216">
        <f>Table113[[#This Row],[Unit Cost]]*Table113[[#This Row],[Total Qty All Areas]]</f>
        <v>0</v>
      </c>
    </row>
    <row r="121" spans="1:1003 1248:2027 2272:3051 3296:4075 4320:5099 5344:6123 6368:7147 7392:8171 8416:9195 9440:10219 10464:11243 11488:12267 12512:13291 13536:14315 14560:15339 15584:16107" s="167" customFormat="1" ht="30" customHeight="1">
      <c r="A121" s="175" t="str">
        <f>'Category Setup'!L55</f>
        <v>PF_CF</v>
      </c>
      <c r="B121" s="167" t="str">
        <f>'Category Setup'!E55</f>
        <v>PF_CF_Part Finished_Circular Feeders</v>
      </c>
      <c r="C121" s="167" t="str">
        <f>'Category Setup'!N55</f>
        <v>PF_CF_Part Finished_Circular Feeders</v>
      </c>
      <c r="D121" s="168"/>
      <c r="E121" s="168"/>
      <c r="F121" s="172"/>
      <c r="G121" s="172"/>
      <c r="H121" s="173"/>
      <c r="I121" s="197"/>
      <c r="J121" s="174"/>
      <c r="K121" s="197"/>
      <c r="L121" s="213">
        <f>Table113[[#This Row],[Qty 2]]+Table113[[#This Row],[Qty 1]]</f>
        <v>0</v>
      </c>
      <c r="M121" s="215"/>
      <c r="N121" s="215">
        <f>Table113[[#This Row],[Unit Cost]]*Table113[[#This Row],[Total Qty All Areas]]</f>
        <v>0</v>
      </c>
      <c r="HP121" s="7"/>
      <c r="HQ121" s="7"/>
      <c r="HR121" s="7"/>
      <c r="HS121" s="7"/>
      <c r="HT121" s="7"/>
      <c r="HU121" s="7"/>
      <c r="HV121" s="7"/>
      <c r="HW121" s="7"/>
      <c r="HX121" s="7"/>
      <c r="HY121" s="7"/>
      <c r="HZ121" s="7"/>
      <c r="IA121" s="7"/>
      <c r="RL121" s="7"/>
      <c r="RM121" s="7"/>
      <c r="RN121" s="7"/>
      <c r="RO121" s="7"/>
      <c r="RP121" s="7"/>
      <c r="RQ121" s="7"/>
      <c r="RR121" s="7"/>
      <c r="RS121" s="7"/>
      <c r="RT121" s="7"/>
      <c r="RU121" s="7"/>
      <c r="RV121" s="7"/>
      <c r="RW121" s="7"/>
      <c r="ABH121" s="7"/>
      <c r="ABI121" s="7"/>
      <c r="ABJ121" s="7"/>
      <c r="ABK121" s="7"/>
      <c r="ABL121" s="7"/>
      <c r="ABM121" s="7"/>
      <c r="ABN121" s="7"/>
      <c r="ABO121" s="7"/>
      <c r="ABP121" s="7"/>
      <c r="ABQ121" s="7"/>
      <c r="ABR121" s="7"/>
      <c r="ABS121" s="7"/>
      <c r="ALD121" s="7"/>
      <c r="ALE121" s="7"/>
      <c r="ALF121" s="7"/>
      <c r="ALG121" s="7"/>
      <c r="ALH121" s="7"/>
      <c r="ALI121" s="7"/>
      <c r="ALJ121" s="7"/>
      <c r="ALK121" s="7"/>
      <c r="ALL121" s="7"/>
      <c r="ALM121" s="7"/>
      <c r="ALN121" s="7"/>
      <c r="ALO121" s="7"/>
      <c r="AUZ121" s="7"/>
      <c r="AVA121" s="7"/>
      <c r="AVB121" s="7"/>
      <c r="AVC121" s="7"/>
      <c r="AVD121" s="7"/>
      <c r="AVE121" s="7"/>
      <c r="AVF121" s="7"/>
      <c r="AVG121" s="7"/>
      <c r="AVH121" s="7"/>
      <c r="AVI121" s="7"/>
      <c r="AVJ121" s="7"/>
      <c r="AVK121" s="7"/>
      <c r="BEV121" s="7"/>
      <c r="BEW121" s="7"/>
      <c r="BEX121" s="7"/>
      <c r="BEY121" s="7"/>
      <c r="BEZ121" s="7"/>
      <c r="BFA121" s="7"/>
      <c r="BFB121" s="7"/>
      <c r="BFC121" s="7"/>
      <c r="BFD121" s="7"/>
      <c r="BFE121" s="7"/>
      <c r="BFF121" s="7"/>
      <c r="BFG121" s="7"/>
      <c r="BOR121" s="7"/>
      <c r="BOS121" s="7"/>
      <c r="BOT121" s="7"/>
      <c r="BOU121" s="7"/>
      <c r="BOV121" s="7"/>
      <c r="BOW121" s="7"/>
      <c r="BOX121" s="7"/>
      <c r="BOY121" s="7"/>
      <c r="BOZ121" s="7"/>
      <c r="BPA121" s="7"/>
      <c r="BPB121" s="7"/>
      <c r="BPC121" s="7"/>
      <c r="BYN121" s="7"/>
      <c r="BYO121" s="7"/>
      <c r="BYP121" s="7"/>
      <c r="BYQ121" s="7"/>
      <c r="BYR121" s="7"/>
      <c r="BYS121" s="7"/>
      <c r="BYT121" s="7"/>
      <c r="BYU121" s="7"/>
      <c r="BYV121" s="7"/>
      <c r="BYW121" s="7"/>
      <c r="BYX121" s="7"/>
      <c r="BYY121" s="7"/>
      <c r="CIJ121" s="7"/>
      <c r="CIK121" s="7"/>
      <c r="CIL121" s="7"/>
      <c r="CIM121" s="7"/>
      <c r="CIN121" s="7"/>
      <c r="CIO121" s="7"/>
      <c r="CIP121" s="7"/>
      <c r="CIQ121" s="7"/>
      <c r="CIR121" s="7"/>
      <c r="CIS121" s="7"/>
      <c r="CIT121" s="7"/>
      <c r="CIU121" s="7"/>
      <c r="CSF121" s="7"/>
      <c r="CSG121" s="7"/>
      <c r="CSH121" s="7"/>
      <c r="CSI121" s="7"/>
      <c r="CSJ121" s="7"/>
      <c r="CSK121" s="7"/>
      <c r="CSL121" s="7"/>
      <c r="CSM121" s="7"/>
      <c r="CSN121" s="7"/>
      <c r="CSO121" s="7"/>
      <c r="CSP121" s="7"/>
      <c r="CSQ121" s="7"/>
      <c r="DCB121" s="7"/>
      <c r="DCC121" s="7"/>
      <c r="DCD121" s="7"/>
      <c r="DCE121" s="7"/>
      <c r="DCF121" s="7"/>
      <c r="DCG121" s="7"/>
      <c r="DCH121" s="7"/>
      <c r="DCI121" s="7"/>
      <c r="DCJ121" s="7"/>
      <c r="DCK121" s="7"/>
      <c r="DCL121" s="7"/>
      <c r="DCM121" s="7"/>
      <c r="DLX121" s="7"/>
      <c r="DLY121" s="7"/>
      <c r="DLZ121" s="7"/>
      <c r="DMA121" s="7"/>
      <c r="DMB121" s="7"/>
      <c r="DMC121" s="7"/>
      <c r="DMD121" s="7"/>
      <c r="DME121" s="7"/>
      <c r="DMF121" s="7"/>
      <c r="DMG121" s="7"/>
      <c r="DMH121" s="7"/>
      <c r="DMI121" s="7"/>
      <c r="DVT121" s="7"/>
      <c r="DVU121" s="7"/>
      <c r="DVV121" s="7"/>
      <c r="DVW121" s="7"/>
      <c r="DVX121" s="7"/>
      <c r="DVY121" s="7"/>
      <c r="DVZ121" s="7"/>
      <c r="DWA121" s="7"/>
      <c r="DWB121" s="7"/>
      <c r="DWC121" s="7"/>
      <c r="DWD121" s="7"/>
      <c r="DWE121" s="7"/>
      <c r="EFP121" s="7"/>
      <c r="EFQ121" s="7"/>
      <c r="EFR121" s="7"/>
      <c r="EFS121" s="7"/>
      <c r="EFT121" s="7"/>
      <c r="EFU121" s="7"/>
      <c r="EFV121" s="7"/>
      <c r="EFW121" s="7"/>
      <c r="EFX121" s="7"/>
      <c r="EFY121" s="7"/>
      <c r="EFZ121" s="7"/>
      <c r="EGA121" s="7"/>
      <c r="EPL121" s="7"/>
      <c r="EPM121" s="7"/>
      <c r="EPN121" s="7"/>
      <c r="EPO121" s="7"/>
      <c r="EPP121" s="7"/>
      <c r="EPQ121" s="7"/>
      <c r="EPR121" s="7"/>
      <c r="EPS121" s="7"/>
      <c r="EPT121" s="7"/>
      <c r="EPU121" s="7"/>
      <c r="EPV121" s="7"/>
      <c r="EPW121" s="7"/>
      <c r="EZH121" s="7"/>
      <c r="EZI121" s="7"/>
      <c r="EZJ121" s="7"/>
      <c r="EZK121" s="7"/>
      <c r="EZL121" s="7"/>
      <c r="EZM121" s="7"/>
      <c r="EZN121" s="7"/>
      <c r="EZO121" s="7"/>
      <c r="EZP121" s="7"/>
      <c r="EZQ121" s="7"/>
      <c r="EZR121" s="7"/>
      <c r="EZS121" s="7"/>
      <c r="FJD121" s="7"/>
      <c r="FJE121" s="7"/>
      <c r="FJF121" s="7"/>
      <c r="FJG121" s="7"/>
      <c r="FJH121" s="7"/>
      <c r="FJI121" s="7"/>
      <c r="FJJ121" s="7"/>
      <c r="FJK121" s="7"/>
      <c r="FJL121" s="7"/>
      <c r="FJM121" s="7"/>
      <c r="FJN121" s="7"/>
      <c r="FJO121" s="7"/>
      <c r="FSZ121" s="7"/>
      <c r="FTA121" s="7"/>
      <c r="FTB121" s="7"/>
      <c r="FTC121" s="7"/>
      <c r="FTD121" s="7"/>
      <c r="FTE121" s="7"/>
      <c r="FTF121" s="7"/>
      <c r="FTG121" s="7"/>
      <c r="FTH121" s="7"/>
      <c r="FTI121" s="7"/>
      <c r="FTJ121" s="7"/>
      <c r="FTK121" s="7"/>
      <c r="GCV121" s="7"/>
      <c r="GCW121" s="7"/>
      <c r="GCX121" s="7"/>
      <c r="GCY121" s="7"/>
      <c r="GCZ121" s="7"/>
      <c r="GDA121" s="7"/>
      <c r="GDB121" s="7"/>
      <c r="GDC121" s="7"/>
      <c r="GDD121" s="7"/>
      <c r="GDE121" s="7"/>
      <c r="GDF121" s="7"/>
      <c r="GDG121" s="7"/>
      <c r="GMR121" s="7"/>
      <c r="GMS121" s="7"/>
      <c r="GMT121" s="7"/>
      <c r="GMU121" s="7"/>
      <c r="GMV121" s="7"/>
      <c r="GMW121" s="7"/>
      <c r="GMX121" s="7"/>
      <c r="GMY121" s="7"/>
      <c r="GMZ121" s="7"/>
      <c r="GNA121" s="7"/>
      <c r="GNB121" s="7"/>
      <c r="GNC121" s="7"/>
      <c r="GWN121" s="7"/>
      <c r="GWO121" s="7"/>
      <c r="GWP121" s="7"/>
      <c r="GWQ121" s="7"/>
      <c r="GWR121" s="7"/>
      <c r="GWS121" s="7"/>
      <c r="GWT121" s="7"/>
      <c r="GWU121" s="7"/>
      <c r="GWV121" s="7"/>
      <c r="GWW121" s="7"/>
      <c r="GWX121" s="7"/>
      <c r="GWY121" s="7"/>
      <c r="HGJ121" s="7"/>
      <c r="HGK121" s="7"/>
      <c r="HGL121" s="7"/>
      <c r="HGM121" s="7"/>
      <c r="HGN121" s="7"/>
      <c r="HGO121" s="7"/>
      <c r="HGP121" s="7"/>
      <c r="HGQ121" s="7"/>
      <c r="HGR121" s="7"/>
      <c r="HGS121" s="7"/>
      <c r="HGT121" s="7"/>
      <c r="HGU121" s="7"/>
      <c r="HQF121" s="7"/>
      <c r="HQG121" s="7"/>
      <c r="HQH121" s="7"/>
      <c r="HQI121" s="7"/>
      <c r="HQJ121" s="7"/>
      <c r="HQK121" s="7"/>
      <c r="HQL121" s="7"/>
      <c r="HQM121" s="7"/>
      <c r="HQN121" s="7"/>
      <c r="HQO121" s="7"/>
      <c r="HQP121" s="7"/>
      <c r="HQQ121" s="7"/>
      <c r="IAB121" s="7"/>
      <c r="IAC121" s="7"/>
      <c r="IAD121" s="7"/>
      <c r="IAE121" s="7"/>
      <c r="IAF121" s="7"/>
      <c r="IAG121" s="7"/>
      <c r="IAH121" s="7"/>
      <c r="IAI121" s="7"/>
      <c r="IAJ121" s="7"/>
      <c r="IAK121" s="7"/>
      <c r="IAL121" s="7"/>
      <c r="IAM121" s="7"/>
      <c r="IJX121" s="7"/>
      <c r="IJY121" s="7"/>
      <c r="IJZ121" s="7"/>
      <c r="IKA121" s="7"/>
      <c r="IKB121" s="7"/>
      <c r="IKC121" s="7"/>
      <c r="IKD121" s="7"/>
      <c r="IKE121" s="7"/>
      <c r="IKF121" s="7"/>
      <c r="IKG121" s="7"/>
      <c r="IKH121" s="7"/>
      <c r="IKI121" s="7"/>
      <c r="ITT121" s="7"/>
      <c r="ITU121" s="7"/>
      <c r="ITV121" s="7"/>
      <c r="ITW121" s="7"/>
      <c r="ITX121" s="7"/>
      <c r="ITY121" s="7"/>
      <c r="ITZ121" s="7"/>
      <c r="IUA121" s="7"/>
      <c r="IUB121" s="7"/>
      <c r="IUC121" s="7"/>
      <c r="IUD121" s="7"/>
      <c r="IUE121" s="7"/>
      <c r="JDP121" s="7"/>
      <c r="JDQ121" s="7"/>
      <c r="JDR121" s="7"/>
      <c r="JDS121" s="7"/>
      <c r="JDT121" s="7"/>
      <c r="JDU121" s="7"/>
      <c r="JDV121" s="7"/>
      <c r="JDW121" s="7"/>
      <c r="JDX121" s="7"/>
      <c r="JDY121" s="7"/>
      <c r="JDZ121" s="7"/>
      <c r="JEA121" s="7"/>
      <c r="JNL121" s="7"/>
      <c r="JNM121" s="7"/>
      <c r="JNN121" s="7"/>
      <c r="JNO121" s="7"/>
      <c r="JNP121" s="7"/>
      <c r="JNQ121" s="7"/>
      <c r="JNR121" s="7"/>
      <c r="JNS121" s="7"/>
      <c r="JNT121" s="7"/>
      <c r="JNU121" s="7"/>
      <c r="JNV121" s="7"/>
      <c r="JNW121" s="7"/>
      <c r="JXH121" s="7"/>
      <c r="JXI121" s="7"/>
      <c r="JXJ121" s="7"/>
      <c r="JXK121" s="7"/>
      <c r="JXL121" s="7"/>
      <c r="JXM121" s="7"/>
      <c r="JXN121" s="7"/>
      <c r="JXO121" s="7"/>
      <c r="JXP121" s="7"/>
      <c r="JXQ121" s="7"/>
      <c r="JXR121" s="7"/>
      <c r="JXS121" s="7"/>
      <c r="KHD121" s="7"/>
      <c r="KHE121" s="7"/>
      <c r="KHF121" s="7"/>
      <c r="KHG121" s="7"/>
      <c r="KHH121" s="7"/>
      <c r="KHI121" s="7"/>
      <c r="KHJ121" s="7"/>
      <c r="KHK121" s="7"/>
      <c r="KHL121" s="7"/>
      <c r="KHM121" s="7"/>
      <c r="KHN121" s="7"/>
      <c r="KHO121" s="7"/>
      <c r="KQZ121" s="7"/>
      <c r="KRA121" s="7"/>
      <c r="KRB121" s="7"/>
      <c r="KRC121" s="7"/>
      <c r="KRD121" s="7"/>
      <c r="KRE121" s="7"/>
      <c r="KRF121" s="7"/>
      <c r="KRG121" s="7"/>
      <c r="KRH121" s="7"/>
      <c r="KRI121" s="7"/>
      <c r="KRJ121" s="7"/>
      <c r="KRK121" s="7"/>
      <c r="LAV121" s="7"/>
      <c r="LAW121" s="7"/>
      <c r="LAX121" s="7"/>
      <c r="LAY121" s="7"/>
      <c r="LAZ121" s="7"/>
      <c r="LBA121" s="7"/>
      <c r="LBB121" s="7"/>
      <c r="LBC121" s="7"/>
      <c r="LBD121" s="7"/>
      <c r="LBE121" s="7"/>
      <c r="LBF121" s="7"/>
      <c r="LBG121" s="7"/>
      <c r="LKR121" s="7"/>
      <c r="LKS121" s="7"/>
      <c r="LKT121" s="7"/>
      <c r="LKU121" s="7"/>
      <c r="LKV121" s="7"/>
      <c r="LKW121" s="7"/>
      <c r="LKX121" s="7"/>
      <c r="LKY121" s="7"/>
      <c r="LKZ121" s="7"/>
      <c r="LLA121" s="7"/>
      <c r="LLB121" s="7"/>
      <c r="LLC121" s="7"/>
      <c r="LUN121" s="7"/>
      <c r="LUO121" s="7"/>
      <c r="LUP121" s="7"/>
      <c r="LUQ121" s="7"/>
      <c r="LUR121" s="7"/>
      <c r="LUS121" s="7"/>
      <c r="LUT121" s="7"/>
      <c r="LUU121" s="7"/>
      <c r="LUV121" s="7"/>
      <c r="LUW121" s="7"/>
      <c r="LUX121" s="7"/>
      <c r="LUY121" s="7"/>
      <c r="MEJ121" s="7"/>
      <c r="MEK121" s="7"/>
      <c r="MEL121" s="7"/>
      <c r="MEM121" s="7"/>
      <c r="MEN121" s="7"/>
      <c r="MEO121" s="7"/>
      <c r="MEP121" s="7"/>
      <c r="MEQ121" s="7"/>
      <c r="MER121" s="7"/>
      <c r="MES121" s="7"/>
      <c r="MET121" s="7"/>
      <c r="MEU121" s="7"/>
      <c r="MOF121" s="7"/>
      <c r="MOG121" s="7"/>
      <c r="MOH121" s="7"/>
      <c r="MOI121" s="7"/>
      <c r="MOJ121" s="7"/>
      <c r="MOK121" s="7"/>
      <c r="MOL121" s="7"/>
      <c r="MOM121" s="7"/>
      <c r="MON121" s="7"/>
      <c r="MOO121" s="7"/>
      <c r="MOP121" s="7"/>
      <c r="MOQ121" s="7"/>
      <c r="MYB121" s="7"/>
      <c r="MYC121" s="7"/>
      <c r="MYD121" s="7"/>
      <c r="MYE121" s="7"/>
      <c r="MYF121" s="7"/>
      <c r="MYG121" s="7"/>
      <c r="MYH121" s="7"/>
      <c r="MYI121" s="7"/>
      <c r="MYJ121" s="7"/>
      <c r="MYK121" s="7"/>
      <c r="MYL121" s="7"/>
      <c r="MYM121" s="7"/>
      <c r="NHX121" s="7"/>
      <c r="NHY121" s="7"/>
      <c r="NHZ121" s="7"/>
      <c r="NIA121" s="7"/>
      <c r="NIB121" s="7"/>
      <c r="NIC121" s="7"/>
      <c r="NID121" s="7"/>
      <c r="NIE121" s="7"/>
      <c r="NIF121" s="7"/>
      <c r="NIG121" s="7"/>
      <c r="NIH121" s="7"/>
      <c r="NII121" s="7"/>
      <c r="NRT121" s="7"/>
      <c r="NRU121" s="7"/>
      <c r="NRV121" s="7"/>
      <c r="NRW121" s="7"/>
      <c r="NRX121" s="7"/>
      <c r="NRY121" s="7"/>
      <c r="NRZ121" s="7"/>
      <c r="NSA121" s="7"/>
      <c r="NSB121" s="7"/>
      <c r="NSC121" s="7"/>
      <c r="NSD121" s="7"/>
      <c r="NSE121" s="7"/>
      <c r="OBP121" s="7"/>
      <c r="OBQ121" s="7"/>
      <c r="OBR121" s="7"/>
      <c r="OBS121" s="7"/>
      <c r="OBT121" s="7"/>
      <c r="OBU121" s="7"/>
      <c r="OBV121" s="7"/>
      <c r="OBW121" s="7"/>
      <c r="OBX121" s="7"/>
      <c r="OBY121" s="7"/>
      <c r="OBZ121" s="7"/>
      <c r="OCA121" s="7"/>
      <c r="OLL121" s="7"/>
      <c r="OLM121" s="7"/>
      <c r="OLN121" s="7"/>
      <c r="OLO121" s="7"/>
      <c r="OLP121" s="7"/>
      <c r="OLQ121" s="7"/>
      <c r="OLR121" s="7"/>
      <c r="OLS121" s="7"/>
      <c r="OLT121" s="7"/>
      <c r="OLU121" s="7"/>
      <c r="OLV121" s="7"/>
      <c r="OLW121" s="7"/>
      <c r="OVH121" s="7"/>
      <c r="OVI121" s="7"/>
      <c r="OVJ121" s="7"/>
      <c r="OVK121" s="7"/>
      <c r="OVL121" s="7"/>
      <c r="OVM121" s="7"/>
      <c r="OVN121" s="7"/>
      <c r="OVO121" s="7"/>
      <c r="OVP121" s="7"/>
      <c r="OVQ121" s="7"/>
      <c r="OVR121" s="7"/>
      <c r="OVS121" s="7"/>
      <c r="PFD121" s="7"/>
      <c r="PFE121" s="7"/>
      <c r="PFF121" s="7"/>
      <c r="PFG121" s="7"/>
      <c r="PFH121" s="7"/>
      <c r="PFI121" s="7"/>
      <c r="PFJ121" s="7"/>
      <c r="PFK121" s="7"/>
      <c r="PFL121" s="7"/>
      <c r="PFM121" s="7"/>
      <c r="PFN121" s="7"/>
      <c r="PFO121" s="7"/>
      <c r="POZ121" s="7"/>
      <c r="PPA121" s="7"/>
      <c r="PPB121" s="7"/>
      <c r="PPC121" s="7"/>
      <c r="PPD121" s="7"/>
      <c r="PPE121" s="7"/>
      <c r="PPF121" s="7"/>
      <c r="PPG121" s="7"/>
      <c r="PPH121" s="7"/>
      <c r="PPI121" s="7"/>
      <c r="PPJ121" s="7"/>
      <c r="PPK121" s="7"/>
      <c r="PYV121" s="7"/>
      <c r="PYW121" s="7"/>
      <c r="PYX121" s="7"/>
      <c r="PYY121" s="7"/>
      <c r="PYZ121" s="7"/>
      <c r="PZA121" s="7"/>
      <c r="PZB121" s="7"/>
      <c r="PZC121" s="7"/>
      <c r="PZD121" s="7"/>
      <c r="PZE121" s="7"/>
      <c r="PZF121" s="7"/>
      <c r="PZG121" s="7"/>
      <c r="QIR121" s="7"/>
      <c r="QIS121" s="7"/>
      <c r="QIT121" s="7"/>
      <c r="QIU121" s="7"/>
      <c r="QIV121" s="7"/>
      <c r="QIW121" s="7"/>
      <c r="QIX121" s="7"/>
      <c r="QIY121" s="7"/>
      <c r="QIZ121" s="7"/>
      <c r="QJA121" s="7"/>
      <c r="QJB121" s="7"/>
      <c r="QJC121" s="7"/>
      <c r="QSN121" s="7"/>
      <c r="QSO121" s="7"/>
      <c r="QSP121" s="7"/>
      <c r="QSQ121" s="7"/>
      <c r="QSR121" s="7"/>
      <c r="QSS121" s="7"/>
      <c r="QST121" s="7"/>
      <c r="QSU121" s="7"/>
      <c r="QSV121" s="7"/>
      <c r="QSW121" s="7"/>
      <c r="QSX121" s="7"/>
      <c r="QSY121" s="7"/>
      <c r="RCJ121" s="7"/>
      <c r="RCK121" s="7"/>
      <c r="RCL121" s="7"/>
      <c r="RCM121" s="7"/>
      <c r="RCN121" s="7"/>
      <c r="RCO121" s="7"/>
      <c r="RCP121" s="7"/>
      <c r="RCQ121" s="7"/>
      <c r="RCR121" s="7"/>
      <c r="RCS121" s="7"/>
      <c r="RCT121" s="7"/>
      <c r="RCU121" s="7"/>
      <c r="RMF121" s="7"/>
      <c r="RMG121" s="7"/>
      <c r="RMH121" s="7"/>
      <c r="RMI121" s="7"/>
      <c r="RMJ121" s="7"/>
      <c r="RMK121" s="7"/>
      <c r="RML121" s="7"/>
      <c r="RMM121" s="7"/>
      <c r="RMN121" s="7"/>
      <c r="RMO121" s="7"/>
      <c r="RMP121" s="7"/>
      <c r="RMQ121" s="7"/>
      <c r="RWB121" s="7"/>
      <c r="RWC121" s="7"/>
      <c r="RWD121" s="7"/>
      <c r="RWE121" s="7"/>
      <c r="RWF121" s="7"/>
      <c r="RWG121" s="7"/>
      <c r="RWH121" s="7"/>
      <c r="RWI121" s="7"/>
      <c r="RWJ121" s="7"/>
      <c r="RWK121" s="7"/>
      <c r="RWL121" s="7"/>
      <c r="RWM121" s="7"/>
      <c r="SFX121" s="7"/>
      <c r="SFY121" s="7"/>
      <c r="SFZ121" s="7"/>
      <c r="SGA121" s="7"/>
      <c r="SGB121" s="7"/>
      <c r="SGC121" s="7"/>
      <c r="SGD121" s="7"/>
      <c r="SGE121" s="7"/>
      <c r="SGF121" s="7"/>
      <c r="SGG121" s="7"/>
      <c r="SGH121" s="7"/>
      <c r="SGI121" s="7"/>
      <c r="SPT121" s="7"/>
      <c r="SPU121" s="7"/>
      <c r="SPV121" s="7"/>
      <c r="SPW121" s="7"/>
      <c r="SPX121" s="7"/>
      <c r="SPY121" s="7"/>
      <c r="SPZ121" s="7"/>
      <c r="SQA121" s="7"/>
      <c r="SQB121" s="7"/>
      <c r="SQC121" s="7"/>
      <c r="SQD121" s="7"/>
      <c r="SQE121" s="7"/>
      <c r="SZP121" s="7"/>
      <c r="SZQ121" s="7"/>
      <c r="SZR121" s="7"/>
      <c r="SZS121" s="7"/>
      <c r="SZT121" s="7"/>
      <c r="SZU121" s="7"/>
      <c r="SZV121" s="7"/>
      <c r="SZW121" s="7"/>
      <c r="SZX121" s="7"/>
      <c r="SZY121" s="7"/>
      <c r="SZZ121" s="7"/>
      <c r="TAA121" s="7"/>
      <c r="TJL121" s="7"/>
      <c r="TJM121" s="7"/>
      <c r="TJN121" s="7"/>
      <c r="TJO121" s="7"/>
      <c r="TJP121" s="7"/>
      <c r="TJQ121" s="7"/>
      <c r="TJR121" s="7"/>
      <c r="TJS121" s="7"/>
      <c r="TJT121" s="7"/>
      <c r="TJU121" s="7"/>
      <c r="TJV121" s="7"/>
      <c r="TJW121" s="7"/>
      <c r="TTH121" s="7"/>
      <c r="TTI121" s="7"/>
      <c r="TTJ121" s="7"/>
      <c r="TTK121" s="7"/>
      <c r="TTL121" s="7"/>
      <c r="TTM121" s="7"/>
      <c r="TTN121" s="7"/>
      <c r="TTO121" s="7"/>
      <c r="TTP121" s="7"/>
      <c r="TTQ121" s="7"/>
      <c r="TTR121" s="7"/>
      <c r="TTS121" s="7"/>
      <c r="UDD121" s="7"/>
      <c r="UDE121" s="7"/>
      <c r="UDF121" s="7"/>
      <c r="UDG121" s="7"/>
      <c r="UDH121" s="7"/>
      <c r="UDI121" s="7"/>
      <c r="UDJ121" s="7"/>
      <c r="UDK121" s="7"/>
      <c r="UDL121" s="7"/>
      <c r="UDM121" s="7"/>
      <c r="UDN121" s="7"/>
      <c r="UDO121" s="7"/>
      <c r="UMZ121" s="7"/>
      <c r="UNA121" s="7"/>
      <c r="UNB121" s="7"/>
      <c r="UNC121" s="7"/>
      <c r="UND121" s="7"/>
      <c r="UNE121" s="7"/>
      <c r="UNF121" s="7"/>
      <c r="UNG121" s="7"/>
      <c r="UNH121" s="7"/>
      <c r="UNI121" s="7"/>
      <c r="UNJ121" s="7"/>
      <c r="UNK121" s="7"/>
      <c r="UWV121" s="7"/>
      <c r="UWW121" s="7"/>
      <c r="UWX121" s="7"/>
      <c r="UWY121" s="7"/>
      <c r="UWZ121" s="7"/>
      <c r="UXA121" s="7"/>
      <c r="UXB121" s="7"/>
      <c r="UXC121" s="7"/>
      <c r="UXD121" s="7"/>
      <c r="UXE121" s="7"/>
      <c r="UXF121" s="7"/>
      <c r="UXG121" s="7"/>
      <c r="VGR121" s="7"/>
      <c r="VGS121" s="7"/>
      <c r="VGT121" s="7"/>
      <c r="VGU121" s="7"/>
      <c r="VGV121" s="7"/>
      <c r="VGW121" s="7"/>
      <c r="VGX121" s="7"/>
      <c r="VGY121" s="7"/>
      <c r="VGZ121" s="7"/>
      <c r="VHA121" s="7"/>
      <c r="VHB121" s="7"/>
      <c r="VHC121" s="7"/>
      <c r="VQN121" s="7"/>
      <c r="VQO121" s="7"/>
      <c r="VQP121" s="7"/>
      <c r="VQQ121" s="7"/>
      <c r="VQR121" s="7"/>
      <c r="VQS121" s="7"/>
      <c r="VQT121" s="7"/>
      <c r="VQU121" s="7"/>
      <c r="VQV121" s="7"/>
      <c r="VQW121" s="7"/>
      <c r="VQX121" s="7"/>
      <c r="VQY121" s="7"/>
      <c r="WAJ121" s="7"/>
      <c r="WAK121" s="7"/>
      <c r="WAL121" s="7"/>
      <c r="WAM121" s="7"/>
      <c r="WAN121" s="7"/>
      <c r="WAO121" s="7"/>
      <c r="WAP121" s="7"/>
      <c r="WAQ121" s="7"/>
      <c r="WAR121" s="7"/>
      <c r="WAS121" s="7"/>
      <c r="WAT121" s="7"/>
      <c r="WAU121" s="7"/>
      <c r="WKF121" s="7"/>
      <c r="WKG121" s="7"/>
      <c r="WKH121" s="7"/>
      <c r="WKI121" s="7"/>
      <c r="WKJ121" s="7"/>
      <c r="WKK121" s="7"/>
      <c r="WKL121" s="7"/>
      <c r="WKM121" s="7"/>
      <c r="WKN121" s="7"/>
      <c r="WKO121" s="7"/>
      <c r="WKP121" s="7"/>
      <c r="WKQ121" s="7"/>
      <c r="WUB121" s="7"/>
      <c r="WUC121" s="7"/>
      <c r="WUD121" s="7"/>
      <c r="WUE121" s="7"/>
      <c r="WUF121" s="7"/>
      <c r="WUG121" s="7"/>
      <c r="WUH121" s="7"/>
      <c r="WUI121" s="7"/>
      <c r="WUJ121" s="7"/>
      <c r="WUK121" s="7"/>
      <c r="WUL121" s="7"/>
      <c r="WUM121" s="7"/>
    </row>
    <row r="122" spans="1:1003 1248:2027 2272:3051 3296:4075 4320:5099 5344:6123 6368:7147 7392:8171 8416:9195 9440:10219 10464:11243 11488:12267 12512:13291 13536:14315 14560:15339 15584:16107" ht="30" customHeight="1">
      <c r="A122" s="45"/>
      <c r="H122" s="159"/>
      <c r="I122" s="196"/>
      <c r="J122" s="161"/>
      <c r="K122" s="196"/>
      <c r="L122" s="211">
        <f>Table113[[#This Row],[Qty 2]]+Table113[[#This Row],[Qty 1]]</f>
        <v>0</v>
      </c>
      <c r="M122" s="216"/>
      <c r="N122" s="216">
        <f>Table113[[#This Row],[Unit Cost]]*Table113[[#This Row],[Total Qty All Areas]]</f>
        <v>0</v>
      </c>
    </row>
    <row r="123" spans="1:1003 1248:2027 2272:3051 3296:4075 4320:5099 5344:6123 6368:7147 7392:8171 8416:9195 9440:10219 10464:11243 11488:12267 12512:13291 13536:14315 14560:15339 15584:16107" ht="30" customHeight="1">
      <c r="A123" s="45"/>
      <c r="H123" s="159"/>
      <c r="I123" s="196"/>
      <c r="J123" s="161"/>
      <c r="K123" s="196"/>
      <c r="L123" s="211">
        <f>Table113[[#This Row],[Qty 2]]+Table113[[#This Row],[Qty 1]]</f>
        <v>0</v>
      </c>
      <c r="M123" s="216"/>
      <c r="N123" s="216">
        <f>Table113[[#This Row],[Unit Cost]]*Table113[[#This Row],[Total Qty All Areas]]</f>
        <v>0</v>
      </c>
    </row>
    <row r="124" spans="1:1003 1248:2027 2272:3051 3296:4075 4320:5099 5344:6123 6368:7147 7392:8171 8416:9195 9440:10219 10464:11243 11488:12267 12512:13291 13536:14315 14560:15339 15584:16107" ht="30" customHeight="1">
      <c r="A124" s="176"/>
      <c r="D124" s="169"/>
      <c r="E124" s="169"/>
      <c r="F124" s="303"/>
      <c r="H124" s="159"/>
      <c r="I124" s="196"/>
      <c r="J124" s="161"/>
      <c r="K124" s="196"/>
      <c r="L124" s="211">
        <f>Table113[[#This Row],[Qty 2]]+Table113[[#This Row],[Qty 1]]</f>
        <v>0</v>
      </c>
      <c r="M124" s="216"/>
      <c r="N124" s="216">
        <f>Table113[[#This Row],[Unit Cost]]*Table113[[#This Row],[Total Qty All Areas]]</f>
        <v>0</v>
      </c>
    </row>
    <row r="125" spans="1:1003 1248:2027 2272:3051 3296:4075 4320:5099 5344:6123 6368:7147 7392:8171 8416:9195 9440:10219 10464:11243 11488:12267 12512:13291 13536:14315 14560:15339 15584:16107" s="167" customFormat="1" ht="30" customHeight="1">
      <c r="A125" s="175" t="str">
        <f>'Category Setup'!L56</f>
        <v>PF_CA</v>
      </c>
      <c r="B125" s="167" t="str">
        <f>'Category Setup'!E56</f>
        <v>PF_CA_Part Finished_Crush Assemblies</v>
      </c>
      <c r="C125" s="167" t="str">
        <f>'Category Setup'!N56</f>
        <v>PF_CA_Part Finished_Crush Assemblies</v>
      </c>
      <c r="D125" s="168"/>
      <c r="E125" s="168"/>
      <c r="F125" s="172"/>
      <c r="G125" s="172"/>
      <c r="H125" s="173"/>
      <c r="I125" s="197"/>
      <c r="J125" s="174"/>
      <c r="K125" s="197"/>
      <c r="L125" s="213">
        <f>Table113[[#This Row],[Qty 2]]+Table113[[#This Row],[Qty 1]]</f>
        <v>0</v>
      </c>
      <c r="M125" s="215"/>
      <c r="N125" s="215">
        <f>Table113[[#This Row],[Unit Cost]]*Table113[[#This Row],[Total Qty All Areas]]</f>
        <v>0</v>
      </c>
      <c r="HP125" s="7"/>
      <c r="HQ125" s="7"/>
      <c r="HR125" s="7"/>
      <c r="HS125" s="7"/>
      <c r="HT125" s="7"/>
      <c r="HU125" s="7"/>
      <c r="HV125" s="7"/>
      <c r="HW125" s="7"/>
      <c r="HX125" s="7"/>
      <c r="HY125" s="7"/>
      <c r="HZ125" s="7"/>
      <c r="IA125" s="7"/>
      <c r="RL125" s="7"/>
      <c r="RM125" s="7"/>
      <c r="RN125" s="7"/>
      <c r="RO125" s="7"/>
      <c r="RP125" s="7"/>
      <c r="RQ125" s="7"/>
      <c r="RR125" s="7"/>
      <c r="RS125" s="7"/>
      <c r="RT125" s="7"/>
      <c r="RU125" s="7"/>
      <c r="RV125" s="7"/>
      <c r="RW125" s="7"/>
      <c r="ABH125" s="7"/>
      <c r="ABI125" s="7"/>
      <c r="ABJ125" s="7"/>
      <c r="ABK125" s="7"/>
      <c r="ABL125" s="7"/>
      <c r="ABM125" s="7"/>
      <c r="ABN125" s="7"/>
      <c r="ABO125" s="7"/>
      <c r="ABP125" s="7"/>
      <c r="ABQ125" s="7"/>
      <c r="ABR125" s="7"/>
      <c r="ABS125" s="7"/>
      <c r="ALD125" s="7"/>
      <c r="ALE125" s="7"/>
      <c r="ALF125" s="7"/>
      <c r="ALG125" s="7"/>
      <c r="ALH125" s="7"/>
      <c r="ALI125" s="7"/>
      <c r="ALJ125" s="7"/>
      <c r="ALK125" s="7"/>
      <c r="ALL125" s="7"/>
      <c r="ALM125" s="7"/>
      <c r="ALN125" s="7"/>
      <c r="ALO125" s="7"/>
      <c r="AUZ125" s="7"/>
      <c r="AVA125" s="7"/>
      <c r="AVB125" s="7"/>
      <c r="AVC125" s="7"/>
      <c r="AVD125" s="7"/>
      <c r="AVE125" s="7"/>
      <c r="AVF125" s="7"/>
      <c r="AVG125" s="7"/>
      <c r="AVH125" s="7"/>
      <c r="AVI125" s="7"/>
      <c r="AVJ125" s="7"/>
      <c r="AVK125" s="7"/>
      <c r="BEV125" s="7"/>
      <c r="BEW125" s="7"/>
      <c r="BEX125" s="7"/>
      <c r="BEY125" s="7"/>
      <c r="BEZ125" s="7"/>
      <c r="BFA125" s="7"/>
      <c r="BFB125" s="7"/>
      <c r="BFC125" s="7"/>
      <c r="BFD125" s="7"/>
      <c r="BFE125" s="7"/>
      <c r="BFF125" s="7"/>
      <c r="BFG125" s="7"/>
      <c r="BOR125" s="7"/>
      <c r="BOS125" s="7"/>
      <c r="BOT125" s="7"/>
      <c r="BOU125" s="7"/>
      <c r="BOV125" s="7"/>
      <c r="BOW125" s="7"/>
      <c r="BOX125" s="7"/>
      <c r="BOY125" s="7"/>
      <c r="BOZ125" s="7"/>
      <c r="BPA125" s="7"/>
      <c r="BPB125" s="7"/>
      <c r="BPC125" s="7"/>
      <c r="BYN125" s="7"/>
      <c r="BYO125" s="7"/>
      <c r="BYP125" s="7"/>
      <c r="BYQ125" s="7"/>
      <c r="BYR125" s="7"/>
      <c r="BYS125" s="7"/>
      <c r="BYT125" s="7"/>
      <c r="BYU125" s="7"/>
      <c r="BYV125" s="7"/>
      <c r="BYW125" s="7"/>
      <c r="BYX125" s="7"/>
      <c r="BYY125" s="7"/>
      <c r="CIJ125" s="7"/>
      <c r="CIK125" s="7"/>
      <c r="CIL125" s="7"/>
      <c r="CIM125" s="7"/>
      <c r="CIN125" s="7"/>
      <c r="CIO125" s="7"/>
      <c r="CIP125" s="7"/>
      <c r="CIQ125" s="7"/>
      <c r="CIR125" s="7"/>
      <c r="CIS125" s="7"/>
      <c r="CIT125" s="7"/>
      <c r="CIU125" s="7"/>
      <c r="CSF125" s="7"/>
      <c r="CSG125" s="7"/>
      <c r="CSH125" s="7"/>
      <c r="CSI125" s="7"/>
      <c r="CSJ125" s="7"/>
      <c r="CSK125" s="7"/>
      <c r="CSL125" s="7"/>
      <c r="CSM125" s="7"/>
      <c r="CSN125" s="7"/>
      <c r="CSO125" s="7"/>
      <c r="CSP125" s="7"/>
      <c r="CSQ125" s="7"/>
      <c r="DCB125" s="7"/>
      <c r="DCC125" s="7"/>
      <c r="DCD125" s="7"/>
      <c r="DCE125" s="7"/>
      <c r="DCF125" s="7"/>
      <c r="DCG125" s="7"/>
      <c r="DCH125" s="7"/>
      <c r="DCI125" s="7"/>
      <c r="DCJ125" s="7"/>
      <c r="DCK125" s="7"/>
      <c r="DCL125" s="7"/>
      <c r="DCM125" s="7"/>
      <c r="DLX125" s="7"/>
      <c r="DLY125" s="7"/>
      <c r="DLZ125" s="7"/>
      <c r="DMA125" s="7"/>
      <c r="DMB125" s="7"/>
      <c r="DMC125" s="7"/>
      <c r="DMD125" s="7"/>
      <c r="DME125" s="7"/>
      <c r="DMF125" s="7"/>
      <c r="DMG125" s="7"/>
      <c r="DMH125" s="7"/>
      <c r="DMI125" s="7"/>
      <c r="DVT125" s="7"/>
      <c r="DVU125" s="7"/>
      <c r="DVV125" s="7"/>
      <c r="DVW125" s="7"/>
      <c r="DVX125" s="7"/>
      <c r="DVY125" s="7"/>
      <c r="DVZ125" s="7"/>
      <c r="DWA125" s="7"/>
      <c r="DWB125" s="7"/>
      <c r="DWC125" s="7"/>
      <c r="DWD125" s="7"/>
      <c r="DWE125" s="7"/>
      <c r="EFP125" s="7"/>
      <c r="EFQ125" s="7"/>
      <c r="EFR125" s="7"/>
      <c r="EFS125" s="7"/>
      <c r="EFT125" s="7"/>
      <c r="EFU125" s="7"/>
      <c r="EFV125" s="7"/>
      <c r="EFW125" s="7"/>
      <c r="EFX125" s="7"/>
      <c r="EFY125" s="7"/>
      <c r="EFZ125" s="7"/>
      <c r="EGA125" s="7"/>
      <c r="EPL125" s="7"/>
      <c r="EPM125" s="7"/>
      <c r="EPN125" s="7"/>
      <c r="EPO125" s="7"/>
      <c r="EPP125" s="7"/>
      <c r="EPQ125" s="7"/>
      <c r="EPR125" s="7"/>
      <c r="EPS125" s="7"/>
      <c r="EPT125" s="7"/>
      <c r="EPU125" s="7"/>
      <c r="EPV125" s="7"/>
      <c r="EPW125" s="7"/>
      <c r="EZH125" s="7"/>
      <c r="EZI125" s="7"/>
      <c r="EZJ125" s="7"/>
      <c r="EZK125" s="7"/>
      <c r="EZL125" s="7"/>
      <c r="EZM125" s="7"/>
      <c r="EZN125" s="7"/>
      <c r="EZO125" s="7"/>
      <c r="EZP125" s="7"/>
      <c r="EZQ125" s="7"/>
      <c r="EZR125" s="7"/>
      <c r="EZS125" s="7"/>
      <c r="FJD125" s="7"/>
      <c r="FJE125" s="7"/>
      <c r="FJF125" s="7"/>
      <c r="FJG125" s="7"/>
      <c r="FJH125" s="7"/>
      <c r="FJI125" s="7"/>
      <c r="FJJ125" s="7"/>
      <c r="FJK125" s="7"/>
      <c r="FJL125" s="7"/>
      <c r="FJM125" s="7"/>
      <c r="FJN125" s="7"/>
      <c r="FJO125" s="7"/>
      <c r="FSZ125" s="7"/>
      <c r="FTA125" s="7"/>
      <c r="FTB125" s="7"/>
      <c r="FTC125" s="7"/>
      <c r="FTD125" s="7"/>
      <c r="FTE125" s="7"/>
      <c r="FTF125" s="7"/>
      <c r="FTG125" s="7"/>
      <c r="FTH125" s="7"/>
      <c r="FTI125" s="7"/>
      <c r="FTJ125" s="7"/>
      <c r="FTK125" s="7"/>
      <c r="GCV125" s="7"/>
      <c r="GCW125" s="7"/>
      <c r="GCX125" s="7"/>
      <c r="GCY125" s="7"/>
      <c r="GCZ125" s="7"/>
      <c r="GDA125" s="7"/>
      <c r="GDB125" s="7"/>
      <c r="GDC125" s="7"/>
      <c r="GDD125" s="7"/>
      <c r="GDE125" s="7"/>
      <c r="GDF125" s="7"/>
      <c r="GDG125" s="7"/>
      <c r="GMR125" s="7"/>
      <c r="GMS125" s="7"/>
      <c r="GMT125" s="7"/>
      <c r="GMU125" s="7"/>
      <c r="GMV125" s="7"/>
      <c r="GMW125" s="7"/>
      <c r="GMX125" s="7"/>
      <c r="GMY125" s="7"/>
      <c r="GMZ125" s="7"/>
      <c r="GNA125" s="7"/>
      <c r="GNB125" s="7"/>
      <c r="GNC125" s="7"/>
      <c r="GWN125" s="7"/>
      <c r="GWO125" s="7"/>
      <c r="GWP125" s="7"/>
      <c r="GWQ125" s="7"/>
      <c r="GWR125" s="7"/>
      <c r="GWS125" s="7"/>
      <c r="GWT125" s="7"/>
      <c r="GWU125" s="7"/>
      <c r="GWV125" s="7"/>
      <c r="GWW125" s="7"/>
      <c r="GWX125" s="7"/>
      <c r="GWY125" s="7"/>
      <c r="HGJ125" s="7"/>
      <c r="HGK125" s="7"/>
      <c r="HGL125" s="7"/>
      <c r="HGM125" s="7"/>
      <c r="HGN125" s="7"/>
      <c r="HGO125" s="7"/>
      <c r="HGP125" s="7"/>
      <c r="HGQ125" s="7"/>
      <c r="HGR125" s="7"/>
      <c r="HGS125" s="7"/>
      <c r="HGT125" s="7"/>
      <c r="HGU125" s="7"/>
      <c r="HQF125" s="7"/>
      <c r="HQG125" s="7"/>
      <c r="HQH125" s="7"/>
      <c r="HQI125" s="7"/>
      <c r="HQJ125" s="7"/>
      <c r="HQK125" s="7"/>
      <c r="HQL125" s="7"/>
      <c r="HQM125" s="7"/>
      <c r="HQN125" s="7"/>
      <c r="HQO125" s="7"/>
      <c r="HQP125" s="7"/>
      <c r="HQQ125" s="7"/>
      <c r="IAB125" s="7"/>
      <c r="IAC125" s="7"/>
      <c r="IAD125" s="7"/>
      <c r="IAE125" s="7"/>
      <c r="IAF125" s="7"/>
      <c r="IAG125" s="7"/>
      <c r="IAH125" s="7"/>
      <c r="IAI125" s="7"/>
      <c r="IAJ125" s="7"/>
      <c r="IAK125" s="7"/>
      <c r="IAL125" s="7"/>
      <c r="IAM125" s="7"/>
      <c r="IJX125" s="7"/>
      <c r="IJY125" s="7"/>
      <c r="IJZ125" s="7"/>
      <c r="IKA125" s="7"/>
      <c r="IKB125" s="7"/>
      <c r="IKC125" s="7"/>
      <c r="IKD125" s="7"/>
      <c r="IKE125" s="7"/>
      <c r="IKF125" s="7"/>
      <c r="IKG125" s="7"/>
      <c r="IKH125" s="7"/>
      <c r="IKI125" s="7"/>
      <c r="ITT125" s="7"/>
      <c r="ITU125" s="7"/>
      <c r="ITV125" s="7"/>
      <c r="ITW125" s="7"/>
      <c r="ITX125" s="7"/>
      <c r="ITY125" s="7"/>
      <c r="ITZ125" s="7"/>
      <c r="IUA125" s="7"/>
      <c r="IUB125" s="7"/>
      <c r="IUC125" s="7"/>
      <c r="IUD125" s="7"/>
      <c r="IUE125" s="7"/>
      <c r="JDP125" s="7"/>
      <c r="JDQ125" s="7"/>
      <c r="JDR125" s="7"/>
      <c r="JDS125" s="7"/>
      <c r="JDT125" s="7"/>
      <c r="JDU125" s="7"/>
      <c r="JDV125" s="7"/>
      <c r="JDW125" s="7"/>
      <c r="JDX125" s="7"/>
      <c r="JDY125" s="7"/>
      <c r="JDZ125" s="7"/>
      <c r="JEA125" s="7"/>
      <c r="JNL125" s="7"/>
      <c r="JNM125" s="7"/>
      <c r="JNN125" s="7"/>
      <c r="JNO125" s="7"/>
      <c r="JNP125" s="7"/>
      <c r="JNQ125" s="7"/>
      <c r="JNR125" s="7"/>
      <c r="JNS125" s="7"/>
      <c r="JNT125" s="7"/>
      <c r="JNU125" s="7"/>
      <c r="JNV125" s="7"/>
      <c r="JNW125" s="7"/>
      <c r="JXH125" s="7"/>
      <c r="JXI125" s="7"/>
      <c r="JXJ125" s="7"/>
      <c r="JXK125" s="7"/>
      <c r="JXL125" s="7"/>
      <c r="JXM125" s="7"/>
      <c r="JXN125" s="7"/>
      <c r="JXO125" s="7"/>
      <c r="JXP125" s="7"/>
      <c r="JXQ125" s="7"/>
      <c r="JXR125" s="7"/>
      <c r="JXS125" s="7"/>
      <c r="KHD125" s="7"/>
      <c r="KHE125" s="7"/>
      <c r="KHF125" s="7"/>
      <c r="KHG125" s="7"/>
      <c r="KHH125" s="7"/>
      <c r="KHI125" s="7"/>
      <c r="KHJ125" s="7"/>
      <c r="KHK125" s="7"/>
      <c r="KHL125" s="7"/>
      <c r="KHM125" s="7"/>
      <c r="KHN125" s="7"/>
      <c r="KHO125" s="7"/>
      <c r="KQZ125" s="7"/>
      <c r="KRA125" s="7"/>
      <c r="KRB125" s="7"/>
      <c r="KRC125" s="7"/>
      <c r="KRD125" s="7"/>
      <c r="KRE125" s="7"/>
      <c r="KRF125" s="7"/>
      <c r="KRG125" s="7"/>
      <c r="KRH125" s="7"/>
      <c r="KRI125" s="7"/>
      <c r="KRJ125" s="7"/>
      <c r="KRK125" s="7"/>
      <c r="LAV125" s="7"/>
      <c r="LAW125" s="7"/>
      <c r="LAX125" s="7"/>
      <c r="LAY125" s="7"/>
      <c r="LAZ125" s="7"/>
      <c r="LBA125" s="7"/>
      <c r="LBB125" s="7"/>
      <c r="LBC125" s="7"/>
      <c r="LBD125" s="7"/>
      <c r="LBE125" s="7"/>
      <c r="LBF125" s="7"/>
      <c r="LBG125" s="7"/>
      <c r="LKR125" s="7"/>
      <c r="LKS125" s="7"/>
      <c r="LKT125" s="7"/>
      <c r="LKU125" s="7"/>
      <c r="LKV125" s="7"/>
      <c r="LKW125" s="7"/>
      <c r="LKX125" s="7"/>
      <c r="LKY125" s="7"/>
      <c r="LKZ125" s="7"/>
      <c r="LLA125" s="7"/>
      <c r="LLB125" s="7"/>
      <c r="LLC125" s="7"/>
      <c r="LUN125" s="7"/>
      <c r="LUO125" s="7"/>
      <c r="LUP125" s="7"/>
      <c r="LUQ125" s="7"/>
      <c r="LUR125" s="7"/>
      <c r="LUS125" s="7"/>
      <c r="LUT125" s="7"/>
      <c r="LUU125" s="7"/>
      <c r="LUV125" s="7"/>
      <c r="LUW125" s="7"/>
      <c r="LUX125" s="7"/>
      <c r="LUY125" s="7"/>
      <c r="MEJ125" s="7"/>
      <c r="MEK125" s="7"/>
      <c r="MEL125" s="7"/>
      <c r="MEM125" s="7"/>
      <c r="MEN125" s="7"/>
      <c r="MEO125" s="7"/>
      <c r="MEP125" s="7"/>
      <c r="MEQ125" s="7"/>
      <c r="MER125" s="7"/>
      <c r="MES125" s="7"/>
      <c r="MET125" s="7"/>
      <c r="MEU125" s="7"/>
      <c r="MOF125" s="7"/>
      <c r="MOG125" s="7"/>
      <c r="MOH125" s="7"/>
      <c r="MOI125" s="7"/>
      <c r="MOJ125" s="7"/>
      <c r="MOK125" s="7"/>
      <c r="MOL125" s="7"/>
      <c r="MOM125" s="7"/>
      <c r="MON125" s="7"/>
      <c r="MOO125" s="7"/>
      <c r="MOP125" s="7"/>
      <c r="MOQ125" s="7"/>
      <c r="MYB125" s="7"/>
      <c r="MYC125" s="7"/>
      <c r="MYD125" s="7"/>
      <c r="MYE125" s="7"/>
      <c r="MYF125" s="7"/>
      <c r="MYG125" s="7"/>
      <c r="MYH125" s="7"/>
      <c r="MYI125" s="7"/>
      <c r="MYJ125" s="7"/>
      <c r="MYK125" s="7"/>
      <c r="MYL125" s="7"/>
      <c r="MYM125" s="7"/>
      <c r="NHX125" s="7"/>
      <c r="NHY125" s="7"/>
      <c r="NHZ125" s="7"/>
      <c r="NIA125" s="7"/>
      <c r="NIB125" s="7"/>
      <c r="NIC125" s="7"/>
      <c r="NID125" s="7"/>
      <c r="NIE125" s="7"/>
      <c r="NIF125" s="7"/>
      <c r="NIG125" s="7"/>
      <c r="NIH125" s="7"/>
      <c r="NII125" s="7"/>
      <c r="NRT125" s="7"/>
      <c r="NRU125" s="7"/>
      <c r="NRV125" s="7"/>
      <c r="NRW125" s="7"/>
      <c r="NRX125" s="7"/>
      <c r="NRY125" s="7"/>
      <c r="NRZ125" s="7"/>
      <c r="NSA125" s="7"/>
      <c r="NSB125" s="7"/>
      <c r="NSC125" s="7"/>
      <c r="NSD125" s="7"/>
      <c r="NSE125" s="7"/>
      <c r="OBP125" s="7"/>
      <c r="OBQ125" s="7"/>
      <c r="OBR125" s="7"/>
      <c r="OBS125" s="7"/>
      <c r="OBT125" s="7"/>
      <c r="OBU125" s="7"/>
      <c r="OBV125" s="7"/>
      <c r="OBW125" s="7"/>
      <c r="OBX125" s="7"/>
      <c r="OBY125" s="7"/>
      <c r="OBZ125" s="7"/>
      <c r="OCA125" s="7"/>
      <c r="OLL125" s="7"/>
      <c r="OLM125" s="7"/>
      <c r="OLN125" s="7"/>
      <c r="OLO125" s="7"/>
      <c r="OLP125" s="7"/>
      <c r="OLQ125" s="7"/>
      <c r="OLR125" s="7"/>
      <c r="OLS125" s="7"/>
      <c r="OLT125" s="7"/>
      <c r="OLU125" s="7"/>
      <c r="OLV125" s="7"/>
      <c r="OLW125" s="7"/>
      <c r="OVH125" s="7"/>
      <c r="OVI125" s="7"/>
      <c r="OVJ125" s="7"/>
      <c r="OVK125" s="7"/>
      <c r="OVL125" s="7"/>
      <c r="OVM125" s="7"/>
      <c r="OVN125" s="7"/>
      <c r="OVO125" s="7"/>
      <c r="OVP125" s="7"/>
      <c r="OVQ125" s="7"/>
      <c r="OVR125" s="7"/>
      <c r="OVS125" s="7"/>
      <c r="PFD125" s="7"/>
      <c r="PFE125" s="7"/>
      <c r="PFF125" s="7"/>
      <c r="PFG125" s="7"/>
      <c r="PFH125" s="7"/>
      <c r="PFI125" s="7"/>
      <c r="PFJ125" s="7"/>
      <c r="PFK125" s="7"/>
      <c r="PFL125" s="7"/>
      <c r="PFM125" s="7"/>
      <c r="PFN125" s="7"/>
      <c r="PFO125" s="7"/>
      <c r="POZ125" s="7"/>
      <c r="PPA125" s="7"/>
      <c r="PPB125" s="7"/>
      <c r="PPC125" s="7"/>
      <c r="PPD125" s="7"/>
      <c r="PPE125" s="7"/>
      <c r="PPF125" s="7"/>
      <c r="PPG125" s="7"/>
      <c r="PPH125" s="7"/>
      <c r="PPI125" s="7"/>
      <c r="PPJ125" s="7"/>
      <c r="PPK125" s="7"/>
      <c r="PYV125" s="7"/>
      <c r="PYW125" s="7"/>
      <c r="PYX125" s="7"/>
      <c r="PYY125" s="7"/>
      <c r="PYZ125" s="7"/>
      <c r="PZA125" s="7"/>
      <c r="PZB125" s="7"/>
      <c r="PZC125" s="7"/>
      <c r="PZD125" s="7"/>
      <c r="PZE125" s="7"/>
      <c r="PZF125" s="7"/>
      <c r="PZG125" s="7"/>
      <c r="QIR125" s="7"/>
      <c r="QIS125" s="7"/>
      <c r="QIT125" s="7"/>
      <c r="QIU125" s="7"/>
      <c r="QIV125" s="7"/>
      <c r="QIW125" s="7"/>
      <c r="QIX125" s="7"/>
      <c r="QIY125" s="7"/>
      <c r="QIZ125" s="7"/>
      <c r="QJA125" s="7"/>
      <c r="QJB125" s="7"/>
      <c r="QJC125" s="7"/>
      <c r="QSN125" s="7"/>
      <c r="QSO125" s="7"/>
      <c r="QSP125" s="7"/>
      <c r="QSQ125" s="7"/>
      <c r="QSR125" s="7"/>
      <c r="QSS125" s="7"/>
      <c r="QST125" s="7"/>
      <c r="QSU125" s="7"/>
      <c r="QSV125" s="7"/>
      <c r="QSW125" s="7"/>
      <c r="QSX125" s="7"/>
      <c r="QSY125" s="7"/>
      <c r="RCJ125" s="7"/>
      <c r="RCK125" s="7"/>
      <c r="RCL125" s="7"/>
      <c r="RCM125" s="7"/>
      <c r="RCN125" s="7"/>
      <c r="RCO125" s="7"/>
      <c r="RCP125" s="7"/>
      <c r="RCQ125" s="7"/>
      <c r="RCR125" s="7"/>
      <c r="RCS125" s="7"/>
      <c r="RCT125" s="7"/>
      <c r="RCU125" s="7"/>
      <c r="RMF125" s="7"/>
      <c r="RMG125" s="7"/>
      <c r="RMH125" s="7"/>
      <c r="RMI125" s="7"/>
      <c r="RMJ125" s="7"/>
      <c r="RMK125" s="7"/>
      <c r="RML125" s="7"/>
      <c r="RMM125" s="7"/>
      <c r="RMN125" s="7"/>
      <c r="RMO125" s="7"/>
      <c r="RMP125" s="7"/>
      <c r="RMQ125" s="7"/>
      <c r="RWB125" s="7"/>
      <c r="RWC125" s="7"/>
      <c r="RWD125" s="7"/>
      <c r="RWE125" s="7"/>
      <c r="RWF125" s="7"/>
      <c r="RWG125" s="7"/>
      <c r="RWH125" s="7"/>
      <c r="RWI125" s="7"/>
      <c r="RWJ125" s="7"/>
      <c r="RWK125" s="7"/>
      <c r="RWL125" s="7"/>
      <c r="RWM125" s="7"/>
      <c r="SFX125" s="7"/>
      <c r="SFY125" s="7"/>
      <c r="SFZ125" s="7"/>
      <c r="SGA125" s="7"/>
      <c r="SGB125" s="7"/>
      <c r="SGC125" s="7"/>
      <c r="SGD125" s="7"/>
      <c r="SGE125" s="7"/>
      <c r="SGF125" s="7"/>
      <c r="SGG125" s="7"/>
      <c r="SGH125" s="7"/>
      <c r="SGI125" s="7"/>
      <c r="SPT125" s="7"/>
      <c r="SPU125" s="7"/>
      <c r="SPV125" s="7"/>
      <c r="SPW125" s="7"/>
      <c r="SPX125" s="7"/>
      <c r="SPY125" s="7"/>
      <c r="SPZ125" s="7"/>
      <c r="SQA125" s="7"/>
      <c r="SQB125" s="7"/>
      <c r="SQC125" s="7"/>
      <c r="SQD125" s="7"/>
      <c r="SQE125" s="7"/>
      <c r="SZP125" s="7"/>
      <c r="SZQ125" s="7"/>
      <c r="SZR125" s="7"/>
      <c r="SZS125" s="7"/>
      <c r="SZT125" s="7"/>
      <c r="SZU125" s="7"/>
      <c r="SZV125" s="7"/>
      <c r="SZW125" s="7"/>
      <c r="SZX125" s="7"/>
      <c r="SZY125" s="7"/>
      <c r="SZZ125" s="7"/>
      <c r="TAA125" s="7"/>
      <c r="TJL125" s="7"/>
      <c r="TJM125" s="7"/>
      <c r="TJN125" s="7"/>
      <c r="TJO125" s="7"/>
      <c r="TJP125" s="7"/>
      <c r="TJQ125" s="7"/>
      <c r="TJR125" s="7"/>
      <c r="TJS125" s="7"/>
      <c r="TJT125" s="7"/>
      <c r="TJU125" s="7"/>
      <c r="TJV125" s="7"/>
      <c r="TJW125" s="7"/>
      <c r="TTH125" s="7"/>
      <c r="TTI125" s="7"/>
      <c r="TTJ125" s="7"/>
      <c r="TTK125" s="7"/>
      <c r="TTL125" s="7"/>
      <c r="TTM125" s="7"/>
      <c r="TTN125" s="7"/>
      <c r="TTO125" s="7"/>
      <c r="TTP125" s="7"/>
      <c r="TTQ125" s="7"/>
      <c r="TTR125" s="7"/>
      <c r="TTS125" s="7"/>
      <c r="UDD125" s="7"/>
      <c r="UDE125" s="7"/>
      <c r="UDF125" s="7"/>
      <c r="UDG125" s="7"/>
      <c r="UDH125" s="7"/>
      <c r="UDI125" s="7"/>
      <c r="UDJ125" s="7"/>
      <c r="UDK125" s="7"/>
      <c r="UDL125" s="7"/>
      <c r="UDM125" s="7"/>
      <c r="UDN125" s="7"/>
      <c r="UDO125" s="7"/>
      <c r="UMZ125" s="7"/>
      <c r="UNA125" s="7"/>
      <c r="UNB125" s="7"/>
      <c r="UNC125" s="7"/>
      <c r="UND125" s="7"/>
      <c r="UNE125" s="7"/>
      <c r="UNF125" s="7"/>
      <c r="UNG125" s="7"/>
      <c r="UNH125" s="7"/>
      <c r="UNI125" s="7"/>
      <c r="UNJ125" s="7"/>
      <c r="UNK125" s="7"/>
      <c r="UWV125" s="7"/>
      <c r="UWW125" s="7"/>
      <c r="UWX125" s="7"/>
      <c r="UWY125" s="7"/>
      <c r="UWZ125" s="7"/>
      <c r="UXA125" s="7"/>
      <c r="UXB125" s="7"/>
      <c r="UXC125" s="7"/>
      <c r="UXD125" s="7"/>
      <c r="UXE125" s="7"/>
      <c r="UXF125" s="7"/>
      <c r="UXG125" s="7"/>
      <c r="VGR125" s="7"/>
      <c r="VGS125" s="7"/>
      <c r="VGT125" s="7"/>
      <c r="VGU125" s="7"/>
      <c r="VGV125" s="7"/>
      <c r="VGW125" s="7"/>
      <c r="VGX125" s="7"/>
      <c r="VGY125" s="7"/>
      <c r="VGZ125" s="7"/>
      <c r="VHA125" s="7"/>
      <c r="VHB125" s="7"/>
      <c r="VHC125" s="7"/>
      <c r="VQN125" s="7"/>
      <c r="VQO125" s="7"/>
      <c r="VQP125" s="7"/>
      <c r="VQQ125" s="7"/>
      <c r="VQR125" s="7"/>
      <c r="VQS125" s="7"/>
      <c r="VQT125" s="7"/>
      <c r="VQU125" s="7"/>
      <c r="VQV125" s="7"/>
      <c r="VQW125" s="7"/>
      <c r="VQX125" s="7"/>
      <c r="VQY125" s="7"/>
      <c r="WAJ125" s="7"/>
      <c r="WAK125" s="7"/>
      <c r="WAL125" s="7"/>
      <c r="WAM125" s="7"/>
      <c r="WAN125" s="7"/>
      <c r="WAO125" s="7"/>
      <c r="WAP125" s="7"/>
      <c r="WAQ125" s="7"/>
      <c r="WAR125" s="7"/>
      <c r="WAS125" s="7"/>
      <c r="WAT125" s="7"/>
      <c r="WAU125" s="7"/>
      <c r="WKF125" s="7"/>
      <c r="WKG125" s="7"/>
      <c r="WKH125" s="7"/>
      <c r="WKI125" s="7"/>
      <c r="WKJ125" s="7"/>
      <c r="WKK125" s="7"/>
      <c r="WKL125" s="7"/>
      <c r="WKM125" s="7"/>
      <c r="WKN125" s="7"/>
      <c r="WKO125" s="7"/>
      <c r="WKP125" s="7"/>
      <c r="WKQ125" s="7"/>
      <c r="WUB125" s="7"/>
      <c r="WUC125" s="7"/>
      <c r="WUD125" s="7"/>
      <c r="WUE125" s="7"/>
      <c r="WUF125" s="7"/>
      <c r="WUG125" s="7"/>
      <c r="WUH125" s="7"/>
      <c r="WUI125" s="7"/>
      <c r="WUJ125" s="7"/>
      <c r="WUK125" s="7"/>
      <c r="WUL125" s="7"/>
      <c r="WUM125" s="7"/>
    </row>
    <row r="126" spans="1:1003 1248:2027 2272:3051 3296:4075 4320:5099 5344:6123 6368:7147 7392:8171 8416:9195 9440:10219 10464:11243 11488:12267 12512:13291 13536:14315 14560:15339 15584:16107" ht="30" customHeight="1">
      <c r="A126" s="45"/>
      <c r="H126" s="159"/>
      <c r="I126" s="196"/>
      <c r="J126" s="161"/>
      <c r="K126" s="196"/>
      <c r="L126" s="211">
        <f>Table113[[#This Row],[Qty 2]]+Table113[[#This Row],[Qty 1]]</f>
        <v>0</v>
      </c>
      <c r="M126" s="216"/>
      <c r="N126" s="216">
        <f>Table113[[#This Row],[Unit Cost]]*Table113[[#This Row],[Total Qty All Areas]]</f>
        <v>0</v>
      </c>
    </row>
    <row r="127" spans="1:1003 1248:2027 2272:3051 3296:4075 4320:5099 5344:6123 6368:7147 7392:8171 8416:9195 9440:10219 10464:11243 11488:12267 12512:13291 13536:14315 14560:15339 15584:16107" ht="30" customHeight="1">
      <c r="A127" s="45"/>
      <c r="H127" s="159"/>
      <c r="I127" s="196"/>
      <c r="J127" s="161"/>
      <c r="K127" s="196"/>
      <c r="L127" s="211">
        <f>Table113[[#This Row],[Qty 2]]+Table113[[#This Row],[Qty 1]]</f>
        <v>0</v>
      </c>
      <c r="M127" s="216"/>
      <c r="N127" s="216">
        <f>Table113[[#This Row],[Unit Cost]]*Table113[[#This Row],[Total Qty All Areas]]</f>
        <v>0</v>
      </c>
    </row>
    <row r="128" spans="1:1003 1248:2027 2272:3051 3296:4075 4320:5099 5344:6123 6368:7147 7392:8171 8416:9195 9440:10219 10464:11243 11488:12267 12512:13291 13536:14315 14560:15339 15584:16107" ht="30" customHeight="1">
      <c r="A128" s="176"/>
      <c r="D128" s="169"/>
      <c r="E128" s="169"/>
      <c r="F128" s="303"/>
      <c r="H128" s="159"/>
      <c r="I128" s="196"/>
      <c r="J128" s="161"/>
      <c r="K128" s="196"/>
      <c r="L128" s="211">
        <f>Table113[[#This Row],[Qty 2]]+Table113[[#This Row],[Qty 1]]</f>
        <v>0</v>
      </c>
      <c r="M128" s="216"/>
      <c r="N128" s="216">
        <f>Table113[[#This Row],[Unit Cost]]*Table113[[#This Row],[Total Qty All Areas]]</f>
        <v>0</v>
      </c>
    </row>
    <row r="129" spans="1:1003 1248:2027 2272:3051 3296:4075 4320:5099 5344:6123 6368:7147 7392:8171 8416:9195 9440:10219 10464:11243 11488:12267 12512:13291 13536:14315 14560:15339 15584:16107" s="167" customFormat="1" ht="30" customHeight="1">
      <c r="A129" s="175" t="str">
        <f>'Category Setup'!L57</f>
        <v>PF_BT</v>
      </c>
      <c r="B129" s="167" t="str">
        <f>'Category Setup'!E57</f>
        <v>PF_BT_Part Finished_Bale Trailer</v>
      </c>
      <c r="C129" s="167" t="str">
        <f>'Category Setup'!N57</f>
        <v>PF_BT_Part Finished_Bale Trailer</v>
      </c>
      <c r="D129" s="168"/>
      <c r="E129" s="168"/>
      <c r="F129" s="172"/>
      <c r="G129" s="172"/>
      <c r="H129" s="173"/>
      <c r="I129" s="197"/>
      <c r="J129" s="174"/>
      <c r="K129" s="197"/>
      <c r="L129" s="213">
        <f>Table113[[#This Row],[Qty 2]]+Table113[[#This Row],[Qty 1]]</f>
        <v>0</v>
      </c>
      <c r="M129" s="215"/>
      <c r="N129" s="215">
        <f>Table113[[#This Row],[Unit Cost]]*Table113[[#This Row],[Total Qty All Areas]]</f>
        <v>0</v>
      </c>
      <c r="HP129" s="7"/>
      <c r="HQ129" s="7"/>
      <c r="HR129" s="7"/>
      <c r="HS129" s="7"/>
      <c r="HT129" s="7"/>
      <c r="HU129" s="7"/>
      <c r="HV129" s="7"/>
      <c r="HW129" s="7"/>
      <c r="HX129" s="7"/>
      <c r="HY129" s="7"/>
      <c r="HZ129" s="7"/>
      <c r="IA129" s="7"/>
      <c r="RL129" s="7"/>
      <c r="RM129" s="7"/>
      <c r="RN129" s="7"/>
      <c r="RO129" s="7"/>
      <c r="RP129" s="7"/>
      <c r="RQ129" s="7"/>
      <c r="RR129" s="7"/>
      <c r="RS129" s="7"/>
      <c r="RT129" s="7"/>
      <c r="RU129" s="7"/>
      <c r="RV129" s="7"/>
      <c r="RW129" s="7"/>
      <c r="ABH129" s="7"/>
      <c r="ABI129" s="7"/>
      <c r="ABJ129" s="7"/>
      <c r="ABK129" s="7"/>
      <c r="ABL129" s="7"/>
      <c r="ABM129" s="7"/>
      <c r="ABN129" s="7"/>
      <c r="ABO129" s="7"/>
      <c r="ABP129" s="7"/>
      <c r="ABQ129" s="7"/>
      <c r="ABR129" s="7"/>
      <c r="ABS129" s="7"/>
      <c r="ALD129" s="7"/>
      <c r="ALE129" s="7"/>
      <c r="ALF129" s="7"/>
      <c r="ALG129" s="7"/>
      <c r="ALH129" s="7"/>
      <c r="ALI129" s="7"/>
      <c r="ALJ129" s="7"/>
      <c r="ALK129" s="7"/>
      <c r="ALL129" s="7"/>
      <c r="ALM129" s="7"/>
      <c r="ALN129" s="7"/>
      <c r="ALO129" s="7"/>
      <c r="AUZ129" s="7"/>
      <c r="AVA129" s="7"/>
      <c r="AVB129" s="7"/>
      <c r="AVC129" s="7"/>
      <c r="AVD129" s="7"/>
      <c r="AVE129" s="7"/>
      <c r="AVF129" s="7"/>
      <c r="AVG129" s="7"/>
      <c r="AVH129" s="7"/>
      <c r="AVI129" s="7"/>
      <c r="AVJ129" s="7"/>
      <c r="AVK129" s="7"/>
      <c r="BEV129" s="7"/>
      <c r="BEW129" s="7"/>
      <c r="BEX129" s="7"/>
      <c r="BEY129" s="7"/>
      <c r="BEZ129" s="7"/>
      <c r="BFA129" s="7"/>
      <c r="BFB129" s="7"/>
      <c r="BFC129" s="7"/>
      <c r="BFD129" s="7"/>
      <c r="BFE129" s="7"/>
      <c r="BFF129" s="7"/>
      <c r="BFG129" s="7"/>
      <c r="BOR129" s="7"/>
      <c r="BOS129" s="7"/>
      <c r="BOT129" s="7"/>
      <c r="BOU129" s="7"/>
      <c r="BOV129" s="7"/>
      <c r="BOW129" s="7"/>
      <c r="BOX129" s="7"/>
      <c r="BOY129" s="7"/>
      <c r="BOZ129" s="7"/>
      <c r="BPA129" s="7"/>
      <c r="BPB129" s="7"/>
      <c r="BPC129" s="7"/>
      <c r="BYN129" s="7"/>
      <c r="BYO129" s="7"/>
      <c r="BYP129" s="7"/>
      <c r="BYQ129" s="7"/>
      <c r="BYR129" s="7"/>
      <c r="BYS129" s="7"/>
      <c r="BYT129" s="7"/>
      <c r="BYU129" s="7"/>
      <c r="BYV129" s="7"/>
      <c r="BYW129" s="7"/>
      <c r="BYX129" s="7"/>
      <c r="BYY129" s="7"/>
      <c r="CIJ129" s="7"/>
      <c r="CIK129" s="7"/>
      <c r="CIL129" s="7"/>
      <c r="CIM129" s="7"/>
      <c r="CIN129" s="7"/>
      <c r="CIO129" s="7"/>
      <c r="CIP129" s="7"/>
      <c r="CIQ129" s="7"/>
      <c r="CIR129" s="7"/>
      <c r="CIS129" s="7"/>
      <c r="CIT129" s="7"/>
      <c r="CIU129" s="7"/>
      <c r="CSF129" s="7"/>
      <c r="CSG129" s="7"/>
      <c r="CSH129" s="7"/>
      <c r="CSI129" s="7"/>
      <c r="CSJ129" s="7"/>
      <c r="CSK129" s="7"/>
      <c r="CSL129" s="7"/>
      <c r="CSM129" s="7"/>
      <c r="CSN129" s="7"/>
      <c r="CSO129" s="7"/>
      <c r="CSP129" s="7"/>
      <c r="CSQ129" s="7"/>
      <c r="DCB129" s="7"/>
      <c r="DCC129" s="7"/>
      <c r="DCD129" s="7"/>
      <c r="DCE129" s="7"/>
      <c r="DCF129" s="7"/>
      <c r="DCG129" s="7"/>
      <c r="DCH129" s="7"/>
      <c r="DCI129" s="7"/>
      <c r="DCJ129" s="7"/>
      <c r="DCK129" s="7"/>
      <c r="DCL129" s="7"/>
      <c r="DCM129" s="7"/>
      <c r="DLX129" s="7"/>
      <c r="DLY129" s="7"/>
      <c r="DLZ129" s="7"/>
      <c r="DMA129" s="7"/>
      <c r="DMB129" s="7"/>
      <c r="DMC129" s="7"/>
      <c r="DMD129" s="7"/>
      <c r="DME129" s="7"/>
      <c r="DMF129" s="7"/>
      <c r="DMG129" s="7"/>
      <c r="DMH129" s="7"/>
      <c r="DMI129" s="7"/>
      <c r="DVT129" s="7"/>
      <c r="DVU129" s="7"/>
      <c r="DVV129" s="7"/>
      <c r="DVW129" s="7"/>
      <c r="DVX129" s="7"/>
      <c r="DVY129" s="7"/>
      <c r="DVZ129" s="7"/>
      <c r="DWA129" s="7"/>
      <c r="DWB129" s="7"/>
      <c r="DWC129" s="7"/>
      <c r="DWD129" s="7"/>
      <c r="DWE129" s="7"/>
      <c r="EFP129" s="7"/>
      <c r="EFQ129" s="7"/>
      <c r="EFR129" s="7"/>
      <c r="EFS129" s="7"/>
      <c r="EFT129" s="7"/>
      <c r="EFU129" s="7"/>
      <c r="EFV129" s="7"/>
      <c r="EFW129" s="7"/>
      <c r="EFX129" s="7"/>
      <c r="EFY129" s="7"/>
      <c r="EFZ129" s="7"/>
      <c r="EGA129" s="7"/>
      <c r="EPL129" s="7"/>
      <c r="EPM129" s="7"/>
      <c r="EPN129" s="7"/>
      <c r="EPO129" s="7"/>
      <c r="EPP129" s="7"/>
      <c r="EPQ129" s="7"/>
      <c r="EPR129" s="7"/>
      <c r="EPS129" s="7"/>
      <c r="EPT129" s="7"/>
      <c r="EPU129" s="7"/>
      <c r="EPV129" s="7"/>
      <c r="EPW129" s="7"/>
      <c r="EZH129" s="7"/>
      <c r="EZI129" s="7"/>
      <c r="EZJ129" s="7"/>
      <c r="EZK129" s="7"/>
      <c r="EZL129" s="7"/>
      <c r="EZM129" s="7"/>
      <c r="EZN129" s="7"/>
      <c r="EZO129" s="7"/>
      <c r="EZP129" s="7"/>
      <c r="EZQ129" s="7"/>
      <c r="EZR129" s="7"/>
      <c r="EZS129" s="7"/>
      <c r="FJD129" s="7"/>
      <c r="FJE129" s="7"/>
      <c r="FJF129" s="7"/>
      <c r="FJG129" s="7"/>
      <c r="FJH129" s="7"/>
      <c r="FJI129" s="7"/>
      <c r="FJJ129" s="7"/>
      <c r="FJK129" s="7"/>
      <c r="FJL129" s="7"/>
      <c r="FJM129" s="7"/>
      <c r="FJN129" s="7"/>
      <c r="FJO129" s="7"/>
      <c r="FSZ129" s="7"/>
      <c r="FTA129" s="7"/>
      <c r="FTB129" s="7"/>
      <c r="FTC129" s="7"/>
      <c r="FTD129" s="7"/>
      <c r="FTE129" s="7"/>
      <c r="FTF129" s="7"/>
      <c r="FTG129" s="7"/>
      <c r="FTH129" s="7"/>
      <c r="FTI129" s="7"/>
      <c r="FTJ129" s="7"/>
      <c r="FTK129" s="7"/>
      <c r="GCV129" s="7"/>
      <c r="GCW129" s="7"/>
      <c r="GCX129" s="7"/>
      <c r="GCY129" s="7"/>
      <c r="GCZ129" s="7"/>
      <c r="GDA129" s="7"/>
      <c r="GDB129" s="7"/>
      <c r="GDC129" s="7"/>
      <c r="GDD129" s="7"/>
      <c r="GDE129" s="7"/>
      <c r="GDF129" s="7"/>
      <c r="GDG129" s="7"/>
      <c r="GMR129" s="7"/>
      <c r="GMS129" s="7"/>
      <c r="GMT129" s="7"/>
      <c r="GMU129" s="7"/>
      <c r="GMV129" s="7"/>
      <c r="GMW129" s="7"/>
      <c r="GMX129" s="7"/>
      <c r="GMY129" s="7"/>
      <c r="GMZ129" s="7"/>
      <c r="GNA129" s="7"/>
      <c r="GNB129" s="7"/>
      <c r="GNC129" s="7"/>
      <c r="GWN129" s="7"/>
      <c r="GWO129" s="7"/>
      <c r="GWP129" s="7"/>
      <c r="GWQ129" s="7"/>
      <c r="GWR129" s="7"/>
      <c r="GWS129" s="7"/>
      <c r="GWT129" s="7"/>
      <c r="GWU129" s="7"/>
      <c r="GWV129" s="7"/>
      <c r="GWW129" s="7"/>
      <c r="GWX129" s="7"/>
      <c r="GWY129" s="7"/>
      <c r="HGJ129" s="7"/>
      <c r="HGK129" s="7"/>
      <c r="HGL129" s="7"/>
      <c r="HGM129" s="7"/>
      <c r="HGN129" s="7"/>
      <c r="HGO129" s="7"/>
      <c r="HGP129" s="7"/>
      <c r="HGQ129" s="7"/>
      <c r="HGR129" s="7"/>
      <c r="HGS129" s="7"/>
      <c r="HGT129" s="7"/>
      <c r="HGU129" s="7"/>
      <c r="HQF129" s="7"/>
      <c r="HQG129" s="7"/>
      <c r="HQH129" s="7"/>
      <c r="HQI129" s="7"/>
      <c r="HQJ129" s="7"/>
      <c r="HQK129" s="7"/>
      <c r="HQL129" s="7"/>
      <c r="HQM129" s="7"/>
      <c r="HQN129" s="7"/>
      <c r="HQO129" s="7"/>
      <c r="HQP129" s="7"/>
      <c r="HQQ129" s="7"/>
      <c r="IAB129" s="7"/>
      <c r="IAC129" s="7"/>
      <c r="IAD129" s="7"/>
      <c r="IAE129" s="7"/>
      <c r="IAF129" s="7"/>
      <c r="IAG129" s="7"/>
      <c r="IAH129" s="7"/>
      <c r="IAI129" s="7"/>
      <c r="IAJ129" s="7"/>
      <c r="IAK129" s="7"/>
      <c r="IAL129" s="7"/>
      <c r="IAM129" s="7"/>
      <c r="IJX129" s="7"/>
      <c r="IJY129" s="7"/>
      <c r="IJZ129" s="7"/>
      <c r="IKA129" s="7"/>
      <c r="IKB129" s="7"/>
      <c r="IKC129" s="7"/>
      <c r="IKD129" s="7"/>
      <c r="IKE129" s="7"/>
      <c r="IKF129" s="7"/>
      <c r="IKG129" s="7"/>
      <c r="IKH129" s="7"/>
      <c r="IKI129" s="7"/>
      <c r="ITT129" s="7"/>
      <c r="ITU129" s="7"/>
      <c r="ITV129" s="7"/>
      <c r="ITW129" s="7"/>
      <c r="ITX129" s="7"/>
      <c r="ITY129" s="7"/>
      <c r="ITZ129" s="7"/>
      <c r="IUA129" s="7"/>
      <c r="IUB129" s="7"/>
      <c r="IUC129" s="7"/>
      <c r="IUD129" s="7"/>
      <c r="IUE129" s="7"/>
      <c r="JDP129" s="7"/>
      <c r="JDQ129" s="7"/>
      <c r="JDR129" s="7"/>
      <c r="JDS129" s="7"/>
      <c r="JDT129" s="7"/>
      <c r="JDU129" s="7"/>
      <c r="JDV129" s="7"/>
      <c r="JDW129" s="7"/>
      <c r="JDX129" s="7"/>
      <c r="JDY129" s="7"/>
      <c r="JDZ129" s="7"/>
      <c r="JEA129" s="7"/>
      <c r="JNL129" s="7"/>
      <c r="JNM129" s="7"/>
      <c r="JNN129" s="7"/>
      <c r="JNO129" s="7"/>
      <c r="JNP129" s="7"/>
      <c r="JNQ129" s="7"/>
      <c r="JNR129" s="7"/>
      <c r="JNS129" s="7"/>
      <c r="JNT129" s="7"/>
      <c r="JNU129" s="7"/>
      <c r="JNV129" s="7"/>
      <c r="JNW129" s="7"/>
      <c r="JXH129" s="7"/>
      <c r="JXI129" s="7"/>
      <c r="JXJ129" s="7"/>
      <c r="JXK129" s="7"/>
      <c r="JXL129" s="7"/>
      <c r="JXM129" s="7"/>
      <c r="JXN129" s="7"/>
      <c r="JXO129" s="7"/>
      <c r="JXP129" s="7"/>
      <c r="JXQ129" s="7"/>
      <c r="JXR129" s="7"/>
      <c r="JXS129" s="7"/>
      <c r="KHD129" s="7"/>
      <c r="KHE129" s="7"/>
      <c r="KHF129" s="7"/>
      <c r="KHG129" s="7"/>
      <c r="KHH129" s="7"/>
      <c r="KHI129" s="7"/>
      <c r="KHJ129" s="7"/>
      <c r="KHK129" s="7"/>
      <c r="KHL129" s="7"/>
      <c r="KHM129" s="7"/>
      <c r="KHN129" s="7"/>
      <c r="KHO129" s="7"/>
      <c r="KQZ129" s="7"/>
      <c r="KRA129" s="7"/>
      <c r="KRB129" s="7"/>
      <c r="KRC129" s="7"/>
      <c r="KRD129" s="7"/>
      <c r="KRE129" s="7"/>
      <c r="KRF129" s="7"/>
      <c r="KRG129" s="7"/>
      <c r="KRH129" s="7"/>
      <c r="KRI129" s="7"/>
      <c r="KRJ129" s="7"/>
      <c r="KRK129" s="7"/>
      <c r="LAV129" s="7"/>
      <c r="LAW129" s="7"/>
      <c r="LAX129" s="7"/>
      <c r="LAY129" s="7"/>
      <c r="LAZ129" s="7"/>
      <c r="LBA129" s="7"/>
      <c r="LBB129" s="7"/>
      <c r="LBC129" s="7"/>
      <c r="LBD129" s="7"/>
      <c r="LBE129" s="7"/>
      <c r="LBF129" s="7"/>
      <c r="LBG129" s="7"/>
      <c r="LKR129" s="7"/>
      <c r="LKS129" s="7"/>
      <c r="LKT129" s="7"/>
      <c r="LKU129" s="7"/>
      <c r="LKV129" s="7"/>
      <c r="LKW129" s="7"/>
      <c r="LKX129" s="7"/>
      <c r="LKY129" s="7"/>
      <c r="LKZ129" s="7"/>
      <c r="LLA129" s="7"/>
      <c r="LLB129" s="7"/>
      <c r="LLC129" s="7"/>
      <c r="LUN129" s="7"/>
      <c r="LUO129" s="7"/>
      <c r="LUP129" s="7"/>
      <c r="LUQ129" s="7"/>
      <c r="LUR129" s="7"/>
      <c r="LUS129" s="7"/>
      <c r="LUT129" s="7"/>
      <c r="LUU129" s="7"/>
      <c r="LUV129" s="7"/>
      <c r="LUW129" s="7"/>
      <c r="LUX129" s="7"/>
      <c r="LUY129" s="7"/>
      <c r="MEJ129" s="7"/>
      <c r="MEK129" s="7"/>
      <c r="MEL129" s="7"/>
      <c r="MEM129" s="7"/>
      <c r="MEN129" s="7"/>
      <c r="MEO129" s="7"/>
      <c r="MEP129" s="7"/>
      <c r="MEQ129" s="7"/>
      <c r="MER129" s="7"/>
      <c r="MES129" s="7"/>
      <c r="MET129" s="7"/>
      <c r="MEU129" s="7"/>
      <c r="MOF129" s="7"/>
      <c r="MOG129" s="7"/>
      <c r="MOH129" s="7"/>
      <c r="MOI129" s="7"/>
      <c r="MOJ129" s="7"/>
      <c r="MOK129" s="7"/>
      <c r="MOL129" s="7"/>
      <c r="MOM129" s="7"/>
      <c r="MON129" s="7"/>
      <c r="MOO129" s="7"/>
      <c r="MOP129" s="7"/>
      <c r="MOQ129" s="7"/>
      <c r="MYB129" s="7"/>
      <c r="MYC129" s="7"/>
      <c r="MYD129" s="7"/>
      <c r="MYE129" s="7"/>
      <c r="MYF129" s="7"/>
      <c r="MYG129" s="7"/>
      <c r="MYH129" s="7"/>
      <c r="MYI129" s="7"/>
      <c r="MYJ129" s="7"/>
      <c r="MYK129" s="7"/>
      <c r="MYL129" s="7"/>
      <c r="MYM129" s="7"/>
      <c r="NHX129" s="7"/>
      <c r="NHY129" s="7"/>
      <c r="NHZ129" s="7"/>
      <c r="NIA129" s="7"/>
      <c r="NIB129" s="7"/>
      <c r="NIC129" s="7"/>
      <c r="NID129" s="7"/>
      <c r="NIE129" s="7"/>
      <c r="NIF129" s="7"/>
      <c r="NIG129" s="7"/>
      <c r="NIH129" s="7"/>
      <c r="NII129" s="7"/>
      <c r="NRT129" s="7"/>
      <c r="NRU129" s="7"/>
      <c r="NRV129" s="7"/>
      <c r="NRW129" s="7"/>
      <c r="NRX129" s="7"/>
      <c r="NRY129" s="7"/>
      <c r="NRZ129" s="7"/>
      <c r="NSA129" s="7"/>
      <c r="NSB129" s="7"/>
      <c r="NSC129" s="7"/>
      <c r="NSD129" s="7"/>
      <c r="NSE129" s="7"/>
      <c r="OBP129" s="7"/>
      <c r="OBQ129" s="7"/>
      <c r="OBR129" s="7"/>
      <c r="OBS129" s="7"/>
      <c r="OBT129" s="7"/>
      <c r="OBU129" s="7"/>
      <c r="OBV129" s="7"/>
      <c r="OBW129" s="7"/>
      <c r="OBX129" s="7"/>
      <c r="OBY129" s="7"/>
      <c r="OBZ129" s="7"/>
      <c r="OCA129" s="7"/>
      <c r="OLL129" s="7"/>
      <c r="OLM129" s="7"/>
      <c r="OLN129" s="7"/>
      <c r="OLO129" s="7"/>
      <c r="OLP129" s="7"/>
      <c r="OLQ129" s="7"/>
      <c r="OLR129" s="7"/>
      <c r="OLS129" s="7"/>
      <c r="OLT129" s="7"/>
      <c r="OLU129" s="7"/>
      <c r="OLV129" s="7"/>
      <c r="OLW129" s="7"/>
      <c r="OVH129" s="7"/>
      <c r="OVI129" s="7"/>
      <c r="OVJ129" s="7"/>
      <c r="OVK129" s="7"/>
      <c r="OVL129" s="7"/>
      <c r="OVM129" s="7"/>
      <c r="OVN129" s="7"/>
      <c r="OVO129" s="7"/>
      <c r="OVP129" s="7"/>
      <c r="OVQ129" s="7"/>
      <c r="OVR129" s="7"/>
      <c r="OVS129" s="7"/>
      <c r="PFD129" s="7"/>
      <c r="PFE129" s="7"/>
      <c r="PFF129" s="7"/>
      <c r="PFG129" s="7"/>
      <c r="PFH129" s="7"/>
      <c r="PFI129" s="7"/>
      <c r="PFJ129" s="7"/>
      <c r="PFK129" s="7"/>
      <c r="PFL129" s="7"/>
      <c r="PFM129" s="7"/>
      <c r="PFN129" s="7"/>
      <c r="PFO129" s="7"/>
      <c r="POZ129" s="7"/>
      <c r="PPA129" s="7"/>
      <c r="PPB129" s="7"/>
      <c r="PPC129" s="7"/>
      <c r="PPD129" s="7"/>
      <c r="PPE129" s="7"/>
      <c r="PPF129" s="7"/>
      <c r="PPG129" s="7"/>
      <c r="PPH129" s="7"/>
      <c r="PPI129" s="7"/>
      <c r="PPJ129" s="7"/>
      <c r="PPK129" s="7"/>
      <c r="PYV129" s="7"/>
      <c r="PYW129" s="7"/>
      <c r="PYX129" s="7"/>
      <c r="PYY129" s="7"/>
      <c r="PYZ129" s="7"/>
      <c r="PZA129" s="7"/>
      <c r="PZB129" s="7"/>
      <c r="PZC129" s="7"/>
      <c r="PZD129" s="7"/>
      <c r="PZE129" s="7"/>
      <c r="PZF129" s="7"/>
      <c r="PZG129" s="7"/>
      <c r="QIR129" s="7"/>
      <c r="QIS129" s="7"/>
      <c r="QIT129" s="7"/>
      <c r="QIU129" s="7"/>
      <c r="QIV129" s="7"/>
      <c r="QIW129" s="7"/>
      <c r="QIX129" s="7"/>
      <c r="QIY129" s="7"/>
      <c r="QIZ129" s="7"/>
      <c r="QJA129" s="7"/>
      <c r="QJB129" s="7"/>
      <c r="QJC129" s="7"/>
      <c r="QSN129" s="7"/>
      <c r="QSO129" s="7"/>
      <c r="QSP129" s="7"/>
      <c r="QSQ129" s="7"/>
      <c r="QSR129" s="7"/>
      <c r="QSS129" s="7"/>
      <c r="QST129" s="7"/>
      <c r="QSU129" s="7"/>
      <c r="QSV129" s="7"/>
      <c r="QSW129" s="7"/>
      <c r="QSX129" s="7"/>
      <c r="QSY129" s="7"/>
      <c r="RCJ129" s="7"/>
      <c r="RCK129" s="7"/>
      <c r="RCL129" s="7"/>
      <c r="RCM129" s="7"/>
      <c r="RCN129" s="7"/>
      <c r="RCO129" s="7"/>
      <c r="RCP129" s="7"/>
      <c r="RCQ129" s="7"/>
      <c r="RCR129" s="7"/>
      <c r="RCS129" s="7"/>
      <c r="RCT129" s="7"/>
      <c r="RCU129" s="7"/>
      <c r="RMF129" s="7"/>
      <c r="RMG129" s="7"/>
      <c r="RMH129" s="7"/>
      <c r="RMI129" s="7"/>
      <c r="RMJ129" s="7"/>
      <c r="RMK129" s="7"/>
      <c r="RML129" s="7"/>
      <c r="RMM129" s="7"/>
      <c r="RMN129" s="7"/>
      <c r="RMO129" s="7"/>
      <c r="RMP129" s="7"/>
      <c r="RMQ129" s="7"/>
      <c r="RWB129" s="7"/>
      <c r="RWC129" s="7"/>
      <c r="RWD129" s="7"/>
      <c r="RWE129" s="7"/>
      <c r="RWF129" s="7"/>
      <c r="RWG129" s="7"/>
      <c r="RWH129" s="7"/>
      <c r="RWI129" s="7"/>
      <c r="RWJ129" s="7"/>
      <c r="RWK129" s="7"/>
      <c r="RWL129" s="7"/>
      <c r="RWM129" s="7"/>
      <c r="SFX129" s="7"/>
      <c r="SFY129" s="7"/>
      <c r="SFZ129" s="7"/>
      <c r="SGA129" s="7"/>
      <c r="SGB129" s="7"/>
      <c r="SGC129" s="7"/>
      <c r="SGD129" s="7"/>
      <c r="SGE129" s="7"/>
      <c r="SGF129" s="7"/>
      <c r="SGG129" s="7"/>
      <c r="SGH129" s="7"/>
      <c r="SGI129" s="7"/>
      <c r="SPT129" s="7"/>
      <c r="SPU129" s="7"/>
      <c r="SPV129" s="7"/>
      <c r="SPW129" s="7"/>
      <c r="SPX129" s="7"/>
      <c r="SPY129" s="7"/>
      <c r="SPZ129" s="7"/>
      <c r="SQA129" s="7"/>
      <c r="SQB129" s="7"/>
      <c r="SQC129" s="7"/>
      <c r="SQD129" s="7"/>
      <c r="SQE129" s="7"/>
      <c r="SZP129" s="7"/>
      <c r="SZQ129" s="7"/>
      <c r="SZR129" s="7"/>
      <c r="SZS129" s="7"/>
      <c r="SZT129" s="7"/>
      <c r="SZU129" s="7"/>
      <c r="SZV129" s="7"/>
      <c r="SZW129" s="7"/>
      <c r="SZX129" s="7"/>
      <c r="SZY129" s="7"/>
      <c r="SZZ129" s="7"/>
      <c r="TAA129" s="7"/>
      <c r="TJL129" s="7"/>
      <c r="TJM129" s="7"/>
      <c r="TJN129" s="7"/>
      <c r="TJO129" s="7"/>
      <c r="TJP129" s="7"/>
      <c r="TJQ129" s="7"/>
      <c r="TJR129" s="7"/>
      <c r="TJS129" s="7"/>
      <c r="TJT129" s="7"/>
      <c r="TJU129" s="7"/>
      <c r="TJV129" s="7"/>
      <c r="TJW129" s="7"/>
      <c r="TTH129" s="7"/>
      <c r="TTI129" s="7"/>
      <c r="TTJ129" s="7"/>
      <c r="TTK129" s="7"/>
      <c r="TTL129" s="7"/>
      <c r="TTM129" s="7"/>
      <c r="TTN129" s="7"/>
      <c r="TTO129" s="7"/>
      <c r="TTP129" s="7"/>
      <c r="TTQ129" s="7"/>
      <c r="TTR129" s="7"/>
      <c r="TTS129" s="7"/>
      <c r="UDD129" s="7"/>
      <c r="UDE129" s="7"/>
      <c r="UDF129" s="7"/>
      <c r="UDG129" s="7"/>
      <c r="UDH129" s="7"/>
      <c r="UDI129" s="7"/>
      <c r="UDJ129" s="7"/>
      <c r="UDK129" s="7"/>
      <c r="UDL129" s="7"/>
      <c r="UDM129" s="7"/>
      <c r="UDN129" s="7"/>
      <c r="UDO129" s="7"/>
      <c r="UMZ129" s="7"/>
      <c r="UNA129" s="7"/>
      <c r="UNB129" s="7"/>
      <c r="UNC129" s="7"/>
      <c r="UND129" s="7"/>
      <c r="UNE129" s="7"/>
      <c r="UNF129" s="7"/>
      <c r="UNG129" s="7"/>
      <c r="UNH129" s="7"/>
      <c r="UNI129" s="7"/>
      <c r="UNJ129" s="7"/>
      <c r="UNK129" s="7"/>
      <c r="UWV129" s="7"/>
      <c r="UWW129" s="7"/>
      <c r="UWX129" s="7"/>
      <c r="UWY129" s="7"/>
      <c r="UWZ129" s="7"/>
      <c r="UXA129" s="7"/>
      <c r="UXB129" s="7"/>
      <c r="UXC129" s="7"/>
      <c r="UXD129" s="7"/>
      <c r="UXE129" s="7"/>
      <c r="UXF129" s="7"/>
      <c r="UXG129" s="7"/>
      <c r="VGR129" s="7"/>
      <c r="VGS129" s="7"/>
      <c r="VGT129" s="7"/>
      <c r="VGU129" s="7"/>
      <c r="VGV129" s="7"/>
      <c r="VGW129" s="7"/>
      <c r="VGX129" s="7"/>
      <c r="VGY129" s="7"/>
      <c r="VGZ129" s="7"/>
      <c r="VHA129" s="7"/>
      <c r="VHB129" s="7"/>
      <c r="VHC129" s="7"/>
      <c r="VQN129" s="7"/>
      <c r="VQO129" s="7"/>
      <c r="VQP129" s="7"/>
      <c r="VQQ129" s="7"/>
      <c r="VQR129" s="7"/>
      <c r="VQS129" s="7"/>
      <c r="VQT129" s="7"/>
      <c r="VQU129" s="7"/>
      <c r="VQV129" s="7"/>
      <c r="VQW129" s="7"/>
      <c r="VQX129" s="7"/>
      <c r="VQY129" s="7"/>
      <c r="WAJ129" s="7"/>
      <c r="WAK129" s="7"/>
      <c r="WAL129" s="7"/>
      <c r="WAM129" s="7"/>
      <c r="WAN129" s="7"/>
      <c r="WAO129" s="7"/>
      <c r="WAP129" s="7"/>
      <c r="WAQ129" s="7"/>
      <c r="WAR129" s="7"/>
      <c r="WAS129" s="7"/>
      <c r="WAT129" s="7"/>
      <c r="WAU129" s="7"/>
      <c r="WKF129" s="7"/>
      <c r="WKG129" s="7"/>
      <c r="WKH129" s="7"/>
      <c r="WKI129" s="7"/>
      <c r="WKJ129" s="7"/>
      <c r="WKK129" s="7"/>
      <c r="WKL129" s="7"/>
      <c r="WKM129" s="7"/>
      <c r="WKN129" s="7"/>
      <c r="WKO129" s="7"/>
      <c r="WKP129" s="7"/>
      <c r="WKQ129" s="7"/>
      <c r="WUB129" s="7"/>
      <c r="WUC129" s="7"/>
      <c r="WUD129" s="7"/>
      <c r="WUE129" s="7"/>
      <c r="WUF129" s="7"/>
      <c r="WUG129" s="7"/>
      <c r="WUH129" s="7"/>
      <c r="WUI129" s="7"/>
      <c r="WUJ129" s="7"/>
      <c r="WUK129" s="7"/>
      <c r="WUL129" s="7"/>
      <c r="WUM129" s="7"/>
    </row>
    <row r="130" spans="1:1003 1248:2027 2272:3051 3296:4075 4320:5099 5344:6123 6368:7147 7392:8171 8416:9195 9440:10219 10464:11243 11488:12267 12512:13291 13536:14315 14560:15339 15584:16107" ht="30" customHeight="1">
      <c r="A130" s="45"/>
      <c r="H130" s="159"/>
      <c r="I130" s="196"/>
      <c r="J130" s="161"/>
      <c r="K130" s="196"/>
      <c r="L130" s="211">
        <f>Table113[[#This Row],[Qty 2]]+Table113[[#This Row],[Qty 1]]</f>
        <v>0</v>
      </c>
      <c r="M130" s="216"/>
      <c r="N130" s="216">
        <f>Table113[[#This Row],[Unit Cost]]*Table113[[#This Row],[Total Qty All Areas]]</f>
        <v>0</v>
      </c>
    </row>
    <row r="131" spans="1:1003 1248:2027 2272:3051 3296:4075 4320:5099 5344:6123 6368:7147 7392:8171 8416:9195 9440:10219 10464:11243 11488:12267 12512:13291 13536:14315 14560:15339 15584:16107" ht="30" customHeight="1">
      <c r="A131" s="45"/>
      <c r="H131" s="159"/>
      <c r="I131" s="196"/>
      <c r="J131" s="161"/>
      <c r="K131" s="196"/>
      <c r="L131" s="211">
        <f>Table113[[#This Row],[Qty 2]]+Table113[[#This Row],[Qty 1]]</f>
        <v>0</v>
      </c>
      <c r="M131" s="216"/>
      <c r="N131" s="216">
        <f>Table113[[#This Row],[Unit Cost]]*Table113[[#This Row],[Total Qty All Areas]]</f>
        <v>0</v>
      </c>
    </row>
    <row r="132" spans="1:1003 1248:2027 2272:3051 3296:4075 4320:5099 5344:6123 6368:7147 7392:8171 8416:9195 9440:10219 10464:11243 11488:12267 12512:13291 13536:14315 14560:15339 15584:16107" ht="30" customHeight="1">
      <c r="A132" s="176"/>
      <c r="D132" s="169"/>
      <c r="E132" s="169"/>
      <c r="F132" s="303"/>
      <c r="H132" s="159"/>
      <c r="I132" s="196"/>
      <c r="J132" s="161"/>
      <c r="K132" s="196"/>
      <c r="L132" s="211">
        <f>Table113[[#This Row],[Qty 2]]+Table113[[#This Row],[Qty 1]]</f>
        <v>0</v>
      </c>
      <c r="M132" s="216"/>
      <c r="N132" s="216">
        <f>Table113[[#This Row],[Unit Cost]]*Table113[[#This Row],[Total Qty All Areas]]</f>
        <v>0</v>
      </c>
    </row>
    <row r="133" spans="1:1003 1248:2027 2272:3051 3296:4075 4320:5099 5344:6123 6368:7147 7392:8171 8416:9195 9440:10219 10464:11243 11488:12267 12512:13291 13536:14315 14560:15339 15584:16107" s="167" customFormat="1" ht="30" customHeight="1">
      <c r="A133" s="175" t="str">
        <f>'Category Setup'!L58</f>
        <v>PF_FT</v>
      </c>
      <c r="B133" s="167" t="str">
        <f>'Category Setup'!E58</f>
        <v>PF_FT_Part Finished_Feeding Troughs</v>
      </c>
      <c r="C133" s="167" t="str">
        <f>'Category Setup'!N58</f>
        <v>PF_FT_Part Finished_Feeding Troughs</v>
      </c>
      <c r="D133" s="168"/>
      <c r="E133" s="168"/>
      <c r="F133" s="172"/>
      <c r="G133" s="172"/>
      <c r="H133" s="173"/>
      <c r="I133" s="197"/>
      <c r="J133" s="174"/>
      <c r="K133" s="197"/>
      <c r="L133" s="213">
        <f>Table113[[#This Row],[Qty 2]]+Table113[[#This Row],[Qty 1]]</f>
        <v>0</v>
      </c>
      <c r="M133" s="215"/>
      <c r="N133" s="215">
        <f>Table113[[#This Row],[Unit Cost]]*Table113[[#This Row],[Total Qty All Areas]]</f>
        <v>0</v>
      </c>
      <c r="HP133" s="7"/>
      <c r="HQ133" s="7"/>
      <c r="HR133" s="7"/>
      <c r="HS133" s="7"/>
      <c r="HT133" s="7"/>
      <c r="HU133" s="7"/>
      <c r="HV133" s="7"/>
      <c r="HW133" s="7"/>
      <c r="HX133" s="7"/>
      <c r="HY133" s="7"/>
      <c r="HZ133" s="7"/>
      <c r="IA133" s="7"/>
      <c r="RL133" s="7"/>
      <c r="RM133" s="7"/>
      <c r="RN133" s="7"/>
      <c r="RO133" s="7"/>
      <c r="RP133" s="7"/>
      <c r="RQ133" s="7"/>
      <c r="RR133" s="7"/>
      <c r="RS133" s="7"/>
      <c r="RT133" s="7"/>
      <c r="RU133" s="7"/>
      <c r="RV133" s="7"/>
      <c r="RW133" s="7"/>
      <c r="ABH133" s="7"/>
      <c r="ABI133" s="7"/>
      <c r="ABJ133" s="7"/>
      <c r="ABK133" s="7"/>
      <c r="ABL133" s="7"/>
      <c r="ABM133" s="7"/>
      <c r="ABN133" s="7"/>
      <c r="ABO133" s="7"/>
      <c r="ABP133" s="7"/>
      <c r="ABQ133" s="7"/>
      <c r="ABR133" s="7"/>
      <c r="ABS133" s="7"/>
      <c r="ALD133" s="7"/>
      <c r="ALE133" s="7"/>
      <c r="ALF133" s="7"/>
      <c r="ALG133" s="7"/>
      <c r="ALH133" s="7"/>
      <c r="ALI133" s="7"/>
      <c r="ALJ133" s="7"/>
      <c r="ALK133" s="7"/>
      <c r="ALL133" s="7"/>
      <c r="ALM133" s="7"/>
      <c r="ALN133" s="7"/>
      <c r="ALO133" s="7"/>
      <c r="AUZ133" s="7"/>
      <c r="AVA133" s="7"/>
      <c r="AVB133" s="7"/>
      <c r="AVC133" s="7"/>
      <c r="AVD133" s="7"/>
      <c r="AVE133" s="7"/>
      <c r="AVF133" s="7"/>
      <c r="AVG133" s="7"/>
      <c r="AVH133" s="7"/>
      <c r="AVI133" s="7"/>
      <c r="AVJ133" s="7"/>
      <c r="AVK133" s="7"/>
      <c r="BEV133" s="7"/>
      <c r="BEW133" s="7"/>
      <c r="BEX133" s="7"/>
      <c r="BEY133" s="7"/>
      <c r="BEZ133" s="7"/>
      <c r="BFA133" s="7"/>
      <c r="BFB133" s="7"/>
      <c r="BFC133" s="7"/>
      <c r="BFD133" s="7"/>
      <c r="BFE133" s="7"/>
      <c r="BFF133" s="7"/>
      <c r="BFG133" s="7"/>
      <c r="BOR133" s="7"/>
      <c r="BOS133" s="7"/>
      <c r="BOT133" s="7"/>
      <c r="BOU133" s="7"/>
      <c r="BOV133" s="7"/>
      <c r="BOW133" s="7"/>
      <c r="BOX133" s="7"/>
      <c r="BOY133" s="7"/>
      <c r="BOZ133" s="7"/>
      <c r="BPA133" s="7"/>
      <c r="BPB133" s="7"/>
      <c r="BPC133" s="7"/>
      <c r="BYN133" s="7"/>
      <c r="BYO133" s="7"/>
      <c r="BYP133" s="7"/>
      <c r="BYQ133" s="7"/>
      <c r="BYR133" s="7"/>
      <c r="BYS133" s="7"/>
      <c r="BYT133" s="7"/>
      <c r="BYU133" s="7"/>
      <c r="BYV133" s="7"/>
      <c r="BYW133" s="7"/>
      <c r="BYX133" s="7"/>
      <c r="BYY133" s="7"/>
      <c r="CIJ133" s="7"/>
      <c r="CIK133" s="7"/>
      <c r="CIL133" s="7"/>
      <c r="CIM133" s="7"/>
      <c r="CIN133" s="7"/>
      <c r="CIO133" s="7"/>
      <c r="CIP133" s="7"/>
      <c r="CIQ133" s="7"/>
      <c r="CIR133" s="7"/>
      <c r="CIS133" s="7"/>
      <c r="CIT133" s="7"/>
      <c r="CIU133" s="7"/>
      <c r="CSF133" s="7"/>
      <c r="CSG133" s="7"/>
      <c r="CSH133" s="7"/>
      <c r="CSI133" s="7"/>
      <c r="CSJ133" s="7"/>
      <c r="CSK133" s="7"/>
      <c r="CSL133" s="7"/>
      <c r="CSM133" s="7"/>
      <c r="CSN133" s="7"/>
      <c r="CSO133" s="7"/>
      <c r="CSP133" s="7"/>
      <c r="CSQ133" s="7"/>
      <c r="DCB133" s="7"/>
      <c r="DCC133" s="7"/>
      <c r="DCD133" s="7"/>
      <c r="DCE133" s="7"/>
      <c r="DCF133" s="7"/>
      <c r="DCG133" s="7"/>
      <c r="DCH133" s="7"/>
      <c r="DCI133" s="7"/>
      <c r="DCJ133" s="7"/>
      <c r="DCK133" s="7"/>
      <c r="DCL133" s="7"/>
      <c r="DCM133" s="7"/>
      <c r="DLX133" s="7"/>
      <c r="DLY133" s="7"/>
      <c r="DLZ133" s="7"/>
      <c r="DMA133" s="7"/>
      <c r="DMB133" s="7"/>
      <c r="DMC133" s="7"/>
      <c r="DMD133" s="7"/>
      <c r="DME133" s="7"/>
      <c r="DMF133" s="7"/>
      <c r="DMG133" s="7"/>
      <c r="DMH133" s="7"/>
      <c r="DMI133" s="7"/>
      <c r="DVT133" s="7"/>
      <c r="DVU133" s="7"/>
      <c r="DVV133" s="7"/>
      <c r="DVW133" s="7"/>
      <c r="DVX133" s="7"/>
      <c r="DVY133" s="7"/>
      <c r="DVZ133" s="7"/>
      <c r="DWA133" s="7"/>
      <c r="DWB133" s="7"/>
      <c r="DWC133" s="7"/>
      <c r="DWD133" s="7"/>
      <c r="DWE133" s="7"/>
      <c r="EFP133" s="7"/>
      <c r="EFQ133" s="7"/>
      <c r="EFR133" s="7"/>
      <c r="EFS133" s="7"/>
      <c r="EFT133" s="7"/>
      <c r="EFU133" s="7"/>
      <c r="EFV133" s="7"/>
      <c r="EFW133" s="7"/>
      <c r="EFX133" s="7"/>
      <c r="EFY133" s="7"/>
      <c r="EFZ133" s="7"/>
      <c r="EGA133" s="7"/>
      <c r="EPL133" s="7"/>
      <c r="EPM133" s="7"/>
      <c r="EPN133" s="7"/>
      <c r="EPO133" s="7"/>
      <c r="EPP133" s="7"/>
      <c r="EPQ133" s="7"/>
      <c r="EPR133" s="7"/>
      <c r="EPS133" s="7"/>
      <c r="EPT133" s="7"/>
      <c r="EPU133" s="7"/>
      <c r="EPV133" s="7"/>
      <c r="EPW133" s="7"/>
      <c r="EZH133" s="7"/>
      <c r="EZI133" s="7"/>
      <c r="EZJ133" s="7"/>
      <c r="EZK133" s="7"/>
      <c r="EZL133" s="7"/>
      <c r="EZM133" s="7"/>
      <c r="EZN133" s="7"/>
      <c r="EZO133" s="7"/>
      <c r="EZP133" s="7"/>
      <c r="EZQ133" s="7"/>
      <c r="EZR133" s="7"/>
      <c r="EZS133" s="7"/>
      <c r="FJD133" s="7"/>
      <c r="FJE133" s="7"/>
      <c r="FJF133" s="7"/>
      <c r="FJG133" s="7"/>
      <c r="FJH133" s="7"/>
      <c r="FJI133" s="7"/>
      <c r="FJJ133" s="7"/>
      <c r="FJK133" s="7"/>
      <c r="FJL133" s="7"/>
      <c r="FJM133" s="7"/>
      <c r="FJN133" s="7"/>
      <c r="FJO133" s="7"/>
      <c r="FSZ133" s="7"/>
      <c r="FTA133" s="7"/>
      <c r="FTB133" s="7"/>
      <c r="FTC133" s="7"/>
      <c r="FTD133" s="7"/>
      <c r="FTE133" s="7"/>
      <c r="FTF133" s="7"/>
      <c r="FTG133" s="7"/>
      <c r="FTH133" s="7"/>
      <c r="FTI133" s="7"/>
      <c r="FTJ133" s="7"/>
      <c r="FTK133" s="7"/>
      <c r="GCV133" s="7"/>
      <c r="GCW133" s="7"/>
      <c r="GCX133" s="7"/>
      <c r="GCY133" s="7"/>
      <c r="GCZ133" s="7"/>
      <c r="GDA133" s="7"/>
      <c r="GDB133" s="7"/>
      <c r="GDC133" s="7"/>
      <c r="GDD133" s="7"/>
      <c r="GDE133" s="7"/>
      <c r="GDF133" s="7"/>
      <c r="GDG133" s="7"/>
      <c r="GMR133" s="7"/>
      <c r="GMS133" s="7"/>
      <c r="GMT133" s="7"/>
      <c r="GMU133" s="7"/>
      <c r="GMV133" s="7"/>
      <c r="GMW133" s="7"/>
      <c r="GMX133" s="7"/>
      <c r="GMY133" s="7"/>
      <c r="GMZ133" s="7"/>
      <c r="GNA133" s="7"/>
      <c r="GNB133" s="7"/>
      <c r="GNC133" s="7"/>
      <c r="GWN133" s="7"/>
      <c r="GWO133" s="7"/>
      <c r="GWP133" s="7"/>
      <c r="GWQ133" s="7"/>
      <c r="GWR133" s="7"/>
      <c r="GWS133" s="7"/>
      <c r="GWT133" s="7"/>
      <c r="GWU133" s="7"/>
      <c r="GWV133" s="7"/>
      <c r="GWW133" s="7"/>
      <c r="GWX133" s="7"/>
      <c r="GWY133" s="7"/>
      <c r="HGJ133" s="7"/>
      <c r="HGK133" s="7"/>
      <c r="HGL133" s="7"/>
      <c r="HGM133" s="7"/>
      <c r="HGN133" s="7"/>
      <c r="HGO133" s="7"/>
      <c r="HGP133" s="7"/>
      <c r="HGQ133" s="7"/>
      <c r="HGR133" s="7"/>
      <c r="HGS133" s="7"/>
      <c r="HGT133" s="7"/>
      <c r="HGU133" s="7"/>
      <c r="HQF133" s="7"/>
      <c r="HQG133" s="7"/>
      <c r="HQH133" s="7"/>
      <c r="HQI133" s="7"/>
      <c r="HQJ133" s="7"/>
      <c r="HQK133" s="7"/>
      <c r="HQL133" s="7"/>
      <c r="HQM133" s="7"/>
      <c r="HQN133" s="7"/>
      <c r="HQO133" s="7"/>
      <c r="HQP133" s="7"/>
      <c r="HQQ133" s="7"/>
      <c r="IAB133" s="7"/>
      <c r="IAC133" s="7"/>
      <c r="IAD133" s="7"/>
      <c r="IAE133" s="7"/>
      <c r="IAF133" s="7"/>
      <c r="IAG133" s="7"/>
      <c r="IAH133" s="7"/>
      <c r="IAI133" s="7"/>
      <c r="IAJ133" s="7"/>
      <c r="IAK133" s="7"/>
      <c r="IAL133" s="7"/>
      <c r="IAM133" s="7"/>
      <c r="IJX133" s="7"/>
      <c r="IJY133" s="7"/>
      <c r="IJZ133" s="7"/>
      <c r="IKA133" s="7"/>
      <c r="IKB133" s="7"/>
      <c r="IKC133" s="7"/>
      <c r="IKD133" s="7"/>
      <c r="IKE133" s="7"/>
      <c r="IKF133" s="7"/>
      <c r="IKG133" s="7"/>
      <c r="IKH133" s="7"/>
      <c r="IKI133" s="7"/>
      <c r="ITT133" s="7"/>
      <c r="ITU133" s="7"/>
      <c r="ITV133" s="7"/>
      <c r="ITW133" s="7"/>
      <c r="ITX133" s="7"/>
      <c r="ITY133" s="7"/>
      <c r="ITZ133" s="7"/>
      <c r="IUA133" s="7"/>
      <c r="IUB133" s="7"/>
      <c r="IUC133" s="7"/>
      <c r="IUD133" s="7"/>
      <c r="IUE133" s="7"/>
      <c r="JDP133" s="7"/>
      <c r="JDQ133" s="7"/>
      <c r="JDR133" s="7"/>
      <c r="JDS133" s="7"/>
      <c r="JDT133" s="7"/>
      <c r="JDU133" s="7"/>
      <c r="JDV133" s="7"/>
      <c r="JDW133" s="7"/>
      <c r="JDX133" s="7"/>
      <c r="JDY133" s="7"/>
      <c r="JDZ133" s="7"/>
      <c r="JEA133" s="7"/>
      <c r="JNL133" s="7"/>
      <c r="JNM133" s="7"/>
      <c r="JNN133" s="7"/>
      <c r="JNO133" s="7"/>
      <c r="JNP133" s="7"/>
      <c r="JNQ133" s="7"/>
      <c r="JNR133" s="7"/>
      <c r="JNS133" s="7"/>
      <c r="JNT133" s="7"/>
      <c r="JNU133" s="7"/>
      <c r="JNV133" s="7"/>
      <c r="JNW133" s="7"/>
      <c r="JXH133" s="7"/>
      <c r="JXI133" s="7"/>
      <c r="JXJ133" s="7"/>
      <c r="JXK133" s="7"/>
      <c r="JXL133" s="7"/>
      <c r="JXM133" s="7"/>
      <c r="JXN133" s="7"/>
      <c r="JXO133" s="7"/>
      <c r="JXP133" s="7"/>
      <c r="JXQ133" s="7"/>
      <c r="JXR133" s="7"/>
      <c r="JXS133" s="7"/>
      <c r="KHD133" s="7"/>
      <c r="KHE133" s="7"/>
      <c r="KHF133" s="7"/>
      <c r="KHG133" s="7"/>
      <c r="KHH133" s="7"/>
      <c r="KHI133" s="7"/>
      <c r="KHJ133" s="7"/>
      <c r="KHK133" s="7"/>
      <c r="KHL133" s="7"/>
      <c r="KHM133" s="7"/>
      <c r="KHN133" s="7"/>
      <c r="KHO133" s="7"/>
      <c r="KQZ133" s="7"/>
      <c r="KRA133" s="7"/>
      <c r="KRB133" s="7"/>
      <c r="KRC133" s="7"/>
      <c r="KRD133" s="7"/>
      <c r="KRE133" s="7"/>
      <c r="KRF133" s="7"/>
      <c r="KRG133" s="7"/>
      <c r="KRH133" s="7"/>
      <c r="KRI133" s="7"/>
      <c r="KRJ133" s="7"/>
      <c r="KRK133" s="7"/>
      <c r="LAV133" s="7"/>
      <c r="LAW133" s="7"/>
      <c r="LAX133" s="7"/>
      <c r="LAY133" s="7"/>
      <c r="LAZ133" s="7"/>
      <c r="LBA133" s="7"/>
      <c r="LBB133" s="7"/>
      <c r="LBC133" s="7"/>
      <c r="LBD133" s="7"/>
      <c r="LBE133" s="7"/>
      <c r="LBF133" s="7"/>
      <c r="LBG133" s="7"/>
      <c r="LKR133" s="7"/>
      <c r="LKS133" s="7"/>
      <c r="LKT133" s="7"/>
      <c r="LKU133" s="7"/>
      <c r="LKV133" s="7"/>
      <c r="LKW133" s="7"/>
      <c r="LKX133" s="7"/>
      <c r="LKY133" s="7"/>
      <c r="LKZ133" s="7"/>
      <c r="LLA133" s="7"/>
      <c r="LLB133" s="7"/>
      <c r="LLC133" s="7"/>
      <c r="LUN133" s="7"/>
      <c r="LUO133" s="7"/>
      <c r="LUP133" s="7"/>
      <c r="LUQ133" s="7"/>
      <c r="LUR133" s="7"/>
      <c r="LUS133" s="7"/>
      <c r="LUT133" s="7"/>
      <c r="LUU133" s="7"/>
      <c r="LUV133" s="7"/>
      <c r="LUW133" s="7"/>
      <c r="LUX133" s="7"/>
      <c r="LUY133" s="7"/>
      <c r="MEJ133" s="7"/>
      <c r="MEK133" s="7"/>
      <c r="MEL133" s="7"/>
      <c r="MEM133" s="7"/>
      <c r="MEN133" s="7"/>
      <c r="MEO133" s="7"/>
      <c r="MEP133" s="7"/>
      <c r="MEQ133" s="7"/>
      <c r="MER133" s="7"/>
      <c r="MES133" s="7"/>
      <c r="MET133" s="7"/>
      <c r="MEU133" s="7"/>
      <c r="MOF133" s="7"/>
      <c r="MOG133" s="7"/>
      <c r="MOH133" s="7"/>
      <c r="MOI133" s="7"/>
      <c r="MOJ133" s="7"/>
      <c r="MOK133" s="7"/>
      <c r="MOL133" s="7"/>
      <c r="MOM133" s="7"/>
      <c r="MON133" s="7"/>
      <c r="MOO133" s="7"/>
      <c r="MOP133" s="7"/>
      <c r="MOQ133" s="7"/>
      <c r="MYB133" s="7"/>
      <c r="MYC133" s="7"/>
      <c r="MYD133" s="7"/>
      <c r="MYE133" s="7"/>
      <c r="MYF133" s="7"/>
      <c r="MYG133" s="7"/>
      <c r="MYH133" s="7"/>
      <c r="MYI133" s="7"/>
      <c r="MYJ133" s="7"/>
      <c r="MYK133" s="7"/>
      <c r="MYL133" s="7"/>
      <c r="MYM133" s="7"/>
      <c r="NHX133" s="7"/>
      <c r="NHY133" s="7"/>
      <c r="NHZ133" s="7"/>
      <c r="NIA133" s="7"/>
      <c r="NIB133" s="7"/>
      <c r="NIC133" s="7"/>
      <c r="NID133" s="7"/>
      <c r="NIE133" s="7"/>
      <c r="NIF133" s="7"/>
      <c r="NIG133" s="7"/>
      <c r="NIH133" s="7"/>
      <c r="NII133" s="7"/>
      <c r="NRT133" s="7"/>
      <c r="NRU133" s="7"/>
      <c r="NRV133" s="7"/>
      <c r="NRW133" s="7"/>
      <c r="NRX133" s="7"/>
      <c r="NRY133" s="7"/>
      <c r="NRZ133" s="7"/>
      <c r="NSA133" s="7"/>
      <c r="NSB133" s="7"/>
      <c r="NSC133" s="7"/>
      <c r="NSD133" s="7"/>
      <c r="NSE133" s="7"/>
      <c r="OBP133" s="7"/>
      <c r="OBQ133" s="7"/>
      <c r="OBR133" s="7"/>
      <c r="OBS133" s="7"/>
      <c r="OBT133" s="7"/>
      <c r="OBU133" s="7"/>
      <c r="OBV133" s="7"/>
      <c r="OBW133" s="7"/>
      <c r="OBX133" s="7"/>
      <c r="OBY133" s="7"/>
      <c r="OBZ133" s="7"/>
      <c r="OCA133" s="7"/>
      <c r="OLL133" s="7"/>
      <c r="OLM133" s="7"/>
      <c r="OLN133" s="7"/>
      <c r="OLO133" s="7"/>
      <c r="OLP133" s="7"/>
      <c r="OLQ133" s="7"/>
      <c r="OLR133" s="7"/>
      <c r="OLS133" s="7"/>
      <c r="OLT133" s="7"/>
      <c r="OLU133" s="7"/>
      <c r="OLV133" s="7"/>
      <c r="OLW133" s="7"/>
      <c r="OVH133" s="7"/>
      <c r="OVI133" s="7"/>
      <c r="OVJ133" s="7"/>
      <c r="OVK133" s="7"/>
      <c r="OVL133" s="7"/>
      <c r="OVM133" s="7"/>
      <c r="OVN133" s="7"/>
      <c r="OVO133" s="7"/>
      <c r="OVP133" s="7"/>
      <c r="OVQ133" s="7"/>
      <c r="OVR133" s="7"/>
      <c r="OVS133" s="7"/>
      <c r="PFD133" s="7"/>
      <c r="PFE133" s="7"/>
      <c r="PFF133" s="7"/>
      <c r="PFG133" s="7"/>
      <c r="PFH133" s="7"/>
      <c r="PFI133" s="7"/>
      <c r="PFJ133" s="7"/>
      <c r="PFK133" s="7"/>
      <c r="PFL133" s="7"/>
      <c r="PFM133" s="7"/>
      <c r="PFN133" s="7"/>
      <c r="PFO133" s="7"/>
      <c r="POZ133" s="7"/>
      <c r="PPA133" s="7"/>
      <c r="PPB133" s="7"/>
      <c r="PPC133" s="7"/>
      <c r="PPD133" s="7"/>
      <c r="PPE133" s="7"/>
      <c r="PPF133" s="7"/>
      <c r="PPG133" s="7"/>
      <c r="PPH133" s="7"/>
      <c r="PPI133" s="7"/>
      <c r="PPJ133" s="7"/>
      <c r="PPK133" s="7"/>
      <c r="PYV133" s="7"/>
      <c r="PYW133" s="7"/>
      <c r="PYX133" s="7"/>
      <c r="PYY133" s="7"/>
      <c r="PYZ133" s="7"/>
      <c r="PZA133" s="7"/>
      <c r="PZB133" s="7"/>
      <c r="PZC133" s="7"/>
      <c r="PZD133" s="7"/>
      <c r="PZE133" s="7"/>
      <c r="PZF133" s="7"/>
      <c r="PZG133" s="7"/>
      <c r="QIR133" s="7"/>
      <c r="QIS133" s="7"/>
      <c r="QIT133" s="7"/>
      <c r="QIU133" s="7"/>
      <c r="QIV133" s="7"/>
      <c r="QIW133" s="7"/>
      <c r="QIX133" s="7"/>
      <c r="QIY133" s="7"/>
      <c r="QIZ133" s="7"/>
      <c r="QJA133" s="7"/>
      <c r="QJB133" s="7"/>
      <c r="QJC133" s="7"/>
      <c r="QSN133" s="7"/>
      <c r="QSO133" s="7"/>
      <c r="QSP133" s="7"/>
      <c r="QSQ133" s="7"/>
      <c r="QSR133" s="7"/>
      <c r="QSS133" s="7"/>
      <c r="QST133" s="7"/>
      <c r="QSU133" s="7"/>
      <c r="QSV133" s="7"/>
      <c r="QSW133" s="7"/>
      <c r="QSX133" s="7"/>
      <c r="QSY133" s="7"/>
      <c r="RCJ133" s="7"/>
      <c r="RCK133" s="7"/>
      <c r="RCL133" s="7"/>
      <c r="RCM133" s="7"/>
      <c r="RCN133" s="7"/>
      <c r="RCO133" s="7"/>
      <c r="RCP133" s="7"/>
      <c r="RCQ133" s="7"/>
      <c r="RCR133" s="7"/>
      <c r="RCS133" s="7"/>
      <c r="RCT133" s="7"/>
      <c r="RCU133" s="7"/>
      <c r="RMF133" s="7"/>
      <c r="RMG133" s="7"/>
      <c r="RMH133" s="7"/>
      <c r="RMI133" s="7"/>
      <c r="RMJ133" s="7"/>
      <c r="RMK133" s="7"/>
      <c r="RML133" s="7"/>
      <c r="RMM133" s="7"/>
      <c r="RMN133" s="7"/>
      <c r="RMO133" s="7"/>
      <c r="RMP133" s="7"/>
      <c r="RMQ133" s="7"/>
      <c r="RWB133" s="7"/>
      <c r="RWC133" s="7"/>
      <c r="RWD133" s="7"/>
      <c r="RWE133" s="7"/>
      <c r="RWF133" s="7"/>
      <c r="RWG133" s="7"/>
      <c r="RWH133" s="7"/>
      <c r="RWI133" s="7"/>
      <c r="RWJ133" s="7"/>
      <c r="RWK133" s="7"/>
      <c r="RWL133" s="7"/>
      <c r="RWM133" s="7"/>
      <c r="SFX133" s="7"/>
      <c r="SFY133" s="7"/>
      <c r="SFZ133" s="7"/>
      <c r="SGA133" s="7"/>
      <c r="SGB133" s="7"/>
      <c r="SGC133" s="7"/>
      <c r="SGD133" s="7"/>
      <c r="SGE133" s="7"/>
      <c r="SGF133" s="7"/>
      <c r="SGG133" s="7"/>
      <c r="SGH133" s="7"/>
      <c r="SGI133" s="7"/>
      <c r="SPT133" s="7"/>
      <c r="SPU133" s="7"/>
      <c r="SPV133" s="7"/>
      <c r="SPW133" s="7"/>
      <c r="SPX133" s="7"/>
      <c r="SPY133" s="7"/>
      <c r="SPZ133" s="7"/>
      <c r="SQA133" s="7"/>
      <c r="SQB133" s="7"/>
      <c r="SQC133" s="7"/>
      <c r="SQD133" s="7"/>
      <c r="SQE133" s="7"/>
      <c r="SZP133" s="7"/>
      <c r="SZQ133" s="7"/>
      <c r="SZR133" s="7"/>
      <c r="SZS133" s="7"/>
      <c r="SZT133" s="7"/>
      <c r="SZU133" s="7"/>
      <c r="SZV133" s="7"/>
      <c r="SZW133" s="7"/>
      <c r="SZX133" s="7"/>
      <c r="SZY133" s="7"/>
      <c r="SZZ133" s="7"/>
      <c r="TAA133" s="7"/>
      <c r="TJL133" s="7"/>
      <c r="TJM133" s="7"/>
      <c r="TJN133" s="7"/>
      <c r="TJO133" s="7"/>
      <c r="TJP133" s="7"/>
      <c r="TJQ133" s="7"/>
      <c r="TJR133" s="7"/>
      <c r="TJS133" s="7"/>
      <c r="TJT133" s="7"/>
      <c r="TJU133" s="7"/>
      <c r="TJV133" s="7"/>
      <c r="TJW133" s="7"/>
      <c r="TTH133" s="7"/>
      <c r="TTI133" s="7"/>
      <c r="TTJ133" s="7"/>
      <c r="TTK133" s="7"/>
      <c r="TTL133" s="7"/>
      <c r="TTM133" s="7"/>
      <c r="TTN133" s="7"/>
      <c r="TTO133" s="7"/>
      <c r="TTP133" s="7"/>
      <c r="TTQ133" s="7"/>
      <c r="TTR133" s="7"/>
      <c r="TTS133" s="7"/>
      <c r="UDD133" s="7"/>
      <c r="UDE133" s="7"/>
      <c r="UDF133" s="7"/>
      <c r="UDG133" s="7"/>
      <c r="UDH133" s="7"/>
      <c r="UDI133" s="7"/>
      <c r="UDJ133" s="7"/>
      <c r="UDK133" s="7"/>
      <c r="UDL133" s="7"/>
      <c r="UDM133" s="7"/>
      <c r="UDN133" s="7"/>
      <c r="UDO133" s="7"/>
      <c r="UMZ133" s="7"/>
      <c r="UNA133" s="7"/>
      <c r="UNB133" s="7"/>
      <c r="UNC133" s="7"/>
      <c r="UND133" s="7"/>
      <c r="UNE133" s="7"/>
      <c r="UNF133" s="7"/>
      <c r="UNG133" s="7"/>
      <c r="UNH133" s="7"/>
      <c r="UNI133" s="7"/>
      <c r="UNJ133" s="7"/>
      <c r="UNK133" s="7"/>
      <c r="UWV133" s="7"/>
      <c r="UWW133" s="7"/>
      <c r="UWX133" s="7"/>
      <c r="UWY133" s="7"/>
      <c r="UWZ133" s="7"/>
      <c r="UXA133" s="7"/>
      <c r="UXB133" s="7"/>
      <c r="UXC133" s="7"/>
      <c r="UXD133" s="7"/>
      <c r="UXE133" s="7"/>
      <c r="UXF133" s="7"/>
      <c r="UXG133" s="7"/>
      <c r="VGR133" s="7"/>
      <c r="VGS133" s="7"/>
      <c r="VGT133" s="7"/>
      <c r="VGU133" s="7"/>
      <c r="VGV133" s="7"/>
      <c r="VGW133" s="7"/>
      <c r="VGX133" s="7"/>
      <c r="VGY133" s="7"/>
      <c r="VGZ133" s="7"/>
      <c r="VHA133" s="7"/>
      <c r="VHB133" s="7"/>
      <c r="VHC133" s="7"/>
      <c r="VQN133" s="7"/>
      <c r="VQO133" s="7"/>
      <c r="VQP133" s="7"/>
      <c r="VQQ133" s="7"/>
      <c r="VQR133" s="7"/>
      <c r="VQS133" s="7"/>
      <c r="VQT133" s="7"/>
      <c r="VQU133" s="7"/>
      <c r="VQV133" s="7"/>
      <c r="VQW133" s="7"/>
      <c r="VQX133" s="7"/>
      <c r="VQY133" s="7"/>
      <c r="WAJ133" s="7"/>
      <c r="WAK133" s="7"/>
      <c r="WAL133" s="7"/>
      <c r="WAM133" s="7"/>
      <c r="WAN133" s="7"/>
      <c r="WAO133" s="7"/>
      <c r="WAP133" s="7"/>
      <c r="WAQ133" s="7"/>
      <c r="WAR133" s="7"/>
      <c r="WAS133" s="7"/>
      <c r="WAT133" s="7"/>
      <c r="WAU133" s="7"/>
      <c r="WKF133" s="7"/>
      <c r="WKG133" s="7"/>
      <c r="WKH133" s="7"/>
      <c r="WKI133" s="7"/>
      <c r="WKJ133" s="7"/>
      <c r="WKK133" s="7"/>
      <c r="WKL133" s="7"/>
      <c r="WKM133" s="7"/>
      <c r="WKN133" s="7"/>
      <c r="WKO133" s="7"/>
      <c r="WKP133" s="7"/>
      <c r="WKQ133" s="7"/>
      <c r="WUB133" s="7"/>
      <c r="WUC133" s="7"/>
      <c r="WUD133" s="7"/>
      <c r="WUE133" s="7"/>
      <c r="WUF133" s="7"/>
      <c r="WUG133" s="7"/>
      <c r="WUH133" s="7"/>
      <c r="WUI133" s="7"/>
      <c r="WUJ133" s="7"/>
      <c r="WUK133" s="7"/>
      <c r="WUL133" s="7"/>
      <c r="WUM133" s="7"/>
    </row>
    <row r="134" spans="1:1003 1248:2027 2272:3051 3296:4075 4320:5099 5344:6123 6368:7147 7392:8171 8416:9195 9440:10219 10464:11243 11488:12267 12512:13291 13536:14315 14560:15339 15584:16107" ht="30" customHeight="1">
      <c r="A134" s="45"/>
      <c r="H134" s="159"/>
      <c r="I134" s="196"/>
      <c r="J134" s="161"/>
      <c r="K134" s="196"/>
      <c r="L134" s="211">
        <f>Table113[[#This Row],[Qty 2]]+Table113[[#This Row],[Qty 1]]</f>
        <v>0</v>
      </c>
      <c r="M134" s="216"/>
      <c r="N134" s="216">
        <f>Table113[[#This Row],[Unit Cost]]*Table113[[#This Row],[Total Qty All Areas]]</f>
        <v>0</v>
      </c>
    </row>
    <row r="135" spans="1:1003 1248:2027 2272:3051 3296:4075 4320:5099 5344:6123 6368:7147 7392:8171 8416:9195 9440:10219 10464:11243 11488:12267 12512:13291 13536:14315 14560:15339 15584:16107" ht="30" customHeight="1">
      <c r="A135" s="45"/>
      <c r="H135" s="159"/>
      <c r="I135" s="196"/>
      <c r="J135" s="161"/>
      <c r="K135" s="196"/>
      <c r="L135" s="211">
        <f>Table113[[#This Row],[Qty 2]]+Table113[[#This Row],[Qty 1]]</f>
        <v>0</v>
      </c>
      <c r="M135" s="216"/>
      <c r="N135" s="216">
        <f>Table113[[#This Row],[Unit Cost]]*Table113[[#This Row],[Total Qty All Areas]]</f>
        <v>0</v>
      </c>
    </row>
    <row r="136" spans="1:1003 1248:2027 2272:3051 3296:4075 4320:5099 5344:6123 6368:7147 7392:8171 8416:9195 9440:10219 10464:11243 11488:12267 12512:13291 13536:14315 14560:15339 15584:16107" ht="30" customHeight="1">
      <c r="A136" s="176"/>
      <c r="D136" s="169"/>
      <c r="E136" s="169"/>
      <c r="F136" s="303"/>
      <c r="H136" s="159"/>
      <c r="I136" s="196"/>
      <c r="J136" s="161"/>
      <c r="K136" s="196"/>
      <c r="L136" s="211">
        <f>Table113[[#This Row],[Qty 2]]+Table113[[#This Row],[Qty 1]]</f>
        <v>0</v>
      </c>
      <c r="M136" s="216"/>
      <c r="N136" s="216">
        <f>Table113[[#This Row],[Unit Cost]]*Table113[[#This Row],[Total Qty All Areas]]</f>
        <v>0</v>
      </c>
    </row>
    <row r="137" spans="1:1003 1248:2027 2272:3051 3296:4075 4320:5099 5344:6123 6368:7147 7392:8171 8416:9195 9440:10219 10464:11243 11488:12267 12512:13291 13536:14315 14560:15339 15584:16107" s="167" customFormat="1" ht="30" customHeight="1">
      <c r="A137" s="175" t="str">
        <f>'Category Setup'!L59</f>
        <v>PF_PL</v>
      </c>
      <c r="B137" s="167" t="str">
        <f>'Category Setup'!E59</f>
        <v>PF_PL_Part Finished_Pallet Lifter</v>
      </c>
      <c r="C137" s="167" t="str">
        <f>'Category Setup'!N59</f>
        <v>PF_PL_Part Finished_Pallet Lifter</v>
      </c>
      <c r="D137" s="168"/>
      <c r="E137" s="168"/>
      <c r="F137" s="172"/>
      <c r="G137" s="172"/>
      <c r="H137" s="173"/>
      <c r="I137" s="197"/>
      <c r="J137" s="174"/>
      <c r="K137" s="197"/>
      <c r="L137" s="213">
        <f>Table113[[#This Row],[Qty 2]]+Table113[[#This Row],[Qty 1]]</f>
        <v>0</v>
      </c>
      <c r="M137" s="215"/>
      <c r="N137" s="215">
        <f>Table113[[#This Row],[Unit Cost]]*Table113[[#This Row],[Total Qty All Areas]]</f>
        <v>0</v>
      </c>
      <c r="HP137" s="7"/>
      <c r="HQ137" s="7"/>
      <c r="HR137" s="7"/>
      <c r="HS137" s="7"/>
      <c r="HT137" s="7"/>
      <c r="HU137" s="7"/>
      <c r="HV137" s="7"/>
      <c r="HW137" s="7"/>
      <c r="HX137" s="7"/>
      <c r="HY137" s="7"/>
      <c r="HZ137" s="7"/>
      <c r="IA137" s="7"/>
      <c r="RL137" s="7"/>
      <c r="RM137" s="7"/>
      <c r="RN137" s="7"/>
      <c r="RO137" s="7"/>
      <c r="RP137" s="7"/>
      <c r="RQ137" s="7"/>
      <c r="RR137" s="7"/>
      <c r="RS137" s="7"/>
      <c r="RT137" s="7"/>
      <c r="RU137" s="7"/>
      <c r="RV137" s="7"/>
      <c r="RW137" s="7"/>
      <c r="ABH137" s="7"/>
      <c r="ABI137" s="7"/>
      <c r="ABJ137" s="7"/>
      <c r="ABK137" s="7"/>
      <c r="ABL137" s="7"/>
      <c r="ABM137" s="7"/>
      <c r="ABN137" s="7"/>
      <c r="ABO137" s="7"/>
      <c r="ABP137" s="7"/>
      <c r="ABQ137" s="7"/>
      <c r="ABR137" s="7"/>
      <c r="ABS137" s="7"/>
      <c r="ALD137" s="7"/>
      <c r="ALE137" s="7"/>
      <c r="ALF137" s="7"/>
      <c r="ALG137" s="7"/>
      <c r="ALH137" s="7"/>
      <c r="ALI137" s="7"/>
      <c r="ALJ137" s="7"/>
      <c r="ALK137" s="7"/>
      <c r="ALL137" s="7"/>
      <c r="ALM137" s="7"/>
      <c r="ALN137" s="7"/>
      <c r="ALO137" s="7"/>
      <c r="AUZ137" s="7"/>
      <c r="AVA137" s="7"/>
      <c r="AVB137" s="7"/>
      <c r="AVC137" s="7"/>
      <c r="AVD137" s="7"/>
      <c r="AVE137" s="7"/>
      <c r="AVF137" s="7"/>
      <c r="AVG137" s="7"/>
      <c r="AVH137" s="7"/>
      <c r="AVI137" s="7"/>
      <c r="AVJ137" s="7"/>
      <c r="AVK137" s="7"/>
      <c r="BEV137" s="7"/>
      <c r="BEW137" s="7"/>
      <c r="BEX137" s="7"/>
      <c r="BEY137" s="7"/>
      <c r="BEZ137" s="7"/>
      <c r="BFA137" s="7"/>
      <c r="BFB137" s="7"/>
      <c r="BFC137" s="7"/>
      <c r="BFD137" s="7"/>
      <c r="BFE137" s="7"/>
      <c r="BFF137" s="7"/>
      <c r="BFG137" s="7"/>
      <c r="BOR137" s="7"/>
      <c r="BOS137" s="7"/>
      <c r="BOT137" s="7"/>
      <c r="BOU137" s="7"/>
      <c r="BOV137" s="7"/>
      <c r="BOW137" s="7"/>
      <c r="BOX137" s="7"/>
      <c r="BOY137" s="7"/>
      <c r="BOZ137" s="7"/>
      <c r="BPA137" s="7"/>
      <c r="BPB137" s="7"/>
      <c r="BPC137" s="7"/>
      <c r="BYN137" s="7"/>
      <c r="BYO137" s="7"/>
      <c r="BYP137" s="7"/>
      <c r="BYQ137" s="7"/>
      <c r="BYR137" s="7"/>
      <c r="BYS137" s="7"/>
      <c r="BYT137" s="7"/>
      <c r="BYU137" s="7"/>
      <c r="BYV137" s="7"/>
      <c r="BYW137" s="7"/>
      <c r="BYX137" s="7"/>
      <c r="BYY137" s="7"/>
      <c r="CIJ137" s="7"/>
      <c r="CIK137" s="7"/>
      <c r="CIL137" s="7"/>
      <c r="CIM137" s="7"/>
      <c r="CIN137" s="7"/>
      <c r="CIO137" s="7"/>
      <c r="CIP137" s="7"/>
      <c r="CIQ137" s="7"/>
      <c r="CIR137" s="7"/>
      <c r="CIS137" s="7"/>
      <c r="CIT137" s="7"/>
      <c r="CIU137" s="7"/>
      <c r="CSF137" s="7"/>
      <c r="CSG137" s="7"/>
      <c r="CSH137" s="7"/>
      <c r="CSI137" s="7"/>
      <c r="CSJ137" s="7"/>
      <c r="CSK137" s="7"/>
      <c r="CSL137" s="7"/>
      <c r="CSM137" s="7"/>
      <c r="CSN137" s="7"/>
      <c r="CSO137" s="7"/>
      <c r="CSP137" s="7"/>
      <c r="CSQ137" s="7"/>
      <c r="DCB137" s="7"/>
      <c r="DCC137" s="7"/>
      <c r="DCD137" s="7"/>
      <c r="DCE137" s="7"/>
      <c r="DCF137" s="7"/>
      <c r="DCG137" s="7"/>
      <c r="DCH137" s="7"/>
      <c r="DCI137" s="7"/>
      <c r="DCJ137" s="7"/>
      <c r="DCK137" s="7"/>
      <c r="DCL137" s="7"/>
      <c r="DCM137" s="7"/>
      <c r="DLX137" s="7"/>
      <c r="DLY137" s="7"/>
      <c r="DLZ137" s="7"/>
      <c r="DMA137" s="7"/>
      <c r="DMB137" s="7"/>
      <c r="DMC137" s="7"/>
      <c r="DMD137" s="7"/>
      <c r="DME137" s="7"/>
      <c r="DMF137" s="7"/>
      <c r="DMG137" s="7"/>
      <c r="DMH137" s="7"/>
      <c r="DMI137" s="7"/>
      <c r="DVT137" s="7"/>
      <c r="DVU137" s="7"/>
      <c r="DVV137" s="7"/>
      <c r="DVW137" s="7"/>
      <c r="DVX137" s="7"/>
      <c r="DVY137" s="7"/>
      <c r="DVZ137" s="7"/>
      <c r="DWA137" s="7"/>
      <c r="DWB137" s="7"/>
      <c r="DWC137" s="7"/>
      <c r="DWD137" s="7"/>
      <c r="DWE137" s="7"/>
      <c r="EFP137" s="7"/>
      <c r="EFQ137" s="7"/>
      <c r="EFR137" s="7"/>
      <c r="EFS137" s="7"/>
      <c r="EFT137" s="7"/>
      <c r="EFU137" s="7"/>
      <c r="EFV137" s="7"/>
      <c r="EFW137" s="7"/>
      <c r="EFX137" s="7"/>
      <c r="EFY137" s="7"/>
      <c r="EFZ137" s="7"/>
      <c r="EGA137" s="7"/>
      <c r="EPL137" s="7"/>
      <c r="EPM137" s="7"/>
      <c r="EPN137" s="7"/>
      <c r="EPO137" s="7"/>
      <c r="EPP137" s="7"/>
      <c r="EPQ137" s="7"/>
      <c r="EPR137" s="7"/>
      <c r="EPS137" s="7"/>
      <c r="EPT137" s="7"/>
      <c r="EPU137" s="7"/>
      <c r="EPV137" s="7"/>
      <c r="EPW137" s="7"/>
      <c r="EZH137" s="7"/>
      <c r="EZI137" s="7"/>
      <c r="EZJ137" s="7"/>
      <c r="EZK137" s="7"/>
      <c r="EZL137" s="7"/>
      <c r="EZM137" s="7"/>
      <c r="EZN137" s="7"/>
      <c r="EZO137" s="7"/>
      <c r="EZP137" s="7"/>
      <c r="EZQ137" s="7"/>
      <c r="EZR137" s="7"/>
      <c r="EZS137" s="7"/>
      <c r="FJD137" s="7"/>
      <c r="FJE137" s="7"/>
      <c r="FJF137" s="7"/>
      <c r="FJG137" s="7"/>
      <c r="FJH137" s="7"/>
      <c r="FJI137" s="7"/>
      <c r="FJJ137" s="7"/>
      <c r="FJK137" s="7"/>
      <c r="FJL137" s="7"/>
      <c r="FJM137" s="7"/>
      <c r="FJN137" s="7"/>
      <c r="FJO137" s="7"/>
      <c r="FSZ137" s="7"/>
      <c r="FTA137" s="7"/>
      <c r="FTB137" s="7"/>
      <c r="FTC137" s="7"/>
      <c r="FTD137" s="7"/>
      <c r="FTE137" s="7"/>
      <c r="FTF137" s="7"/>
      <c r="FTG137" s="7"/>
      <c r="FTH137" s="7"/>
      <c r="FTI137" s="7"/>
      <c r="FTJ137" s="7"/>
      <c r="FTK137" s="7"/>
      <c r="GCV137" s="7"/>
      <c r="GCW137" s="7"/>
      <c r="GCX137" s="7"/>
      <c r="GCY137" s="7"/>
      <c r="GCZ137" s="7"/>
      <c r="GDA137" s="7"/>
      <c r="GDB137" s="7"/>
      <c r="GDC137" s="7"/>
      <c r="GDD137" s="7"/>
      <c r="GDE137" s="7"/>
      <c r="GDF137" s="7"/>
      <c r="GDG137" s="7"/>
      <c r="GMR137" s="7"/>
      <c r="GMS137" s="7"/>
      <c r="GMT137" s="7"/>
      <c r="GMU137" s="7"/>
      <c r="GMV137" s="7"/>
      <c r="GMW137" s="7"/>
      <c r="GMX137" s="7"/>
      <c r="GMY137" s="7"/>
      <c r="GMZ137" s="7"/>
      <c r="GNA137" s="7"/>
      <c r="GNB137" s="7"/>
      <c r="GNC137" s="7"/>
      <c r="GWN137" s="7"/>
      <c r="GWO137" s="7"/>
      <c r="GWP137" s="7"/>
      <c r="GWQ137" s="7"/>
      <c r="GWR137" s="7"/>
      <c r="GWS137" s="7"/>
      <c r="GWT137" s="7"/>
      <c r="GWU137" s="7"/>
      <c r="GWV137" s="7"/>
      <c r="GWW137" s="7"/>
      <c r="GWX137" s="7"/>
      <c r="GWY137" s="7"/>
      <c r="HGJ137" s="7"/>
      <c r="HGK137" s="7"/>
      <c r="HGL137" s="7"/>
      <c r="HGM137" s="7"/>
      <c r="HGN137" s="7"/>
      <c r="HGO137" s="7"/>
      <c r="HGP137" s="7"/>
      <c r="HGQ137" s="7"/>
      <c r="HGR137" s="7"/>
      <c r="HGS137" s="7"/>
      <c r="HGT137" s="7"/>
      <c r="HGU137" s="7"/>
      <c r="HQF137" s="7"/>
      <c r="HQG137" s="7"/>
      <c r="HQH137" s="7"/>
      <c r="HQI137" s="7"/>
      <c r="HQJ137" s="7"/>
      <c r="HQK137" s="7"/>
      <c r="HQL137" s="7"/>
      <c r="HQM137" s="7"/>
      <c r="HQN137" s="7"/>
      <c r="HQO137" s="7"/>
      <c r="HQP137" s="7"/>
      <c r="HQQ137" s="7"/>
      <c r="IAB137" s="7"/>
      <c r="IAC137" s="7"/>
      <c r="IAD137" s="7"/>
      <c r="IAE137" s="7"/>
      <c r="IAF137" s="7"/>
      <c r="IAG137" s="7"/>
      <c r="IAH137" s="7"/>
      <c r="IAI137" s="7"/>
      <c r="IAJ137" s="7"/>
      <c r="IAK137" s="7"/>
      <c r="IAL137" s="7"/>
      <c r="IAM137" s="7"/>
      <c r="IJX137" s="7"/>
      <c r="IJY137" s="7"/>
      <c r="IJZ137" s="7"/>
      <c r="IKA137" s="7"/>
      <c r="IKB137" s="7"/>
      <c r="IKC137" s="7"/>
      <c r="IKD137" s="7"/>
      <c r="IKE137" s="7"/>
      <c r="IKF137" s="7"/>
      <c r="IKG137" s="7"/>
      <c r="IKH137" s="7"/>
      <c r="IKI137" s="7"/>
      <c r="ITT137" s="7"/>
      <c r="ITU137" s="7"/>
      <c r="ITV137" s="7"/>
      <c r="ITW137" s="7"/>
      <c r="ITX137" s="7"/>
      <c r="ITY137" s="7"/>
      <c r="ITZ137" s="7"/>
      <c r="IUA137" s="7"/>
      <c r="IUB137" s="7"/>
      <c r="IUC137" s="7"/>
      <c r="IUD137" s="7"/>
      <c r="IUE137" s="7"/>
      <c r="JDP137" s="7"/>
      <c r="JDQ137" s="7"/>
      <c r="JDR137" s="7"/>
      <c r="JDS137" s="7"/>
      <c r="JDT137" s="7"/>
      <c r="JDU137" s="7"/>
      <c r="JDV137" s="7"/>
      <c r="JDW137" s="7"/>
      <c r="JDX137" s="7"/>
      <c r="JDY137" s="7"/>
      <c r="JDZ137" s="7"/>
      <c r="JEA137" s="7"/>
      <c r="JNL137" s="7"/>
      <c r="JNM137" s="7"/>
      <c r="JNN137" s="7"/>
      <c r="JNO137" s="7"/>
      <c r="JNP137" s="7"/>
      <c r="JNQ137" s="7"/>
      <c r="JNR137" s="7"/>
      <c r="JNS137" s="7"/>
      <c r="JNT137" s="7"/>
      <c r="JNU137" s="7"/>
      <c r="JNV137" s="7"/>
      <c r="JNW137" s="7"/>
      <c r="JXH137" s="7"/>
      <c r="JXI137" s="7"/>
      <c r="JXJ137" s="7"/>
      <c r="JXK137" s="7"/>
      <c r="JXL137" s="7"/>
      <c r="JXM137" s="7"/>
      <c r="JXN137" s="7"/>
      <c r="JXO137" s="7"/>
      <c r="JXP137" s="7"/>
      <c r="JXQ137" s="7"/>
      <c r="JXR137" s="7"/>
      <c r="JXS137" s="7"/>
      <c r="KHD137" s="7"/>
      <c r="KHE137" s="7"/>
      <c r="KHF137" s="7"/>
      <c r="KHG137" s="7"/>
      <c r="KHH137" s="7"/>
      <c r="KHI137" s="7"/>
      <c r="KHJ137" s="7"/>
      <c r="KHK137" s="7"/>
      <c r="KHL137" s="7"/>
      <c r="KHM137" s="7"/>
      <c r="KHN137" s="7"/>
      <c r="KHO137" s="7"/>
      <c r="KQZ137" s="7"/>
      <c r="KRA137" s="7"/>
      <c r="KRB137" s="7"/>
      <c r="KRC137" s="7"/>
      <c r="KRD137" s="7"/>
      <c r="KRE137" s="7"/>
      <c r="KRF137" s="7"/>
      <c r="KRG137" s="7"/>
      <c r="KRH137" s="7"/>
      <c r="KRI137" s="7"/>
      <c r="KRJ137" s="7"/>
      <c r="KRK137" s="7"/>
      <c r="LAV137" s="7"/>
      <c r="LAW137" s="7"/>
      <c r="LAX137" s="7"/>
      <c r="LAY137" s="7"/>
      <c r="LAZ137" s="7"/>
      <c r="LBA137" s="7"/>
      <c r="LBB137" s="7"/>
      <c r="LBC137" s="7"/>
      <c r="LBD137" s="7"/>
      <c r="LBE137" s="7"/>
      <c r="LBF137" s="7"/>
      <c r="LBG137" s="7"/>
      <c r="LKR137" s="7"/>
      <c r="LKS137" s="7"/>
      <c r="LKT137" s="7"/>
      <c r="LKU137" s="7"/>
      <c r="LKV137" s="7"/>
      <c r="LKW137" s="7"/>
      <c r="LKX137" s="7"/>
      <c r="LKY137" s="7"/>
      <c r="LKZ137" s="7"/>
      <c r="LLA137" s="7"/>
      <c r="LLB137" s="7"/>
      <c r="LLC137" s="7"/>
      <c r="LUN137" s="7"/>
      <c r="LUO137" s="7"/>
      <c r="LUP137" s="7"/>
      <c r="LUQ137" s="7"/>
      <c r="LUR137" s="7"/>
      <c r="LUS137" s="7"/>
      <c r="LUT137" s="7"/>
      <c r="LUU137" s="7"/>
      <c r="LUV137" s="7"/>
      <c r="LUW137" s="7"/>
      <c r="LUX137" s="7"/>
      <c r="LUY137" s="7"/>
      <c r="MEJ137" s="7"/>
      <c r="MEK137" s="7"/>
      <c r="MEL137" s="7"/>
      <c r="MEM137" s="7"/>
      <c r="MEN137" s="7"/>
      <c r="MEO137" s="7"/>
      <c r="MEP137" s="7"/>
      <c r="MEQ137" s="7"/>
      <c r="MER137" s="7"/>
      <c r="MES137" s="7"/>
      <c r="MET137" s="7"/>
      <c r="MEU137" s="7"/>
      <c r="MOF137" s="7"/>
      <c r="MOG137" s="7"/>
      <c r="MOH137" s="7"/>
      <c r="MOI137" s="7"/>
      <c r="MOJ137" s="7"/>
      <c r="MOK137" s="7"/>
      <c r="MOL137" s="7"/>
      <c r="MOM137" s="7"/>
      <c r="MON137" s="7"/>
      <c r="MOO137" s="7"/>
      <c r="MOP137" s="7"/>
      <c r="MOQ137" s="7"/>
      <c r="MYB137" s="7"/>
      <c r="MYC137" s="7"/>
      <c r="MYD137" s="7"/>
      <c r="MYE137" s="7"/>
      <c r="MYF137" s="7"/>
      <c r="MYG137" s="7"/>
      <c r="MYH137" s="7"/>
      <c r="MYI137" s="7"/>
      <c r="MYJ137" s="7"/>
      <c r="MYK137" s="7"/>
      <c r="MYL137" s="7"/>
      <c r="MYM137" s="7"/>
      <c r="NHX137" s="7"/>
      <c r="NHY137" s="7"/>
      <c r="NHZ137" s="7"/>
      <c r="NIA137" s="7"/>
      <c r="NIB137" s="7"/>
      <c r="NIC137" s="7"/>
      <c r="NID137" s="7"/>
      <c r="NIE137" s="7"/>
      <c r="NIF137" s="7"/>
      <c r="NIG137" s="7"/>
      <c r="NIH137" s="7"/>
      <c r="NII137" s="7"/>
      <c r="NRT137" s="7"/>
      <c r="NRU137" s="7"/>
      <c r="NRV137" s="7"/>
      <c r="NRW137" s="7"/>
      <c r="NRX137" s="7"/>
      <c r="NRY137" s="7"/>
      <c r="NRZ137" s="7"/>
      <c r="NSA137" s="7"/>
      <c r="NSB137" s="7"/>
      <c r="NSC137" s="7"/>
      <c r="NSD137" s="7"/>
      <c r="NSE137" s="7"/>
      <c r="OBP137" s="7"/>
      <c r="OBQ137" s="7"/>
      <c r="OBR137" s="7"/>
      <c r="OBS137" s="7"/>
      <c r="OBT137" s="7"/>
      <c r="OBU137" s="7"/>
      <c r="OBV137" s="7"/>
      <c r="OBW137" s="7"/>
      <c r="OBX137" s="7"/>
      <c r="OBY137" s="7"/>
      <c r="OBZ137" s="7"/>
      <c r="OCA137" s="7"/>
      <c r="OLL137" s="7"/>
      <c r="OLM137" s="7"/>
      <c r="OLN137" s="7"/>
      <c r="OLO137" s="7"/>
      <c r="OLP137" s="7"/>
      <c r="OLQ137" s="7"/>
      <c r="OLR137" s="7"/>
      <c r="OLS137" s="7"/>
      <c r="OLT137" s="7"/>
      <c r="OLU137" s="7"/>
      <c r="OLV137" s="7"/>
      <c r="OLW137" s="7"/>
      <c r="OVH137" s="7"/>
      <c r="OVI137" s="7"/>
      <c r="OVJ137" s="7"/>
      <c r="OVK137" s="7"/>
      <c r="OVL137" s="7"/>
      <c r="OVM137" s="7"/>
      <c r="OVN137" s="7"/>
      <c r="OVO137" s="7"/>
      <c r="OVP137" s="7"/>
      <c r="OVQ137" s="7"/>
      <c r="OVR137" s="7"/>
      <c r="OVS137" s="7"/>
      <c r="PFD137" s="7"/>
      <c r="PFE137" s="7"/>
      <c r="PFF137" s="7"/>
      <c r="PFG137" s="7"/>
      <c r="PFH137" s="7"/>
      <c r="PFI137" s="7"/>
      <c r="PFJ137" s="7"/>
      <c r="PFK137" s="7"/>
      <c r="PFL137" s="7"/>
      <c r="PFM137" s="7"/>
      <c r="PFN137" s="7"/>
      <c r="PFO137" s="7"/>
      <c r="POZ137" s="7"/>
      <c r="PPA137" s="7"/>
      <c r="PPB137" s="7"/>
      <c r="PPC137" s="7"/>
      <c r="PPD137" s="7"/>
      <c r="PPE137" s="7"/>
      <c r="PPF137" s="7"/>
      <c r="PPG137" s="7"/>
      <c r="PPH137" s="7"/>
      <c r="PPI137" s="7"/>
      <c r="PPJ137" s="7"/>
      <c r="PPK137" s="7"/>
      <c r="PYV137" s="7"/>
      <c r="PYW137" s="7"/>
      <c r="PYX137" s="7"/>
      <c r="PYY137" s="7"/>
      <c r="PYZ137" s="7"/>
      <c r="PZA137" s="7"/>
      <c r="PZB137" s="7"/>
      <c r="PZC137" s="7"/>
      <c r="PZD137" s="7"/>
      <c r="PZE137" s="7"/>
      <c r="PZF137" s="7"/>
      <c r="PZG137" s="7"/>
      <c r="QIR137" s="7"/>
      <c r="QIS137" s="7"/>
      <c r="QIT137" s="7"/>
      <c r="QIU137" s="7"/>
      <c r="QIV137" s="7"/>
      <c r="QIW137" s="7"/>
      <c r="QIX137" s="7"/>
      <c r="QIY137" s="7"/>
      <c r="QIZ137" s="7"/>
      <c r="QJA137" s="7"/>
      <c r="QJB137" s="7"/>
      <c r="QJC137" s="7"/>
      <c r="QSN137" s="7"/>
      <c r="QSO137" s="7"/>
      <c r="QSP137" s="7"/>
      <c r="QSQ137" s="7"/>
      <c r="QSR137" s="7"/>
      <c r="QSS137" s="7"/>
      <c r="QST137" s="7"/>
      <c r="QSU137" s="7"/>
      <c r="QSV137" s="7"/>
      <c r="QSW137" s="7"/>
      <c r="QSX137" s="7"/>
      <c r="QSY137" s="7"/>
      <c r="RCJ137" s="7"/>
      <c r="RCK137" s="7"/>
      <c r="RCL137" s="7"/>
      <c r="RCM137" s="7"/>
      <c r="RCN137" s="7"/>
      <c r="RCO137" s="7"/>
      <c r="RCP137" s="7"/>
      <c r="RCQ137" s="7"/>
      <c r="RCR137" s="7"/>
      <c r="RCS137" s="7"/>
      <c r="RCT137" s="7"/>
      <c r="RCU137" s="7"/>
      <c r="RMF137" s="7"/>
      <c r="RMG137" s="7"/>
      <c r="RMH137" s="7"/>
      <c r="RMI137" s="7"/>
      <c r="RMJ137" s="7"/>
      <c r="RMK137" s="7"/>
      <c r="RML137" s="7"/>
      <c r="RMM137" s="7"/>
      <c r="RMN137" s="7"/>
      <c r="RMO137" s="7"/>
      <c r="RMP137" s="7"/>
      <c r="RMQ137" s="7"/>
      <c r="RWB137" s="7"/>
      <c r="RWC137" s="7"/>
      <c r="RWD137" s="7"/>
      <c r="RWE137" s="7"/>
      <c r="RWF137" s="7"/>
      <c r="RWG137" s="7"/>
      <c r="RWH137" s="7"/>
      <c r="RWI137" s="7"/>
      <c r="RWJ137" s="7"/>
      <c r="RWK137" s="7"/>
      <c r="RWL137" s="7"/>
      <c r="RWM137" s="7"/>
      <c r="SFX137" s="7"/>
      <c r="SFY137" s="7"/>
      <c r="SFZ137" s="7"/>
      <c r="SGA137" s="7"/>
      <c r="SGB137" s="7"/>
      <c r="SGC137" s="7"/>
      <c r="SGD137" s="7"/>
      <c r="SGE137" s="7"/>
      <c r="SGF137" s="7"/>
      <c r="SGG137" s="7"/>
      <c r="SGH137" s="7"/>
      <c r="SGI137" s="7"/>
      <c r="SPT137" s="7"/>
      <c r="SPU137" s="7"/>
      <c r="SPV137" s="7"/>
      <c r="SPW137" s="7"/>
      <c r="SPX137" s="7"/>
      <c r="SPY137" s="7"/>
      <c r="SPZ137" s="7"/>
      <c r="SQA137" s="7"/>
      <c r="SQB137" s="7"/>
      <c r="SQC137" s="7"/>
      <c r="SQD137" s="7"/>
      <c r="SQE137" s="7"/>
      <c r="SZP137" s="7"/>
      <c r="SZQ137" s="7"/>
      <c r="SZR137" s="7"/>
      <c r="SZS137" s="7"/>
      <c r="SZT137" s="7"/>
      <c r="SZU137" s="7"/>
      <c r="SZV137" s="7"/>
      <c r="SZW137" s="7"/>
      <c r="SZX137" s="7"/>
      <c r="SZY137" s="7"/>
      <c r="SZZ137" s="7"/>
      <c r="TAA137" s="7"/>
      <c r="TJL137" s="7"/>
      <c r="TJM137" s="7"/>
      <c r="TJN137" s="7"/>
      <c r="TJO137" s="7"/>
      <c r="TJP137" s="7"/>
      <c r="TJQ137" s="7"/>
      <c r="TJR137" s="7"/>
      <c r="TJS137" s="7"/>
      <c r="TJT137" s="7"/>
      <c r="TJU137" s="7"/>
      <c r="TJV137" s="7"/>
      <c r="TJW137" s="7"/>
      <c r="TTH137" s="7"/>
      <c r="TTI137" s="7"/>
      <c r="TTJ137" s="7"/>
      <c r="TTK137" s="7"/>
      <c r="TTL137" s="7"/>
      <c r="TTM137" s="7"/>
      <c r="TTN137" s="7"/>
      <c r="TTO137" s="7"/>
      <c r="TTP137" s="7"/>
      <c r="TTQ137" s="7"/>
      <c r="TTR137" s="7"/>
      <c r="TTS137" s="7"/>
      <c r="UDD137" s="7"/>
      <c r="UDE137" s="7"/>
      <c r="UDF137" s="7"/>
      <c r="UDG137" s="7"/>
      <c r="UDH137" s="7"/>
      <c r="UDI137" s="7"/>
      <c r="UDJ137" s="7"/>
      <c r="UDK137" s="7"/>
      <c r="UDL137" s="7"/>
      <c r="UDM137" s="7"/>
      <c r="UDN137" s="7"/>
      <c r="UDO137" s="7"/>
      <c r="UMZ137" s="7"/>
      <c r="UNA137" s="7"/>
      <c r="UNB137" s="7"/>
      <c r="UNC137" s="7"/>
      <c r="UND137" s="7"/>
      <c r="UNE137" s="7"/>
      <c r="UNF137" s="7"/>
      <c r="UNG137" s="7"/>
      <c r="UNH137" s="7"/>
      <c r="UNI137" s="7"/>
      <c r="UNJ137" s="7"/>
      <c r="UNK137" s="7"/>
      <c r="UWV137" s="7"/>
      <c r="UWW137" s="7"/>
      <c r="UWX137" s="7"/>
      <c r="UWY137" s="7"/>
      <c r="UWZ137" s="7"/>
      <c r="UXA137" s="7"/>
      <c r="UXB137" s="7"/>
      <c r="UXC137" s="7"/>
      <c r="UXD137" s="7"/>
      <c r="UXE137" s="7"/>
      <c r="UXF137" s="7"/>
      <c r="UXG137" s="7"/>
      <c r="VGR137" s="7"/>
      <c r="VGS137" s="7"/>
      <c r="VGT137" s="7"/>
      <c r="VGU137" s="7"/>
      <c r="VGV137" s="7"/>
      <c r="VGW137" s="7"/>
      <c r="VGX137" s="7"/>
      <c r="VGY137" s="7"/>
      <c r="VGZ137" s="7"/>
      <c r="VHA137" s="7"/>
      <c r="VHB137" s="7"/>
      <c r="VHC137" s="7"/>
      <c r="VQN137" s="7"/>
      <c r="VQO137" s="7"/>
      <c r="VQP137" s="7"/>
      <c r="VQQ137" s="7"/>
      <c r="VQR137" s="7"/>
      <c r="VQS137" s="7"/>
      <c r="VQT137" s="7"/>
      <c r="VQU137" s="7"/>
      <c r="VQV137" s="7"/>
      <c r="VQW137" s="7"/>
      <c r="VQX137" s="7"/>
      <c r="VQY137" s="7"/>
      <c r="WAJ137" s="7"/>
      <c r="WAK137" s="7"/>
      <c r="WAL137" s="7"/>
      <c r="WAM137" s="7"/>
      <c r="WAN137" s="7"/>
      <c r="WAO137" s="7"/>
      <c r="WAP137" s="7"/>
      <c r="WAQ137" s="7"/>
      <c r="WAR137" s="7"/>
      <c r="WAS137" s="7"/>
      <c r="WAT137" s="7"/>
      <c r="WAU137" s="7"/>
      <c r="WKF137" s="7"/>
      <c r="WKG137" s="7"/>
      <c r="WKH137" s="7"/>
      <c r="WKI137" s="7"/>
      <c r="WKJ137" s="7"/>
      <c r="WKK137" s="7"/>
      <c r="WKL137" s="7"/>
      <c r="WKM137" s="7"/>
      <c r="WKN137" s="7"/>
      <c r="WKO137" s="7"/>
      <c r="WKP137" s="7"/>
      <c r="WKQ137" s="7"/>
      <c r="WUB137" s="7"/>
      <c r="WUC137" s="7"/>
      <c r="WUD137" s="7"/>
      <c r="WUE137" s="7"/>
      <c r="WUF137" s="7"/>
      <c r="WUG137" s="7"/>
      <c r="WUH137" s="7"/>
      <c r="WUI137" s="7"/>
      <c r="WUJ137" s="7"/>
      <c r="WUK137" s="7"/>
      <c r="WUL137" s="7"/>
      <c r="WUM137" s="7"/>
    </row>
    <row r="138" spans="1:1003 1248:2027 2272:3051 3296:4075 4320:5099 5344:6123 6368:7147 7392:8171 8416:9195 9440:10219 10464:11243 11488:12267 12512:13291 13536:14315 14560:15339 15584:16107" ht="30" customHeight="1">
      <c r="A138" s="45"/>
      <c r="H138" s="159"/>
      <c r="I138" s="196"/>
      <c r="J138" s="161"/>
      <c r="K138" s="196"/>
      <c r="L138" s="211">
        <f>Table113[[#This Row],[Qty 2]]+Table113[[#This Row],[Qty 1]]</f>
        <v>0</v>
      </c>
      <c r="M138" s="216"/>
      <c r="N138" s="216">
        <f>Table113[[#This Row],[Unit Cost]]*Table113[[#This Row],[Total Qty All Areas]]</f>
        <v>0</v>
      </c>
    </row>
    <row r="139" spans="1:1003 1248:2027 2272:3051 3296:4075 4320:5099 5344:6123 6368:7147 7392:8171 8416:9195 9440:10219 10464:11243 11488:12267 12512:13291 13536:14315 14560:15339 15584:16107" ht="30" customHeight="1">
      <c r="A139" s="45"/>
      <c r="H139" s="159"/>
      <c r="I139" s="196"/>
      <c r="J139" s="161"/>
      <c r="K139" s="196"/>
      <c r="L139" s="211">
        <f>Table113[[#This Row],[Qty 2]]+Table113[[#This Row],[Qty 1]]</f>
        <v>0</v>
      </c>
      <c r="M139" s="216"/>
      <c r="N139" s="216">
        <f>Table113[[#This Row],[Unit Cost]]*Table113[[#This Row],[Total Qty All Areas]]</f>
        <v>0</v>
      </c>
    </row>
    <row r="140" spans="1:1003 1248:2027 2272:3051 3296:4075 4320:5099 5344:6123 6368:7147 7392:8171 8416:9195 9440:10219 10464:11243 11488:12267 12512:13291 13536:14315 14560:15339 15584:16107" ht="30" customHeight="1">
      <c r="A140" s="176"/>
      <c r="D140" s="169"/>
      <c r="E140" s="169"/>
      <c r="F140" s="303"/>
      <c r="H140" s="159"/>
      <c r="I140" s="196"/>
      <c r="J140" s="161"/>
      <c r="K140" s="196"/>
      <c r="L140" s="211">
        <f>Table113[[#This Row],[Qty 2]]+Table113[[#This Row],[Qty 1]]</f>
        <v>0</v>
      </c>
      <c r="M140" s="216"/>
      <c r="N140" s="216">
        <f>Table113[[#This Row],[Unit Cost]]*Table113[[#This Row],[Total Qty All Areas]]</f>
        <v>0</v>
      </c>
    </row>
    <row r="141" spans="1:1003 1248:2027 2272:3051 3296:4075 4320:5099 5344:6123 6368:7147 7392:8171 8416:9195 9440:10219 10464:11243 11488:12267 12512:13291 13536:14315 14560:15339 15584:16107" s="167" customFormat="1" ht="30" customHeight="1">
      <c r="A141" s="175" t="str">
        <f>'Category Setup'!L60</f>
        <v>PF_FLB</v>
      </c>
      <c r="B141" s="167" t="str">
        <f>'Category Setup'!E60</f>
        <v>PF_FLB_Part Finished_Fork Lift Bucket</v>
      </c>
      <c r="C141" s="167" t="str">
        <f>'Category Setup'!N60</f>
        <v>PF_FLB_Part Finished_Fork Lift Bucket</v>
      </c>
      <c r="D141" s="168"/>
      <c r="E141" s="168"/>
      <c r="F141" s="172"/>
      <c r="G141" s="172"/>
      <c r="H141" s="173"/>
      <c r="I141" s="197"/>
      <c r="J141" s="174"/>
      <c r="K141" s="197"/>
      <c r="L141" s="213">
        <f>Table113[[#This Row],[Qty 2]]+Table113[[#This Row],[Qty 1]]</f>
        <v>0</v>
      </c>
      <c r="M141" s="215"/>
      <c r="N141" s="215">
        <f>Table113[[#This Row],[Unit Cost]]*Table113[[#This Row],[Total Qty All Areas]]</f>
        <v>0</v>
      </c>
      <c r="HP141" s="7"/>
      <c r="HQ141" s="7"/>
      <c r="HR141" s="7"/>
      <c r="HS141" s="7"/>
      <c r="HT141" s="7"/>
      <c r="HU141" s="7"/>
      <c r="HV141" s="7"/>
      <c r="HW141" s="7"/>
      <c r="HX141" s="7"/>
      <c r="HY141" s="7"/>
      <c r="HZ141" s="7"/>
      <c r="IA141" s="7"/>
      <c r="RL141" s="7"/>
      <c r="RM141" s="7"/>
      <c r="RN141" s="7"/>
      <c r="RO141" s="7"/>
      <c r="RP141" s="7"/>
      <c r="RQ141" s="7"/>
      <c r="RR141" s="7"/>
      <c r="RS141" s="7"/>
      <c r="RT141" s="7"/>
      <c r="RU141" s="7"/>
      <c r="RV141" s="7"/>
      <c r="RW141" s="7"/>
      <c r="ABH141" s="7"/>
      <c r="ABI141" s="7"/>
      <c r="ABJ141" s="7"/>
      <c r="ABK141" s="7"/>
      <c r="ABL141" s="7"/>
      <c r="ABM141" s="7"/>
      <c r="ABN141" s="7"/>
      <c r="ABO141" s="7"/>
      <c r="ABP141" s="7"/>
      <c r="ABQ141" s="7"/>
      <c r="ABR141" s="7"/>
      <c r="ABS141" s="7"/>
      <c r="ALD141" s="7"/>
      <c r="ALE141" s="7"/>
      <c r="ALF141" s="7"/>
      <c r="ALG141" s="7"/>
      <c r="ALH141" s="7"/>
      <c r="ALI141" s="7"/>
      <c r="ALJ141" s="7"/>
      <c r="ALK141" s="7"/>
      <c r="ALL141" s="7"/>
      <c r="ALM141" s="7"/>
      <c r="ALN141" s="7"/>
      <c r="ALO141" s="7"/>
      <c r="AUZ141" s="7"/>
      <c r="AVA141" s="7"/>
      <c r="AVB141" s="7"/>
      <c r="AVC141" s="7"/>
      <c r="AVD141" s="7"/>
      <c r="AVE141" s="7"/>
      <c r="AVF141" s="7"/>
      <c r="AVG141" s="7"/>
      <c r="AVH141" s="7"/>
      <c r="AVI141" s="7"/>
      <c r="AVJ141" s="7"/>
      <c r="AVK141" s="7"/>
      <c r="BEV141" s="7"/>
      <c r="BEW141" s="7"/>
      <c r="BEX141" s="7"/>
      <c r="BEY141" s="7"/>
      <c r="BEZ141" s="7"/>
      <c r="BFA141" s="7"/>
      <c r="BFB141" s="7"/>
      <c r="BFC141" s="7"/>
      <c r="BFD141" s="7"/>
      <c r="BFE141" s="7"/>
      <c r="BFF141" s="7"/>
      <c r="BFG141" s="7"/>
      <c r="BOR141" s="7"/>
      <c r="BOS141" s="7"/>
      <c r="BOT141" s="7"/>
      <c r="BOU141" s="7"/>
      <c r="BOV141" s="7"/>
      <c r="BOW141" s="7"/>
      <c r="BOX141" s="7"/>
      <c r="BOY141" s="7"/>
      <c r="BOZ141" s="7"/>
      <c r="BPA141" s="7"/>
      <c r="BPB141" s="7"/>
      <c r="BPC141" s="7"/>
      <c r="BYN141" s="7"/>
      <c r="BYO141" s="7"/>
      <c r="BYP141" s="7"/>
      <c r="BYQ141" s="7"/>
      <c r="BYR141" s="7"/>
      <c r="BYS141" s="7"/>
      <c r="BYT141" s="7"/>
      <c r="BYU141" s="7"/>
      <c r="BYV141" s="7"/>
      <c r="BYW141" s="7"/>
      <c r="BYX141" s="7"/>
      <c r="BYY141" s="7"/>
      <c r="CIJ141" s="7"/>
      <c r="CIK141" s="7"/>
      <c r="CIL141" s="7"/>
      <c r="CIM141" s="7"/>
      <c r="CIN141" s="7"/>
      <c r="CIO141" s="7"/>
      <c r="CIP141" s="7"/>
      <c r="CIQ141" s="7"/>
      <c r="CIR141" s="7"/>
      <c r="CIS141" s="7"/>
      <c r="CIT141" s="7"/>
      <c r="CIU141" s="7"/>
      <c r="CSF141" s="7"/>
      <c r="CSG141" s="7"/>
      <c r="CSH141" s="7"/>
      <c r="CSI141" s="7"/>
      <c r="CSJ141" s="7"/>
      <c r="CSK141" s="7"/>
      <c r="CSL141" s="7"/>
      <c r="CSM141" s="7"/>
      <c r="CSN141" s="7"/>
      <c r="CSO141" s="7"/>
      <c r="CSP141" s="7"/>
      <c r="CSQ141" s="7"/>
      <c r="DCB141" s="7"/>
      <c r="DCC141" s="7"/>
      <c r="DCD141" s="7"/>
      <c r="DCE141" s="7"/>
      <c r="DCF141" s="7"/>
      <c r="DCG141" s="7"/>
      <c r="DCH141" s="7"/>
      <c r="DCI141" s="7"/>
      <c r="DCJ141" s="7"/>
      <c r="DCK141" s="7"/>
      <c r="DCL141" s="7"/>
      <c r="DCM141" s="7"/>
      <c r="DLX141" s="7"/>
      <c r="DLY141" s="7"/>
      <c r="DLZ141" s="7"/>
      <c r="DMA141" s="7"/>
      <c r="DMB141" s="7"/>
      <c r="DMC141" s="7"/>
      <c r="DMD141" s="7"/>
      <c r="DME141" s="7"/>
      <c r="DMF141" s="7"/>
      <c r="DMG141" s="7"/>
      <c r="DMH141" s="7"/>
      <c r="DMI141" s="7"/>
      <c r="DVT141" s="7"/>
      <c r="DVU141" s="7"/>
      <c r="DVV141" s="7"/>
      <c r="DVW141" s="7"/>
      <c r="DVX141" s="7"/>
      <c r="DVY141" s="7"/>
      <c r="DVZ141" s="7"/>
      <c r="DWA141" s="7"/>
      <c r="DWB141" s="7"/>
      <c r="DWC141" s="7"/>
      <c r="DWD141" s="7"/>
      <c r="DWE141" s="7"/>
      <c r="EFP141" s="7"/>
      <c r="EFQ141" s="7"/>
      <c r="EFR141" s="7"/>
      <c r="EFS141" s="7"/>
      <c r="EFT141" s="7"/>
      <c r="EFU141" s="7"/>
      <c r="EFV141" s="7"/>
      <c r="EFW141" s="7"/>
      <c r="EFX141" s="7"/>
      <c r="EFY141" s="7"/>
      <c r="EFZ141" s="7"/>
      <c r="EGA141" s="7"/>
      <c r="EPL141" s="7"/>
      <c r="EPM141" s="7"/>
      <c r="EPN141" s="7"/>
      <c r="EPO141" s="7"/>
      <c r="EPP141" s="7"/>
      <c r="EPQ141" s="7"/>
      <c r="EPR141" s="7"/>
      <c r="EPS141" s="7"/>
      <c r="EPT141" s="7"/>
      <c r="EPU141" s="7"/>
      <c r="EPV141" s="7"/>
      <c r="EPW141" s="7"/>
      <c r="EZH141" s="7"/>
      <c r="EZI141" s="7"/>
      <c r="EZJ141" s="7"/>
      <c r="EZK141" s="7"/>
      <c r="EZL141" s="7"/>
      <c r="EZM141" s="7"/>
      <c r="EZN141" s="7"/>
      <c r="EZO141" s="7"/>
      <c r="EZP141" s="7"/>
      <c r="EZQ141" s="7"/>
      <c r="EZR141" s="7"/>
      <c r="EZS141" s="7"/>
      <c r="FJD141" s="7"/>
      <c r="FJE141" s="7"/>
      <c r="FJF141" s="7"/>
      <c r="FJG141" s="7"/>
      <c r="FJH141" s="7"/>
      <c r="FJI141" s="7"/>
      <c r="FJJ141" s="7"/>
      <c r="FJK141" s="7"/>
      <c r="FJL141" s="7"/>
      <c r="FJM141" s="7"/>
      <c r="FJN141" s="7"/>
      <c r="FJO141" s="7"/>
      <c r="FSZ141" s="7"/>
      <c r="FTA141" s="7"/>
      <c r="FTB141" s="7"/>
      <c r="FTC141" s="7"/>
      <c r="FTD141" s="7"/>
      <c r="FTE141" s="7"/>
      <c r="FTF141" s="7"/>
      <c r="FTG141" s="7"/>
      <c r="FTH141" s="7"/>
      <c r="FTI141" s="7"/>
      <c r="FTJ141" s="7"/>
      <c r="FTK141" s="7"/>
      <c r="GCV141" s="7"/>
      <c r="GCW141" s="7"/>
      <c r="GCX141" s="7"/>
      <c r="GCY141" s="7"/>
      <c r="GCZ141" s="7"/>
      <c r="GDA141" s="7"/>
      <c r="GDB141" s="7"/>
      <c r="GDC141" s="7"/>
      <c r="GDD141" s="7"/>
      <c r="GDE141" s="7"/>
      <c r="GDF141" s="7"/>
      <c r="GDG141" s="7"/>
      <c r="GMR141" s="7"/>
      <c r="GMS141" s="7"/>
      <c r="GMT141" s="7"/>
      <c r="GMU141" s="7"/>
      <c r="GMV141" s="7"/>
      <c r="GMW141" s="7"/>
      <c r="GMX141" s="7"/>
      <c r="GMY141" s="7"/>
      <c r="GMZ141" s="7"/>
      <c r="GNA141" s="7"/>
      <c r="GNB141" s="7"/>
      <c r="GNC141" s="7"/>
      <c r="GWN141" s="7"/>
      <c r="GWO141" s="7"/>
      <c r="GWP141" s="7"/>
      <c r="GWQ141" s="7"/>
      <c r="GWR141" s="7"/>
      <c r="GWS141" s="7"/>
      <c r="GWT141" s="7"/>
      <c r="GWU141" s="7"/>
      <c r="GWV141" s="7"/>
      <c r="GWW141" s="7"/>
      <c r="GWX141" s="7"/>
      <c r="GWY141" s="7"/>
      <c r="HGJ141" s="7"/>
      <c r="HGK141" s="7"/>
      <c r="HGL141" s="7"/>
      <c r="HGM141" s="7"/>
      <c r="HGN141" s="7"/>
      <c r="HGO141" s="7"/>
      <c r="HGP141" s="7"/>
      <c r="HGQ141" s="7"/>
      <c r="HGR141" s="7"/>
      <c r="HGS141" s="7"/>
      <c r="HGT141" s="7"/>
      <c r="HGU141" s="7"/>
      <c r="HQF141" s="7"/>
      <c r="HQG141" s="7"/>
      <c r="HQH141" s="7"/>
      <c r="HQI141" s="7"/>
      <c r="HQJ141" s="7"/>
      <c r="HQK141" s="7"/>
      <c r="HQL141" s="7"/>
      <c r="HQM141" s="7"/>
      <c r="HQN141" s="7"/>
      <c r="HQO141" s="7"/>
      <c r="HQP141" s="7"/>
      <c r="HQQ141" s="7"/>
      <c r="IAB141" s="7"/>
      <c r="IAC141" s="7"/>
      <c r="IAD141" s="7"/>
      <c r="IAE141" s="7"/>
      <c r="IAF141" s="7"/>
      <c r="IAG141" s="7"/>
      <c r="IAH141" s="7"/>
      <c r="IAI141" s="7"/>
      <c r="IAJ141" s="7"/>
      <c r="IAK141" s="7"/>
      <c r="IAL141" s="7"/>
      <c r="IAM141" s="7"/>
      <c r="IJX141" s="7"/>
      <c r="IJY141" s="7"/>
      <c r="IJZ141" s="7"/>
      <c r="IKA141" s="7"/>
      <c r="IKB141" s="7"/>
      <c r="IKC141" s="7"/>
      <c r="IKD141" s="7"/>
      <c r="IKE141" s="7"/>
      <c r="IKF141" s="7"/>
      <c r="IKG141" s="7"/>
      <c r="IKH141" s="7"/>
      <c r="IKI141" s="7"/>
      <c r="ITT141" s="7"/>
      <c r="ITU141" s="7"/>
      <c r="ITV141" s="7"/>
      <c r="ITW141" s="7"/>
      <c r="ITX141" s="7"/>
      <c r="ITY141" s="7"/>
      <c r="ITZ141" s="7"/>
      <c r="IUA141" s="7"/>
      <c r="IUB141" s="7"/>
      <c r="IUC141" s="7"/>
      <c r="IUD141" s="7"/>
      <c r="IUE141" s="7"/>
      <c r="JDP141" s="7"/>
      <c r="JDQ141" s="7"/>
      <c r="JDR141" s="7"/>
      <c r="JDS141" s="7"/>
      <c r="JDT141" s="7"/>
      <c r="JDU141" s="7"/>
      <c r="JDV141" s="7"/>
      <c r="JDW141" s="7"/>
      <c r="JDX141" s="7"/>
      <c r="JDY141" s="7"/>
      <c r="JDZ141" s="7"/>
      <c r="JEA141" s="7"/>
      <c r="JNL141" s="7"/>
      <c r="JNM141" s="7"/>
      <c r="JNN141" s="7"/>
      <c r="JNO141" s="7"/>
      <c r="JNP141" s="7"/>
      <c r="JNQ141" s="7"/>
      <c r="JNR141" s="7"/>
      <c r="JNS141" s="7"/>
      <c r="JNT141" s="7"/>
      <c r="JNU141" s="7"/>
      <c r="JNV141" s="7"/>
      <c r="JNW141" s="7"/>
      <c r="JXH141" s="7"/>
      <c r="JXI141" s="7"/>
      <c r="JXJ141" s="7"/>
      <c r="JXK141" s="7"/>
      <c r="JXL141" s="7"/>
      <c r="JXM141" s="7"/>
      <c r="JXN141" s="7"/>
      <c r="JXO141" s="7"/>
      <c r="JXP141" s="7"/>
      <c r="JXQ141" s="7"/>
      <c r="JXR141" s="7"/>
      <c r="JXS141" s="7"/>
      <c r="KHD141" s="7"/>
      <c r="KHE141" s="7"/>
      <c r="KHF141" s="7"/>
      <c r="KHG141" s="7"/>
      <c r="KHH141" s="7"/>
      <c r="KHI141" s="7"/>
      <c r="KHJ141" s="7"/>
      <c r="KHK141" s="7"/>
      <c r="KHL141" s="7"/>
      <c r="KHM141" s="7"/>
      <c r="KHN141" s="7"/>
      <c r="KHO141" s="7"/>
      <c r="KQZ141" s="7"/>
      <c r="KRA141" s="7"/>
      <c r="KRB141" s="7"/>
      <c r="KRC141" s="7"/>
      <c r="KRD141" s="7"/>
      <c r="KRE141" s="7"/>
      <c r="KRF141" s="7"/>
      <c r="KRG141" s="7"/>
      <c r="KRH141" s="7"/>
      <c r="KRI141" s="7"/>
      <c r="KRJ141" s="7"/>
      <c r="KRK141" s="7"/>
      <c r="LAV141" s="7"/>
      <c r="LAW141" s="7"/>
      <c r="LAX141" s="7"/>
      <c r="LAY141" s="7"/>
      <c r="LAZ141" s="7"/>
      <c r="LBA141" s="7"/>
      <c r="LBB141" s="7"/>
      <c r="LBC141" s="7"/>
      <c r="LBD141" s="7"/>
      <c r="LBE141" s="7"/>
      <c r="LBF141" s="7"/>
      <c r="LBG141" s="7"/>
      <c r="LKR141" s="7"/>
      <c r="LKS141" s="7"/>
      <c r="LKT141" s="7"/>
      <c r="LKU141" s="7"/>
      <c r="LKV141" s="7"/>
      <c r="LKW141" s="7"/>
      <c r="LKX141" s="7"/>
      <c r="LKY141" s="7"/>
      <c r="LKZ141" s="7"/>
      <c r="LLA141" s="7"/>
      <c r="LLB141" s="7"/>
      <c r="LLC141" s="7"/>
      <c r="LUN141" s="7"/>
      <c r="LUO141" s="7"/>
      <c r="LUP141" s="7"/>
      <c r="LUQ141" s="7"/>
      <c r="LUR141" s="7"/>
      <c r="LUS141" s="7"/>
      <c r="LUT141" s="7"/>
      <c r="LUU141" s="7"/>
      <c r="LUV141" s="7"/>
      <c r="LUW141" s="7"/>
      <c r="LUX141" s="7"/>
      <c r="LUY141" s="7"/>
      <c r="MEJ141" s="7"/>
      <c r="MEK141" s="7"/>
      <c r="MEL141" s="7"/>
      <c r="MEM141" s="7"/>
      <c r="MEN141" s="7"/>
      <c r="MEO141" s="7"/>
      <c r="MEP141" s="7"/>
      <c r="MEQ141" s="7"/>
      <c r="MER141" s="7"/>
      <c r="MES141" s="7"/>
      <c r="MET141" s="7"/>
      <c r="MEU141" s="7"/>
      <c r="MOF141" s="7"/>
      <c r="MOG141" s="7"/>
      <c r="MOH141" s="7"/>
      <c r="MOI141" s="7"/>
      <c r="MOJ141" s="7"/>
      <c r="MOK141" s="7"/>
      <c r="MOL141" s="7"/>
      <c r="MOM141" s="7"/>
      <c r="MON141" s="7"/>
      <c r="MOO141" s="7"/>
      <c r="MOP141" s="7"/>
      <c r="MOQ141" s="7"/>
      <c r="MYB141" s="7"/>
      <c r="MYC141" s="7"/>
      <c r="MYD141" s="7"/>
      <c r="MYE141" s="7"/>
      <c r="MYF141" s="7"/>
      <c r="MYG141" s="7"/>
      <c r="MYH141" s="7"/>
      <c r="MYI141" s="7"/>
      <c r="MYJ141" s="7"/>
      <c r="MYK141" s="7"/>
      <c r="MYL141" s="7"/>
      <c r="MYM141" s="7"/>
      <c r="NHX141" s="7"/>
      <c r="NHY141" s="7"/>
      <c r="NHZ141" s="7"/>
      <c r="NIA141" s="7"/>
      <c r="NIB141" s="7"/>
      <c r="NIC141" s="7"/>
      <c r="NID141" s="7"/>
      <c r="NIE141" s="7"/>
      <c r="NIF141" s="7"/>
      <c r="NIG141" s="7"/>
      <c r="NIH141" s="7"/>
      <c r="NII141" s="7"/>
      <c r="NRT141" s="7"/>
      <c r="NRU141" s="7"/>
      <c r="NRV141" s="7"/>
      <c r="NRW141" s="7"/>
      <c r="NRX141" s="7"/>
      <c r="NRY141" s="7"/>
      <c r="NRZ141" s="7"/>
      <c r="NSA141" s="7"/>
      <c r="NSB141" s="7"/>
      <c r="NSC141" s="7"/>
      <c r="NSD141" s="7"/>
      <c r="NSE141" s="7"/>
      <c r="OBP141" s="7"/>
      <c r="OBQ141" s="7"/>
      <c r="OBR141" s="7"/>
      <c r="OBS141" s="7"/>
      <c r="OBT141" s="7"/>
      <c r="OBU141" s="7"/>
      <c r="OBV141" s="7"/>
      <c r="OBW141" s="7"/>
      <c r="OBX141" s="7"/>
      <c r="OBY141" s="7"/>
      <c r="OBZ141" s="7"/>
      <c r="OCA141" s="7"/>
      <c r="OLL141" s="7"/>
      <c r="OLM141" s="7"/>
      <c r="OLN141" s="7"/>
      <c r="OLO141" s="7"/>
      <c r="OLP141" s="7"/>
      <c r="OLQ141" s="7"/>
      <c r="OLR141" s="7"/>
      <c r="OLS141" s="7"/>
      <c r="OLT141" s="7"/>
      <c r="OLU141" s="7"/>
      <c r="OLV141" s="7"/>
      <c r="OLW141" s="7"/>
      <c r="OVH141" s="7"/>
      <c r="OVI141" s="7"/>
      <c r="OVJ141" s="7"/>
      <c r="OVK141" s="7"/>
      <c r="OVL141" s="7"/>
      <c r="OVM141" s="7"/>
      <c r="OVN141" s="7"/>
      <c r="OVO141" s="7"/>
      <c r="OVP141" s="7"/>
      <c r="OVQ141" s="7"/>
      <c r="OVR141" s="7"/>
      <c r="OVS141" s="7"/>
      <c r="PFD141" s="7"/>
      <c r="PFE141" s="7"/>
      <c r="PFF141" s="7"/>
      <c r="PFG141" s="7"/>
      <c r="PFH141" s="7"/>
      <c r="PFI141" s="7"/>
      <c r="PFJ141" s="7"/>
      <c r="PFK141" s="7"/>
      <c r="PFL141" s="7"/>
      <c r="PFM141" s="7"/>
      <c r="PFN141" s="7"/>
      <c r="PFO141" s="7"/>
      <c r="POZ141" s="7"/>
      <c r="PPA141" s="7"/>
      <c r="PPB141" s="7"/>
      <c r="PPC141" s="7"/>
      <c r="PPD141" s="7"/>
      <c r="PPE141" s="7"/>
      <c r="PPF141" s="7"/>
      <c r="PPG141" s="7"/>
      <c r="PPH141" s="7"/>
      <c r="PPI141" s="7"/>
      <c r="PPJ141" s="7"/>
      <c r="PPK141" s="7"/>
      <c r="PYV141" s="7"/>
      <c r="PYW141" s="7"/>
      <c r="PYX141" s="7"/>
      <c r="PYY141" s="7"/>
      <c r="PYZ141" s="7"/>
      <c r="PZA141" s="7"/>
      <c r="PZB141" s="7"/>
      <c r="PZC141" s="7"/>
      <c r="PZD141" s="7"/>
      <c r="PZE141" s="7"/>
      <c r="PZF141" s="7"/>
      <c r="PZG141" s="7"/>
      <c r="QIR141" s="7"/>
      <c r="QIS141" s="7"/>
      <c r="QIT141" s="7"/>
      <c r="QIU141" s="7"/>
      <c r="QIV141" s="7"/>
      <c r="QIW141" s="7"/>
      <c r="QIX141" s="7"/>
      <c r="QIY141" s="7"/>
      <c r="QIZ141" s="7"/>
      <c r="QJA141" s="7"/>
      <c r="QJB141" s="7"/>
      <c r="QJC141" s="7"/>
      <c r="QSN141" s="7"/>
      <c r="QSO141" s="7"/>
      <c r="QSP141" s="7"/>
      <c r="QSQ141" s="7"/>
      <c r="QSR141" s="7"/>
      <c r="QSS141" s="7"/>
      <c r="QST141" s="7"/>
      <c r="QSU141" s="7"/>
      <c r="QSV141" s="7"/>
      <c r="QSW141" s="7"/>
      <c r="QSX141" s="7"/>
      <c r="QSY141" s="7"/>
      <c r="RCJ141" s="7"/>
      <c r="RCK141" s="7"/>
      <c r="RCL141" s="7"/>
      <c r="RCM141" s="7"/>
      <c r="RCN141" s="7"/>
      <c r="RCO141" s="7"/>
      <c r="RCP141" s="7"/>
      <c r="RCQ141" s="7"/>
      <c r="RCR141" s="7"/>
      <c r="RCS141" s="7"/>
      <c r="RCT141" s="7"/>
      <c r="RCU141" s="7"/>
      <c r="RMF141" s="7"/>
      <c r="RMG141" s="7"/>
      <c r="RMH141" s="7"/>
      <c r="RMI141" s="7"/>
      <c r="RMJ141" s="7"/>
      <c r="RMK141" s="7"/>
      <c r="RML141" s="7"/>
      <c r="RMM141" s="7"/>
      <c r="RMN141" s="7"/>
      <c r="RMO141" s="7"/>
      <c r="RMP141" s="7"/>
      <c r="RMQ141" s="7"/>
      <c r="RWB141" s="7"/>
      <c r="RWC141" s="7"/>
      <c r="RWD141" s="7"/>
      <c r="RWE141" s="7"/>
      <c r="RWF141" s="7"/>
      <c r="RWG141" s="7"/>
      <c r="RWH141" s="7"/>
      <c r="RWI141" s="7"/>
      <c r="RWJ141" s="7"/>
      <c r="RWK141" s="7"/>
      <c r="RWL141" s="7"/>
      <c r="RWM141" s="7"/>
      <c r="SFX141" s="7"/>
      <c r="SFY141" s="7"/>
      <c r="SFZ141" s="7"/>
      <c r="SGA141" s="7"/>
      <c r="SGB141" s="7"/>
      <c r="SGC141" s="7"/>
      <c r="SGD141" s="7"/>
      <c r="SGE141" s="7"/>
      <c r="SGF141" s="7"/>
      <c r="SGG141" s="7"/>
      <c r="SGH141" s="7"/>
      <c r="SGI141" s="7"/>
      <c r="SPT141" s="7"/>
      <c r="SPU141" s="7"/>
      <c r="SPV141" s="7"/>
      <c r="SPW141" s="7"/>
      <c r="SPX141" s="7"/>
      <c r="SPY141" s="7"/>
      <c r="SPZ141" s="7"/>
      <c r="SQA141" s="7"/>
      <c r="SQB141" s="7"/>
      <c r="SQC141" s="7"/>
      <c r="SQD141" s="7"/>
      <c r="SQE141" s="7"/>
      <c r="SZP141" s="7"/>
      <c r="SZQ141" s="7"/>
      <c r="SZR141" s="7"/>
      <c r="SZS141" s="7"/>
      <c r="SZT141" s="7"/>
      <c r="SZU141" s="7"/>
      <c r="SZV141" s="7"/>
      <c r="SZW141" s="7"/>
      <c r="SZX141" s="7"/>
      <c r="SZY141" s="7"/>
      <c r="SZZ141" s="7"/>
      <c r="TAA141" s="7"/>
      <c r="TJL141" s="7"/>
      <c r="TJM141" s="7"/>
      <c r="TJN141" s="7"/>
      <c r="TJO141" s="7"/>
      <c r="TJP141" s="7"/>
      <c r="TJQ141" s="7"/>
      <c r="TJR141" s="7"/>
      <c r="TJS141" s="7"/>
      <c r="TJT141" s="7"/>
      <c r="TJU141" s="7"/>
      <c r="TJV141" s="7"/>
      <c r="TJW141" s="7"/>
      <c r="TTH141" s="7"/>
      <c r="TTI141" s="7"/>
      <c r="TTJ141" s="7"/>
      <c r="TTK141" s="7"/>
      <c r="TTL141" s="7"/>
      <c r="TTM141" s="7"/>
      <c r="TTN141" s="7"/>
      <c r="TTO141" s="7"/>
      <c r="TTP141" s="7"/>
      <c r="TTQ141" s="7"/>
      <c r="TTR141" s="7"/>
      <c r="TTS141" s="7"/>
      <c r="UDD141" s="7"/>
      <c r="UDE141" s="7"/>
      <c r="UDF141" s="7"/>
      <c r="UDG141" s="7"/>
      <c r="UDH141" s="7"/>
      <c r="UDI141" s="7"/>
      <c r="UDJ141" s="7"/>
      <c r="UDK141" s="7"/>
      <c r="UDL141" s="7"/>
      <c r="UDM141" s="7"/>
      <c r="UDN141" s="7"/>
      <c r="UDO141" s="7"/>
      <c r="UMZ141" s="7"/>
      <c r="UNA141" s="7"/>
      <c r="UNB141" s="7"/>
      <c r="UNC141" s="7"/>
      <c r="UND141" s="7"/>
      <c r="UNE141" s="7"/>
      <c r="UNF141" s="7"/>
      <c r="UNG141" s="7"/>
      <c r="UNH141" s="7"/>
      <c r="UNI141" s="7"/>
      <c r="UNJ141" s="7"/>
      <c r="UNK141" s="7"/>
      <c r="UWV141" s="7"/>
      <c r="UWW141" s="7"/>
      <c r="UWX141" s="7"/>
      <c r="UWY141" s="7"/>
      <c r="UWZ141" s="7"/>
      <c r="UXA141" s="7"/>
      <c r="UXB141" s="7"/>
      <c r="UXC141" s="7"/>
      <c r="UXD141" s="7"/>
      <c r="UXE141" s="7"/>
      <c r="UXF141" s="7"/>
      <c r="UXG141" s="7"/>
      <c r="VGR141" s="7"/>
      <c r="VGS141" s="7"/>
      <c r="VGT141" s="7"/>
      <c r="VGU141" s="7"/>
      <c r="VGV141" s="7"/>
      <c r="VGW141" s="7"/>
      <c r="VGX141" s="7"/>
      <c r="VGY141" s="7"/>
      <c r="VGZ141" s="7"/>
      <c r="VHA141" s="7"/>
      <c r="VHB141" s="7"/>
      <c r="VHC141" s="7"/>
      <c r="VQN141" s="7"/>
      <c r="VQO141" s="7"/>
      <c r="VQP141" s="7"/>
      <c r="VQQ141" s="7"/>
      <c r="VQR141" s="7"/>
      <c r="VQS141" s="7"/>
      <c r="VQT141" s="7"/>
      <c r="VQU141" s="7"/>
      <c r="VQV141" s="7"/>
      <c r="VQW141" s="7"/>
      <c r="VQX141" s="7"/>
      <c r="VQY141" s="7"/>
      <c r="WAJ141" s="7"/>
      <c r="WAK141" s="7"/>
      <c r="WAL141" s="7"/>
      <c r="WAM141" s="7"/>
      <c r="WAN141" s="7"/>
      <c r="WAO141" s="7"/>
      <c r="WAP141" s="7"/>
      <c r="WAQ141" s="7"/>
      <c r="WAR141" s="7"/>
      <c r="WAS141" s="7"/>
      <c r="WAT141" s="7"/>
      <c r="WAU141" s="7"/>
      <c r="WKF141" s="7"/>
      <c r="WKG141" s="7"/>
      <c r="WKH141" s="7"/>
      <c r="WKI141" s="7"/>
      <c r="WKJ141" s="7"/>
      <c r="WKK141" s="7"/>
      <c r="WKL141" s="7"/>
      <c r="WKM141" s="7"/>
      <c r="WKN141" s="7"/>
      <c r="WKO141" s="7"/>
      <c r="WKP141" s="7"/>
      <c r="WKQ141" s="7"/>
      <c r="WUB141" s="7"/>
      <c r="WUC141" s="7"/>
      <c r="WUD141" s="7"/>
      <c r="WUE141" s="7"/>
      <c r="WUF141" s="7"/>
      <c r="WUG141" s="7"/>
      <c r="WUH141" s="7"/>
      <c r="WUI141" s="7"/>
      <c r="WUJ141" s="7"/>
      <c r="WUK141" s="7"/>
      <c r="WUL141" s="7"/>
      <c r="WUM141" s="7"/>
    </row>
    <row r="142" spans="1:1003 1248:2027 2272:3051 3296:4075 4320:5099 5344:6123 6368:7147 7392:8171 8416:9195 9440:10219 10464:11243 11488:12267 12512:13291 13536:14315 14560:15339 15584:16107" ht="30" customHeight="1">
      <c r="A142" s="45"/>
      <c r="H142" s="159"/>
      <c r="I142" s="196"/>
      <c r="J142" s="161"/>
      <c r="K142" s="196"/>
      <c r="L142" s="211">
        <f>Table113[[#This Row],[Qty 2]]+Table113[[#This Row],[Qty 1]]</f>
        <v>0</v>
      </c>
      <c r="M142" s="216"/>
      <c r="N142" s="216">
        <f>Table113[[#This Row],[Unit Cost]]*Table113[[#This Row],[Total Qty All Areas]]</f>
        <v>0</v>
      </c>
    </row>
    <row r="143" spans="1:1003 1248:2027 2272:3051 3296:4075 4320:5099 5344:6123 6368:7147 7392:8171 8416:9195 9440:10219 10464:11243 11488:12267 12512:13291 13536:14315 14560:15339 15584:16107" ht="30" customHeight="1">
      <c r="A143" s="45"/>
      <c r="H143" s="159"/>
      <c r="I143" s="196"/>
      <c r="J143" s="161"/>
      <c r="K143" s="196"/>
      <c r="L143" s="211">
        <f>Table113[[#This Row],[Qty 2]]+Table113[[#This Row],[Qty 1]]</f>
        <v>0</v>
      </c>
      <c r="M143" s="216"/>
      <c r="N143" s="216">
        <f>Table113[[#This Row],[Unit Cost]]*Table113[[#This Row],[Total Qty All Areas]]</f>
        <v>0</v>
      </c>
    </row>
    <row r="144" spans="1:1003 1248:2027 2272:3051 3296:4075 4320:5099 5344:6123 6368:7147 7392:8171 8416:9195 9440:10219 10464:11243 11488:12267 12512:13291 13536:14315 14560:15339 15584:16107" ht="30" customHeight="1">
      <c r="A144" s="176"/>
      <c r="D144" s="169"/>
      <c r="E144" s="169"/>
      <c r="F144" s="303"/>
      <c r="H144" s="159"/>
      <c r="I144" s="196"/>
      <c r="J144" s="161"/>
      <c r="K144" s="196"/>
      <c r="L144" s="211">
        <f>Table113[[#This Row],[Qty 2]]+Table113[[#This Row],[Qty 1]]</f>
        <v>0</v>
      </c>
      <c r="M144" s="216"/>
      <c r="N144" s="216">
        <f>Table113[[#This Row],[Unit Cost]]*Table113[[#This Row],[Total Qty All Areas]]</f>
        <v>0</v>
      </c>
    </row>
    <row r="145" spans="1:1003 1248:2027 2272:3051 3296:4075 4320:5099 5344:6123 6368:7147 7392:8171 8416:9195 9440:10219 10464:11243 11488:12267 12512:13291 13536:14315 14560:15339 15584:16107" s="167" customFormat="1" ht="30" customHeight="1">
      <c r="A145" s="175" t="str">
        <f>'Category Setup'!L61</f>
        <v>PF_YS</v>
      </c>
      <c r="B145" s="167" t="str">
        <f>'Category Setup'!E61</f>
        <v>PF_YS_Part Finished_Yardscraper</v>
      </c>
      <c r="C145" s="167" t="str">
        <f>'Category Setup'!N61</f>
        <v>PF_YS_Part Finished_Yardscraper</v>
      </c>
      <c r="D145" s="168"/>
      <c r="E145" s="168"/>
      <c r="F145" s="172"/>
      <c r="G145" s="172"/>
      <c r="H145" s="173">
        <v>6</v>
      </c>
      <c r="I145" s="197" t="s">
        <v>247</v>
      </c>
      <c r="J145" s="174"/>
      <c r="K145" s="197"/>
      <c r="L145" s="213">
        <f>Table113[[#This Row],[Qty 2]]+Table113[[#This Row],[Qty 1]]</f>
        <v>6</v>
      </c>
      <c r="M145" s="215">
        <v>360</v>
      </c>
      <c r="N145" s="215">
        <f>Table113[[#This Row],[Unit Cost]]*Table113[[#This Row],[Total Qty All Areas]]</f>
        <v>2160</v>
      </c>
      <c r="HP145" s="7"/>
      <c r="HQ145" s="7"/>
      <c r="HR145" s="7"/>
      <c r="HS145" s="7"/>
      <c r="HT145" s="7"/>
      <c r="HU145" s="7"/>
      <c r="HV145" s="7"/>
      <c r="HW145" s="7"/>
      <c r="HX145" s="7"/>
      <c r="HY145" s="7"/>
      <c r="HZ145" s="7"/>
      <c r="IA145" s="7"/>
      <c r="RL145" s="7"/>
      <c r="RM145" s="7"/>
      <c r="RN145" s="7"/>
      <c r="RO145" s="7"/>
      <c r="RP145" s="7"/>
      <c r="RQ145" s="7"/>
      <c r="RR145" s="7"/>
      <c r="RS145" s="7"/>
      <c r="RT145" s="7"/>
      <c r="RU145" s="7"/>
      <c r="RV145" s="7"/>
      <c r="RW145" s="7"/>
      <c r="ABH145" s="7"/>
      <c r="ABI145" s="7"/>
      <c r="ABJ145" s="7"/>
      <c r="ABK145" s="7"/>
      <c r="ABL145" s="7"/>
      <c r="ABM145" s="7"/>
      <c r="ABN145" s="7"/>
      <c r="ABO145" s="7"/>
      <c r="ABP145" s="7"/>
      <c r="ABQ145" s="7"/>
      <c r="ABR145" s="7"/>
      <c r="ABS145" s="7"/>
      <c r="ALD145" s="7"/>
      <c r="ALE145" s="7"/>
      <c r="ALF145" s="7"/>
      <c r="ALG145" s="7"/>
      <c r="ALH145" s="7"/>
      <c r="ALI145" s="7"/>
      <c r="ALJ145" s="7"/>
      <c r="ALK145" s="7"/>
      <c r="ALL145" s="7"/>
      <c r="ALM145" s="7"/>
      <c r="ALN145" s="7"/>
      <c r="ALO145" s="7"/>
      <c r="AUZ145" s="7"/>
      <c r="AVA145" s="7"/>
      <c r="AVB145" s="7"/>
      <c r="AVC145" s="7"/>
      <c r="AVD145" s="7"/>
      <c r="AVE145" s="7"/>
      <c r="AVF145" s="7"/>
      <c r="AVG145" s="7"/>
      <c r="AVH145" s="7"/>
      <c r="AVI145" s="7"/>
      <c r="AVJ145" s="7"/>
      <c r="AVK145" s="7"/>
      <c r="BEV145" s="7"/>
      <c r="BEW145" s="7"/>
      <c r="BEX145" s="7"/>
      <c r="BEY145" s="7"/>
      <c r="BEZ145" s="7"/>
      <c r="BFA145" s="7"/>
      <c r="BFB145" s="7"/>
      <c r="BFC145" s="7"/>
      <c r="BFD145" s="7"/>
      <c r="BFE145" s="7"/>
      <c r="BFF145" s="7"/>
      <c r="BFG145" s="7"/>
      <c r="BOR145" s="7"/>
      <c r="BOS145" s="7"/>
      <c r="BOT145" s="7"/>
      <c r="BOU145" s="7"/>
      <c r="BOV145" s="7"/>
      <c r="BOW145" s="7"/>
      <c r="BOX145" s="7"/>
      <c r="BOY145" s="7"/>
      <c r="BOZ145" s="7"/>
      <c r="BPA145" s="7"/>
      <c r="BPB145" s="7"/>
      <c r="BPC145" s="7"/>
      <c r="BYN145" s="7"/>
      <c r="BYO145" s="7"/>
      <c r="BYP145" s="7"/>
      <c r="BYQ145" s="7"/>
      <c r="BYR145" s="7"/>
      <c r="BYS145" s="7"/>
      <c r="BYT145" s="7"/>
      <c r="BYU145" s="7"/>
      <c r="BYV145" s="7"/>
      <c r="BYW145" s="7"/>
      <c r="BYX145" s="7"/>
      <c r="BYY145" s="7"/>
      <c r="CIJ145" s="7"/>
      <c r="CIK145" s="7"/>
      <c r="CIL145" s="7"/>
      <c r="CIM145" s="7"/>
      <c r="CIN145" s="7"/>
      <c r="CIO145" s="7"/>
      <c r="CIP145" s="7"/>
      <c r="CIQ145" s="7"/>
      <c r="CIR145" s="7"/>
      <c r="CIS145" s="7"/>
      <c r="CIT145" s="7"/>
      <c r="CIU145" s="7"/>
      <c r="CSF145" s="7"/>
      <c r="CSG145" s="7"/>
      <c r="CSH145" s="7"/>
      <c r="CSI145" s="7"/>
      <c r="CSJ145" s="7"/>
      <c r="CSK145" s="7"/>
      <c r="CSL145" s="7"/>
      <c r="CSM145" s="7"/>
      <c r="CSN145" s="7"/>
      <c r="CSO145" s="7"/>
      <c r="CSP145" s="7"/>
      <c r="CSQ145" s="7"/>
      <c r="DCB145" s="7"/>
      <c r="DCC145" s="7"/>
      <c r="DCD145" s="7"/>
      <c r="DCE145" s="7"/>
      <c r="DCF145" s="7"/>
      <c r="DCG145" s="7"/>
      <c r="DCH145" s="7"/>
      <c r="DCI145" s="7"/>
      <c r="DCJ145" s="7"/>
      <c r="DCK145" s="7"/>
      <c r="DCL145" s="7"/>
      <c r="DCM145" s="7"/>
      <c r="DLX145" s="7"/>
      <c r="DLY145" s="7"/>
      <c r="DLZ145" s="7"/>
      <c r="DMA145" s="7"/>
      <c r="DMB145" s="7"/>
      <c r="DMC145" s="7"/>
      <c r="DMD145" s="7"/>
      <c r="DME145" s="7"/>
      <c r="DMF145" s="7"/>
      <c r="DMG145" s="7"/>
      <c r="DMH145" s="7"/>
      <c r="DMI145" s="7"/>
      <c r="DVT145" s="7"/>
      <c r="DVU145" s="7"/>
      <c r="DVV145" s="7"/>
      <c r="DVW145" s="7"/>
      <c r="DVX145" s="7"/>
      <c r="DVY145" s="7"/>
      <c r="DVZ145" s="7"/>
      <c r="DWA145" s="7"/>
      <c r="DWB145" s="7"/>
      <c r="DWC145" s="7"/>
      <c r="DWD145" s="7"/>
      <c r="DWE145" s="7"/>
      <c r="EFP145" s="7"/>
      <c r="EFQ145" s="7"/>
      <c r="EFR145" s="7"/>
      <c r="EFS145" s="7"/>
      <c r="EFT145" s="7"/>
      <c r="EFU145" s="7"/>
      <c r="EFV145" s="7"/>
      <c r="EFW145" s="7"/>
      <c r="EFX145" s="7"/>
      <c r="EFY145" s="7"/>
      <c r="EFZ145" s="7"/>
      <c r="EGA145" s="7"/>
      <c r="EPL145" s="7"/>
      <c r="EPM145" s="7"/>
      <c r="EPN145" s="7"/>
      <c r="EPO145" s="7"/>
      <c r="EPP145" s="7"/>
      <c r="EPQ145" s="7"/>
      <c r="EPR145" s="7"/>
      <c r="EPS145" s="7"/>
      <c r="EPT145" s="7"/>
      <c r="EPU145" s="7"/>
      <c r="EPV145" s="7"/>
      <c r="EPW145" s="7"/>
      <c r="EZH145" s="7"/>
      <c r="EZI145" s="7"/>
      <c r="EZJ145" s="7"/>
      <c r="EZK145" s="7"/>
      <c r="EZL145" s="7"/>
      <c r="EZM145" s="7"/>
      <c r="EZN145" s="7"/>
      <c r="EZO145" s="7"/>
      <c r="EZP145" s="7"/>
      <c r="EZQ145" s="7"/>
      <c r="EZR145" s="7"/>
      <c r="EZS145" s="7"/>
      <c r="FJD145" s="7"/>
      <c r="FJE145" s="7"/>
      <c r="FJF145" s="7"/>
      <c r="FJG145" s="7"/>
      <c r="FJH145" s="7"/>
      <c r="FJI145" s="7"/>
      <c r="FJJ145" s="7"/>
      <c r="FJK145" s="7"/>
      <c r="FJL145" s="7"/>
      <c r="FJM145" s="7"/>
      <c r="FJN145" s="7"/>
      <c r="FJO145" s="7"/>
      <c r="FSZ145" s="7"/>
      <c r="FTA145" s="7"/>
      <c r="FTB145" s="7"/>
      <c r="FTC145" s="7"/>
      <c r="FTD145" s="7"/>
      <c r="FTE145" s="7"/>
      <c r="FTF145" s="7"/>
      <c r="FTG145" s="7"/>
      <c r="FTH145" s="7"/>
      <c r="FTI145" s="7"/>
      <c r="FTJ145" s="7"/>
      <c r="FTK145" s="7"/>
      <c r="GCV145" s="7"/>
      <c r="GCW145" s="7"/>
      <c r="GCX145" s="7"/>
      <c r="GCY145" s="7"/>
      <c r="GCZ145" s="7"/>
      <c r="GDA145" s="7"/>
      <c r="GDB145" s="7"/>
      <c r="GDC145" s="7"/>
      <c r="GDD145" s="7"/>
      <c r="GDE145" s="7"/>
      <c r="GDF145" s="7"/>
      <c r="GDG145" s="7"/>
      <c r="GMR145" s="7"/>
      <c r="GMS145" s="7"/>
      <c r="GMT145" s="7"/>
      <c r="GMU145" s="7"/>
      <c r="GMV145" s="7"/>
      <c r="GMW145" s="7"/>
      <c r="GMX145" s="7"/>
      <c r="GMY145" s="7"/>
      <c r="GMZ145" s="7"/>
      <c r="GNA145" s="7"/>
      <c r="GNB145" s="7"/>
      <c r="GNC145" s="7"/>
      <c r="GWN145" s="7"/>
      <c r="GWO145" s="7"/>
      <c r="GWP145" s="7"/>
      <c r="GWQ145" s="7"/>
      <c r="GWR145" s="7"/>
      <c r="GWS145" s="7"/>
      <c r="GWT145" s="7"/>
      <c r="GWU145" s="7"/>
      <c r="GWV145" s="7"/>
      <c r="GWW145" s="7"/>
      <c r="GWX145" s="7"/>
      <c r="GWY145" s="7"/>
      <c r="HGJ145" s="7"/>
      <c r="HGK145" s="7"/>
      <c r="HGL145" s="7"/>
      <c r="HGM145" s="7"/>
      <c r="HGN145" s="7"/>
      <c r="HGO145" s="7"/>
      <c r="HGP145" s="7"/>
      <c r="HGQ145" s="7"/>
      <c r="HGR145" s="7"/>
      <c r="HGS145" s="7"/>
      <c r="HGT145" s="7"/>
      <c r="HGU145" s="7"/>
      <c r="HQF145" s="7"/>
      <c r="HQG145" s="7"/>
      <c r="HQH145" s="7"/>
      <c r="HQI145" s="7"/>
      <c r="HQJ145" s="7"/>
      <c r="HQK145" s="7"/>
      <c r="HQL145" s="7"/>
      <c r="HQM145" s="7"/>
      <c r="HQN145" s="7"/>
      <c r="HQO145" s="7"/>
      <c r="HQP145" s="7"/>
      <c r="HQQ145" s="7"/>
      <c r="IAB145" s="7"/>
      <c r="IAC145" s="7"/>
      <c r="IAD145" s="7"/>
      <c r="IAE145" s="7"/>
      <c r="IAF145" s="7"/>
      <c r="IAG145" s="7"/>
      <c r="IAH145" s="7"/>
      <c r="IAI145" s="7"/>
      <c r="IAJ145" s="7"/>
      <c r="IAK145" s="7"/>
      <c r="IAL145" s="7"/>
      <c r="IAM145" s="7"/>
      <c r="IJX145" s="7"/>
      <c r="IJY145" s="7"/>
      <c r="IJZ145" s="7"/>
      <c r="IKA145" s="7"/>
      <c r="IKB145" s="7"/>
      <c r="IKC145" s="7"/>
      <c r="IKD145" s="7"/>
      <c r="IKE145" s="7"/>
      <c r="IKF145" s="7"/>
      <c r="IKG145" s="7"/>
      <c r="IKH145" s="7"/>
      <c r="IKI145" s="7"/>
      <c r="ITT145" s="7"/>
      <c r="ITU145" s="7"/>
      <c r="ITV145" s="7"/>
      <c r="ITW145" s="7"/>
      <c r="ITX145" s="7"/>
      <c r="ITY145" s="7"/>
      <c r="ITZ145" s="7"/>
      <c r="IUA145" s="7"/>
      <c r="IUB145" s="7"/>
      <c r="IUC145" s="7"/>
      <c r="IUD145" s="7"/>
      <c r="IUE145" s="7"/>
      <c r="JDP145" s="7"/>
      <c r="JDQ145" s="7"/>
      <c r="JDR145" s="7"/>
      <c r="JDS145" s="7"/>
      <c r="JDT145" s="7"/>
      <c r="JDU145" s="7"/>
      <c r="JDV145" s="7"/>
      <c r="JDW145" s="7"/>
      <c r="JDX145" s="7"/>
      <c r="JDY145" s="7"/>
      <c r="JDZ145" s="7"/>
      <c r="JEA145" s="7"/>
      <c r="JNL145" s="7"/>
      <c r="JNM145" s="7"/>
      <c r="JNN145" s="7"/>
      <c r="JNO145" s="7"/>
      <c r="JNP145" s="7"/>
      <c r="JNQ145" s="7"/>
      <c r="JNR145" s="7"/>
      <c r="JNS145" s="7"/>
      <c r="JNT145" s="7"/>
      <c r="JNU145" s="7"/>
      <c r="JNV145" s="7"/>
      <c r="JNW145" s="7"/>
      <c r="JXH145" s="7"/>
      <c r="JXI145" s="7"/>
      <c r="JXJ145" s="7"/>
      <c r="JXK145" s="7"/>
      <c r="JXL145" s="7"/>
      <c r="JXM145" s="7"/>
      <c r="JXN145" s="7"/>
      <c r="JXO145" s="7"/>
      <c r="JXP145" s="7"/>
      <c r="JXQ145" s="7"/>
      <c r="JXR145" s="7"/>
      <c r="JXS145" s="7"/>
      <c r="KHD145" s="7"/>
      <c r="KHE145" s="7"/>
      <c r="KHF145" s="7"/>
      <c r="KHG145" s="7"/>
      <c r="KHH145" s="7"/>
      <c r="KHI145" s="7"/>
      <c r="KHJ145" s="7"/>
      <c r="KHK145" s="7"/>
      <c r="KHL145" s="7"/>
      <c r="KHM145" s="7"/>
      <c r="KHN145" s="7"/>
      <c r="KHO145" s="7"/>
      <c r="KQZ145" s="7"/>
      <c r="KRA145" s="7"/>
      <c r="KRB145" s="7"/>
      <c r="KRC145" s="7"/>
      <c r="KRD145" s="7"/>
      <c r="KRE145" s="7"/>
      <c r="KRF145" s="7"/>
      <c r="KRG145" s="7"/>
      <c r="KRH145" s="7"/>
      <c r="KRI145" s="7"/>
      <c r="KRJ145" s="7"/>
      <c r="KRK145" s="7"/>
      <c r="LAV145" s="7"/>
      <c r="LAW145" s="7"/>
      <c r="LAX145" s="7"/>
      <c r="LAY145" s="7"/>
      <c r="LAZ145" s="7"/>
      <c r="LBA145" s="7"/>
      <c r="LBB145" s="7"/>
      <c r="LBC145" s="7"/>
      <c r="LBD145" s="7"/>
      <c r="LBE145" s="7"/>
      <c r="LBF145" s="7"/>
      <c r="LBG145" s="7"/>
      <c r="LKR145" s="7"/>
      <c r="LKS145" s="7"/>
      <c r="LKT145" s="7"/>
      <c r="LKU145" s="7"/>
      <c r="LKV145" s="7"/>
      <c r="LKW145" s="7"/>
      <c r="LKX145" s="7"/>
      <c r="LKY145" s="7"/>
      <c r="LKZ145" s="7"/>
      <c r="LLA145" s="7"/>
      <c r="LLB145" s="7"/>
      <c r="LLC145" s="7"/>
      <c r="LUN145" s="7"/>
      <c r="LUO145" s="7"/>
      <c r="LUP145" s="7"/>
      <c r="LUQ145" s="7"/>
      <c r="LUR145" s="7"/>
      <c r="LUS145" s="7"/>
      <c r="LUT145" s="7"/>
      <c r="LUU145" s="7"/>
      <c r="LUV145" s="7"/>
      <c r="LUW145" s="7"/>
      <c r="LUX145" s="7"/>
      <c r="LUY145" s="7"/>
      <c r="MEJ145" s="7"/>
      <c r="MEK145" s="7"/>
      <c r="MEL145" s="7"/>
      <c r="MEM145" s="7"/>
      <c r="MEN145" s="7"/>
      <c r="MEO145" s="7"/>
      <c r="MEP145" s="7"/>
      <c r="MEQ145" s="7"/>
      <c r="MER145" s="7"/>
      <c r="MES145" s="7"/>
      <c r="MET145" s="7"/>
      <c r="MEU145" s="7"/>
      <c r="MOF145" s="7"/>
      <c r="MOG145" s="7"/>
      <c r="MOH145" s="7"/>
      <c r="MOI145" s="7"/>
      <c r="MOJ145" s="7"/>
      <c r="MOK145" s="7"/>
      <c r="MOL145" s="7"/>
      <c r="MOM145" s="7"/>
      <c r="MON145" s="7"/>
      <c r="MOO145" s="7"/>
      <c r="MOP145" s="7"/>
      <c r="MOQ145" s="7"/>
      <c r="MYB145" s="7"/>
      <c r="MYC145" s="7"/>
      <c r="MYD145" s="7"/>
      <c r="MYE145" s="7"/>
      <c r="MYF145" s="7"/>
      <c r="MYG145" s="7"/>
      <c r="MYH145" s="7"/>
      <c r="MYI145" s="7"/>
      <c r="MYJ145" s="7"/>
      <c r="MYK145" s="7"/>
      <c r="MYL145" s="7"/>
      <c r="MYM145" s="7"/>
      <c r="NHX145" s="7"/>
      <c r="NHY145" s="7"/>
      <c r="NHZ145" s="7"/>
      <c r="NIA145" s="7"/>
      <c r="NIB145" s="7"/>
      <c r="NIC145" s="7"/>
      <c r="NID145" s="7"/>
      <c r="NIE145" s="7"/>
      <c r="NIF145" s="7"/>
      <c r="NIG145" s="7"/>
      <c r="NIH145" s="7"/>
      <c r="NII145" s="7"/>
      <c r="NRT145" s="7"/>
      <c r="NRU145" s="7"/>
      <c r="NRV145" s="7"/>
      <c r="NRW145" s="7"/>
      <c r="NRX145" s="7"/>
      <c r="NRY145" s="7"/>
      <c r="NRZ145" s="7"/>
      <c r="NSA145" s="7"/>
      <c r="NSB145" s="7"/>
      <c r="NSC145" s="7"/>
      <c r="NSD145" s="7"/>
      <c r="NSE145" s="7"/>
      <c r="OBP145" s="7"/>
      <c r="OBQ145" s="7"/>
      <c r="OBR145" s="7"/>
      <c r="OBS145" s="7"/>
      <c r="OBT145" s="7"/>
      <c r="OBU145" s="7"/>
      <c r="OBV145" s="7"/>
      <c r="OBW145" s="7"/>
      <c r="OBX145" s="7"/>
      <c r="OBY145" s="7"/>
      <c r="OBZ145" s="7"/>
      <c r="OCA145" s="7"/>
      <c r="OLL145" s="7"/>
      <c r="OLM145" s="7"/>
      <c r="OLN145" s="7"/>
      <c r="OLO145" s="7"/>
      <c r="OLP145" s="7"/>
      <c r="OLQ145" s="7"/>
      <c r="OLR145" s="7"/>
      <c r="OLS145" s="7"/>
      <c r="OLT145" s="7"/>
      <c r="OLU145" s="7"/>
      <c r="OLV145" s="7"/>
      <c r="OLW145" s="7"/>
      <c r="OVH145" s="7"/>
      <c r="OVI145" s="7"/>
      <c r="OVJ145" s="7"/>
      <c r="OVK145" s="7"/>
      <c r="OVL145" s="7"/>
      <c r="OVM145" s="7"/>
      <c r="OVN145" s="7"/>
      <c r="OVO145" s="7"/>
      <c r="OVP145" s="7"/>
      <c r="OVQ145" s="7"/>
      <c r="OVR145" s="7"/>
      <c r="OVS145" s="7"/>
      <c r="PFD145" s="7"/>
      <c r="PFE145" s="7"/>
      <c r="PFF145" s="7"/>
      <c r="PFG145" s="7"/>
      <c r="PFH145" s="7"/>
      <c r="PFI145" s="7"/>
      <c r="PFJ145" s="7"/>
      <c r="PFK145" s="7"/>
      <c r="PFL145" s="7"/>
      <c r="PFM145" s="7"/>
      <c r="PFN145" s="7"/>
      <c r="PFO145" s="7"/>
      <c r="POZ145" s="7"/>
      <c r="PPA145" s="7"/>
      <c r="PPB145" s="7"/>
      <c r="PPC145" s="7"/>
      <c r="PPD145" s="7"/>
      <c r="PPE145" s="7"/>
      <c r="PPF145" s="7"/>
      <c r="PPG145" s="7"/>
      <c r="PPH145" s="7"/>
      <c r="PPI145" s="7"/>
      <c r="PPJ145" s="7"/>
      <c r="PPK145" s="7"/>
      <c r="PYV145" s="7"/>
      <c r="PYW145" s="7"/>
      <c r="PYX145" s="7"/>
      <c r="PYY145" s="7"/>
      <c r="PYZ145" s="7"/>
      <c r="PZA145" s="7"/>
      <c r="PZB145" s="7"/>
      <c r="PZC145" s="7"/>
      <c r="PZD145" s="7"/>
      <c r="PZE145" s="7"/>
      <c r="PZF145" s="7"/>
      <c r="PZG145" s="7"/>
      <c r="QIR145" s="7"/>
      <c r="QIS145" s="7"/>
      <c r="QIT145" s="7"/>
      <c r="QIU145" s="7"/>
      <c r="QIV145" s="7"/>
      <c r="QIW145" s="7"/>
      <c r="QIX145" s="7"/>
      <c r="QIY145" s="7"/>
      <c r="QIZ145" s="7"/>
      <c r="QJA145" s="7"/>
      <c r="QJB145" s="7"/>
      <c r="QJC145" s="7"/>
      <c r="QSN145" s="7"/>
      <c r="QSO145" s="7"/>
      <c r="QSP145" s="7"/>
      <c r="QSQ145" s="7"/>
      <c r="QSR145" s="7"/>
      <c r="QSS145" s="7"/>
      <c r="QST145" s="7"/>
      <c r="QSU145" s="7"/>
      <c r="QSV145" s="7"/>
      <c r="QSW145" s="7"/>
      <c r="QSX145" s="7"/>
      <c r="QSY145" s="7"/>
      <c r="RCJ145" s="7"/>
      <c r="RCK145" s="7"/>
      <c r="RCL145" s="7"/>
      <c r="RCM145" s="7"/>
      <c r="RCN145" s="7"/>
      <c r="RCO145" s="7"/>
      <c r="RCP145" s="7"/>
      <c r="RCQ145" s="7"/>
      <c r="RCR145" s="7"/>
      <c r="RCS145" s="7"/>
      <c r="RCT145" s="7"/>
      <c r="RCU145" s="7"/>
      <c r="RMF145" s="7"/>
      <c r="RMG145" s="7"/>
      <c r="RMH145" s="7"/>
      <c r="RMI145" s="7"/>
      <c r="RMJ145" s="7"/>
      <c r="RMK145" s="7"/>
      <c r="RML145" s="7"/>
      <c r="RMM145" s="7"/>
      <c r="RMN145" s="7"/>
      <c r="RMO145" s="7"/>
      <c r="RMP145" s="7"/>
      <c r="RMQ145" s="7"/>
      <c r="RWB145" s="7"/>
      <c r="RWC145" s="7"/>
      <c r="RWD145" s="7"/>
      <c r="RWE145" s="7"/>
      <c r="RWF145" s="7"/>
      <c r="RWG145" s="7"/>
      <c r="RWH145" s="7"/>
      <c r="RWI145" s="7"/>
      <c r="RWJ145" s="7"/>
      <c r="RWK145" s="7"/>
      <c r="RWL145" s="7"/>
      <c r="RWM145" s="7"/>
      <c r="SFX145" s="7"/>
      <c r="SFY145" s="7"/>
      <c r="SFZ145" s="7"/>
      <c r="SGA145" s="7"/>
      <c r="SGB145" s="7"/>
      <c r="SGC145" s="7"/>
      <c r="SGD145" s="7"/>
      <c r="SGE145" s="7"/>
      <c r="SGF145" s="7"/>
      <c r="SGG145" s="7"/>
      <c r="SGH145" s="7"/>
      <c r="SGI145" s="7"/>
      <c r="SPT145" s="7"/>
      <c r="SPU145" s="7"/>
      <c r="SPV145" s="7"/>
      <c r="SPW145" s="7"/>
      <c r="SPX145" s="7"/>
      <c r="SPY145" s="7"/>
      <c r="SPZ145" s="7"/>
      <c r="SQA145" s="7"/>
      <c r="SQB145" s="7"/>
      <c r="SQC145" s="7"/>
      <c r="SQD145" s="7"/>
      <c r="SQE145" s="7"/>
      <c r="SZP145" s="7"/>
      <c r="SZQ145" s="7"/>
      <c r="SZR145" s="7"/>
      <c r="SZS145" s="7"/>
      <c r="SZT145" s="7"/>
      <c r="SZU145" s="7"/>
      <c r="SZV145" s="7"/>
      <c r="SZW145" s="7"/>
      <c r="SZX145" s="7"/>
      <c r="SZY145" s="7"/>
      <c r="SZZ145" s="7"/>
      <c r="TAA145" s="7"/>
      <c r="TJL145" s="7"/>
      <c r="TJM145" s="7"/>
      <c r="TJN145" s="7"/>
      <c r="TJO145" s="7"/>
      <c r="TJP145" s="7"/>
      <c r="TJQ145" s="7"/>
      <c r="TJR145" s="7"/>
      <c r="TJS145" s="7"/>
      <c r="TJT145" s="7"/>
      <c r="TJU145" s="7"/>
      <c r="TJV145" s="7"/>
      <c r="TJW145" s="7"/>
      <c r="TTH145" s="7"/>
      <c r="TTI145" s="7"/>
      <c r="TTJ145" s="7"/>
      <c r="TTK145" s="7"/>
      <c r="TTL145" s="7"/>
      <c r="TTM145" s="7"/>
      <c r="TTN145" s="7"/>
      <c r="TTO145" s="7"/>
      <c r="TTP145" s="7"/>
      <c r="TTQ145" s="7"/>
      <c r="TTR145" s="7"/>
      <c r="TTS145" s="7"/>
      <c r="UDD145" s="7"/>
      <c r="UDE145" s="7"/>
      <c r="UDF145" s="7"/>
      <c r="UDG145" s="7"/>
      <c r="UDH145" s="7"/>
      <c r="UDI145" s="7"/>
      <c r="UDJ145" s="7"/>
      <c r="UDK145" s="7"/>
      <c r="UDL145" s="7"/>
      <c r="UDM145" s="7"/>
      <c r="UDN145" s="7"/>
      <c r="UDO145" s="7"/>
      <c r="UMZ145" s="7"/>
      <c r="UNA145" s="7"/>
      <c r="UNB145" s="7"/>
      <c r="UNC145" s="7"/>
      <c r="UND145" s="7"/>
      <c r="UNE145" s="7"/>
      <c r="UNF145" s="7"/>
      <c r="UNG145" s="7"/>
      <c r="UNH145" s="7"/>
      <c r="UNI145" s="7"/>
      <c r="UNJ145" s="7"/>
      <c r="UNK145" s="7"/>
      <c r="UWV145" s="7"/>
      <c r="UWW145" s="7"/>
      <c r="UWX145" s="7"/>
      <c r="UWY145" s="7"/>
      <c r="UWZ145" s="7"/>
      <c r="UXA145" s="7"/>
      <c r="UXB145" s="7"/>
      <c r="UXC145" s="7"/>
      <c r="UXD145" s="7"/>
      <c r="UXE145" s="7"/>
      <c r="UXF145" s="7"/>
      <c r="UXG145" s="7"/>
      <c r="VGR145" s="7"/>
      <c r="VGS145" s="7"/>
      <c r="VGT145" s="7"/>
      <c r="VGU145" s="7"/>
      <c r="VGV145" s="7"/>
      <c r="VGW145" s="7"/>
      <c r="VGX145" s="7"/>
      <c r="VGY145" s="7"/>
      <c r="VGZ145" s="7"/>
      <c r="VHA145" s="7"/>
      <c r="VHB145" s="7"/>
      <c r="VHC145" s="7"/>
      <c r="VQN145" s="7"/>
      <c r="VQO145" s="7"/>
      <c r="VQP145" s="7"/>
      <c r="VQQ145" s="7"/>
      <c r="VQR145" s="7"/>
      <c r="VQS145" s="7"/>
      <c r="VQT145" s="7"/>
      <c r="VQU145" s="7"/>
      <c r="VQV145" s="7"/>
      <c r="VQW145" s="7"/>
      <c r="VQX145" s="7"/>
      <c r="VQY145" s="7"/>
      <c r="WAJ145" s="7"/>
      <c r="WAK145" s="7"/>
      <c r="WAL145" s="7"/>
      <c r="WAM145" s="7"/>
      <c r="WAN145" s="7"/>
      <c r="WAO145" s="7"/>
      <c r="WAP145" s="7"/>
      <c r="WAQ145" s="7"/>
      <c r="WAR145" s="7"/>
      <c r="WAS145" s="7"/>
      <c r="WAT145" s="7"/>
      <c r="WAU145" s="7"/>
      <c r="WKF145" s="7"/>
      <c r="WKG145" s="7"/>
      <c r="WKH145" s="7"/>
      <c r="WKI145" s="7"/>
      <c r="WKJ145" s="7"/>
      <c r="WKK145" s="7"/>
      <c r="WKL145" s="7"/>
      <c r="WKM145" s="7"/>
      <c r="WKN145" s="7"/>
      <c r="WKO145" s="7"/>
      <c r="WKP145" s="7"/>
      <c r="WKQ145" s="7"/>
      <c r="WUB145" s="7"/>
      <c r="WUC145" s="7"/>
      <c r="WUD145" s="7"/>
      <c r="WUE145" s="7"/>
      <c r="WUF145" s="7"/>
      <c r="WUG145" s="7"/>
      <c r="WUH145" s="7"/>
      <c r="WUI145" s="7"/>
      <c r="WUJ145" s="7"/>
      <c r="WUK145" s="7"/>
      <c r="WUL145" s="7"/>
      <c r="WUM145" s="7"/>
    </row>
    <row r="146" spans="1:1003 1248:2027 2272:3051 3296:4075 4320:5099 5344:6123 6368:7147 7392:8171 8416:9195 9440:10219 10464:11243 11488:12267 12512:13291 13536:14315 14560:15339 15584:16107" ht="30" customHeight="1">
      <c r="A146" s="45"/>
      <c r="H146" s="159">
        <v>11</v>
      </c>
      <c r="I146" s="196" t="s">
        <v>247</v>
      </c>
      <c r="J146" s="161"/>
      <c r="K146" s="196"/>
      <c r="L146" s="211">
        <f>Table113[[#This Row],[Qty 2]]+Table113[[#This Row],[Qty 1]]</f>
        <v>11</v>
      </c>
      <c r="M146" s="216">
        <v>360</v>
      </c>
      <c r="N146" s="216">
        <f>Table113[[#This Row],[Unit Cost]]*Table113[[#This Row],[Total Qty All Areas]]</f>
        <v>3960</v>
      </c>
    </row>
    <row r="147" spans="1:1003 1248:2027 2272:3051 3296:4075 4320:5099 5344:6123 6368:7147 7392:8171 8416:9195 9440:10219 10464:11243 11488:12267 12512:13291 13536:14315 14560:15339 15584:16107" ht="30" customHeight="1">
      <c r="A147" s="45"/>
      <c r="H147" s="159">
        <v>9</v>
      </c>
      <c r="I147" s="196" t="s">
        <v>228</v>
      </c>
      <c r="J147" s="161"/>
      <c r="K147" s="196"/>
      <c r="L147" s="211">
        <f>Table113[[#This Row],[Qty 2]]+Table113[[#This Row],[Qty 1]]</f>
        <v>9</v>
      </c>
      <c r="M147" s="216">
        <v>360</v>
      </c>
      <c r="N147" s="216">
        <f>Table113[[#This Row],[Unit Cost]]*Table113[[#This Row],[Total Qty All Areas]]</f>
        <v>3240</v>
      </c>
    </row>
    <row r="148" spans="1:1003 1248:2027 2272:3051 3296:4075 4320:5099 5344:6123 6368:7147 7392:8171 8416:9195 9440:10219 10464:11243 11488:12267 12512:13291 13536:14315 14560:15339 15584:16107" ht="30" customHeight="1">
      <c r="A148" s="176"/>
      <c r="D148" s="169"/>
      <c r="E148" s="169"/>
      <c r="F148" s="303"/>
      <c r="H148" s="159">
        <v>2</v>
      </c>
      <c r="I148" s="196" t="s">
        <v>228</v>
      </c>
      <c r="J148" s="161"/>
      <c r="K148" s="196"/>
      <c r="L148" s="211">
        <f>Table113[[#This Row],[Qty 2]]+Table113[[#This Row],[Qty 1]]</f>
        <v>2</v>
      </c>
      <c r="M148" s="216">
        <v>360</v>
      </c>
      <c r="N148" s="216">
        <f>Table113[[#This Row],[Unit Cost]]*Table113[[#This Row],[Total Qty All Areas]]</f>
        <v>720</v>
      </c>
    </row>
    <row r="149" spans="1:1003 1248:2027 2272:3051 3296:4075 4320:5099 5344:6123 6368:7147 7392:8171 8416:9195 9440:10219 10464:11243 11488:12267 12512:13291 13536:14315 14560:15339 15584:16107" s="167" customFormat="1" ht="30" customHeight="1">
      <c r="A149" s="175" t="str">
        <f>'Category Setup'!L62</f>
        <v>PF_SP</v>
      </c>
      <c r="B149" s="167" t="str">
        <f>'Category Setup'!E62</f>
        <v>PF_SP_Part Finished_Snow Plough</v>
      </c>
      <c r="C149" s="167" t="str">
        <f>'Category Setup'!N62</f>
        <v>PF_SP_Part Finished_Snow Plough</v>
      </c>
      <c r="D149" s="168"/>
      <c r="E149" s="168"/>
      <c r="F149" s="172"/>
      <c r="G149" s="172"/>
      <c r="H149" s="173"/>
      <c r="I149" s="197"/>
      <c r="J149" s="174"/>
      <c r="K149" s="197"/>
      <c r="L149" s="213">
        <f>Table113[[#This Row],[Qty 2]]+Table113[[#This Row],[Qty 1]]</f>
        <v>0</v>
      </c>
      <c r="M149" s="215"/>
      <c r="N149" s="215">
        <f>Table113[[#This Row],[Unit Cost]]*Table113[[#This Row],[Total Qty All Areas]]</f>
        <v>0</v>
      </c>
      <c r="HP149" s="7"/>
      <c r="HQ149" s="7"/>
      <c r="HR149" s="7"/>
      <c r="HS149" s="7"/>
      <c r="HT149" s="7"/>
      <c r="HU149" s="7"/>
      <c r="HV149" s="7"/>
      <c r="HW149" s="7"/>
      <c r="HX149" s="7"/>
      <c r="HY149" s="7"/>
      <c r="HZ149" s="7"/>
      <c r="IA149" s="7"/>
      <c r="RL149" s="7"/>
      <c r="RM149" s="7"/>
      <c r="RN149" s="7"/>
      <c r="RO149" s="7"/>
      <c r="RP149" s="7"/>
      <c r="RQ149" s="7"/>
      <c r="RR149" s="7"/>
      <c r="RS149" s="7"/>
      <c r="RT149" s="7"/>
      <c r="RU149" s="7"/>
      <c r="RV149" s="7"/>
      <c r="RW149" s="7"/>
      <c r="ABH149" s="7"/>
      <c r="ABI149" s="7"/>
      <c r="ABJ149" s="7"/>
      <c r="ABK149" s="7"/>
      <c r="ABL149" s="7"/>
      <c r="ABM149" s="7"/>
      <c r="ABN149" s="7"/>
      <c r="ABO149" s="7"/>
      <c r="ABP149" s="7"/>
      <c r="ABQ149" s="7"/>
      <c r="ABR149" s="7"/>
      <c r="ABS149" s="7"/>
      <c r="ALD149" s="7"/>
      <c r="ALE149" s="7"/>
      <c r="ALF149" s="7"/>
      <c r="ALG149" s="7"/>
      <c r="ALH149" s="7"/>
      <c r="ALI149" s="7"/>
      <c r="ALJ149" s="7"/>
      <c r="ALK149" s="7"/>
      <c r="ALL149" s="7"/>
      <c r="ALM149" s="7"/>
      <c r="ALN149" s="7"/>
      <c r="ALO149" s="7"/>
      <c r="AUZ149" s="7"/>
      <c r="AVA149" s="7"/>
      <c r="AVB149" s="7"/>
      <c r="AVC149" s="7"/>
      <c r="AVD149" s="7"/>
      <c r="AVE149" s="7"/>
      <c r="AVF149" s="7"/>
      <c r="AVG149" s="7"/>
      <c r="AVH149" s="7"/>
      <c r="AVI149" s="7"/>
      <c r="AVJ149" s="7"/>
      <c r="AVK149" s="7"/>
      <c r="BEV149" s="7"/>
      <c r="BEW149" s="7"/>
      <c r="BEX149" s="7"/>
      <c r="BEY149" s="7"/>
      <c r="BEZ149" s="7"/>
      <c r="BFA149" s="7"/>
      <c r="BFB149" s="7"/>
      <c r="BFC149" s="7"/>
      <c r="BFD149" s="7"/>
      <c r="BFE149" s="7"/>
      <c r="BFF149" s="7"/>
      <c r="BFG149" s="7"/>
      <c r="BOR149" s="7"/>
      <c r="BOS149" s="7"/>
      <c r="BOT149" s="7"/>
      <c r="BOU149" s="7"/>
      <c r="BOV149" s="7"/>
      <c r="BOW149" s="7"/>
      <c r="BOX149" s="7"/>
      <c r="BOY149" s="7"/>
      <c r="BOZ149" s="7"/>
      <c r="BPA149" s="7"/>
      <c r="BPB149" s="7"/>
      <c r="BPC149" s="7"/>
      <c r="BYN149" s="7"/>
      <c r="BYO149" s="7"/>
      <c r="BYP149" s="7"/>
      <c r="BYQ149" s="7"/>
      <c r="BYR149" s="7"/>
      <c r="BYS149" s="7"/>
      <c r="BYT149" s="7"/>
      <c r="BYU149" s="7"/>
      <c r="BYV149" s="7"/>
      <c r="BYW149" s="7"/>
      <c r="BYX149" s="7"/>
      <c r="BYY149" s="7"/>
      <c r="CIJ149" s="7"/>
      <c r="CIK149" s="7"/>
      <c r="CIL149" s="7"/>
      <c r="CIM149" s="7"/>
      <c r="CIN149" s="7"/>
      <c r="CIO149" s="7"/>
      <c r="CIP149" s="7"/>
      <c r="CIQ149" s="7"/>
      <c r="CIR149" s="7"/>
      <c r="CIS149" s="7"/>
      <c r="CIT149" s="7"/>
      <c r="CIU149" s="7"/>
      <c r="CSF149" s="7"/>
      <c r="CSG149" s="7"/>
      <c r="CSH149" s="7"/>
      <c r="CSI149" s="7"/>
      <c r="CSJ149" s="7"/>
      <c r="CSK149" s="7"/>
      <c r="CSL149" s="7"/>
      <c r="CSM149" s="7"/>
      <c r="CSN149" s="7"/>
      <c r="CSO149" s="7"/>
      <c r="CSP149" s="7"/>
      <c r="CSQ149" s="7"/>
      <c r="DCB149" s="7"/>
      <c r="DCC149" s="7"/>
      <c r="DCD149" s="7"/>
      <c r="DCE149" s="7"/>
      <c r="DCF149" s="7"/>
      <c r="DCG149" s="7"/>
      <c r="DCH149" s="7"/>
      <c r="DCI149" s="7"/>
      <c r="DCJ149" s="7"/>
      <c r="DCK149" s="7"/>
      <c r="DCL149" s="7"/>
      <c r="DCM149" s="7"/>
      <c r="DLX149" s="7"/>
      <c r="DLY149" s="7"/>
      <c r="DLZ149" s="7"/>
      <c r="DMA149" s="7"/>
      <c r="DMB149" s="7"/>
      <c r="DMC149" s="7"/>
      <c r="DMD149" s="7"/>
      <c r="DME149" s="7"/>
      <c r="DMF149" s="7"/>
      <c r="DMG149" s="7"/>
      <c r="DMH149" s="7"/>
      <c r="DMI149" s="7"/>
      <c r="DVT149" s="7"/>
      <c r="DVU149" s="7"/>
      <c r="DVV149" s="7"/>
      <c r="DVW149" s="7"/>
      <c r="DVX149" s="7"/>
      <c r="DVY149" s="7"/>
      <c r="DVZ149" s="7"/>
      <c r="DWA149" s="7"/>
      <c r="DWB149" s="7"/>
      <c r="DWC149" s="7"/>
      <c r="DWD149" s="7"/>
      <c r="DWE149" s="7"/>
      <c r="EFP149" s="7"/>
      <c r="EFQ149" s="7"/>
      <c r="EFR149" s="7"/>
      <c r="EFS149" s="7"/>
      <c r="EFT149" s="7"/>
      <c r="EFU149" s="7"/>
      <c r="EFV149" s="7"/>
      <c r="EFW149" s="7"/>
      <c r="EFX149" s="7"/>
      <c r="EFY149" s="7"/>
      <c r="EFZ149" s="7"/>
      <c r="EGA149" s="7"/>
      <c r="EPL149" s="7"/>
      <c r="EPM149" s="7"/>
      <c r="EPN149" s="7"/>
      <c r="EPO149" s="7"/>
      <c r="EPP149" s="7"/>
      <c r="EPQ149" s="7"/>
      <c r="EPR149" s="7"/>
      <c r="EPS149" s="7"/>
      <c r="EPT149" s="7"/>
      <c r="EPU149" s="7"/>
      <c r="EPV149" s="7"/>
      <c r="EPW149" s="7"/>
      <c r="EZH149" s="7"/>
      <c r="EZI149" s="7"/>
      <c r="EZJ149" s="7"/>
      <c r="EZK149" s="7"/>
      <c r="EZL149" s="7"/>
      <c r="EZM149" s="7"/>
      <c r="EZN149" s="7"/>
      <c r="EZO149" s="7"/>
      <c r="EZP149" s="7"/>
      <c r="EZQ149" s="7"/>
      <c r="EZR149" s="7"/>
      <c r="EZS149" s="7"/>
      <c r="FJD149" s="7"/>
      <c r="FJE149" s="7"/>
      <c r="FJF149" s="7"/>
      <c r="FJG149" s="7"/>
      <c r="FJH149" s="7"/>
      <c r="FJI149" s="7"/>
      <c r="FJJ149" s="7"/>
      <c r="FJK149" s="7"/>
      <c r="FJL149" s="7"/>
      <c r="FJM149" s="7"/>
      <c r="FJN149" s="7"/>
      <c r="FJO149" s="7"/>
      <c r="FSZ149" s="7"/>
      <c r="FTA149" s="7"/>
      <c r="FTB149" s="7"/>
      <c r="FTC149" s="7"/>
      <c r="FTD149" s="7"/>
      <c r="FTE149" s="7"/>
      <c r="FTF149" s="7"/>
      <c r="FTG149" s="7"/>
      <c r="FTH149" s="7"/>
      <c r="FTI149" s="7"/>
      <c r="FTJ149" s="7"/>
      <c r="FTK149" s="7"/>
      <c r="GCV149" s="7"/>
      <c r="GCW149" s="7"/>
      <c r="GCX149" s="7"/>
      <c r="GCY149" s="7"/>
      <c r="GCZ149" s="7"/>
      <c r="GDA149" s="7"/>
      <c r="GDB149" s="7"/>
      <c r="GDC149" s="7"/>
      <c r="GDD149" s="7"/>
      <c r="GDE149" s="7"/>
      <c r="GDF149" s="7"/>
      <c r="GDG149" s="7"/>
      <c r="GMR149" s="7"/>
      <c r="GMS149" s="7"/>
      <c r="GMT149" s="7"/>
      <c r="GMU149" s="7"/>
      <c r="GMV149" s="7"/>
      <c r="GMW149" s="7"/>
      <c r="GMX149" s="7"/>
      <c r="GMY149" s="7"/>
      <c r="GMZ149" s="7"/>
      <c r="GNA149" s="7"/>
      <c r="GNB149" s="7"/>
      <c r="GNC149" s="7"/>
      <c r="GWN149" s="7"/>
      <c r="GWO149" s="7"/>
      <c r="GWP149" s="7"/>
      <c r="GWQ149" s="7"/>
      <c r="GWR149" s="7"/>
      <c r="GWS149" s="7"/>
      <c r="GWT149" s="7"/>
      <c r="GWU149" s="7"/>
      <c r="GWV149" s="7"/>
      <c r="GWW149" s="7"/>
      <c r="GWX149" s="7"/>
      <c r="GWY149" s="7"/>
      <c r="HGJ149" s="7"/>
      <c r="HGK149" s="7"/>
      <c r="HGL149" s="7"/>
      <c r="HGM149" s="7"/>
      <c r="HGN149" s="7"/>
      <c r="HGO149" s="7"/>
      <c r="HGP149" s="7"/>
      <c r="HGQ149" s="7"/>
      <c r="HGR149" s="7"/>
      <c r="HGS149" s="7"/>
      <c r="HGT149" s="7"/>
      <c r="HGU149" s="7"/>
      <c r="HQF149" s="7"/>
      <c r="HQG149" s="7"/>
      <c r="HQH149" s="7"/>
      <c r="HQI149" s="7"/>
      <c r="HQJ149" s="7"/>
      <c r="HQK149" s="7"/>
      <c r="HQL149" s="7"/>
      <c r="HQM149" s="7"/>
      <c r="HQN149" s="7"/>
      <c r="HQO149" s="7"/>
      <c r="HQP149" s="7"/>
      <c r="HQQ149" s="7"/>
      <c r="IAB149" s="7"/>
      <c r="IAC149" s="7"/>
      <c r="IAD149" s="7"/>
      <c r="IAE149" s="7"/>
      <c r="IAF149" s="7"/>
      <c r="IAG149" s="7"/>
      <c r="IAH149" s="7"/>
      <c r="IAI149" s="7"/>
      <c r="IAJ149" s="7"/>
      <c r="IAK149" s="7"/>
      <c r="IAL149" s="7"/>
      <c r="IAM149" s="7"/>
      <c r="IJX149" s="7"/>
      <c r="IJY149" s="7"/>
      <c r="IJZ149" s="7"/>
      <c r="IKA149" s="7"/>
      <c r="IKB149" s="7"/>
      <c r="IKC149" s="7"/>
      <c r="IKD149" s="7"/>
      <c r="IKE149" s="7"/>
      <c r="IKF149" s="7"/>
      <c r="IKG149" s="7"/>
      <c r="IKH149" s="7"/>
      <c r="IKI149" s="7"/>
      <c r="ITT149" s="7"/>
      <c r="ITU149" s="7"/>
      <c r="ITV149" s="7"/>
      <c r="ITW149" s="7"/>
      <c r="ITX149" s="7"/>
      <c r="ITY149" s="7"/>
      <c r="ITZ149" s="7"/>
      <c r="IUA149" s="7"/>
      <c r="IUB149" s="7"/>
      <c r="IUC149" s="7"/>
      <c r="IUD149" s="7"/>
      <c r="IUE149" s="7"/>
      <c r="JDP149" s="7"/>
      <c r="JDQ149" s="7"/>
      <c r="JDR149" s="7"/>
      <c r="JDS149" s="7"/>
      <c r="JDT149" s="7"/>
      <c r="JDU149" s="7"/>
      <c r="JDV149" s="7"/>
      <c r="JDW149" s="7"/>
      <c r="JDX149" s="7"/>
      <c r="JDY149" s="7"/>
      <c r="JDZ149" s="7"/>
      <c r="JEA149" s="7"/>
      <c r="JNL149" s="7"/>
      <c r="JNM149" s="7"/>
      <c r="JNN149" s="7"/>
      <c r="JNO149" s="7"/>
      <c r="JNP149" s="7"/>
      <c r="JNQ149" s="7"/>
      <c r="JNR149" s="7"/>
      <c r="JNS149" s="7"/>
      <c r="JNT149" s="7"/>
      <c r="JNU149" s="7"/>
      <c r="JNV149" s="7"/>
      <c r="JNW149" s="7"/>
      <c r="JXH149" s="7"/>
      <c r="JXI149" s="7"/>
      <c r="JXJ149" s="7"/>
      <c r="JXK149" s="7"/>
      <c r="JXL149" s="7"/>
      <c r="JXM149" s="7"/>
      <c r="JXN149" s="7"/>
      <c r="JXO149" s="7"/>
      <c r="JXP149" s="7"/>
      <c r="JXQ149" s="7"/>
      <c r="JXR149" s="7"/>
      <c r="JXS149" s="7"/>
      <c r="KHD149" s="7"/>
      <c r="KHE149" s="7"/>
      <c r="KHF149" s="7"/>
      <c r="KHG149" s="7"/>
      <c r="KHH149" s="7"/>
      <c r="KHI149" s="7"/>
      <c r="KHJ149" s="7"/>
      <c r="KHK149" s="7"/>
      <c r="KHL149" s="7"/>
      <c r="KHM149" s="7"/>
      <c r="KHN149" s="7"/>
      <c r="KHO149" s="7"/>
      <c r="KQZ149" s="7"/>
      <c r="KRA149" s="7"/>
      <c r="KRB149" s="7"/>
      <c r="KRC149" s="7"/>
      <c r="KRD149" s="7"/>
      <c r="KRE149" s="7"/>
      <c r="KRF149" s="7"/>
      <c r="KRG149" s="7"/>
      <c r="KRH149" s="7"/>
      <c r="KRI149" s="7"/>
      <c r="KRJ149" s="7"/>
      <c r="KRK149" s="7"/>
      <c r="LAV149" s="7"/>
      <c r="LAW149" s="7"/>
      <c r="LAX149" s="7"/>
      <c r="LAY149" s="7"/>
      <c r="LAZ149" s="7"/>
      <c r="LBA149" s="7"/>
      <c r="LBB149" s="7"/>
      <c r="LBC149" s="7"/>
      <c r="LBD149" s="7"/>
      <c r="LBE149" s="7"/>
      <c r="LBF149" s="7"/>
      <c r="LBG149" s="7"/>
      <c r="LKR149" s="7"/>
      <c r="LKS149" s="7"/>
      <c r="LKT149" s="7"/>
      <c r="LKU149" s="7"/>
      <c r="LKV149" s="7"/>
      <c r="LKW149" s="7"/>
      <c r="LKX149" s="7"/>
      <c r="LKY149" s="7"/>
      <c r="LKZ149" s="7"/>
      <c r="LLA149" s="7"/>
      <c r="LLB149" s="7"/>
      <c r="LLC149" s="7"/>
      <c r="LUN149" s="7"/>
      <c r="LUO149" s="7"/>
      <c r="LUP149" s="7"/>
      <c r="LUQ149" s="7"/>
      <c r="LUR149" s="7"/>
      <c r="LUS149" s="7"/>
      <c r="LUT149" s="7"/>
      <c r="LUU149" s="7"/>
      <c r="LUV149" s="7"/>
      <c r="LUW149" s="7"/>
      <c r="LUX149" s="7"/>
      <c r="LUY149" s="7"/>
      <c r="MEJ149" s="7"/>
      <c r="MEK149" s="7"/>
      <c r="MEL149" s="7"/>
      <c r="MEM149" s="7"/>
      <c r="MEN149" s="7"/>
      <c r="MEO149" s="7"/>
      <c r="MEP149" s="7"/>
      <c r="MEQ149" s="7"/>
      <c r="MER149" s="7"/>
      <c r="MES149" s="7"/>
      <c r="MET149" s="7"/>
      <c r="MEU149" s="7"/>
      <c r="MOF149" s="7"/>
      <c r="MOG149" s="7"/>
      <c r="MOH149" s="7"/>
      <c r="MOI149" s="7"/>
      <c r="MOJ149" s="7"/>
      <c r="MOK149" s="7"/>
      <c r="MOL149" s="7"/>
      <c r="MOM149" s="7"/>
      <c r="MON149" s="7"/>
      <c r="MOO149" s="7"/>
      <c r="MOP149" s="7"/>
      <c r="MOQ149" s="7"/>
      <c r="MYB149" s="7"/>
      <c r="MYC149" s="7"/>
      <c r="MYD149" s="7"/>
      <c r="MYE149" s="7"/>
      <c r="MYF149" s="7"/>
      <c r="MYG149" s="7"/>
      <c r="MYH149" s="7"/>
      <c r="MYI149" s="7"/>
      <c r="MYJ149" s="7"/>
      <c r="MYK149" s="7"/>
      <c r="MYL149" s="7"/>
      <c r="MYM149" s="7"/>
      <c r="NHX149" s="7"/>
      <c r="NHY149" s="7"/>
      <c r="NHZ149" s="7"/>
      <c r="NIA149" s="7"/>
      <c r="NIB149" s="7"/>
      <c r="NIC149" s="7"/>
      <c r="NID149" s="7"/>
      <c r="NIE149" s="7"/>
      <c r="NIF149" s="7"/>
      <c r="NIG149" s="7"/>
      <c r="NIH149" s="7"/>
      <c r="NII149" s="7"/>
      <c r="NRT149" s="7"/>
      <c r="NRU149" s="7"/>
      <c r="NRV149" s="7"/>
      <c r="NRW149" s="7"/>
      <c r="NRX149" s="7"/>
      <c r="NRY149" s="7"/>
      <c r="NRZ149" s="7"/>
      <c r="NSA149" s="7"/>
      <c r="NSB149" s="7"/>
      <c r="NSC149" s="7"/>
      <c r="NSD149" s="7"/>
      <c r="NSE149" s="7"/>
      <c r="OBP149" s="7"/>
      <c r="OBQ149" s="7"/>
      <c r="OBR149" s="7"/>
      <c r="OBS149" s="7"/>
      <c r="OBT149" s="7"/>
      <c r="OBU149" s="7"/>
      <c r="OBV149" s="7"/>
      <c r="OBW149" s="7"/>
      <c r="OBX149" s="7"/>
      <c r="OBY149" s="7"/>
      <c r="OBZ149" s="7"/>
      <c r="OCA149" s="7"/>
      <c r="OLL149" s="7"/>
      <c r="OLM149" s="7"/>
      <c r="OLN149" s="7"/>
      <c r="OLO149" s="7"/>
      <c r="OLP149" s="7"/>
      <c r="OLQ149" s="7"/>
      <c r="OLR149" s="7"/>
      <c r="OLS149" s="7"/>
      <c r="OLT149" s="7"/>
      <c r="OLU149" s="7"/>
      <c r="OLV149" s="7"/>
      <c r="OLW149" s="7"/>
      <c r="OVH149" s="7"/>
      <c r="OVI149" s="7"/>
      <c r="OVJ149" s="7"/>
      <c r="OVK149" s="7"/>
      <c r="OVL149" s="7"/>
      <c r="OVM149" s="7"/>
      <c r="OVN149" s="7"/>
      <c r="OVO149" s="7"/>
      <c r="OVP149" s="7"/>
      <c r="OVQ149" s="7"/>
      <c r="OVR149" s="7"/>
      <c r="OVS149" s="7"/>
      <c r="PFD149" s="7"/>
      <c r="PFE149" s="7"/>
      <c r="PFF149" s="7"/>
      <c r="PFG149" s="7"/>
      <c r="PFH149" s="7"/>
      <c r="PFI149" s="7"/>
      <c r="PFJ149" s="7"/>
      <c r="PFK149" s="7"/>
      <c r="PFL149" s="7"/>
      <c r="PFM149" s="7"/>
      <c r="PFN149" s="7"/>
      <c r="PFO149" s="7"/>
      <c r="POZ149" s="7"/>
      <c r="PPA149" s="7"/>
      <c r="PPB149" s="7"/>
      <c r="PPC149" s="7"/>
      <c r="PPD149" s="7"/>
      <c r="PPE149" s="7"/>
      <c r="PPF149" s="7"/>
      <c r="PPG149" s="7"/>
      <c r="PPH149" s="7"/>
      <c r="PPI149" s="7"/>
      <c r="PPJ149" s="7"/>
      <c r="PPK149" s="7"/>
      <c r="PYV149" s="7"/>
      <c r="PYW149" s="7"/>
      <c r="PYX149" s="7"/>
      <c r="PYY149" s="7"/>
      <c r="PYZ149" s="7"/>
      <c r="PZA149" s="7"/>
      <c r="PZB149" s="7"/>
      <c r="PZC149" s="7"/>
      <c r="PZD149" s="7"/>
      <c r="PZE149" s="7"/>
      <c r="PZF149" s="7"/>
      <c r="PZG149" s="7"/>
      <c r="QIR149" s="7"/>
      <c r="QIS149" s="7"/>
      <c r="QIT149" s="7"/>
      <c r="QIU149" s="7"/>
      <c r="QIV149" s="7"/>
      <c r="QIW149" s="7"/>
      <c r="QIX149" s="7"/>
      <c r="QIY149" s="7"/>
      <c r="QIZ149" s="7"/>
      <c r="QJA149" s="7"/>
      <c r="QJB149" s="7"/>
      <c r="QJC149" s="7"/>
      <c r="QSN149" s="7"/>
      <c r="QSO149" s="7"/>
      <c r="QSP149" s="7"/>
      <c r="QSQ149" s="7"/>
      <c r="QSR149" s="7"/>
      <c r="QSS149" s="7"/>
      <c r="QST149" s="7"/>
      <c r="QSU149" s="7"/>
      <c r="QSV149" s="7"/>
      <c r="QSW149" s="7"/>
      <c r="QSX149" s="7"/>
      <c r="QSY149" s="7"/>
      <c r="RCJ149" s="7"/>
      <c r="RCK149" s="7"/>
      <c r="RCL149" s="7"/>
      <c r="RCM149" s="7"/>
      <c r="RCN149" s="7"/>
      <c r="RCO149" s="7"/>
      <c r="RCP149" s="7"/>
      <c r="RCQ149" s="7"/>
      <c r="RCR149" s="7"/>
      <c r="RCS149" s="7"/>
      <c r="RCT149" s="7"/>
      <c r="RCU149" s="7"/>
      <c r="RMF149" s="7"/>
      <c r="RMG149" s="7"/>
      <c r="RMH149" s="7"/>
      <c r="RMI149" s="7"/>
      <c r="RMJ149" s="7"/>
      <c r="RMK149" s="7"/>
      <c r="RML149" s="7"/>
      <c r="RMM149" s="7"/>
      <c r="RMN149" s="7"/>
      <c r="RMO149" s="7"/>
      <c r="RMP149" s="7"/>
      <c r="RMQ149" s="7"/>
      <c r="RWB149" s="7"/>
      <c r="RWC149" s="7"/>
      <c r="RWD149" s="7"/>
      <c r="RWE149" s="7"/>
      <c r="RWF149" s="7"/>
      <c r="RWG149" s="7"/>
      <c r="RWH149" s="7"/>
      <c r="RWI149" s="7"/>
      <c r="RWJ149" s="7"/>
      <c r="RWK149" s="7"/>
      <c r="RWL149" s="7"/>
      <c r="RWM149" s="7"/>
      <c r="SFX149" s="7"/>
      <c r="SFY149" s="7"/>
      <c r="SFZ149" s="7"/>
      <c r="SGA149" s="7"/>
      <c r="SGB149" s="7"/>
      <c r="SGC149" s="7"/>
      <c r="SGD149" s="7"/>
      <c r="SGE149" s="7"/>
      <c r="SGF149" s="7"/>
      <c r="SGG149" s="7"/>
      <c r="SGH149" s="7"/>
      <c r="SGI149" s="7"/>
      <c r="SPT149" s="7"/>
      <c r="SPU149" s="7"/>
      <c r="SPV149" s="7"/>
      <c r="SPW149" s="7"/>
      <c r="SPX149" s="7"/>
      <c r="SPY149" s="7"/>
      <c r="SPZ149" s="7"/>
      <c r="SQA149" s="7"/>
      <c r="SQB149" s="7"/>
      <c r="SQC149" s="7"/>
      <c r="SQD149" s="7"/>
      <c r="SQE149" s="7"/>
      <c r="SZP149" s="7"/>
      <c r="SZQ149" s="7"/>
      <c r="SZR149" s="7"/>
      <c r="SZS149" s="7"/>
      <c r="SZT149" s="7"/>
      <c r="SZU149" s="7"/>
      <c r="SZV149" s="7"/>
      <c r="SZW149" s="7"/>
      <c r="SZX149" s="7"/>
      <c r="SZY149" s="7"/>
      <c r="SZZ149" s="7"/>
      <c r="TAA149" s="7"/>
      <c r="TJL149" s="7"/>
      <c r="TJM149" s="7"/>
      <c r="TJN149" s="7"/>
      <c r="TJO149" s="7"/>
      <c r="TJP149" s="7"/>
      <c r="TJQ149" s="7"/>
      <c r="TJR149" s="7"/>
      <c r="TJS149" s="7"/>
      <c r="TJT149" s="7"/>
      <c r="TJU149" s="7"/>
      <c r="TJV149" s="7"/>
      <c r="TJW149" s="7"/>
      <c r="TTH149" s="7"/>
      <c r="TTI149" s="7"/>
      <c r="TTJ149" s="7"/>
      <c r="TTK149" s="7"/>
      <c r="TTL149" s="7"/>
      <c r="TTM149" s="7"/>
      <c r="TTN149" s="7"/>
      <c r="TTO149" s="7"/>
      <c r="TTP149" s="7"/>
      <c r="TTQ149" s="7"/>
      <c r="TTR149" s="7"/>
      <c r="TTS149" s="7"/>
      <c r="UDD149" s="7"/>
      <c r="UDE149" s="7"/>
      <c r="UDF149" s="7"/>
      <c r="UDG149" s="7"/>
      <c r="UDH149" s="7"/>
      <c r="UDI149" s="7"/>
      <c r="UDJ149" s="7"/>
      <c r="UDK149" s="7"/>
      <c r="UDL149" s="7"/>
      <c r="UDM149" s="7"/>
      <c r="UDN149" s="7"/>
      <c r="UDO149" s="7"/>
      <c r="UMZ149" s="7"/>
      <c r="UNA149" s="7"/>
      <c r="UNB149" s="7"/>
      <c r="UNC149" s="7"/>
      <c r="UND149" s="7"/>
      <c r="UNE149" s="7"/>
      <c r="UNF149" s="7"/>
      <c r="UNG149" s="7"/>
      <c r="UNH149" s="7"/>
      <c r="UNI149" s="7"/>
      <c r="UNJ149" s="7"/>
      <c r="UNK149" s="7"/>
      <c r="UWV149" s="7"/>
      <c r="UWW149" s="7"/>
      <c r="UWX149" s="7"/>
      <c r="UWY149" s="7"/>
      <c r="UWZ149" s="7"/>
      <c r="UXA149" s="7"/>
      <c r="UXB149" s="7"/>
      <c r="UXC149" s="7"/>
      <c r="UXD149" s="7"/>
      <c r="UXE149" s="7"/>
      <c r="UXF149" s="7"/>
      <c r="UXG149" s="7"/>
      <c r="VGR149" s="7"/>
      <c r="VGS149" s="7"/>
      <c r="VGT149" s="7"/>
      <c r="VGU149" s="7"/>
      <c r="VGV149" s="7"/>
      <c r="VGW149" s="7"/>
      <c r="VGX149" s="7"/>
      <c r="VGY149" s="7"/>
      <c r="VGZ149" s="7"/>
      <c r="VHA149" s="7"/>
      <c r="VHB149" s="7"/>
      <c r="VHC149" s="7"/>
      <c r="VQN149" s="7"/>
      <c r="VQO149" s="7"/>
      <c r="VQP149" s="7"/>
      <c r="VQQ149" s="7"/>
      <c r="VQR149" s="7"/>
      <c r="VQS149" s="7"/>
      <c r="VQT149" s="7"/>
      <c r="VQU149" s="7"/>
      <c r="VQV149" s="7"/>
      <c r="VQW149" s="7"/>
      <c r="VQX149" s="7"/>
      <c r="VQY149" s="7"/>
      <c r="WAJ149" s="7"/>
      <c r="WAK149" s="7"/>
      <c r="WAL149" s="7"/>
      <c r="WAM149" s="7"/>
      <c r="WAN149" s="7"/>
      <c r="WAO149" s="7"/>
      <c r="WAP149" s="7"/>
      <c r="WAQ149" s="7"/>
      <c r="WAR149" s="7"/>
      <c r="WAS149" s="7"/>
      <c r="WAT149" s="7"/>
      <c r="WAU149" s="7"/>
      <c r="WKF149" s="7"/>
      <c r="WKG149" s="7"/>
      <c r="WKH149" s="7"/>
      <c r="WKI149" s="7"/>
      <c r="WKJ149" s="7"/>
      <c r="WKK149" s="7"/>
      <c r="WKL149" s="7"/>
      <c r="WKM149" s="7"/>
      <c r="WKN149" s="7"/>
      <c r="WKO149" s="7"/>
      <c r="WKP149" s="7"/>
      <c r="WKQ149" s="7"/>
      <c r="WUB149" s="7"/>
      <c r="WUC149" s="7"/>
      <c r="WUD149" s="7"/>
      <c r="WUE149" s="7"/>
      <c r="WUF149" s="7"/>
      <c r="WUG149" s="7"/>
      <c r="WUH149" s="7"/>
      <c r="WUI149" s="7"/>
      <c r="WUJ149" s="7"/>
      <c r="WUK149" s="7"/>
      <c r="WUL149" s="7"/>
      <c r="WUM149" s="7"/>
    </row>
    <row r="150" spans="1:1003 1248:2027 2272:3051 3296:4075 4320:5099 5344:6123 6368:7147 7392:8171 8416:9195 9440:10219 10464:11243 11488:12267 12512:13291 13536:14315 14560:15339 15584:16107" ht="30" customHeight="1">
      <c r="A150" s="45"/>
      <c r="H150" s="159"/>
      <c r="I150" s="196"/>
      <c r="J150" s="161"/>
      <c r="K150" s="196"/>
      <c r="L150" s="211">
        <f>Table113[[#This Row],[Qty 2]]+Table113[[#This Row],[Qty 1]]</f>
        <v>0</v>
      </c>
      <c r="M150" s="216"/>
      <c r="N150" s="216">
        <f>Table113[[#This Row],[Unit Cost]]*Table113[[#This Row],[Total Qty All Areas]]</f>
        <v>0</v>
      </c>
    </row>
    <row r="151" spans="1:1003 1248:2027 2272:3051 3296:4075 4320:5099 5344:6123 6368:7147 7392:8171 8416:9195 9440:10219 10464:11243 11488:12267 12512:13291 13536:14315 14560:15339 15584:16107" ht="30" customHeight="1">
      <c r="A151" s="45"/>
      <c r="H151" s="159"/>
      <c r="I151" s="196"/>
      <c r="J151" s="161"/>
      <c r="K151" s="196"/>
      <c r="L151" s="211">
        <f>Table113[[#This Row],[Qty 2]]+Table113[[#This Row],[Qty 1]]</f>
        <v>0</v>
      </c>
      <c r="M151" s="216"/>
      <c r="N151" s="216">
        <f>Table113[[#This Row],[Unit Cost]]*Table113[[#This Row],[Total Qty All Areas]]</f>
        <v>0</v>
      </c>
    </row>
    <row r="152" spans="1:1003 1248:2027 2272:3051 3296:4075 4320:5099 5344:6123 6368:7147 7392:8171 8416:9195 9440:10219 10464:11243 11488:12267 12512:13291 13536:14315 14560:15339 15584:16107" ht="30" customHeight="1">
      <c r="A152" s="176"/>
      <c r="D152" s="169"/>
      <c r="E152" s="169"/>
      <c r="F152" s="303"/>
      <c r="H152" s="159"/>
      <c r="I152" s="196"/>
      <c r="J152" s="161"/>
      <c r="K152" s="196"/>
      <c r="L152" s="211">
        <f>Table113[[#This Row],[Qty 2]]+Table113[[#This Row],[Qty 1]]</f>
        <v>0</v>
      </c>
      <c r="M152" s="216"/>
      <c r="N152" s="216">
        <f>Table113[[#This Row],[Unit Cost]]*Table113[[#This Row],[Total Qty All Areas]]</f>
        <v>0</v>
      </c>
    </row>
    <row r="153" spans="1:1003 1248:2027 2272:3051 3296:4075 4320:5099 5344:6123 6368:7147 7392:8171 8416:9195 9440:10219 10464:11243 11488:12267 12512:13291 13536:14315 14560:15339 15584:16107" s="167" customFormat="1" ht="30" customHeight="1">
      <c r="A153" s="175" t="str">
        <f>'Category Setup'!L63</f>
        <v>RAM_</v>
      </c>
      <c r="B153" s="167" t="str">
        <f>'Category Setup'!E63</f>
        <v>RAM_Rams</v>
      </c>
      <c r="C153" s="167" t="str">
        <f>'Category Setup'!N63</f>
        <v>RAM__Rams</v>
      </c>
      <c r="D153" s="168"/>
      <c r="E153" s="168"/>
      <c r="F153" s="172"/>
      <c r="G153" s="172"/>
      <c r="H153" s="173"/>
      <c r="I153" s="197"/>
      <c r="J153" s="174"/>
      <c r="K153" s="197"/>
      <c r="L153" s="213">
        <f>Table113[[#This Row],[Qty 2]]+Table113[[#This Row],[Qty 1]]</f>
        <v>0</v>
      </c>
      <c r="M153" s="215"/>
      <c r="N153" s="215">
        <f>Table113[[#This Row],[Unit Cost]]*Table113[[#This Row],[Total Qty All Areas]]</f>
        <v>0</v>
      </c>
      <c r="HP153" s="7"/>
      <c r="HQ153" s="7"/>
      <c r="HR153" s="7"/>
      <c r="HS153" s="7"/>
      <c r="HT153" s="7"/>
      <c r="HU153" s="7"/>
      <c r="HV153" s="7"/>
      <c r="HW153" s="7"/>
      <c r="HX153" s="7"/>
      <c r="HY153" s="7"/>
      <c r="HZ153" s="7"/>
      <c r="IA153" s="7"/>
      <c r="RL153" s="7"/>
      <c r="RM153" s="7"/>
      <c r="RN153" s="7"/>
      <c r="RO153" s="7"/>
      <c r="RP153" s="7"/>
      <c r="RQ153" s="7"/>
      <c r="RR153" s="7"/>
      <c r="RS153" s="7"/>
      <c r="RT153" s="7"/>
      <c r="RU153" s="7"/>
      <c r="RV153" s="7"/>
      <c r="RW153" s="7"/>
      <c r="ABH153" s="7"/>
      <c r="ABI153" s="7"/>
      <c r="ABJ153" s="7"/>
      <c r="ABK153" s="7"/>
      <c r="ABL153" s="7"/>
      <c r="ABM153" s="7"/>
      <c r="ABN153" s="7"/>
      <c r="ABO153" s="7"/>
      <c r="ABP153" s="7"/>
      <c r="ABQ153" s="7"/>
      <c r="ABR153" s="7"/>
      <c r="ABS153" s="7"/>
      <c r="ALD153" s="7"/>
      <c r="ALE153" s="7"/>
      <c r="ALF153" s="7"/>
      <c r="ALG153" s="7"/>
      <c r="ALH153" s="7"/>
      <c r="ALI153" s="7"/>
      <c r="ALJ153" s="7"/>
      <c r="ALK153" s="7"/>
      <c r="ALL153" s="7"/>
      <c r="ALM153" s="7"/>
      <c r="ALN153" s="7"/>
      <c r="ALO153" s="7"/>
      <c r="AUZ153" s="7"/>
      <c r="AVA153" s="7"/>
      <c r="AVB153" s="7"/>
      <c r="AVC153" s="7"/>
      <c r="AVD153" s="7"/>
      <c r="AVE153" s="7"/>
      <c r="AVF153" s="7"/>
      <c r="AVG153" s="7"/>
      <c r="AVH153" s="7"/>
      <c r="AVI153" s="7"/>
      <c r="AVJ153" s="7"/>
      <c r="AVK153" s="7"/>
      <c r="BEV153" s="7"/>
      <c r="BEW153" s="7"/>
      <c r="BEX153" s="7"/>
      <c r="BEY153" s="7"/>
      <c r="BEZ153" s="7"/>
      <c r="BFA153" s="7"/>
      <c r="BFB153" s="7"/>
      <c r="BFC153" s="7"/>
      <c r="BFD153" s="7"/>
      <c r="BFE153" s="7"/>
      <c r="BFF153" s="7"/>
      <c r="BFG153" s="7"/>
      <c r="BOR153" s="7"/>
      <c r="BOS153" s="7"/>
      <c r="BOT153" s="7"/>
      <c r="BOU153" s="7"/>
      <c r="BOV153" s="7"/>
      <c r="BOW153" s="7"/>
      <c r="BOX153" s="7"/>
      <c r="BOY153" s="7"/>
      <c r="BOZ153" s="7"/>
      <c r="BPA153" s="7"/>
      <c r="BPB153" s="7"/>
      <c r="BPC153" s="7"/>
      <c r="BYN153" s="7"/>
      <c r="BYO153" s="7"/>
      <c r="BYP153" s="7"/>
      <c r="BYQ153" s="7"/>
      <c r="BYR153" s="7"/>
      <c r="BYS153" s="7"/>
      <c r="BYT153" s="7"/>
      <c r="BYU153" s="7"/>
      <c r="BYV153" s="7"/>
      <c r="BYW153" s="7"/>
      <c r="BYX153" s="7"/>
      <c r="BYY153" s="7"/>
      <c r="CIJ153" s="7"/>
      <c r="CIK153" s="7"/>
      <c r="CIL153" s="7"/>
      <c r="CIM153" s="7"/>
      <c r="CIN153" s="7"/>
      <c r="CIO153" s="7"/>
      <c r="CIP153" s="7"/>
      <c r="CIQ153" s="7"/>
      <c r="CIR153" s="7"/>
      <c r="CIS153" s="7"/>
      <c r="CIT153" s="7"/>
      <c r="CIU153" s="7"/>
      <c r="CSF153" s="7"/>
      <c r="CSG153" s="7"/>
      <c r="CSH153" s="7"/>
      <c r="CSI153" s="7"/>
      <c r="CSJ153" s="7"/>
      <c r="CSK153" s="7"/>
      <c r="CSL153" s="7"/>
      <c r="CSM153" s="7"/>
      <c r="CSN153" s="7"/>
      <c r="CSO153" s="7"/>
      <c r="CSP153" s="7"/>
      <c r="CSQ153" s="7"/>
      <c r="DCB153" s="7"/>
      <c r="DCC153" s="7"/>
      <c r="DCD153" s="7"/>
      <c r="DCE153" s="7"/>
      <c r="DCF153" s="7"/>
      <c r="DCG153" s="7"/>
      <c r="DCH153" s="7"/>
      <c r="DCI153" s="7"/>
      <c r="DCJ153" s="7"/>
      <c r="DCK153" s="7"/>
      <c r="DCL153" s="7"/>
      <c r="DCM153" s="7"/>
      <c r="DLX153" s="7"/>
      <c r="DLY153" s="7"/>
      <c r="DLZ153" s="7"/>
      <c r="DMA153" s="7"/>
      <c r="DMB153" s="7"/>
      <c r="DMC153" s="7"/>
      <c r="DMD153" s="7"/>
      <c r="DME153" s="7"/>
      <c r="DMF153" s="7"/>
      <c r="DMG153" s="7"/>
      <c r="DMH153" s="7"/>
      <c r="DMI153" s="7"/>
      <c r="DVT153" s="7"/>
      <c r="DVU153" s="7"/>
      <c r="DVV153" s="7"/>
      <c r="DVW153" s="7"/>
      <c r="DVX153" s="7"/>
      <c r="DVY153" s="7"/>
      <c r="DVZ153" s="7"/>
      <c r="DWA153" s="7"/>
      <c r="DWB153" s="7"/>
      <c r="DWC153" s="7"/>
      <c r="DWD153" s="7"/>
      <c r="DWE153" s="7"/>
      <c r="EFP153" s="7"/>
      <c r="EFQ153" s="7"/>
      <c r="EFR153" s="7"/>
      <c r="EFS153" s="7"/>
      <c r="EFT153" s="7"/>
      <c r="EFU153" s="7"/>
      <c r="EFV153" s="7"/>
      <c r="EFW153" s="7"/>
      <c r="EFX153" s="7"/>
      <c r="EFY153" s="7"/>
      <c r="EFZ153" s="7"/>
      <c r="EGA153" s="7"/>
      <c r="EPL153" s="7"/>
      <c r="EPM153" s="7"/>
      <c r="EPN153" s="7"/>
      <c r="EPO153" s="7"/>
      <c r="EPP153" s="7"/>
      <c r="EPQ153" s="7"/>
      <c r="EPR153" s="7"/>
      <c r="EPS153" s="7"/>
      <c r="EPT153" s="7"/>
      <c r="EPU153" s="7"/>
      <c r="EPV153" s="7"/>
      <c r="EPW153" s="7"/>
      <c r="EZH153" s="7"/>
      <c r="EZI153" s="7"/>
      <c r="EZJ153" s="7"/>
      <c r="EZK153" s="7"/>
      <c r="EZL153" s="7"/>
      <c r="EZM153" s="7"/>
      <c r="EZN153" s="7"/>
      <c r="EZO153" s="7"/>
      <c r="EZP153" s="7"/>
      <c r="EZQ153" s="7"/>
      <c r="EZR153" s="7"/>
      <c r="EZS153" s="7"/>
      <c r="FJD153" s="7"/>
      <c r="FJE153" s="7"/>
      <c r="FJF153" s="7"/>
      <c r="FJG153" s="7"/>
      <c r="FJH153" s="7"/>
      <c r="FJI153" s="7"/>
      <c r="FJJ153" s="7"/>
      <c r="FJK153" s="7"/>
      <c r="FJL153" s="7"/>
      <c r="FJM153" s="7"/>
      <c r="FJN153" s="7"/>
      <c r="FJO153" s="7"/>
      <c r="FSZ153" s="7"/>
      <c r="FTA153" s="7"/>
      <c r="FTB153" s="7"/>
      <c r="FTC153" s="7"/>
      <c r="FTD153" s="7"/>
      <c r="FTE153" s="7"/>
      <c r="FTF153" s="7"/>
      <c r="FTG153" s="7"/>
      <c r="FTH153" s="7"/>
      <c r="FTI153" s="7"/>
      <c r="FTJ153" s="7"/>
      <c r="FTK153" s="7"/>
      <c r="GCV153" s="7"/>
      <c r="GCW153" s="7"/>
      <c r="GCX153" s="7"/>
      <c r="GCY153" s="7"/>
      <c r="GCZ153" s="7"/>
      <c r="GDA153" s="7"/>
      <c r="GDB153" s="7"/>
      <c r="GDC153" s="7"/>
      <c r="GDD153" s="7"/>
      <c r="GDE153" s="7"/>
      <c r="GDF153" s="7"/>
      <c r="GDG153" s="7"/>
      <c r="GMR153" s="7"/>
      <c r="GMS153" s="7"/>
      <c r="GMT153" s="7"/>
      <c r="GMU153" s="7"/>
      <c r="GMV153" s="7"/>
      <c r="GMW153" s="7"/>
      <c r="GMX153" s="7"/>
      <c r="GMY153" s="7"/>
      <c r="GMZ153" s="7"/>
      <c r="GNA153" s="7"/>
      <c r="GNB153" s="7"/>
      <c r="GNC153" s="7"/>
      <c r="GWN153" s="7"/>
      <c r="GWO153" s="7"/>
      <c r="GWP153" s="7"/>
      <c r="GWQ153" s="7"/>
      <c r="GWR153" s="7"/>
      <c r="GWS153" s="7"/>
      <c r="GWT153" s="7"/>
      <c r="GWU153" s="7"/>
      <c r="GWV153" s="7"/>
      <c r="GWW153" s="7"/>
      <c r="GWX153" s="7"/>
      <c r="GWY153" s="7"/>
      <c r="HGJ153" s="7"/>
      <c r="HGK153" s="7"/>
      <c r="HGL153" s="7"/>
      <c r="HGM153" s="7"/>
      <c r="HGN153" s="7"/>
      <c r="HGO153" s="7"/>
      <c r="HGP153" s="7"/>
      <c r="HGQ153" s="7"/>
      <c r="HGR153" s="7"/>
      <c r="HGS153" s="7"/>
      <c r="HGT153" s="7"/>
      <c r="HGU153" s="7"/>
      <c r="HQF153" s="7"/>
      <c r="HQG153" s="7"/>
      <c r="HQH153" s="7"/>
      <c r="HQI153" s="7"/>
      <c r="HQJ153" s="7"/>
      <c r="HQK153" s="7"/>
      <c r="HQL153" s="7"/>
      <c r="HQM153" s="7"/>
      <c r="HQN153" s="7"/>
      <c r="HQO153" s="7"/>
      <c r="HQP153" s="7"/>
      <c r="HQQ153" s="7"/>
      <c r="IAB153" s="7"/>
      <c r="IAC153" s="7"/>
      <c r="IAD153" s="7"/>
      <c r="IAE153" s="7"/>
      <c r="IAF153" s="7"/>
      <c r="IAG153" s="7"/>
      <c r="IAH153" s="7"/>
      <c r="IAI153" s="7"/>
      <c r="IAJ153" s="7"/>
      <c r="IAK153" s="7"/>
      <c r="IAL153" s="7"/>
      <c r="IAM153" s="7"/>
      <c r="IJX153" s="7"/>
      <c r="IJY153" s="7"/>
      <c r="IJZ153" s="7"/>
      <c r="IKA153" s="7"/>
      <c r="IKB153" s="7"/>
      <c r="IKC153" s="7"/>
      <c r="IKD153" s="7"/>
      <c r="IKE153" s="7"/>
      <c r="IKF153" s="7"/>
      <c r="IKG153" s="7"/>
      <c r="IKH153" s="7"/>
      <c r="IKI153" s="7"/>
      <c r="ITT153" s="7"/>
      <c r="ITU153" s="7"/>
      <c r="ITV153" s="7"/>
      <c r="ITW153" s="7"/>
      <c r="ITX153" s="7"/>
      <c r="ITY153" s="7"/>
      <c r="ITZ153" s="7"/>
      <c r="IUA153" s="7"/>
      <c r="IUB153" s="7"/>
      <c r="IUC153" s="7"/>
      <c r="IUD153" s="7"/>
      <c r="IUE153" s="7"/>
      <c r="JDP153" s="7"/>
      <c r="JDQ153" s="7"/>
      <c r="JDR153" s="7"/>
      <c r="JDS153" s="7"/>
      <c r="JDT153" s="7"/>
      <c r="JDU153" s="7"/>
      <c r="JDV153" s="7"/>
      <c r="JDW153" s="7"/>
      <c r="JDX153" s="7"/>
      <c r="JDY153" s="7"/>
      <c r="JDZ153" s="7"/>
      <c r="JEA153" s="7"/>
      <c r="JNL153" s="7"/>
      <c r="JNM153" s="7"/>
      <c r="JNN153" s="7"/>
      <c r="JNO153" s="7"/>
      <c r="JNP153" s="7"/>
      <c r="JNQ153" s="7"/>
      <c r="JNR153" s="7"/>
      <c r="JNS153" s="7"/>
      <c r="JNT153" s="7"/>
      <c r="JNU153" s="7"/>
      <c r="JNV153" s="7"/>
      <c r="JNW153" s="7"/>
      <c r="JXH153" s="7"/>
      <c r="JXI153" s="7"/>
      <c r="JXJ153" s="7"/>
      <c r="JXK153" s="7"/>
      <c r="JXL153" s="7"/>
      <c r="JXM153" s="7"/>
      <c r="JXN153" s="7"/>
      <c r="JXO153" s="7"/>
      <c r="JXP153" s="7"/>
      <c r="JXQ153" s="7"/>
      <c r="JXR153" s="7"/>
      <c r="JXS153" s="7"/>
      <c r="KHD153" s="7"/>
      <c r="KHE153" s="7"/>
      <c r="KHF153" s="7"/>
      <c r="KHG153" s="7"/>
      <c r="KHH153" s="7"/>
      <c r="KHI153" s="7"/>
      <c r="KHJ153" s="7"/>
      <c r="KHK153" s="7"/>
      <c r="KHL153" s="7"/>
      <c r="KHM153" s="7"/>
      <c r="KHN153" s="7"/>
      <c r="KHO153" s="7"/>
      <c r="KQZ153" s="7"/>
      <c r="KRA153" s="7"/>
      <c r="KRB153" s="7"/>
      <c r="KRC153" s="7"/>
      <c r="KRD153" s="7"/>
      <c r="KRE153" s="7"/>
      <c r="KRF153" s="7"/>
      <c r="KRG153" s="7"/>
      <c r="KRH153" s="7"/>
      <c r="KRI153" s="7"/>
      <c r="KRJ153" s="7"/>
      <c r="KRK153" s="7"/>
      <c r="LAV153" s="7"/>
      <c r="LAW153" s="7"/>
      <c r="LAX153" s="7"/>
      <c r="LAY153" s="7"/>
      <c r="LAZ153" s="7"/>
      <c r="LBA153" s="7"/>
      <c r="LBB153" s="7"/>
      <c r="LBC153" s="7"/>
      <c r="LBD153" s="7"/>
      <c r="LBE153" s="7"/>
      <c r="LBF153" s="7"/>
      <c r="LBG153" s="7"/>
      <c r="LKR153" s="7"/>
      <c r="LKS153" s="7"/>
      <c r="LKT153" s="7"/>
      <c r="LKU153" s="7"/>
      <c r="LKV153" s="7"/>
      <c r="LKW153" s="7"/>
      <c r="LKX153" s="7"/>
      <c r="LKY153" s="7"/>
      <c r="LKZ153" s="7"/>
      <c r="LLA153" s="7"/>
      <c r="LLB153" s="7"/>
      <c r="LLC153" s="7"/>
      <c r="LUN153" s="7"/>
      <c r="LUO153" s="7"/>
      <c r="LUP153" s="7"/>
      <c r="LUQ153" s="7"/>
      <c r="LUR153" s="7"/>
      <c r="LUS153" s="7"/>
      <c r="LUT153" s="7"/>
      <c r="LUU153" s="7"/>
      <c r="LUV153" s="7"/>
      <c r="LUW153" s="7"/>
      <c r="LUX153" s="7"/>
      <c r="LUY153" s="7"/>
      <c r="MEJ153" s="7"/>
      <c r="MEK153" s="7"/>
      <c r="MEL153" s="7"/>
      <c r="MEM153" s="7"/>
      <c r="MEN153" s="7"/>
      <c r="MEO153" s="7"/>
      <c r="MEP153" s="7"/>
      <c r="MEQ153" s="7"/>
      <c r="MER153" s="7"/>
      <c r="MES153" s="7"/>
      <c r="MET153" s="7"/>
      <c r="MEU153" s="7"/>
      <c r="MOF153" s="7"/>
      <c r="MOG153" s="7"/>
      <c r="MOH153" s="7"/>
      <c r="MOI153" s="7"/>
      <c r="MOJ153" s="7"/>
      <c r="MOK153" s="7"/>
      <c r="MOL153" s="7"/>
      <c r="MOM153" s="7"/>
      <c r="MON153" s="7"/>
      <c r="MOO153" s="7"/>
      <c r="MOP153" s="7"/>
      <c r="MOQ153" s="7"/>
      <c r="MYB153" s="7"/>
      <c r="MYC153" s="7"/>
      <c r="MYD153" s="7"/>
      <c r="MYE153" s="7"/>
      <c r="MYF153" s="7"/>
      <c r="MYG153" s="7"/>
      <c r="MYH153" s="7"/>
      <c r="MYI153" s="7"/>
      <c r="MYJ153" s="7"/>
      <c r="MYK153" s="7"/>
      <c r="MYL153" s="7"/>
      <c r="MYM153" s="7"/>
      <c r="NHX153" s="7"/>
      <c r="NHY153" s="7"/>
      <c r="NHZ153" s="7"/>
      <c r="NIA153" s="7"/>
      <c r="NIB153" s="7"/>
      <c r="NIC153" s="7"/>
      <c r="NID153" s="7"/>
      <c r="NIE153" s="7"/>
      <c r="NIF153" s="7"/>
      <c r="NIG153" s="7"/>
      <c r="NIH153" s="7"/>
      <c r="NII153" s="7"/>
      <c r="NRT153" s="7"/>
      <c r="NRU153" s="7"/>
      <c r="NRV153" s="7"/>
      <c r="NRW153" s="7"/>
      <c r="NRX153" s="7"/>
      <c r="NRY153" s="7"/>
      <c r="NRZ153" s="7"/>
      <c r="NSA153" s="7"/>
      <c r="NSB153" s="7"/>
      <c r="NSC153" s="7"/>
      <c r="NSD153" s="7"/>
      <c r="NSE153" s="7"/>
      <c r="OBP153" s="7"/>
      <c r="OBQ153" s="7"/>
      <c r="OBR153" s="7"/>
      <c r="OBS153" s="7"/>
      <c r="OBT153" s="7"/>
      <c r="OBU153" s="7"/>
      <c r="OBV153" s="7"/>
      <c r="OBW153" s="7"/>
      <c r="OBX153" s="7"/>
      <c r="OBY153" s="7"/>
      <c r="OBZ153" s="7"/>
      <c r="OCA153" s="7"/>
      <c r="OLL153" s="7"/>
      <c r="OLM153" s="7"/>
      <c r="OLN153" s="7"/>
      <c r="OLO153" s="7"/>
      <c r="OLP153" s="7"/>
      <c r="OLQ153" s="7"/>
      <c r="OLR153" s="7"/>
      <c r="OLS153" s="7"/>
      <c r="OLT153" s="7"/>
      <c r="OLU153" s="7"/>
      <c r="OLV153" s="7"/>
      <c r="OLW153" s="7"/>
      <c r="OVH153" s="7"/>
      <c r="OVI153" s="7"/>
      <c r="OVJ153" s="7"/>
      <c r="OVK153" s="7"/>
      <c r="OVL153" s="7"/>
      <c r="OVM153" s="7"/>
      <c r="OVN153" s="7"/>
      <c r="OVO153" s="7"/>
      <c r="OVP153" s="7"/>
      <c r="OVQ153" s="7"/>
      <c r="OVR153" s="7"/>
      <c r="OVS153" s="7"/>
      <c r="PFD153" s="7"/>
      <c r="PFE153" s="7"/>
      <c r="PFF153" s="7"/>
      <c r="PFG153" s="7"/>
      <c r="PFH153" s="7"/>
      <c r="PFI153" s="7"/>
      <c r="PFJ153" s="7"/>
      <c r="PFK153" s="7"/>
      <c r="PFL153" s="7"/>
      <c r="PFM153" s="7"/>
      <c r="PFN153" s="7"/>
      <c r="PFO153" s="7"/>
      <c r="POZ153" s="7"/>
      <c r="PPA153" s="7"/>
      <c r="PPB153" s="7"/>
      <c r="PPC153" s="7"/>
      <c r="PPD153" s="7"/>
      <c r="PPE153" s="7"/>
      <c r="PPF153" s="7"/>
      <c r="PPG153" s="7"/>
      <c r="PPH153" s="7"/>
      <c r="PPI153" s="7"/>
      <c r="PPJ153" s="7"/>
      <c r="PPK153" s="7"/>
      <c r="PYV153" s="7"/>
      <c r="PYW153" s="7"/>
      <c r="PYX153" s="7"/>
      <c r="PYY153" s="7"/>
      <c r="PYZ153" s="7"/>
      <c r="PZA153" s="7"/>
      <c r="PZB153" s="7"/>
      <c r="PZC153" s="7"/>
      <c r="PZD153" s="7"/>
      <c r="PZE153" s="7"/>
      <c r="PZF153" s="7"/>
      <c r="PZG153" s="7"/>
      <c r="QIR153" s="7"/>
      <c r="QIS153" s="7"/>
      <c r="QIT153" s="7"/>
      <c r="QIU153" s="7"/>
      <c r="QIV153" s="7"/>
      <c r="QIW153" s="7"/>
      <c r="QIX153" s="7"/>
      <c r="QIY153" s="7"/>
      <c r="QIZ153" s="7"/>
      <c r="QJA153" s="7"/>
      <c r="QJB153" s="7"/>
      <c r="QJC153" s="7"/>
      <c r="QSN153" s="7"/>
      <c r="QSO153" s="7"/>
      <c r="QSP153" s="7"/>
      <c r="QSQ153" s="7"/>
      <c r="QSR153" s="7"/>
      <c r="QSS153" s="7"/>
      <c r="QST153" s="7"/>
      <c r="QSU153" s="7"/>
      <c r="QSV153" s="7"/>
      <c r="QSW153" s="7"/>
      <c r="QSX153" s="7"/>
      <c r="QSY153" s="7"/>
      <c r="RCJ153" s="7"/>
      <c r="RCK153" s="7"/>
      <c r="RCL153" s="7"/>
      <c r="RCM153" s="7"/>
      <c r="RCN153" s="7"/>
      <c r="RCO153" s="7"/>
      <c r="RCP153" s="7"/>
      <c r="RCQ153" s="7"/>
      <c r="RCR153" s="7"/>
      <c r="RCS153" s="7"/>
      <c r="RCT153" s="7"/>
      <c r="RCU153" s="7"/>
      <c r="RMF153" s="7"/>
      <c r="RMG153" s="7"/>
      <c r="RMH153" s="7"/>
      <c r="RMI153" s="7"/>
      <c r="RMJ153" s="7"/>
      <c r="RMK153" s="7"/>
      <c r="RML153" s="7"/>
      <c r="RMM153" s="7"/>
      <c r="RMN153" s="7"/>
      <c r="RMO153" s="7"/>
      <c r="RMP153" s="7"/>
      <c r="RMQ153" s="7"/>
      <c r="RWB153" s="7"/>
      <c r="RWC153" s="7"/>
      <c r="RWD153" s="7"/>
      <c r="RWE153" s="7"/>
      <c r="RWF153" s="7"/>
      <c r="RWG153" s="7"/>
      <c r="RWH153" s="7"/>
      <c r="RWI153" s="7"/>
      <c r="RWJ153" s="7"/>
      <c r="RWK153" s="7"/>
      <c r="RWL153" s="7"/>
      <c r="RWM153" s="7"/>
      <c r="SFX153" s="7"/>
      <c r="SFY153" s="7"/>
      <c r="SFZ153" s="7"/>
      <c r="SGA153" s="7"/>
      <c r="SGB153" s="7"/>
      <c r="SGC153" s="7"/>
      <c r="SGD153" s="7"/>
      <c r="SGE153" s="7"/>
      <c r="SGF153" s="7"/>
      <c r="SGG153" s="7"/>
      <c r="SGH153" s="7"/>
      <c r="SGI153" s="7"/>
      <c r="SPT153" s="7"/>
      <c r="SPU153" s="7"/>
      <c r="SPV153" s="7"/>
      <c r="SPW153" s="7"/>
      <c r="SPX153" s="7"/>
      <c r="SPY153" s="7"/>
      <c r="SPZ153" s="7"/>
      <c r="SQA153" s="7"/>
      <c r="SQB153" s="7"/>
      <c r="SQC153" s="7"/>
      <c r="SQD153" s="7"/>
      <c r="SQE153" s="7"/>
      <c r="SZP153" s="7"/>
      <c r="SZQ153" s="7"/>
      <c r="SZR153" s="7"/>
      <c r="SZS153" s="7"/>
      <c r="SZT153" s="7"/>
      <c r="SZU153" s="7"/>
      <c r="SZV153" s="7"/>
      <c r="SZW153" s="7"/>
      <c r="SZX153" s="7"/>
      <c r="SZY153" s="7"/>
      <c r="SZZ153" s="7"/>
      <c r="TAA153" s="7"/>
      <c r="TJL153" s="7"/>
      <c r="TJM153" s="7"/>
      <c r="TJN153" s="7"/>
      <c r="TJO153" s="7"/>
      <c r="TJP153" s="7"/>
      <c r="TJQ153" s="7"/>
      <c r="TJR153" s="7"/>
      <c r="TJS153" s="7"/>
      <c r="TJT153" s="7"/>
      <c r="TJU153" s="7"/>
      <c r="TJV153" s="7"/>
      <c r="TJW153" s="7"/>
      <c r="TTH153" s="7"/>
      <c r="TTI153" s="7"/>
      <c r="TTJ153" s="7"/>
      <c r="TTK153" s="7"/>
      <c r="TTL153" s="7"/>
      <c r="TTM153" s="7"/>
      <c r="TTN153" s="7"/>
      <c r="TTO153" s="7"/>
      <c r="TTP153" s="7"/>
      <c r="TTQ153" s="7"/>
      <c r="TTR153" s="7"/>
      <c r="TTS153" s="7"/>
      <c r="UDD153" s="7"/>
      <c r="UDE153" s="7"/>
      <c r="UDF153" s="7"/>
      <c r="UDG153" s="7"/>
      <c r="UDH153" s="7"/>
      <c r="UDI153" s="7"/>
      <c r="UDJ153" s="7"/>
      <c r="UDK153" s="7"/>
      <c r="UDL153" s="7"/>
      <c r="UDM153" s="7"/>
      <c r="UDN153" s="7"/>
      <c r="UDO153" s="7"/>
      <c r="UMZ153" s="7"/>
      <c r="UNA153" s="7"/>
      <c r="UNB153" s="7"/>
      <c r="UNC153" s="7"/>
      <c r="UND153" s="7"/>
      <c r="UNE153" s="7"/>
      <c r="UNF153" s="7"/>
      <c r="UNG153" s="7"/>
      <c r="UNH153" s="7"/>
      <c r="UNI153" s="7"/>
      <c r="UNJ153" s="7"/>
      <c r="UNK153" s="7"/>
      <c r="UWV153" s="7"/>
      <c r="UWW153" s="7"/>
      <c r="UWX153" s="7"/>
      <c r="UWY153" s="7"/>
      <c r="UWZ153" s="7"/>
      <c r="UXA153" s="7"/>
      <c r="UXB153" s="7"/>
      <c r="UXC153" s="7"/>
      <c r="UXD153" s="7"/>
      <c r="UXE153" s="7"/>
      <c r="UXF153" s="7"/>
      <c r="UXG153" s="7"/>
      <c r="VGR153" s="7"/>
      <c r="VGS153" s="7"/>
      <c r="VGT153" s="7"/>
      <c r="VGU153" s="7"/>
      <c r="VGV153" s="7"/>
      <c r="VGW153" s="7"/>
      <c r="VGX153" s="7"/>
      <c r="VGY153" s="7"/>
      <c r="VGZ153" s="7"/>
      <c r="VHA153" s="7"/>
      <c r="VHB153" s="7"/>
      <c r="VHC153" s="7"/>
      <c r="VQN153" s="7"/>
      <c r="VQO153" s="7"/>
      <c r="VQP153" s="7"/>
      <c r="VQQ153" s="7"/>
      <c r="VQR153" s="7"/>
      <c r="VQS153" s="7"/>
      <c r="VQT153" s="7"/>
      <c r="VQU153" s="7"/>
      <c r="VQV153" s="7"/>
      <c r="VQW153" s="7"/>
      <c r="VQX153" s="7"/>
      <c r="VQY153" s="7"/>
      <c r="WAJ153" s="7"/>
      <c r="WAK153" s="7"/>
      <c r="WAL153" s="7"/>
      <c r="WAM153" s="7"/>
      <c r="WAN153" s="7"/>
      <c r="WAO153" s="7"/>
      <c r="WAP153" s="7"/>
      <c r="WAQ153" s="7"/>
      <c r="WAR153" s="7"/>
      <c r="WAS153" s="7"/>
      <c r="WAT153" s="7"/>
      <c r="WAU153" s="7"/>
      <c r="WKF153" s="7"/>
      <c r="WKG153" s="7"/>
      <c r="WKH153" s="7"/>
      <c r="WKI153" s="7"/>
      <c r="WKJ153" s="7"/>
      <c r="WKK153" s="7"/>
      <c r="WKL153" s="7"/>
      <c r="WKM153" s="7"/>
      <c r="WKN153" s="7"/>
      <c r="WKO153" s="7"/>
      <c r="WKP153" s="7"/>
      <c r="WKQ153" s="7"/>
      <c r="WUB153" s="7"/>
      <c r="WUC153" s="7"/>
      <c r="WUD153" s="7"/>
      <c r="WUE153" s="7"/>
      <c r="WUF153" s="7"/>
      <c r="WUG153" s="7"/>
      <c r="WUH153" s="7"/>
      <c r="WUI153" s="7"/>
      <c r="WUJ153" s="7"/>
      <c r="WUK153" s="7"/>
      <c r="WUL153" s="7"/>
      <c r="WUM153" s="7"/>
    </row>
    <row r="154" spans="1:1003 1248:2027 2272:3051 3296:4075 4320:5099 5344:6123 6368:7147 7392:8171 8416:9195 9440:10219 10464:11243 11488:12267 12512:13291 13536:14315 14560:15339 15584:16107" ht="30" customHeight="1">
      <c r="A154" s="45"/>
      <c r="H154" s="159"/>
      <c r="I154" s="196"/>
      <c r="J154" s="161"/>
      <c r="K154" s="196"/>
      <c r="L154" s="211">
        <f>Table113[[#This Row],[Qty 2]]+Table113[[#This Row],[Qty 1]]</f>
        <v>0</v>
      </c>
      <c r="M154" s="216"/>
      <c r="N154" s="216">
        <f>Table113[[#This Row],[Unit Cost]]*Table113[[#This Row],[Total Qty All Areas]]</f>
        <v>0</v>
      </c>
    </row>
    <row r="155" spans="1:1003 1248:2027 2272:3051 3296:4075 4320:5099 5344:6123 6368:7147 7392:8171 8416:9195 9440:10219 10464:11243 11488:12267 12512:13291 13536:14315 14560:15339 15584:16107" ht="30" customHeight="1">
      <c r="A155" s="45"/>
      <c r="H155" s="159"/>
      <c r="I155" s="196"/>
      <c r="J155" s="161"/>
      <c r="K155" s="196"/>
      <c r="L155" s="211">
        <f>Table113[[#This Row],[Qty 2]]+Table113[[#This Row],[Qty 1]]</f>
        <v>0</v>
      </c>
      <c r="M155" s="216"/>
      <c r="N155" s="216">
        <f>Table113[[#This Row],[Unit Cost]]*Table113[[#This Row],[Total Qty All Areas]]</f>
        <v>0</v>
      </c>
    </row>
    <row r="156" spans="1:1003 1248:2027 2272:3051 3296:4075 4320:5099 5344:6123 6368:7147 7392:8171 8416:9195 9440:10219 10464:11243 11488:12267 12512:13291 13536:14315 14560:15339 15584:16107" ht="30" customHeight="1">
      <c r="A156" s="176"/>
      <c r="D156" s="169"/>
      <c r="E156" s="169"/>
      <c r="F156" s="303"/>
      <c r="H156" s="159"/>
      <c r="I156" s="196"/>
      <c r="J156" s="161"/>
      <c r="K156" s="196"/>
      <c r="L156" s="211">
        <f>Table113[[#This Row],[Qty 2]]+Table113[[#This Row],[Qty 1]]</f>
        <v>0</v>
      </c>
      <c r="M156" s="216"/>
      <c r="N156" s="216">
        <f>Table113[[#This Row],[Unit Cost]]*Table113[[#This Row],[Total Qty All Areas]]</f>
        <v>0</v>
      </c>
    </row>
    <row r="157" spans="1:1003 1248:2027 2272:3051 3296:4075 4320:5099 5344:6123 6368:7147 7392:8171 8416:9195 9440:10219 10464:11243 11488:12267 12512:13291 13536:14315 14560:15339 15584:16107" s="167" customFormat="1" ht="30" customHeight="1">
      <c r="A157" s="175" t="str">
        <f>'Category Setup'!L64</f>
        <v>PAI</v>
      </c>
      <c r="B157" s="167" t="str">
        <f>'Category Setup'!E64</f>
        <v>PAI_Paint</v>
      </c>
      <c r="C157" s="167" t="str">
        <f>'Category Setup'!N64</f>
        <v>PAI_Paint</v>
      </c>
      <c r="D157" s="168"/>
      <c r="E157" s="168"/>
      <c r="F157" s="172"/>
      <c r="G157" s="172"/>
      <c r="H157" s="173"/>
      <c r="I157" s="197"/>
      <c r="J157" s="174"/>
      <c r="K157" s="197"/>
      <c r="L157" s="213">
        <f>Table113[[#This Row],[Qty 2]]+Table113[[#This Row],[Qty 1]]</f>
        <v>0</v>
      </c>
      <c r="M157" s="215"/>
      <c r="N157" s="215">
        <f>Table113[[#This Row],[Unit Cost]]*Table113[[#This Row],[Total Qty All Areas]]</f>
        <v>0</v>
      </c>
      <c r="HP157" s="7"/>
      <c r="HQ157" s="7"/>
      <c r="HR157" s="7"/>
      <c r="HS157" s="7"/>
      <c r="HT157" s="7"/>
      <c r="HU157" s="7"/>
      <c r="HV157" s="7"/>
      <c r="HW157" s="7"/>
      <c r="HX157" s="7"/>
      <c r="HY157" s="7"/>
      <c r="HZ157" s="7"/>
      <c r="IA157" s="7"/>
      <c r="RL157" s="7"/>
      <c r="RM157" s="7"/>
      <c r="RN157" s="7"/>
      <c r="RO157" s="7"/>
      <c r="RP157" s="7"/>
      <c r="RQ157" s="7"/>
      <c r="RR157" s="7"/>
      <c r="RS157" s="7"/>
      <c r="RT157" s="7"/>
      <c r="RU157" s="7"/>
      <c r="RV157" s="7"/>
      <c r="RW157" s="7"/>
      <c r="ABH157" s="7"/>
      <c r="ABI157" s="7"/>
      <c r="ABJ157" s="7"/>
      <c r="ABK157" s="7"/>
      <c r="ABL157" s="7"/>
      <c r="ABM157" s="7"/>
      <c r="ABN157" s="7"/>
      <c r="ABO157" s="7"/>
      <c r="ABP157" s="7"/>
      <c r="ABQ157" s="7"/>
      <c r="ABR157" s="7"/>
      <c r="ABS157" s="7"/>
      <c r="ALD157" s="7"/>
      <c r="ALE157" s="7"/>
      <c r="ALF157" s="7"/>
      <c r="ALG157" s="7"/>
      <c r="ALH157" s="7"/>
      <c r="ALI157" s="7"/>
      <c r="ALJ157" s="7"/>
      <c r="ALK157" s="7"/>
      <c r="ALL157" s="7"/>
      <c r="ALM157" s="7"/>
      <c r="ALN157" s="7"/>
      <c r="ALO157" s="7"/>
      <c r="AUZ157" s="7"/>
      <c r="AVA157" s="7"/>
      <c r="AVB157" s="7"/>
      <c r="AVC157" s="7"/>
      <c r="AVD157" s="7"/>
      <c r="AVE157" s="7"/>
      <c r="AVF157" s="7"/>
      <c r="AVG157" s="7"/>
      <c r="AVH157" s="7"/>
      <c r="AVI157" s="7"/>
      <c r="AVJ157" s="7"/>
      <c r="AVK157" s="7"/>
      <c r="BEV157" s="7"/>
      <c r="BEW157" s="7"/>
      <c r="BEX157" s="7"/>
      <c r="BEY157" s="7"/>
      <c r="BEZ157" s="7"/>
      <c r="BFA157" s="7"/>
      <c r="BFB157" s="7"/>
      <c r="BFC157" s="7"/>
      <c r="BFD157" s="7"/>
      <c r="BFE157" s="7"/>
      <c r="BFF157" s="7"/>
      <c r="BFG157" s="7"/>
      <c r="BOR157" s="7"/>
      <c r="BOS157" s="7"/>
      <c r="BOT157" s="7"/>
      <c r="BOU157" s="7"/>
      <c r="BOV157" s="7"/>
      <c r="BOW157" s="7"/>
      <c r="BOX157" s="7"/>
      <c r="BOY157" s="7"/>
      <c r="BOZ157" s="7"/>
      <c r="BPA157" s="7"/>
      <c r="BPB157" s="7"/>
      <c r="BPC157" s="7"/>
      <c r="BYN157" s="7"/>
      <c r="BYO157" s="7"/>
      <c r="BYP157" s="7"/>
      <c r="BYQ157" s="7"/>
      <c r="BYR157" s="7"/>
      <c r="BYS157" s="7"/>
      <c r="BYT157" s="7"/>
      <c r="BYU157" s="7"/>
      <c r="BYV157" s="7"/>
      <c r="BYW157" s="7"/>
      <c r="BYX157" s="7"/>
      <c r="BYY157" s="7"/>
      <c r="CIJ157" s="7"/>
      <c r="CIK157" s="7"/>
      <c r="CIL157" s="7"/>
      <c r="CIM157" s="7"/>
      <c r="CIN157" s="7"/>
      <c r="CIO157" s="7"/>
      <c r="CIP157" s="7"/>
      <c r="CIQ157" s="7"/>
      <c r="CIR157" s="7"/>
      <c r="CIS157" s="7"/>
      <c r="CIT157" s="7"/>
      <c r="CIU157" s="7"/>
      <c r="CSF157" s="7"/>
      <c r="CSG157" s="7"/>
      <c r="CSH157" s="7"/>
      <c r="CSI157" s="7"/>
      <c r="CSJ157" s="7"/>
      <c r="CSK157" s="7"/>
      <c r="CSL157" s="7"/>
      <c r="CSM157" s="7"/>
      <c r="CSN157" s="7"/>
      <c r="CSO157" s="7"/>
      <c r="CSP157" s="7"/>
      <c r="CSQ157" s="7"/>
      <c r="DCB157" s="7"/>
      <c r="DCC157" s="7"/>
      <c r="DCD157" s="7"/>
      <c r="DCE157" s="7"/>
      <c r="DCF157" s="7"/>
      <c r="DCG157" s="7"/>
      <c r="DCH157" s="7"/>
      <c r="DCI157" s="7"/>
      <c r="DCJ157" s="7"/>
      <c r="DCK157" s="7"/>
      <c r="DCL157" s="7"/>
      <c r="DCM157" s="7"/>
      <c r="DLX157" s="7"/>
      <c r="DLY157" s="7"/>
      <c r="DLZ157" s="7"/>
      <c r="DMA157" s="7"/>
      <c r="DMB157" s="7"/>
      <c r="DMC157" s="7"/>
      <c r="DMD157" s="7"/>
      <c r="DME157" s="7"/>
      <c r="DMF157" s="7"/>
      <c r="DMG157" s="7"/>
      <c r="DMH157" s="7"/>
      <c r="DMI157" s="7"/>
      <c r="DVT157" s="7"/>
      <c r="DVU157" s="7"/>
      <c r="DVV157" s="7"/>
      <c r="DVW157" s="7"/>
      <c r="DVX157" s="7"/>
      <c r="DVY157" s="7"/>
      <c r="DVZ157" s="7"/>
      <c r="DWA157" s="7"/>
      <c r="DWB157" s="7"/>
      <c r="DWC157" s="7"/>
      <c r="DWD157" s="7"/>
      <c r="DWE157" s="7"/>
      <c r="EFP157" s="7"/>
      <c r="EFQ157" s="7"/>
      <c r="EFR157" s="7"/>
      <c r="EFS157" s="7"/>
      <c r="EFT157" s="7"/>
      <c r="EFU157" s="7"/>
      <c r="EFV157" s="7"/>
      <c r="EFW157" s="7"/>
      <c r="EFX157" s="7"/>
      <c r="EFY157" s="7"/>
      <c r="EFZ157" s="7"/>
      <c r="EGA157" s="7"/>
      <c r="EPL157" s="7"/>
      <c r="EPM157" s="7"/>
      <c r="EPN157" s="7"/>
      <c r="EPO157" s="7"/>
      <c r="EPP157" s="7"/>
      <c r="EPQ157" s="7"/>
      <c r="EPR157" s="7"/>
      <c r="EPS157" s="7"/>
      <c r="EPT157" s="7"/>
      <c r="EPU157" s="7"/>
      <c r="EPV157" s="7"/>
      <c r="EPW157" s="7"/>
      <c r="EZH157" s="7"/>
      <c r="EZI157" s="7"/>
      <c r="EZJ157" s="7"/>
      <c r="EZK157" s="7"/>
      <c r="EZL157" s="7"/>
      <c r="EZM157" s="7"/>
      <c r="EZN157" s="7"/>
      <c r="EZO157" s="7"/>
      <c r="EZP157" s="7"/>
      <c r="EZQ157" s="7"/>
      <c r="EZR157" s="7"/>
      <c r="EZS157" s="7"/>
      <c r="FJD157" s="7"/>
      <c r="FJE157" s="7"/>
      <c r="FJF157" s="7"/>
      <c r="FJG157" s="7"/>
      <c r="FJH157" s="7"/>
      <c r="FJI157" s="7"/>
      <c r="FJJ157" s="7"/>
      <c r="FJK157" s="7"/>
      <c r="FJL157" s="7"/>
      <c r="FJM157" s="7"/>
      <c r="FJN157" s="7"/>
      <c r="FJO157" s="7"/>
      <c r="FSZ157" s="7"/>
      <c r="FTA157" s="7"/>
      <c r="FTB157" s="7"/>
      <c r="FTC157" s="7"/>
      <c r="FTD157" s="7"/>
      <c r="FTE157" s="7"/>
      <c r="FTF157" s="7"/>
      <c r="FTG157" s="7"/>
      <c r="FTH157" s="7"/>
      <c r="FTI157" s="7"/>
      <c r="FTJ157" s="7"/>
      <c r="FTK157" s="7"/>
      <c r="GCV157" s="7"/>
      <c r="GCW157" s="7"/>
      <c r="GCX157" s="7"/>
      <c r="GCY157" s="7"/>
      <c r="GCZ157" s="7"/>
      <c r="GDA157" s="7"/>
      <c r="GDB157" s="7"/>
      <c r="GDC157" s="7"/>
      <c r="GDD157" s="7"/>
      <c r="GDE157" s="7"/>
      <c r="GDF157" s="7"/>
      <c r="GDG157" s="7"/>
      <c r="GMR157" s="7"/>
      <c r="GMS157" s="7"/>
      <c r="GMT157" s="7"/>
      <c r="GMU157" s="7"/>
      <c r="GMV157" s="7"/>
      <c r="GMW157" s="7"/>
      <c r="GMX157" s="7"/>
      <c r="GMY157" s="7"/>
      <c r="GMZ157" s="7"/>
      <c r="GNA157" s="7"/>
      <c r="GNB157" s="7"/>
      <c r="GNC157" s="7"/>
      <c r="GWN157" s="7"/>
      <c r="GWO157" s="7"/>
      <c r="GWP157" s="7"/>
      <c r="GWQ157" s="7"/>
      <c r="GWR157" s="7"/>
      <c r="GWS157" s="7"/>
      <c r="GWT157" s="7"/>
      <c r="GWU157" s="7"/>
      <c r="GWV157" s="7"/>
      <c r="GWW157" s="7"/>
      <c r="GWX157" s="7"/>
      <c r="GWY157" s="7"/>
      <c r="HGJ157" s="7"/>
      <c r="HGK157" s="7"/>
      <c r="HGL157" s="7"/>
      <c r="HGM157" s="7"/>
      <c r="HGN157" s="7"/>
      <c r="HGO157" s="7"/>
      <c r="HGP157" s="7"/>
      <c r="HGQ157" s="7"/>
      <c r="HGR157" s="7"/>
      <c r="HGS157" s="7"/>
      <c r="HGT157" s="7"/>
      <c r="HGU157" s="7"/>
      <c r="HQF157" s="7"/>
      <c r="HQG157" s="7"/>
      <c r="HQH157" s="7"/>
      <c r="HQI157" s="7"/>
      <c r="HQJ157" s="7"/>
      <c r="HQK157" s="7"/>
      <c r="HQL157" s="7"/>
      <c r="HQM157" s="7"/>
      <c r="HQN157" s="7"/>
      <c r="HQO157" s="7"/>
      <c r="HQP157" s="7"/>
      <c r="HQQ157" s="7"/>
      <c r="IAB157" s="7"/>
      <c r="IAC157" s="7"/>
      <c r="IAD157" s="7"/>
      <c r="IAE157" s="7"/>
      <c r="IAF157" s="7"/>
      <c r="IAG157" s="7"/>
      <c r="IAH157" s="7"/>
      <c r="IAI157" s="7"/>
      <c r="IAJ157" s="7"/>
      <c r="IAK157" s="7"/>
      <c r="IAL157" s="7"/>
      <c r="IAM157" s="7"/>
      <c r="IJX157" s="7"/>
      <c r="IJY157" s="7"/>
      <c r="IJZ157" s="7"/>
      <c r="IKA157" s="7"/>
      <c r="IKB157" s="7"/>
      <c r="IKC157" s="7"/>
      <c r="IKD157" s="7"/>
      <c r="IKE157" s="7"/>
      <c r="IKF157" s="7"/>
      <c r="IKG157" s="7"/>
      <c r="IKH157" s="7"/>
      <c r="IKI157" s="7"/>
      <c r="ITT157" s="7"/>
      <c r="ITU157" s="7"/>
      <c r="ITV157" s="7"/>
      <c r="ITW157" s="7"/>
      <c r="ITX157" s="7"/>
      <c r="ITY157" s="7"/>
      <c r="ITZ157" s="7"/>
      <c r="IUA157" s="7"/>
      <c r="IUB157" s="7"/>
      <c r="IUC157" s="7"/>
      <c r="IUD157" s="7"/>
      <c r="IUE157" s="7"/>
      <c r="JDP157" s="7"/>
      <c r="JDQ157" s="7"/>
      <c r="JDR157" s="7"/>
      <c r="JDS157" s="7"/>
      <c r="JDT157" s="7"/>
      <c r="JDU157" s="7"/>
      <c r="JDV157" s="7"/>
      <c r="JDW157" s="7"/>
      <c r="JDX157" s="7"/>
      <c r="JDY157" s="7"/>
      <c r="JDZ157" s="7"/>
      <c r="JEA157" s="7"/>
      <c r="JNL157" s="7"/>
      <c r="JNM157" s="7"/>
      <c r="JNN157" s="7"/>
      <c r="JNO157" s="7"/>
      <c r="JNP157" s="7"/>
      <c r="JNQ157" s="7"/>
      <c r="JNR157" s="7"/>
      <c r="JNS157" s="7"/>
      <c r="JNT157" s="7"/>
      <c r="JNU157" s="7"/>
      <c r="JNV157" s="7"/>
      <c r="JNW157" s="7"/>
      <c r="JXH157" s="7"/>
      <c r="JXI157" s="7"/>
      <c r="JXJ157" s="7"/>
      <c r="JXK157" s="7"/>
      <c r="JXL157" s="7"/>
      <c r="JXM157" s="7"/>
      <c r="JXN157" s="7"/>
      <c r="JXO157" s="7"/>
      <c r="JXP157" s="7"/>
      <c r="JXQ157" s="7"/>
      <c r="JXR157" s="7"/>
      <c r="JXS157" s="7"/>
      <c r="KHD157" s="7"/>
      <c r="KHE157" s="7"/>
      <c r="KHF157" s="7"/>
      <c r="KHG157" s="7"/>
      <c r="KHH157" s="7"/>
      <c r="KHI157" s="7"/>
      <c r="KHJ157" s="7"/>
      <c r="KHK157" s="7"/>
      <c r="KHL157" s="7"/>
      <c r="KHM157" s="7"/>
      <c r="KHN157" s="7"/>
      <c r="KHO157" s="7"/>
      <c r="KQZ157" s="7"/>
      <c r="KRA157" s="7"/>
      <c r="KRB157" s="7"/>
      <c r="KRC157" s="7"/>
      <c r="KRD157" s="7"/>
      <c r="KRE157" s="7"/>
      <c r="KRF157" s="7"/>
      <c r="KRG157" s="7"/>
      <c r="KRH157" s="7"/>
      <c r="KRI157" s="7"/>
      <c r="KRJ157" s="7"/>
      <c r="KRK157" s="7"/>
      <c r="LAV157" s="7"/>
      <c r="LAW157" s="7"/>
      <c r="LAX157" s="7"/>
      <c r="LAY157" s="7"/>
      <c r="LAZ157" s="7"/>
      <c r="LBA157" s="7"/>
      <c r="LBB157" s="7"/>
      <c r="LBC157" s="7"/>
      <c r="LBD157" s="7"/>
      <c r="LBE157" s="7"/>
      <c r="LBF157" s="7"/>
      <c r="LBG157" s="7"/>
      <c r="LKR157" s="7"/>
      <c r="LKS157" s="7"/>
      <c r="LKT157" s="7"/>
      <c r="LKU157" s="7"/>
      <c r="LKV157" s="7"/>
      <c r="LKW157" s="7"/>
      <c r="LKX157" s="7"/>
      <c r="LKY157" s="7"/>
      <c r="LKZ157" s="7"/>
      <c r="LLA157" s="7"/>
      <c r="LLB157" s="7"/>
      <c r="LLC157" s="7"/>
      <c r="LUN157" s="7"/>
      <c r="LUO157" s="7"/>
      <c r="LUP157" s="7"/>
      <c r="LUQ157" s="7"/>
      <c r="LUR157" s="7"/>
      <c r="LUS157" s="7"/>
      <c r="LUT157" s="7"/>
      <c r="LUU157" s="7"/>
      <c r="LUV157" s="7"/>
      <c r="LUW157" s="7"/>
      <c r="LUX157" s="7"/>
      <c r="LUY157" s="7"/>
      <c r="MEJ157" s="7"/>
      <c r="MEK157" s="7"/>
      <c r="MEL157" s="7"/>
      <c r="MEM157" s="7"/>
      <c r="MEN157" s="7"/>
      <c r="MEO157" s="7"/>
      <c r="MEP157" s="7"/>
      <c r="MEQ157" s="7"/>
      <c r="MER157" s="7"/>
      <c r="MES157" s="7"/>
      <c r="MET157" s="7"/>
      <c r="MEU157" s="7"/>
      <c r="MOF157" s="7"/>
      <c r="MOG157" s="7"/>
      <c r="MOH157" s="7"/>
      <c r="MOI157" s="7"/>
      <c r="MOJ157" s="7"/>
      <c r="MOK157" s="7"/>
      <c r="MOL157" s="7"/>
      <c r="MOM157" s="7"/>
      <c r="MON157" s="7"/>
      <c r="MOO157" s="7"/>
      <c r="MOP157" s="7"/>
      <c r="MOQ157" s="7"/>
      <c r="MYB157" s="7"/>
      <c r="MYC157" s="7"/>
      <c r="MYD157" s="7"/>
      <c r="MYE157" s="7"/>
      <c r="MYF157" s="7"/>
      <c r="MYG157" s="7"/>
      <c r="MYH157" s="7"/>
      <c r="MYI157" s="7"/>
      <c r="MYJ157" s="7"/>
      <c r="MYK157" s="7"/>
      <c r="MYL157" s="7"/>
      <c r="MYM157" s="7"/>
      <c r="NHX157" s="7"/>
      <c r="NHY157" s="7"/>
      <c r="NHZ157" s="7"/>
      <c r="NIA157" s="7"/>
      <c r="NIB157" s="7"/>
      <c r="NIC157" s="7"/>
      <c r="NID157" s="7"/>
      <c r="NIE157" s="7"/>
      <c r="NIF157" s="7"/>
      <c r="NIG157" s="7"/>
      <c r="NIH157" s="7"/>
      <c r="NII157" s="7"/>
      <c r="NRT157" s="7"/>
      <c r="NRU157" s="7"/>
      <c r="NRV157" s="7"/>
      <c r="NRW157" s="7"/>
      <c r="NRX157" s="7"/>
      <c r="NRY157" s="7"/>
      <c r="NRZ157" s="7"/>
      <c r="NSA157" s="7"/>
      <c r="NSB157" s="7"/>
      <c r="NSC157" s="7"/>
      <c r="NSD157" s="7"/>
      <c r="NSE157" s="7"/>
      <c r="OBP157" s="7"/>
      <c r="OBQ157" s="7"/>
      <c r="OBR157" s="7"/>
      <c r="OBS157" s="7"/>
      <c r="OBT157" s="7"/>
      <c r="OBU157" s="7"/>
      <c r="OBV157" s="7"/>
      <c r="OBW157" s="7"/>
      <c r="OBX157" s="7"/>
      <c r="OBY157" s="7"/>
      <c r="OBZ157" s="7"/>
      <c r="OCA157" s="7"/>
      <c r="OLL157" s="7"/>
      <c r="OLM157" s="7"/>
      <c r="OLN157" s="7"/>
      <c r="OLO157" s="7"/>
      <c r="OLP157" s="7"/>
      <c r="OLQ157" s="7"/>
      <c r="OLR157" s="7"/>
      <c r="OLS157" s="7"/>
      <c r="OLT157" s="7"/>
      <c r="OLU157" s="7"/>
      <c r="OLV157" s="7"/>
      <c r="OLW157" s="7"/>
      <c r="OVH157" s="7"/>
      <c r="OVI157" s="7"/>
      <c r="OVJ157" s="7"/>
      <c r="OVK157" s="7"/>
      <c r="OVL157" s="7"/>
      <c r="OVM157" s="7"/>
      <c r="OVN157" s="7"/>
      <c r="OVO157" s="7"/>
      <c r="OVP157" s="7"/>
      <c r="OVQ157" s="7"/>
      <c r="OVR157" s="7"/>
      <c r="OVS157" s="7"/>
      <c r="PFD157" s="7"/>
      <c r="PFE157" s="7"/>
      <c r="PFF157" s="7"/>
      <c r="PFG157" s="7"/>
      <c r="PFH157" s="7"/>
      <c r="PFI157" s="7"/>
      <c r="PFJ157" s="7"/>
      <c r="PFK157" s="7"/>
      <c r="PFL157" s="7"/>
      <c r="PFM157" s="7"/>
      <c r="PFN157" s="7"/>
      <c r="PFO157" s="7"/>
      <c r="POZ157" s="7"/>
      <c r="PPA157" s="7"/>
      <c r="PPB157" s="7"/>
      <c r="PPC157" s="7"/>
      <c r="PPD157" s="7"/>
      <c r="PPE157" s="7"/>
      <c r="PPF157" s="7"/>
      <c r="PPG157" s="7"/>
      <c r="PPH157" s="7"/>
      <c r="PPI157" s="7"/>
      <c r="PPJ157" s="7"/>
      <c r="PPK157" s="7"/>
      <c r="PYV157" s="7"/>
      <c r="PYW157" s="7"/>
      <c r="PYX157" s="7"/>
      <c r="PYY157" s="7"/>
      <c r="PYZ157" s="7"/>
      <c r="PZA157" s="7"/>
      <c r="PZB157" s="7"/>
      <c r="PZC157" s="7"/>
      <c r="PZD157" s="7"/>
      <c r="PZE157" s="7"/>
      <c r="PZF157" s="7"/>
      <c r="PZG157" s="7"/>
      <c r="QIR157" s="7"/>
      <c r="QIS157" s="7"/>
      <c r="QIT157" s="7"/>
      <c r="QIU157" s="7"/>
      <c r="QIV157" s="7"/>
      <c r="QIW157" s="7"/>
      <c r="QIX157" s="7"/>
      <c r="QIY157" s="7"/>
      <c r="QIZ157" s="7"/>
      <c r="QJA157" s="7"/>
      <c r="QJB157" s="7"/>
      <c r="QJC157" s="7"/>
      <c r="QSN157" s="7"/>
      <c r="QSO157" s="7"/>
      <c r="QSP157" s="7"/>
      <c r="QSQ157" s="7"/>
      <c r="QSR157" s="7"/>
      <c r="QSS157" s="7"/>
      <c r="QST157" s="7"/>
      <c r="QSU157" s="7"/>
      <c r="QSV157" s="7"/>
      <c r="QSW157" s="7"/>
      <c r="QSX157" s="7"/>
      <c r="QSY157" s="7"/>
      <c r="RCJ157" s="7"/>
      <c r="RCK157" s="7"/>
      <c r="RCL157" s="7"/>
      <c r="RCM157" s="7"/>
      <c r="RCN157" s="7"/>
      <c r="RCO157" s="7"/>
      <c r="RCP157" s="7"/>
      <c r="RCQ157" s="7"/>
      <c r="RCR157" s="7"/>
      <c r="RCS157" s="7"/>
      <c r="RCT157" s="7"/>
      <c r="RCU157" s="7"/>
      <c r="RMF157" s="7"/>
      <c r="RMG157" s="7"/>
      <c r="RMH157" s="7"/>
      <c r="RMI157" s="7"/>
      <c r="RMJ157" s="7"/>
      <c r="RMK157" s="7"/>
      <c r="RML157" s="7"/>
      <c r="RMM157" s="7"/>
      <c r="RMN157" s="7"/>
      <c r="RMO157" s="7"/>
      <c r="RMP157" s="7"/>
      <c r="RMQ157" s="7"/>
      <c r="RWB157" s="7"/>
      <c r="RWC157" s="7"/>
      <c r="RWD157" s="7"/>
      <c r="RWE157" s="7"/>
      <c r="RWF157" s="7"/>
      <c r="RWG157" s="7"/>
      <c r="RWH157" s="7"/>
      <c r="RWI157" s="7"/>
      <c r="RWJ157" s="7"/>
      <c r="RWK157" s="7"/>
      <c r="RWL157" s="7"/>
      <c r="RWM157" s="7"/>
      <c r="SFX157" s="7"/>
      <c r="SFY157" s="7"/>
      <c r="SFZ157" s="7"/>
      <c r="SGA157" s="7"/>
      <c r="SGB157" s="7"/>
      <c r="SGC157" s="7"/>
      <c r="SGD157" s="7"/>
      <c r="SGE157" s="7"/>
      <c r="SGF157" s="7"/>
      <c r="SGG157" s="7"/>
      <c r="SGH157" s="7"/>
      <c r="SGI157" s="7"/>
      <c r="SPT157" s="7"/>
      <c r="SPU157" s="7"/>
      <c r="SPV157" s="7"/>
      <c r="SPW157" s="7"/>
      <c r="SPX157" s="7"/>
      <c r="SPY157" s="7"/>
      <c r="SPZ157" s="7"/>
      <c r="SQA157" s="7"/>
      <c r="SQB157" s="7"/>
      <c r="SQC157" s="7"/>
      <c r="SQD157" s="7"/>
      <c r="SQE157" s="7"/>
      <c r="SZP157" s="7"/>
      <c r="SZQ157" s="7"/>
      <c r="SZR157" s="7"/>
      <c r="SZS157" s="7"/>
      <c r="SZT157" s="7"/>
      <c r="SZU157" s="7"/>
      <c r="SZV157" s="7"/>
      <c r="SZW157" s="7"/>
      <c r="SZX157" s="7"/>
      <c r="SZY157" s="7"/>
      <c r="SZZ157" s="7"/>
      <c r="TAA157" s="7"/>
      <c r="TJL157" s="7"/>
      <c r="TJM157" s="7"/>
      <c r="TJN157" s="7"/>
      <c r="TJO157" s="7"/>
      <c r="TJP157" s="7"/>
      <c r="TJQ157" s="7"/>
      <c r="TJR157" s="7"/>
      <c r="TJS157" s="7"/>
      <c r="TJT157" s="7"/>
      <c r="TJU157" s="7"/>
      <c r="TJV157" s="7"/>
      <c r="TJW157" s="7"/>
      <c r="TTH157" s="7"/>
      <c r="TTI157" s="7"/>
      <c r="TTJ157" s="7"/>
      <c r="TTK157" s="7"/>
      <c r="TTL157" s="7"/>
      <c r="TTM157" s="7"/>
      <c r="TTN157" s="7"/>
      <c r="TTO157" s="7"/>
      <c r="TTP157" s="7"/>
      <c r="TTQ157" s="7"/>
      <c r="TTR157" s="7"/>
      <c r="TTS157" s="7"/>
      <c r="UDD157" s="7"/>
      <c r="UDE157" s="7"/>
      <c r="UDF157" s="7"/>
      <c r="UDG157" s="7"/>
      <c r="UDH157" s="7"/>
      <c r="UDI157" s="7"/>
      <c r="UDJ157" s="7"/>
      <c r="UDK157" s="7"/>
      <c r="UDL157" s="7"/>
      <c r="UDM157" s="7"/>
      <c r="UDN157" s="7"/>
      <c r="UDO157" s="7"/>
      <c r="UMZ157" s="7"/>
      <c r="UNA157" s="7"/>
      <c r="UNB157" s="7"/>
      <c r="UNC157" s="7"/>
      <c r="UND157" s="7"/>
      <c r="UNE157" s="7"/>
      <c r="UNF157" s="7"/>
      <c r="UNG157" s="7"/>
      <c r="UNH157" s="7"/>
      <c r="UNI157" s="7"/>
      <c r="UNJ157" s="7"/>
      <c r="UNK157" s="7"/>
      <c r="UWV157" s="7"/>
      <c r="UWW157" s="7"/>
      <c r="UWX157" s="7"/>
      <c r="UWY157" s="7"/>
      <c r="UWZ157" s="7"/>
      <c r="UXA157" s="7"/>
      <c r="UXB157" s="7"/>
      <c r="UXC157" s="7"/>
      <c r="UXD157" s="7"/>
      <c r="UXE157" s="7"/>
      <c r="UXF157" s="7"/>
      <c r="UXG157" s="7"/>
      <c r="VGR157" s="7"/>
      <c r="VGS157" s="7"/>
      <c r="VGT157" s="7"/>
      <c r="VGU157" s="7"/>
      <c r="VGV157" s="7"/>
      <c r="VGW157" s="7"/>
      <c r="VGX157" s="7"/>
      <c r="VGY157" s="7"/>
      <c r="VGZ157" s="7"/>
      <c r="VHA157" s="7"/>
      <c r="VHB157" s="7"/>
      <c r="VHC157" s="7"/>
      <c r="VQN157" s="7"/>
      <c r="VQO157" s="7"/>
      <c r="VQP157" s="7"/>
      <c r="VQQ157" s="7"/>
      <c r="VQR157" s="7"/>
      <c r="VQS157" s="7"/>
      <c r="VQT157" s="7"/>
      <c r="VQU157" s="7"/>
      <c r="VQV157" s="7"/>
      <c r="VQW157" s="7"/>
      <c r="VQX157" s="7"/>
      <c r="VQY157" s="7"/>
      <c r="WAJ157" s="7"/>
      <c r="WAK157" s="7"/>
      <c r="WAL157" s="7"/>
      <c r="WAM157" s="7"/>
      <c r="WAN157" s="7"/>
      <c r="WAO157" s="7"/>
      <c r="WAP157" s="7"/>
      <c r="WAQ157" s="7"/>
      <c r="WAR157" s="7"/>
      <c r="WAS157" s="7"/>
      <c r="WAT157" s="7"/>
      <c r="WAU157" s="7"/>
      <c r="WKF157" s="7"/>
      <c r="WKG157" s="7"/>
      <c r="WKH157" s="7"/>
      <c r="WKI157" s="7"/>
      <c r="WKJ157" s="7"/>
      <c r="WKK157" s="7"/>
      <c r="WKL157" s="7"/>
      <c r="WKM157" s="7"/>
      <c r="WKN157" s="7"/>
      <c r="WKO157" s="7"/>
      <c r="WKP157" s="7"/>
      <c r="WKQ157" s="7"/>
      <c r="WUB157" s="7"/>
      <c r="WUC157" s="7"/>
      <c r="WUD157" s="7"/>
      <c r="WUE157" s="7"/>
      <c r="WUF157" s="7"/>
      <c r="WUG157" s="7"/>
      <c r="WUH157" s="7"/>
      <c r="WUI157" s="7"/>
      <c r="WUJ157" s="7"/>
      <c r="WUK157" s="7"/>
      <c r="WUL157" s="7"/>
      <c r="WUM157" s="7"/>
    </row>
    <row r="158" spans="1:1003 1248:2027 2272:3051 3296:4075 4320:5099 5344:6123 6368:7147 7392:8171 8416:9195 9440:10219 10464:11243 11488:12267 12512:13291 13536:14315 14560:15339 15584:16107" ht="30" customHeight="1">
      <c r="A158" s="45"/>
      <c r="H158" s="159"/>
      <c r="I158" s="196"/>
      <c r="J158" s="161"/>
      <c r="K158" s="196"/>
      <c r="L158" s="211">
        <f>Table113[[#This Row],[Qty 2]]+Table113[[#This Row],[Qty 1]]</f>
        <v>0</v>
      </c>
      <c r="M158" s="216"/>
      <c r="N158" s="216">
        <f>Table113[[#This Row],[Unit Cost]]*Table113[[#This Row],[Total Qty All Areas]]</f>
        <v>0</v>
      </c>
    </row>
    <row r="159" spans="1:1003 1248:2027 2272:3051 3296:4075 4320:5099 5344:6123 6368:7147 7392:8171 8416:9195 9440:10219 10464:11243 11488:12267 12512:13291 13536:14315 14560:15339 15584:16107" ht="30" customHeight="1">
      <c r="A159" s="45"/>
      <c r="H159" s="159"/>
      <c r="I159" s="196"/>
      <c r="J159" s="161"/>
      <c r="K159" s="196"/>
      <c r="L159" s="211">
        <f>Table113[[#This Row],[Qty 2]]+Table113[[#This Row],[Qty 1]]</f>
        <v>0</v>
      </c>
      <c r="M159" s="216"/>
      <c r="N159" s="216">
        <f>Table113[[#This Row],[Unit Cost]]*Table113[[#This Row],[Total Qty All Areas]]</f>
        <v>0</v>
      </c>
    </row>
    <row r="160" spans="1:1003 1248:2027 2272:3051 3296:4075 4320:5099 5344:6123 6368:7147 7392:8171 8416:9195 9440:10219 10464:11243 11488:12267 12512:13291 13536:14315 14560:15339 15584:16107" ht="30" customHeight="1">
      <c r="A160" s="176"/>
      <c r="D160" s="169"/>
      <c r="E160" s="169"/>
      <c r="F160" s="303"/>
      <c r="H160" s="159"/>
      <c r="I160" s="196"/>
      <c r="J160" s="161"/>
      <c r="K160" s="196"/>
      <c r="L160" s="211">
        <f>Table113[[#This Row],[Qty 2]]+Table113[[#This Row],[Qty 1]]</f>
        <v>0</v>
      </c>
      <c r="M160" s="216"/>
      <c r="N160" s="216">
        <f>Table113[[#This Row],[Unit Cost]]*Table113[[#This Row],[Total Qty All Areas]]</f>
        <v>0</v>
      </c>
    </row>
    <row r="161" spans="1:1003 1248:2027 2272:3051 3296:4075 4320:5099 5344:6123 6368:7147 7392:8171 8416:9195 9440:10219 10464:11243 11488:12267 12512:13291 13536:14315 14560:15339 15584:16107" s="167" customFormat="1" ht="30" customHeight="1">
      <c r="A161" s="175" t="str">
        <f>'Category Setup'!L65</f>
        <v>CON</v>
      </c>
      <c r="B161" s="167" t="str">
        <f>'Category Setup'!E65</f>
        <v>CON_Consumables</v>
      </c>
      <c r="C161" s="167" t="str">
        <f>'Category Setup'!N65</f>
        <v>CON_Consumables</v>
      </c>
      <c r="D161" s="168"/>
      <c r="E161" s="168"/>
      <c r="F161" s="172"/>
      <c r="G161" s="172"/>
      <c r="H161" s="173"/>
      <c r="I161" s="197"/>
      <c r="J161" s="174"/>
      <c r="K161" s="197"/>
      <c r="L161" s="213">
        <f>Table113[[#This Row],[Qty 2]]+Table113[[#This Row],[Qty 1]]</f>
        <v>0</v>
      </c>
      <c r="M161" s="215"/>
      <c r="N161" s="215">
        <f>Table113[[#This Row],[Unit Cost]]*Table113[[#This Row],[Total Qty All Areas]]</f>
        <v>0</v>
      </c>
      <c r="HP161" s="7"/>
      <c r="HQ161" s="7"/>
      <c r="HR161" s="7"/>
      <c r="HS161" s="7"/>
      <c r="HT161" s="7"/>
      <c r="HU161" s="7"/>
      <c r="HV161" s="7"/>
      <c r="HW161" s="7"/>
      <c r="HX161" s="7"/>
      <c r="HY161" s="7"/>
      <c r="HZ161" s="7"/>
      <c r="IA161" s="7"/>
      <c r="RL161" s="7"/>
      <c r="RM161" s="7"/>
      <c r="RN161" s="7"/>
      <c r="RO161" s="7"/>
      <c r="RP161" s="7"/>
      <c r="RQ161" s="7"/>
      <c r="RR161" s="7"/>
      <c r="RS161" s="7"/>
      <c r="RT161" s="7"/>
      <c r="RU161" s="7"/>
      <c r="RV161" s="7"/>
      <c r="RW161" s="7"/>
      <c r="ABH161" s="7"/>
      <c r="ABI161" s="7"/>
      <c r="ABJ161" s="7"/>
      <c r="ABK161" s="7"/>
      <c r="ABL161" s="7"/>
      <c r="ABM161" s="7"/>
      <c r="ABN161" s="7"/>
      <c r="ABO161" s="7"/>
      <c r="ABP161" s="7"/>
      <c r="ABQ161" s="7"/>
      <c r="ABR161" s="7"/>
      <c r="ABS161" s="7"/>
      <c r="ALD161" s="7"/>
      <c r="ALE161" s="7"/>
      <c r="ALF161" s="7"/>
      <c r="ALG161" s="7"/>
      <c r="ALH161" s="7"/>
      <c r="ALI161" s="7"/>
      <c r="ALJ161" s="7"/>
      <c r="ALK161" s="7"/>
      <c r="ALL161" s="7"/>
      <c r="ALM161" s="7"/>
      <c r="ALN161" s="7"/>
      <c r="ALO161" s="7"/>
      <c r="AUZ161" s="7"/>
      <c r="AVA161" s="7"/>
      <c r="AVB161" s="7"/>
      <c r="AVC161" s="7"/>
      <c r="AVD161" s="7"/>
      <c r="AVE161" s="7"/>
      <c r="AVF161" s="7"/>
      <c r="AVG161" s="7"/>
      <c r="AVH161" s="7"/>
      <c r="AVI161" s="7"/>
      <c r="AVJ161" s="7"/>
      <c r="AVK161" s="7"/>
      <c r="BEV161" s="7"/>
      <c r="BEW161" s="7"/>
      <c r="BEX161" s="7"/>
      <c r="BEY161" s="7"/>
      <c r="BEZ161" s="7"/>
      <c r="BFA161" s="7"/>
      <c r="BFB161" s="7"/>
      <c r="BFC161" s="7"/>
      <c r="BFD161" s="7"/>
      <c r="BFE161" s="7"/>
      <c r="BFF161" s="7"/>
      <c r="BFG161" s="7"/>
      <c r="BOR161" s="7"/>
      <c r="BOS161" s="7"/>
      <c r="BOT161" s="7"/>
      <c r="BOU161" s="7"/>
      <c r="BOV161" s="7"/>
      <c r="BOW161" s="7"/>
      <c r="BOX161" s="7"/>
      <c r="BOY161" s="7"/>
      <c r="BOZ161" s="7"/>
      <c r="BPA161" s="7"/>
      <c r="BPB161" s="7"/>
      <c r="BPC161" s="7"/>
      <c r="BYN161" s="7"/>
      <c r="BYO161" s="7"/>
      <c r="BYP161" s="7"/>
      <c r="BYQ161" s="7"/>
      <c r="BYR161" s="7"/>
      <c r="BYS161" s="7"/>
      <c r="BYT161" s="7"/>
      <c r="BYU161" s="7"/>
      <c r="BYV161" s="7"/>
      <c r="BYW161" s="7"/>
      <c r="BYX161" s="7"/>
      <c r="BYY161" s="7"/>
      <c r="CIJ161" s="7"/>
      <c r="CIK161" s="7"/>
      <c r="CIL161" s="7"/>
      <c r="CIM161" s="7"/>
      <c r="CIN161" s="7"/>
      <c r="CIO161" s="7"/>
      <c r="CIP161" s="7"/>
      <c r="CIQ161" s="7"/>
      <c r="CIR161" s="7"/>
      <c r="CIS161" s="7"/>
      <c r="CIT161" s="7"/>
      <c r="CIU161" s="7"/>
      <c r="CSF161" s="7"/>
      <c r="CSG161" s="7"/>
      <c r="CSH161" s="7"/>
      <c r="CSI161" s="7"/>
      <c r="CSJ161" s="7"/>
      <c r="CSK161" s="7"/>
      <c r="CSL161" s="7"/>
      <c r="CSM161" s="7"/>
      <c r="CSN161" s="7"/>
      <c r="CSO161" s="7"/>
      <c r="CSP161" s="7"/>
      <c r="CSQ161" s="7"/>
      <c r="DCB161" s="7"/>
      <c r="DCC161" s="7"/>
      <c r="DCD161" s="7"/>
      <c r="DCE161" s="7"/>
      <c r="DCF161" s="7"/>
      <c r="DCG161" s="7"/>
      <c r="DCH161" s="7"/>
      <c r="DCI161" s="7"/>
      <c r="DCJ161" s="7"/>
      <c r="DCK161" s="7"/>
      <c r="DCL161" s="7"/>
      <c r="DCM161" s="7"/>
      <c r="DLX161" s="7"/>
      <c r="DLY161" s="7"/>
      <c r="DLZ161" s="7"/>
      <c r="DMA161" s="7"/>
      <c r="DMB161" s="7"/>
      <c r="DMC161" s="7"/>
      <c r="DMD161" s="7"/>
      <c r="DME161" s="7"/>
      <c r="DMF161" s="7"/>
      <c r="DMG161" s="7"/>
      <c r="DMH161" s="7"/>
      <c r="DMI161" s="7"/>
      <c r="DVT161" s="7"/>
      <c r="DVU161" s="7"/>
      <c r="DVV161" s="7"/>
      <c r="DVW161" s="7"/>
      <c r="DVX161" s="7"/>
      <c r="DVY161" s="7"/>
      <c r="DVZ161" s="7"/>
      <c r="DWA161" s="7"/>
      <c r="DWB161" s="7"/>
      <c r="DWC161" s="7"/>
      <c r="DWD161" s="7"/>
      <c r="DWE161" s="7"/>
      <c r="EFP161" s="7"/>
      <c r="EFQ161" s="7"/>
      <c r="EFR161" s="7"/>
      <c r="EFS161" s="7"/>
      <c r="EFT161" s="7"/>
      <c r="EFU161" s="7"/>
      <c r="EFV161" s="7"/>
      <c r="EFW161" s="7"/>
      <c r="EFX161" s="7"/>
      <c r="EFY161" s="7"/>
      <c r="EFZ161" s="7"/>
      <c r="EGA161" s="7"/>
      <c r="EPL161" s="7"/>
      <c r="EPM161" s="7"/>
      <c r="EPN161" s="7"/>
      <c r="EPO161" s="7"/>
      <c r="EPP161" s="7"/>
      <c r="EPQ161" s="7"/>
      <c r="EPR161" s="7"/>
      <c r="EPS161" s="7"/>
      <c r="EPT161" s="7"/>
      <c r="EPU161" s="7"/>
      <c r="EPV161" s="7"/>
      <c r="EPW161" s="7"/>
      <c r="EZH161" s="7"/>
      <c r="EZI161" s="7"/>
      <c r="EZJ161" s="7"/>
      <c r="EZK161" s="7"/>
      <c r="EZL161" s="7"/>
      <c r="EZM161" s="7"/>
      <c r="EZN161" s="7"/>
      <c r="EZO161" s="7"/>
      <c r="EZP161" s="7"/>
      <c r="EZQ161" s="7"/>
      <c r="EZR161" s="7"/>
      <c r="EZS161" s="7"/>
      <c r="FJD161" s="7"/>
      <c r="FJE161" s="7"/>
      <c r="FJF161" s="7"/>
      <c r="FJG161" s="7"/>
      <c r="FJH161" s="7"/>
      <c r="FJI161" s="7"/>
      <c r="FJJ161" s="7"/>
      <c r="FJK161" s="7"/>
      <c r="FJL161" s="7"/>
      <c r="FJM161" s="7"/>
      <c r="FJN161" s="7"/>
      <c r="FJO161" s="7"/>
      <c r="FSZ161" s="7"/>
      <c r="FTA161" s="7"/>
      <c r="FTB161" s="7"/>
      <c r="FTC161" s="7"/>
      <c r="FTD161" s="7"/>
      <c r="FTE161" s="7"/>
      <c r="FTF161" s="7"/>
      <c r="FTG161" s="7"/>
      <c r="FTH161" s="7"/>
      <c r="FTI161" s="7"/>
      <c r="FTJ161" s="7"/>
      <c r="FTK161" s="7"/>
      <c r="GCV161" s="7"/>
      <c r="GCW161" s="7"/>
      <c r="GCX161" s="7"/>
      <c r="GCY161" s="7"/>
      <c r="GCZ161" s="7"/>
      <c r="GDA161" s="7"/>
      <c r="GDB161" s="7"/>
      <c r="GDC161" s="7"/>
      <c r="GDD161" s="7"/>
      <c r="GDE161" s="7"/>
      <c r="GDF161" s="7"/>
      <c r="GDG161" s="7"/>
      <c r="GMR161" s="7"/>
      <c r="GMS161" s="7"/>
      <c r="GMT161" s="7"/>
      <c r="GMU161" s="7"/>
      <c r="GMV161" s="7"/>
      <c r="GMW161" s="7"/>
      <c r="GMX161" s="7"/>
      <c r="GMY161" s="7"/>
      <c r="GMZ161" s="7"/>
      <c r="GNA161" s="7"/>
      <c r="GNB161" s="7"/>
      <c r="GNC161" s="7"/>
      <c r="GWN161" s="7"/>
      <c r="GWO161" s="7"/>
      <c r="GWP161" s="7"/>
      <c r="GWQ161" s="7"/>
      <c r="GWR161" s="7"/>
      <c r="GWS161" s="7"/>
      <c r="GWT161" s="7"/>
      <c r="GWU161" s="7"/>
      <c r="GWV161" s="7"/>
      <c r="GWW161" s="7"/>
      <c r="GWX161" s="7"/>
      <c r="GWY161" s="7"/>
      <c r="HGJ161" s="7"/>
      <c r="HGK161" s="7"/>
      <c r="HGL161" s="7"/>
      <c r="HGM161" s="7"/>
      <c r="HGN161" s="7"/>
      <c r="HGO161" s="7"/>
      <c r="HGP161" s="7"/>
      <c r="HGQ161" s="7"/>
      <c r="HGR161" s="7"/>
      <c r="HGS161" s="7"/>
      <c r="HGT161" s="7"/>
      <c r="HGU161" s="7"/>
      <c r="HQF161" s="7"/>
      <c r="HQG161" s="7"/>
      <c r="HQH161" s="7"/>
      <c r="HQI161" s="7"/>
      <c r="HQJ161" s="7"/>
      <c r="HQK161" s="7"/>
      <c r="HQL161" s="7"/>
      <c r="HQM161" s="7"/>
      <c r="HQN161" s="7"/>
      <c r="HQO161" s="7"/>
      <c r="HQP161" s="7"/>
      <c r="HQQ161" s="7"/>
      <c r="IAB161" s="7"/>
      <c r="IAC161" s="7"/>
      <c r="IAD161" s="7"/>
      <c r="IAE161" s="7"/>
      <c r="IAF161" s="7"/>
      <c r="IAG161" s="7"/>
      <c r="IAH161" s="7"/>
      <c r="IAI161" s="7"/>
      <c r="IAJ161" s="7"/>
      <c r="IAK161" s="7"/>
      <c r="IAL161" s="7"/>
      <c r="IAM161" s="7"/>
      <c r="IJX161" s="7"/>
      <c r="IJY161" s="7"/>
      <c r="IJZ161" s="7"/>
      <c r="IKA161" s="7"/>
      <c r="IKB161" s="7"/>
      <c r="IKC161" s="7"/>
      <c r="IKD161" s="7"/>
      <c r="IKE161" s="7"/>
      <c r="IKF161" s="7"/>
      <c r="IKG161" s="7"/>
      <c r="IKH161" s="7"/>
      <c r="IKI161" s="7"/>
      <c r="ITT161" s="7"/>
      <c r="ITU161" s="7"/>
      <c r="ITV161" s="7"/>
      <c r="ITW161" s="7"/>
      <c r="ITX161" s="7"/>
      <c r="ITY161" s="7"/>
      <c r="ITZ161" s="7"/>
      <c r="IUA161" s="7"/>
      <c r="IUB161" s="7"/>
      <c r="IUC161" s="7"/>
      <c r="IUD161" s="7"/>
      <c r="IUE161" s="7"/>
      <c r="JDP161" s="7"/>
      <c r="JDQ161" s="7"/>
      <c r="JDR161" s="7"/>
      <c r="JDS161" s="7"/>
      <c r="JDT161" s="7"/>
      <c r="JDU161" s="7"/>
      <c r="JDV161" s="7"/>
      <c r="JDW161" s="7"/>
      <c r="JDX161" s="7"/>
      <c r="JDY161" s="7"/>
      <c r="JDZ161" s="7"/>
      <c r="JEA161" s="7"/>
      <c r="JNL161" s="7"/>
      <c r="JNM161" s="7"/>
      <c r="JNN161" s="7"/>
      <c r="JNO161" s="7"/>
      <c r="JNP161" s="7"/>
      <c r="JNQ161" s="7"/>
      <c r="JNR161" s="7"/>
      <c r="JNS161" s="7"/>
      <c r="JNT161" s="7"/>
      <c r="JNU161" s="7"/>
      <c r="JNV161" s="7"/>
      <c r="JNW161" s="7"/>
      <c r="JXH161" s="7"/>
      <c r="JXI161" s="7"/>
      <c r="JXJ161" s="7"/>
      <c r="JXK161" s="7"/>
      <c r="JXL161" s="7"/>
      <c r="JXM161" s="7"/>
      <c r="JXN161" s="7"/>
      <c r="JXO161" s="7"/>
      <c r="JXP161" s="7"/>
      <c r="JXQ161" s="7"/>
      <c r="JXR161" s="7"/>
      <c r="JXS161" s="7"/>
      <c r="KHD161" s="7"/>
      <c r="KHE161" s="7"/>
      <c r="KHF161" s="7"/>
      <c r="KHG161" s="7"/>
      <c r="KHH161" s="7"/>
      <c r="KHI161" s="7"/>
      <c r="KHJ161" s="7"/>
      <c r="KHK161" s="7"/>
      <c r="KHL161" s="7"/>
      <c r="KHM161" s="7"/>
      <c r="KHN161" s="7"/>
      <c r="KHO161" s="7"/>
      <c r="KQZ161" s="7"/>
      <c r="KRA161" s="7"/>
      <c r="KRB161" s="7"/>
      <c r="KRC161" s="7"/>
      <c r="KRD161" s="7"/>
      <c r="KRE161" s="7"/>
      <c r="KRF161" s="7"/>
      <c r="KRG161" s="7"/>
      <c r="KRH161" s="7"/>
      <c r="KRI161" s="7"/>
      <c r="KRJ161" s="7"/>
      <c r="KRK161" s="7"/>
      <c r="LAV161" s="7"/>
      <c r="LAW161" s="7"/>
      <c r="LAX161" s="7"/>
      <c r="LAY161" s="7"/>
      <c r="LAZ161" s="7"/>
      <c r="LBA161" s="7"/>
      <c r="LBB161" s="7"/>
      <c r="LBC161" s="7"/>
      <c r="LBD161" s="7"/>
      <c r="LBE161" s="7"/>
      <c r="LBF161" s="7"/>
      <c r="LBG161" s="7"/>
      <c r="LKR161" s="7"/>
      <c r="LKS161" s="7"/>
      <c r="LKT161" s="7"/>
      <c r="LKU161" s="7"/>
      <c r="LKV161" s="7"/>
      <c r="LKW161" s="7"/>
      <c r="LKX161" s="7"/>
      <c r="LKY161" s="7"/>
      <c r="LKZ161" s="7"/>
      <c r="LLA161" s="7"/>
      <c r="LLB161" s="7"/>
      <c r="LLC161" s="7"/>
      <c r="LUN161" s="7"/>
      <c r="LUO161" s="7"/>
      <c r="LUP161" s="7"/>
      <c r="LUQ161" s="7"/>
      <c r="LUR161" s="7"/>
      <c r="LUS161" s="7"/>
      <c r="LUT161" s="7"/>
      <c r="LUU161" s="7"/>
      <c r="LUV161" s="7"/>
      <c r="LUW161" s="7"/>
      <c r="LUX161" s="7"/>
      <c r="LUY161" s="7"/>
      <c r="MEJ161" s="7"/>
      <c r="MEK161" s="7"/>
      <c r="MEL161" s="7"/>
      <c r="MEM161" s="7"/>
      <c r="MEN161" s="7"/>
      <c r="MEO161" s="7"/>
      <c r="MEP161" s="7"/>
      <c r="MEQ161" s="7"/>
      <c r="MER161" s="7"/>
      <c r="MES161" s="7"/>
      <c r="MET161" s="7"/>
      <c r="MEU161" s="7"/>
      <c r="MOF161" s="7"/>
      <c r="MOG161" s="7"/>
      <c r="MOH161" s="7"/>
      <c r="MOI161" s="7"/>
      <c r="MOJ161" s="7"/>
      <c r="MOK161" s="7"/>
      <c r="MOL161" s="7"/>
      <c r="MOM161" s="7"/>
      <c r="MON161" s="7"/>
      <c r="MOO161" s="7"/>
      <c r="MOP161" s="7"/>
      <c r="MOQ161" s="7"/>
      <c r="MYB161" s="7"/>
      <c r="MYC161" s="7"/>
      <c r="MYD161" s="7"/>
      <c r="MYE161" s="7"/>
      <c r="MYF161" s="7"/>
      <c r="MYG161" s="7"/>
      <c r="MYH161" s="7"/>
      <c r="MYI161" s="7"/>
      <c r="MYJ161" s="7"/>
      <c r="MYK161" s="7"/>
      <c r="MYL161" s="7"/>
      <c r="MYM161" s="7"/>
      <c r="NHX161" s="7"/>
      <c r="NHY161" s="7"/>
      <c r="NHZ161" s="7"/>
      <c r="NIA161" s="7"/>
      <c r="NIB161" s="7"/>
      <c r="NIC161" s="7"/>
      <c r="NID161" s="7"/>
      <c r="NIE161" s="7"/>
      <c r="NIF161" s="7"/>
      <c r="NIG161" s="7"/>
      <c r="NIH161" s="7"/>
      <c r="NII161" s="7"/>
      <c r="NRT161" s="7"/>
      <c r="NRU161" s="7"/>
      <c r="NRV161" s="7"/>
      <c r="NRW161" s="7"/>
      <c r="NRX161" s="7"/>
      <c r="NRY161" s="7"/>
      <c r="NRZ161" s="7"/>
      <c r="NSA161" s="7"/>
      <c r="NSB161" s="7"/>
      <c r="NSC161" s="7"/>
      <c r="NSD161" s="7"/>
      <c r="NSE161" s="7"/>
      <c r="OBP161" s="7"/>
      <c r="OBQ161" s="7"/>
      <c r="OBR161" s="7"/>
      <c r="OBS161" s="7"/>
      <c r="OBT161" s="7"/>
      <c r="OBU161" s="7"/>
      <c r="OBV161" s="7"/>
      <c r="OBW161" s="7"/>
      <c r="OBX161" s="7"/>
      <c r="OBY161" s="7"/>
      <c r="OBZ161" s="7"/>
      <c r="OCA161" s="7"/>
      <c r="OLL161" s="7"/>
      <c r="OLM161" s="7"/>
      <c r="OLN161" s="7"/>
      <c r="OLO161" s="7"/>
      <c r="OLP161" s="7"/>
      <c r="OLQ161" s="7"/>
      <c r="OLR161" s="7"/>
      <c r="OLS161" s="7"/>
      <c r="OLT161" s="7"/>
      <c r="OLU161" s="7"/>
      <c r="OLV161" s="7"/>
      <c r="OLW161" s="7"/>
      <c r="OVH161" s="7"/>
      <c r="OVI161" s="7"/>
      <c r="OVJ161" s="7"/>
      <c r="OVK161" s="7"/>
      <c r="OVL161" s="7"/>
      <c r="OVM161" s="7"/>
      <c r="OVN161" s="7"/>
      <c r="OVO161" s="7"/>
      <c r="OVP161" s="7"/>
      <c r="OVQ161" s="7"/>
      <c r="OVR161" s="7"/>
      <c r="OVS161" s="7"/>
      <c r="PFD161" s="7"/>
      <c r="PFE161" s="7"/>
      <c r="PFF161" s="7"/>
      <c r="PFG161" s="7"/>
      <c r="PFH161" s="7"/>
      <c r="PFI161" s="7"/>
      <c r="PFJ161" s="7"/>
      <c r="PFK161" s="7"/>
      <c r="PFL161" s="7"/>
      <c r="PFM161" s="7"/>
      <c r="PFN161" s="7"/>
      <c r="PFO161" s="7"/>
      <c r="POZ161" s="7"/>
      <c r="PPA161" s="7"/>
      <c r="PPB161" s="7"/>
      <c r="PPC161" s="7"/>
      <c r="PPD161" s="7"/>
      <c r="PPE161" s="7"/>
      <c r="PPF161" s="7"/>
      <c r="PPG161" s="7"/>
      <c r="PPH161" s="7"/>
      <c r="PPI161" s="7"/>
      <c r="PPJ161" s="7"/>
      <c r="PPK161" s="7"/>
      <c r="PYV161" s="7"/>
      <c r="PYW161" s="7"/>
      <c r="PYX161" s="7"/>
      <c r="PYY161" s="7"/>
      <c r="PYZ161" s="7"/>
      <c r="PZA161" s="7"/>
      <c r="PZB161" s="7"/>
      <c r="PZC161" s="7"/>
      <c r="PZD161" s="7"/>
      <c r="PZE161" s="7"/>
      <c r="PZF161" s="7"/>
      <c r="PZG161" s="7"/>
      <c r="QIR161" s="7"/>
      <c r="QIS161" s="7"/>
      <c r="QIT161" s="7"/>
      <c r="QIU161" s="7"/>
      <c r="QIV161" s="7"/>
      <c r="QIW161" s="7"/>
      <c r="QIX161" s="7"/>
      <c r="QIY161" s="7"/>
      <c r="QIZ161" s="7"/>
      <c r="QJA161" s="7"/>
      <c r="QJB161" s="7"/>
      <c r="QJC161" s="7"/>
      <c r="QSN161" s="7"/>
      <c r="QSO161" s="7"/>
      <c r="QSP161" s="7"/>
      <c r="QSQ161" s="7"/>
      <c r="QSR161" s="7"/>
      <c r="QSS161" s="7"/>
      <c r="QST161" s="7"/>
      <c r="QSU161" s="7"/>
      <c r="QSV161" s="7"/>
      <c r="QSW161" s="7"/>
      <c r="QSX161" s="7"/>
      <c r="QSY161" s="7"/>
      <c r="RCJ161" s="7"/>
      <c r="RCK161" s="7"/>
      <c r="RCL161" s="7"/>
      <c r="RCM161" s="7"/>
      <c r="RCN161" s="7"/>
      <c r="RCO161" s="7"/>
      <c r="RCP161" s="7"/>
      <c r="RCQ161" s="7"/>
      <c r="RCR161" s="7"/>
      <c r="RCS161" s="7"/>
      <c r="RCT161" s="7"/>
      <c r="RCU161" s="7"/>
      <c r="RMF161" s="7"/>
      <c r="RMG161" s="7"/>
      <c r="RMH161" s="7"/>
      <c r="RMI161" s="7"/>
      <c r="RMJ161" s="7"/>
      <c r="RMK161" s="7"/>
      <c r="RML161" s="7"/>
      <c r="RMM161" s="7"/>
      <c r="RMN161" s="7"/>
      <c r="RMO161" s="7"/>
      <c r="RMP161" s="7"/>
      <c r="RMQ161" s="7"/>
      <c r="RWB161" s="7"/>
      <c r="RWC161" s="7"/>
      <c r="RWD161" s="7"/>
      <c r="RWE161" s="7"/>
      <c r="RWF161" s="7"/>
      <c r="RWG161" s="7"/>
      <c r="RWH161" s="7"/>
      <c r="RWI161" s="7"/>
      <c r="RWJ161" s="7"/>
      <c r="RWK161" s="7"/>
      <c r="RWL161" s="7"/>
      <c r="RWM161" s="7"/>
      <c r="SFX161" s="7"/>
      <c r="SFY161" s="7"/>
      <c r="SFZ161" s="7"/>
      <c r="SGA161" s="7"/>
      <c r="SGB161" s="7"/>
      <c r="SGC161" s="7"/>
      <c r="SGD161" s="7"/>
      <c r="SGE161" s="7"/>
      <c r="SGF161" s="7"/>
      <c r="SGG161" s="7"/>
      <c r="SGH161" s="7"/>
      <c r="SGI161" s="7"/>
      <c r="SPT161" s="7"/>
      <c r="SPU161" s="7"/>
      <c r="SPV161" s="7"/>
      <c r="SPW161" s="7"/>
      <c r="SPX161" s="7"/>
      <c r="SPY161" s="7"/>
      <c r="SPZ161" s="7"/>
      <c r="SQA161" s="7"/>
      <c r="SQB161" s="7"/>
      <c r="SQC161" s="7"/>
      <c r="SQD161" s="7"/>
      <c r="SQE161" s="7"/>
      <c r="SZP161" s="7"/>
      <c r="SZQ161" s="7"/>
      <c r="SZR161" s="7"/>
      <c r="SZS161" s="7"/>
      <c r="SZT161" s="7"/>
      <c r="SZU161" s="7"/>
      <c r="SZV161" s="7"/>
      <c r="SZW161" s="7"/>
      <c r="SZX161" s="7"/>
      <c r="SZY161" s="7"/>
      <c r="SZZ161" s="7"/>
      <c r="TAA161" s="7"/>
      <c r="TJL161" s="7"/>
      <c r="TJM161" s="7"/>
      <c r="TJN161" s="7"/>
      <c r="TJO161" s="7"/>
      <c r="TJP161" s="7"/>
      <c r="TJQ161" s="7"/>
      <c r="TJR161" s="7"/>
      <c r="TJS161" s="7"/>
      <c r="TJT161" s="7"/>
      <c r="TJU161" s="7"/>
      <c r="TJV161" s="7"/>
      <c r="TJW161" s="7"/>
      <c r="TTH161" s="7"/>
      <c r="TTI161" s="7"/>
      <c r="TTJ161" s="7"/>
      <c r="TTK161" s="7"/>
      <c r="TTL161" s="7"/>
      <c r="TTM161" s="7"/>
      <c r="TTN161" s="7"/>
      <c r="TTO161" s="7"/>
      <c r="TTP161" s="7"/>
      <c r="TTQ161" s="7"/>
      <c r="TTR161" s="7"/>
      <c r="TTS161" s="7"/>
      <c r="UDD161" s="7"/>
      <c r="UDE161" s="7"/>
      <c r="UDF161" s="7"/>
      <c r="UDG161" s="7"/>
      <c r="UDH161" s="7"/>
      <c r="UDI161" s="7"/>
      <c r="UDJ161" s="7"/>
      <c r="UDK161" s="7"/>
      <c r="UDL161" s="7"/>
      <c r="UDM161" s="7"/>
      <c r="UDN161" s="7"/>
      <c r="UDO161" s="7"/>
      <c r="UMZ161" s="7"/>
      <c r="UNA161" s="7"/>
      <c r="UNB161" s="7"/>
      <c r="UNC161" s="7"/>
      <c r="UND161" s="7"/>
      <c r="UNE161" s="7"/>
      <c r="UNF161" s="7"/>
      <c r="UNG161" s="7"/>
      <c r="UNH161" s="7"/>
      <c r="UNI161" s="7"/>
      <c r="UNJ161" s="7"/>
      <c r="UNK161" s="7"/>
      <c r="UWV161" s="7"/>
      <c r="UWW161" s="7"/>
      <c r="UWX161" s="7"/>
      <c r="UWY161" s="7"/>
      <c r="UWZ161" s="7"/>
      <c r="UXA161" s="7"/>
      <c r="UXB161" s="7"/>
      <c r="UXC161" s="7"/>
      <c r="UXD161" s="7"/>
      <c r="UXE161" s="7"/>
      <c r="UXF161" s="7"/>
      <c r="UXG161" s="7"/>
      <c r="VGR161" s="7"/>
      <c r="VGS161" s="7"/>
      <c r="VGT161" s="7"/>
      <c r="VGU161" s="7"/>
      <c r="VGV161" s="7"/>
      <c r="VGW161" s="7"/>
      <c r="VGX161" s="7"/>
      <c r="VGY161" s="7"/>
      <c r="VGZ161" s="7"/>
      <c r="VHA161" s="7"/>
      <c r="VHB161" s="7"/>
      <c r="VHC161" s="7"/>
      <c r="VQN161" s="7"/>
      <c r="VQO161" s="7"/>
      <c r="VQP161" s="7"/>
      <c r="VQQ161" s="7"/>
      <c r="VQR161" s="7"/>
      <c r="VQS161" s="7"/>
      <c r="VQT161" s="7"/>
      <c r="VQU161" s="7"/>
      <c r="VQV161" s="7"/>
      <c r="VQW161" s="7"/>
      <c r="VQX161" s="7"/>
      <c r="VQY161" s="7"/>
      <c r="WAJ161" s="7"/>
      <c r="WAK161" s="7"/>
      <c r="WAL161" s="7"/>
      <c r="WAM161" s="7"/>
      <c r="WAN161" s="7"/>
      <c r="WAO161" s="7"/>
      <c r="WAP161" s="7"/>
      <c r="WAQ161" s="7"/>
      <c r="WAR161" s="7"/>
      <c r="WAS161" s="7"/>
      <c r="WAT161" s="7"/>
      <c r="WAU161" s="7"/>
      <c r="WKF161" s="7"/>
      <c r="WKG161" s="7"/>
      <c r="WKH161" s="7"/>
      <c r="WKI161" s="7"/>
      <c r="WKJ161" s="7"/>
      <c r="WKK161" s="7"/>
      <c r="WKL161" s="7"/>
      <c r="WKM161" s="7"/>
      <c r="WKN161" s="7"/>
      <c r="WKO161" s="7"/>
      <c r="WKP161" s="7"/>
      <c r="WKQ161" s="7"/>
      <c r="WUB161" s="7"/>
      <c r="WUC161" s="7"/>
      <c r="WUD161" s="7"/>
      <c r="WUE161" s="7"/>
      <c r="WUF161" s="7"/>
      <c r="WUG161" s="7"/>
      <c r="WUH161" s="7"/>
      <c r="WUI161" s="7"/>
      <c r="WUJ161" s="7"/>
      <c r="WUK161" s="7"/>
      <c r="WUL161" s="7"/>
      <c r="WUM161" s="7"/>
    </row>
    <row r="162" spans="1:1003 1248:2027 2272:3051 3296:4075 4320:5099 5344:6123 6368:7147 7392:8171 8416:9195 9440:10219 10464:11243 11488:12267 12512:13291 13536:14315 14560:15339 15584:16107" ht="30" customHeight="1">
      <c r="A162" s="45"/>
      <c r="H162" s="159"/>
      <c r="I162" s="196"/>
      <c r="J162" s="161"/>
      <c r="K162" s="196"/>
      <c r="L162" s="211">
        <f>Table113[[#This Row],[Qty 2]]+Table113[[#This Row],[Qty 1]]</f>
        <v>0</v>
      </c>
      <c r="M162" s="216"/>
      <c r="N162" s="216">
        <f>Table113[[#This Row],[Unit Cost]]*Table113[[#This Row],[Total Qty All Areas]]</f>
        <v>0</v>
      </c>
    </row>
    <row r="163" spans="1:1003 1248:2027 2272:3051 3296:4075 4320:5099 5344:6123 6368:7147 7392:8171 8416:9195 9440:10219 10464:11243 11488:12267 12512:13291 13536:14315 14560:15339 15584:16107" ht="30" customHeight="1">
      <c r="A163" s="45"/>
      <c r="H163" s="159"/>
      <c r="I163" s="196"/>
      <c r="J163" s="161"/>
      <c r="K163" s="196"/>
      <c r="L163" s="211">
        <f>Table113[[#This Row],[Qty 2]]+Table113[[#This Row],[Qty 1]]</f>
        <v>0</v>
      </c>
      <c r="M163" s="216"/>
      <c r="N163" s="216">
        <f>Table113[[#This Row],[Unit Cost]]*Table113[[#This Row],[Total Qty All Areas]]</f>
        <v>0</v>
      </c>
    </row>
    <row r="164" spans="1:1003 1248:2027 2272:3051 3296:4075 4320:5099 5344:6123 6368:7147 7392:8171 8416:9195 9440:10219 10464:11243 11488:12267 12512:13291 13536:14315 14560:15339 15584:16107" ht="30" customHeight="1">
      <c r="A164" s="45"/>
      <c r="H164" s="159"/>
      <c r="I164" s="196"/>
      <c r="J164" s="161"/>
      <c r="K164" s="196"/>
      <c r="L164" s="211">
        <f>Table113[[#This Row],[Qty 2]]+Table113[[#This Row],[Qty 1]]</f>
        <v>0</v>
      </c>
      <c r="M164" s="216"/>
      <c r="N164" s="216">
        <f>Table113[[#This Row],[Unit Cost]]*Table113[[#This Row],[Total Qty All Areas]]</f>
        <v>0</v>
      </c>
    </row>
    <row r="165" spans="1:1003 1248:2027 2272:3051 3296:4075 4320:5099 5344:6123 6368:7147 7392:8171 8416:9195 9440:10219 10464:11243 11488:12267 12512:13291 13536:14315 14560:15339 15584:16107" ht="25.35" customHeight="1">
      <c r="B165" s="119"/>
      <c r="H165" s="159"/>
      <c r="I165" s="196"/>
      <c r="J165" s="159"/>
      <c r="K165" s="196"/>
      <c r="L165" s="211"/>
      <c r="M165" s="216"/>
      <c r="N165" s="275">
        <f>SUM(Table113[Total Stock Take Value])</f>
        <v>94777</v>
      </c>
    </row>
    <row r="166" spans="1:1003 1248:2027 2272:3051 3296:4075 4320:5099 5344:6123 6368:7147 7392:8171 8416:9195 9440:10219 10464:11243 11488:12267 12512:13291 13536:14315 14560:15339 15584:16107" ht="25.35" customHeight="1">
      <c r="H166" s="164"/>
      <c r="I166" s="166"/>
      <c r="J166" s="165"/>
      <c r="K166" s="166"/>
    </row>
    <row r="167" spans="1:1003 1248:2027 2272:3051 3296:4075 4320:5099 5344:6123 6368:7147 7392:8171 8416:9195 9440:10219 10464:11243 11488:12267 12512:13291 13536:14315 14560:15339 15584:16107" ht="25.35" customHeight="1">
      <c r="H167" s="164"/>
      <c r="I167" s="166"/>
      <c r="J167" s="165"/>
      <c r="K167" s="166"/>
    </row>
    <row r="184" spans="8:13" s="7" customFormat="1" ht="12.75">
      <c r="H184" s="45"/>
      <c r="I184" s="55"/>
      <c r="M184" s="217"/>
    </row>
    <row r="185" spans="8:13" s="7" customFormat="1" ht="12.75">
      <c r="H185" s="45"/>
      <c r="I185" s="55"/>
      <c r="M185" s="217"/>
    </row>
    <row r="186" spans="8:13" s="7" customFormat="1" ht="12.75">
      <c r="H186" s="45"/>
      <c r="I186" s="55"/>
      <c r="M186" s="217"/>
    </row>
    <row r="187" spans="8:13" s="7" customFormat="1" ht="12.75">
      <c r="H187" s="45"/>
      <c r="I187" s="55"/>
      <c r="M187" s="217"/>
    </row>
    <row r="188" spans="8:13" s="7" customFormat="1" ht="12.75">
      <c r="H188" s="45"/>
      <c r="I188" s="55"/>
      <c r="M188" s="217"/>
    </row>
    <row r="189" spans="8:13" s="7" customFormat="1" ht="12.75">
      <c r="H189" s="45"/>
      <c r="I189" s="55"/>
      <c r="M189" s="217"/>
    </row>
    <row r="190" spans="8:13" s="7" customFormat="1" ht="12.75">
      <c r="H190" s="45"/>
      <c r="I190" s="55"/>
      <c r="M190" s="217"/>
    </row>
    <row r="191" spans="8:13" s="7" customFormat="1" ht="12.75">
      <c r="H191" s="45"/>
      <c r="I191" s="55"/>
      <c r="M191" s="217"/>
    </row>
    <row r="192" spans="8:13" s="7" customFormat="1" ht="12.75">
      <c r="H192" s="45"/>
      <c r="I192" s="55"/>
      <c r="M192" s="217"/>
    </row>
    <row r="193" spans="8:13" s="7" customFormat="1" ht="12.75">
      <c r="H193" s="45"/>
      <c r="I193" s="55"/>
      <c r="M193" s="217"/>
    </row>
    <row r="194" spans="8:13" s="7" customFormat="1" ht="12.75">
      <c r="H194" s="45"/>
      <c r="I194" s="55"/>
      <c r="M194" s="217"/>
    </row>
    <row r="195" spans="8:13" s="7" customFormat="1" ht="12.75">
      <c r="H195" s="45"/>
      <c r="I195" s="55"/>
      <c r="M195" s="217"/>
    </row>
    <row r="196" spans="8:13" s="7" customFormat="1" ht="12.75">
      <c r="H196" s="45"/>
      <c r="I196" s="55"/>
      <c r="M196" s="217"/>
    </row>
    <row r="197" spans="8:13" s="7" customFormat="1" ht="12.75">
      <c r="H197" s="45"/>
      <c r="I197" s="55"/>
      <c r="M197" s="217"/>
    </row>
    <row r="198" spans="8:13" s="7" customFormat="1" ht="12.75">
      <c r="H198" s="45"/>
      <c r="I198" s="55"/>
      <c r="M198" s="217"/>
    </row>
    <row r="199" spans="8:13" s="7" customFormat="1" ht="12.75">
      <c r="H199" s="45"/>
      <c r="I199" s="55"/>
      <c r="M199" s="217"/>
    </row>
    <row r="200" spans="8:13" s="7" customFormat="1" ht="12.75">
      <c r="H200" s="45"/>
      <c r="I200" s="55"/>
      <c r="M200" s="217"/>
    </row>
  </sheetData>
  <phoneticPr fontId="3" type="noConversion"/>
  <dataValidations count="1">
    <dataValidation type="list" allowBlank="1" showInputMessage="1" showErrorMessage="1" sqref="I2:I164 K2:K164" xr:uid="{6E97CA60-0E0B-4DB6-9BB8-4E30CDEC970C}">
      <formula1>AreaList2</formula1>
    </dataValidation>
  </dataValidations>
  <printOptions gridLines="1"/>
  <pageMargins left="0.70866141732283472" right="0.70866141732283472" top="0.74803149606299213" bottom="0.74803149606299213" header="0.31496062992125984" footer="0.31496062992125984"/>
  <pageSetup paperSize="9" scale="65" fitToHeight="7" orientation="landscape" r:id="rId1"/>
  <headerFooter alignWithMargins="0">
    <oddFooter>&amp;L&amp;D&amp;C&amp;A&amp;R&amp;P of &amp;N</oddFooter>
  </headerFooter>
  <rowBreaks count="9" manualBreakCount="9">
    <brk id="21" max="12" man="1"/>
    <brk id="40" max="12" man="1"/>
    <brk id="59" max="12" man="1"/>
    <brk id="78" max="12" man="1"/>
    <brk id="96" max="12" man="1"/>
    <brk id="106" max="12" man="1"/>
    <brk id="120" max="12" man="1"/>
    <brk id="136" max="12" man="1"/>
    <brk id="148" max="12" man="1"/>
  </rowBreaks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9A045-0989-4B53-BAC2-00E34A37B132}">
  <dimension ref="A1:AS364"/>
  <sheetViews>
    <sheetView topLeftCell="AA1" zoomScale="70" zoomScaleNormal="70" workbookViewId="0">
      <selection activeCell="AE3" sqref="AE3"/>
    </sheetView>
  </sheetViews>
  <sheetFormatPr defaultRowHeight="13.9"/>
  <cols>
    <col min="1" max="1" width="3.140625" style="7" customWidth="1"/>
    <col min="2" max="2" width="6.5703125" style="7" customWidth="1"/>
    <col min="3" max="3" width="28.140625" style="7" customWidth="1"/>
    <col min="4" max="4" width="29.28515625" style="7" customWidth="1"/>
    <col min="5" max="5" width="9" style="27" customWidth="1"/>
    <col min="6" max="6" width="9.85546875" style="27" customWidth="1"/>
    <col min="7" max="7" width="8.140625" style="32" customWidth="1"/>
    <col min="8" max="8" width="8.140625" style="45" customWidth="1"/>
    <col min="9" max="9" width="11.5703125" style="155" customWidth="1"/>
    <col min="10" max="10" width="11.5703125" style="160" customWidth="1"/>
    <col min="11" max="12" width="11.5703125" style="155" customWidth="1"/>
    <col min="13" max="13" width="8.140625" style="117" customWidth="1"/>
    <col min="14" max="16" width="11.5703125" style="155" customWidth="1"/>
    <col min="17" max="17" width="8.140625" style="155" customWidth="1"/>
    <col min="18" max="18" width="11.42578125" style="24" customWidth="1"/>
    <col min="19" max="20" width="11.42578125" style="9" customWidth="1"/>
    <col min="21" max="25" width="8.140625" style="9" customWidth="1"/>
    <col min="26" max="26" width="13.85546875" style="9" customWidth="1"/>
    <col min="27" max="27" width="19.140625" style="9" customWidth="1"/>
    <col min="28" max="28" width="9" style="9" customWidth="1"/>
    <col min="29" max="30" width="14.7109375" style="7" customWidth="1"/>
    <col min="31" max="31" width="12.140625" style="7" customWidth="1"/>
    <col min="32" max="32" width="4.140625" style="7" customWidth="1"/>
    <col min="33" max="35" width="10.140625" style="121" customWidth="1"/>
    <col min="36" max="37" width="10.42578125" style="121" customWidth="1"/>
    <col min="38" max="223" width="9" style="7"/>
    <col min="224" max="225" width="20.140625" style="7" customWidth="1"/>
    <col min="226" max="226" width="5.5703125" style="7" customWidth="1"/>
    <col min="227" max="227" width="6.42578125" style="7" customWidth="1"/>
    <col min="228" max="228" width="1.42578125" style="7" customWidth="1"/>
    <col min="229" max="240" width="0" style="7" hidden="1" customWidth="1"/>
    <col min="241" max="242" width="10.85546875" style="7" customWidth="1"/>
    <col min="243" max="243" width="4.140625" style="7" customWidth="1"/>
    <col min="244" max="244" width="7.42578125" style="7" customWidth="1"/>
    <col min="245" max="246" width="11.140625" style="7" customWidth="1"/>
    <col min="247" max="247" width="5.42578125" style="7" customWidth="1"/>
    <col min="248" max="248" width="10.85546875" style="7" customWidth="1"/>
    <col min="249" max="249" width="11.85546875" style="7" customWidth="1"/>
    <col min="250" max="250" width="4.42578125" style="7" customWidth="1"/>
    <col min="251" max="251" width="5.42578125" style="7" customWidth="1"/>
    <col min="252" max="252" width="7.85546875" style="7" customWidth="1"/>
    <col min="253" max="253" width="8.5703125" style="7" customWidth="1"/>
    <col min="254" max="254" width="12.5703125" style="7" customWidth="1"/>
    <col min="255" max="255" width="6.42578125" style="7" customWidth="1"/>
    <col min="256" max="256" width="6" style="7" customWidth="1"/>
    <col min="257" max="257" width="8.140625" style="7" customWidth="1"/>
    <col min="258" max="258" width="7.140625" style="7" customWidth="1"/>
    <col min="259" max="259" width="10.5703125" style="7" customWidth="1"/>
    <col min="260" max="260" width="12.140625" style="7" customWidth="1"/>
    <col min="261" max="261" width="4.42578125" style="7" customWidth="1"/>
    <col min="262" max="264" width="10.140625" style="7" customWidth="1"/>
    <col min="265" max="265" width="10.42578125" style="7" customWidth="1"/>
    <col min="266" max="266" width="9" style="7"/>
    <col min="267" max="267" width="17.5703125" style="7" customWidth="1"/>
    <col min="268" max="268" width="17.85546875" style="7" customWidth="1"/>
    <col min="269" max="269" width="19.140625" style="7" customWidth="1"/>
    <col min="270" max="272" width="19" style="7" customWidth="1"/>
    <col min="273" max="479" width="9" style="7"/>
    <col min="480" max="481" width="20.140625" style="7" customWidth="1"/>
    <col min="482" max="482" width="5.5703125" style="7" customWidth="1"/>
    <col min="483" max="483" width="6.42578125" style="7" customWidth="1"/>
    <col min="484" max="484" width="1.42578125" style="7" customWidth="1"/>
    <col min="485" max="496" width="0" style="7" hidden="1" customWidth="1"/>
    <col min="497" max="498" width="10.85546875" style="7" customWidth="1"/>
    <col min="499" max="499" width="4.140625" style="7" customWidth="1"/>
    <col min="500" max="500" width="7.42578125" style="7" customWidth="1"/>
    <col min="501" max="502" width="11.140625" style="7" customWidth="1"/>
    <col min="503" max="503" width="5.42578125" style="7" customWidth="1"/>
    <col min="504" max="504" width="10.85546875" style="7" customWidth="1"/>
    <col min="505" max="505" width="11.85546875" style="7" customWidth="1"/>
    <col min="506" max="506" width="4.42578125" style="7" customWidth="1"/>
    <col min="507" max="507" width="5.42578125" style="7" customWidth="1"/>
    <col min="508" max="508" width="7.85546875" style="7" customWidth="1"/>
    <col min="509" max="509" width="8.5703125" style="7" customWidth="1"/>
    <col min="510" max="510" width="12.5703125" style="7" customWidth="1"/>
    <col min="511" max="511" width="6.42578125" style="7" customWidth="1"/>
    <col min="512" max="512" width="6" style="7" customWidth="1"/>
    <col min="513" max="513" width="8.140625" style="7" customWidth="1"/>
    <col min="514" max="514" width="7.140625" style="7" customWidth="1"/>
    <col min="515" max="515" width="10.5703125" style="7" customWidth="1"/>
    <col min="516" max="516" width="12.140625" style="7" customWidth="1"/>
    <col min="517" max="517" width="4.42578125" style="7" customWidth="1"/>
    <col min="518" max="520" width="10.140625" style="7" customWidth="1"/>
    <col min="521" max="521" width="10.42578125" style="7" customWidth="1"/>
    <col min="522" max="522" width="9" style="7"/>
    <col min="523" max="523" width="17.5703125" style="7" customWidth="1"/>
    <col min="524" max="524" width="17.85546875" style="7" customWidth="1"/>
    <col min="525" max="525" width="19.140625" style="7" customWidth="1"/>
    <col min="526" max="528" width="19" style="7" customWidth="1"/>
    <col min="529" max="735" width="9" style="7"/>
    <col min="736" max="737" width="20.140625" style="7" customWidth="1"/>
    <col min="738" max="738" width="5.5703125" style="7" customWidth="1"/>
    <col min="739" max="739" width="6.42578125" style="7" customWidth="1"/>
    <col min="740" max="740" width="1.42578125" style="7" customWidth="1"/>
    <col min="741" max="752" width="0" style="7" hidden="1" customWidth="1"/>
    <col min="753" max="754" width="10.85546875" style="7" customWidth="1"/>
    <col min="755" max="755" width="4.140625" style="7" customWidth="1"/>
    <col min="756" max="756" width="7.42578125" style="7" customWidth="1"/>
    <col min="757" max="758" width="11.140625" style="7" customWidth="1"/>
    <col min="759" max="759" width="5.42578125" style="7" customWidth="1"/>
    <col min="760" max="760" width="10.85546875" style="7" customWidth="1"/>
    <col min="761" max="761" width="11.85546875" style="7" customWidth="1"/>
    <col min="762" max="762" width="4.42578125" style="7" customWidth="1"/>
    <col min="763" max="763" width="5.42578125" style="7" customWidth="1"/>
    <col min="764" max="764" width="7.85546875" style="7" customWidth="1"/>
    <col min="765" max="765" width="8.5703125" style="7" customWidth="1"/>
    <col min="766" max="766" width="12.5703125" style="7" customWidth="1"/>
    <col min="767" max="767" width="6.42578125" style="7" customWidth="1"/>
    <col min="768" max="768" width="6" style="7" customWidth="1"/>
    <col min="769" max="769" width="8.140625" style="7" customWidth="1"/>
    <col min="770" max="770" width="7.140625" style="7" customWidth="1"/>
    <col min="771" max="771" width="10.5703125" style="7" customWidth="1"/>
    <col min="772" max="772" width="12.140625" style="7" customWidth="1"/>
    <col min="773" max="773" width="4.42578125" style="7" customWidth="1"/>
    <col min="774" max="776" width="10.140625" style="7" customWidth="1"/>
    <col min="777" max="777" width="10.42578125" style="7" customWidth="1"/>
    <col min="778" max="778" width="9" style="7"/>
    <col min="779" max="779" width="17.5703125" style="7" customWidth="1"/>
    <col min="780" max="780" width="17.85546875" style="7" customWidth="1"/>
    <col min="781" max="781" width="19.140625" style="7" customWidth="1"/>
    <col min="782" max="784" width="19" style="7" customWidth="1"/>
    <col min="785" max="991" width="9" style="7"/>
    <col min="992" max="993" width="20.140625" style="7" customWidth="1"/>
    <col min="994" max="994" width="5.5703125" style="7" customWidth="1"/>
    <col min="995" max="995" width="6.42578125" style="7" customWidth="1"/>
    <col min="996" max="996" width="1.42578125" style="7" customWidth="1"/>
    <col min="997" max="1008" width="0" style="7" hidden="1" customWidth="1"/>
    <col min="1009" max="1010" width="10.85546875" style="7" customWidth="1"/>
    <col min="1011" max="1011" width="4.140625" style="7" customWidth="1"/>
    <col min="1012" max="1012" width="7.42578125" style="7" customWidth="1"/>
    <col min="1013" max="1014" width="11.140625" style="7" customWidth="1"/>
    <col min="1015" max="1015" width="5.42578125" style="7" customWidth="1"/>
    <col min="1016" max="1016" width="10.85546875" style="7" customWidth="1"/>
    <col min="1017" max="1017" width="11.85546875" style="7" customWidth="1"/>
    <col min="1018" max="1018" width="4.42578125" style="7" customWidth="1"/>
    <col min="1019" max="1019" width="5.42578125" style="7" customWidth="1"/>
    <col min="1020" max="1020" width="7.85546875" style="7" customWidth="1"/>
    <col min="1021" max="1021" width="8.5703125" style="7" customWidth="1"/>
    <col min="1022" max="1022" width="12.5703125" style="7" customWidth="1"/>
    <col min="1023" max="1023" width="6.42578125" style="7" customWidth="1"/>
    <col min="1024" max="1024" width="6" style="7" customWidth="1"/>
    <col min="1025" max="1025" width="8.140625" style="7" customWidth="1"/>
    <col min="1026" max="1026" width="7.140625" style="7" customWidth="1"/>
    <col min="1027" max="1027" width="10.5703125" style="7" customWidth="1"/>
    <col min="1028" max="1028" width="12.140625" style="7" customWidth="1"/>
    <col min="1029" max="1029" width="4.42578125" style="7" customWidth="1"/>
    <col min="1030" max="1032" width="10.140625" style="7" customWidth="1"/>
    <col min="1033" max="1033" width="10.42578125" style="7" customWidth="1"/>
    <col min="1034" max="1034" width="9" style="7"/>
    <col min="1035" max="1035" width="17.5703125" style="7" customWidth="1"/>
    <col min="1036" max="1036" width="17.85546875" style="7" customWidth="1"/>
    <col min="1037" max="1037" width="19.140625" style="7" customWidth="1"/>
    <col min="1038" max="1040" width="19" style="7" customWidth="1"/>
    <col min="1041" max="1247" width="9" style="7"/>
    <col min="1248" max="1249" width="20.140625" style="7" customWidth="1"/>
    <col min="1250" max="1250" width="5.5703125" style="7" customWidth="1"/>
    <col min="1251" max="1251" width="6.42578125" style="7" customWidth="1"/>
    <col min="1252" max="1252" width="1.42578125" style="7" customWidth="1"/>
    <col min="1253" max="1264" width="0" style="7" hidden="1" customWidth="1"/>
    <col min="1265" max="1266" width="10.85546875" style="7" customWidth="1"/>
    <col min="1267" max="1267" width="4.140625" style="7" customWidth="1"/>
    <col min="1268" max="1268" width="7.42578125" style="7" customWidth="1"/>
    <col min="1269" max="1270" width="11.140625" style="7" customWidth="1"/>
    <col min="1271" max="1271" width="5.42578125" style="7" customWidth="1"/>
    <col min="1272" max="1272" width="10.85546875" style="7" customWidth="1"/>
    <col min="1273" max="1273" width="11.85546875" style="7" customWidth="1"/>
    <col min="1274" max="1274" width="4.42578125" style="7" customWidth="1"/>
    <col min="1275" max="1275" width="5.42578125" style="7" customWidth="1"/>
    <col min="1276" max="1276" width="7.85546875" style="7" customWidth="1"/>
    <col min="1277" max="1277" width="8.5703125" style="7" customWidth="1"/>
    <col min="1278" max="1278" width="12.5703125" style="7" customWidth="1"/>
    <col min="1279" max="1279" width="6.42578125" style="7" customWidth="1"/>
    <col min="1280" max="1280" width="6" style="7" customWidth="1"/>
    <col min="1281" max="1281" width="8.140625" style="7" customWidth="1"/>
    <col min="1282" max="1282" width="7.140625" style="7" customWidth="1"/>
    <col min="1283" max="1283" width="10.5703125" style="7" customWidth="1"/>
    <col min="1284" max="1284" width="12.140625" style="7" customWidth="1"/>
    <col min="1285" max="1285" width="4.42578125" style="7" customWidth="1"/>
    <col min="1286" max="1288" width="10.140625" style="7" customWidth="1"/>
    <col min="1289" max="1289" width="10.42578125" style="7" customWidth="1"/>
    <col min="1290" max="1290" width="9" style="7"/>
    <col min="1291" max="1291" width="17.5703125" style="7" customWidth="1"/>
    <col min="1292" max="1292" width="17.85546875" style="7" customWidth="1"/>
    <col min="1293" max="1293" width="19.140625" style="7" customWidth="1"/>
    <col min="1294" max="1296" width="19" style="7" customWidth="1"/>
    <col min="1297" max="1503" width="9" style="7"/>
    <col min="1504" max="1505" width="20.140625" style="7" customWidth="1"/>
    <col min="1506" max="1506" width="5.5703125" style="7" customWidth="1"/>
    <col min="1507" max="1507" width="6.42578125" style="7" customWidth="1"/>
    <col min="1508" max="1508" width="1.42578125" style="7" customWidth="1"/>
    <col min="1509" max="1520" width="0" style="7" hidden="1" customWidth="1"/>
    <col min="1521" max="1522" width="10.85546875" style="7" customWidth="1"/>
    <col min="1523" max="1523" width="4.140625" style="7" customWidth="1"/>
    <col min="1524" max="1524" width="7.42578125" style="7" customWidth="1"/>
    <col min="1525" max="1526" width="11.140625" style="7" customWidth="1"/>
    <col min="1527" max="1527" width="5.42578125" style="7" customWidth="1"/>
    <col min="1528" max="1528" width="10.85546875" style="7" customWidth="1"/>
    <col min="1529" max="1529" width="11.85546875" style="7" customWidth="1"/>
    <col min="1530" max="1530" width="4.42578125" style="7" customWidth="1"/>
    <col min="1531" max="1531" width="5.42578125" style="7" customWidth="1"/>
    <col min="1532" max="1532" width="7.85546875" style="7" customWidth="1"/>
    <col min="1533" max="1533" width="8.5703125" style="7" customWidth="1"/>
    <col min="1534" max="1534" width="12.5703125" style="7" customWidth="1"/>
    <col min="1535" max="1535" width="6.42578125" style="7" customWidth="1"/>
    <col min="1536" max="1536" width="6" style="7" customWidth="1"/>
    <col min="1537" max="1537" width="8.140625" style="7" customWidth="1"/>
    <col min="1538" max="1538" width="7.140625" style="7" customWidth="1"/>
    <col min="1539" max="1539" width="10.5703125" style="7" customWidth="1"/>
    <col min="1540" max="1540" width="12.140625" style="7" customWidth="1"/>
    <col min="1541" max="1541" width="4.42578125" style="7" customWidth="1"/>
    <col min="1542" max="1544" width="10.140625" style="7" customWidth="1"/>
    <col min="1545" max="1545" width="10.42578125" style="7" customWidth="1"/>
    <col min="1546" max="1546" width="9" style="7"/>
    <col min="1547" max="1547" width="17.5703125" style="7" customWidth="1"/>
    <col min="1548" max="1548" width="17.85546875" style="7" customWidth="1"/>
    <col min="1549" max="1549" width="19.140625" style="7" customWidth="1"/>
    <col min="1550" max="1552" width="19" style="7" customWidth="1"/>
    <col min="1553" max="1759" width="9" style="7"/>
    <col min="1760" max="1761" width="20.140625" style="7" customWidth="1"/>
    <col min="1762" max="1762" width="5.5703125" style="7" customWidth="1"/>
    <col min="1763" max="1763" width="6.42578125" style="7" customWidth="1"/>
    <col min="1764" max="1764" width="1.42578125" style="7" customWidth="1"/>
    <col min="1765" max="1776" width="0" style="7" hidden="1" customWidth="1"/>
    <col min="1777" max="1778" width="10.85546875" style="7" customWidth="1"/>
    <col min="1779" max="1779" width="4.140625" style="7" customWidth="1"/>
    <col min="1780" max="1780" width="7.42578125" style="7" customWidth="1"/>
    <col min="1781" max="1782" width="11.140625" style="7" customWidth="1"/>
    <col min="1783" max="1783" width="5.42578125" style="7" customWidth="1"/>
    <col min="1784" max="1784" width="10.85546875" style="7" customWidth="1"/>
    <col min="1785" max="1785" width="11.85546875" style="7" customWidth="1"/>
    <col min="1786" max="1786" width="4.42578125" style="7" customWidth="1"/>
    <col min="1787" max="1787" width="5.42578125" style="7" customWidth="1"/>
    <col min="1788" max="1788" width="7.85546875" style="7" customWidth="1"/>
    <col min="1789" max="1789" width="8.5703125" style="7" customWidth="1"/>
    <col min="1790" max="1790" width="12.5703125" style="7" customWidth="1"/>
    <col min="1791" max="1791" width="6.42578125" style="7" customWidth="1"/>
    <col min="1792" max="1792" width="6" style="7" customWidth="1"/>
    <col min="1793" max="1793" width="8.140625" style="7" customWidth="1"/>
    <col min="1794" max="1794" width="7.140625" style="7" customWidth="1"/>
    <col min="1795" max="1795" width="10.5703125" style="7" customWidth="1"/>
    <col min="1796" max="1796" width="12.140625" style="7" customWidth="1"/>
    <col min="1797" max="1797" width="4.42578125" style="7" customWidth="1"/>
    <col min="1798" max="1800" width="10.140625" style="7" customWidth="1"/>
    <col min="1801" max="1801" width="10.42578125" style="7" customWidth="1"/>
    <col min="1802" max="1802" width="9" style="7"/>
    <col min="1803" max="1803" width="17.5703125" style="7" customWidth="1"/>
    <col min="1804" max="1804" width="17.85546875" style="7" customWidth="1"/>
    <col min="1805" max="1805" width="19.140625" style="7" customWidth="1"/>
    <col min="1806" max="1808" width="19" style="7" customWidth="1"/>
    <col min="1809" max="2015" width="9" style="7"/>
    <col min="2016" max="2017" width="20.140625" style="7" customWidth="1"/>
    <col min="2018" max="2018" width="5.5703125" style="7" customWidth="1"/>
    <col min="2019" max="2019" width="6.42578125" style="7" customWidth="1"/>
    <col min="2020" max="2020" width="1.42578125" style="7" customWidth="1"/>
    <col min="2021" max="2032" width="0" style="7" hidden="1" customWidth="1"/>
    <col min="2033" max="2034" width="10.85546875" style="7" customWidth="1"/>
    <col min="2035" max="2035" width="4.140625" style="7" customWidth="1"/>
    <col min="2036" max="2036" width="7.42578125" style="7" customWidth="1"/>
    <col min="2037" max="2038" width="11.140625" style="7" customWidth="1"/>
    <col min="2039" max="2039" width="5.42578125" style="7" customWidth="1"/>
    <col min="2040" max="2040" width="10.85546875" style="7" customWidth="1"/>
    <col min="2041" max="2041" width="11.85546875" style="7" customWidth="1"/>
    <col min="2042" max="2042" width="4.42578125" style="7" customWidth="1"/>
    <col min="2043" max="2043" width="5.42578125" style="7" customWidth="1"/>
    <col min="2044" max="2044" width="7.85546875" style="7" customWidth="1"/>
    <col min="2045" max="2045" width="8.5703125" style="7" customWidth="1"/>
    <col min="2046" max="2046" width="12.5703125" style="7" customWidth="1"/>
    <col min="2047" max="2047" width="6.42578125" style="7" customWidth="1"/>
    <col min="2048" max="2048" width="6" style="7" customWidth="1"/>
    <col min="2049" max="2049" width="8.140625" style="7" customWidth="1"/>
    <col min="2050" max="2050" width="7.140625" style="7" customWidth="1"/>
    <col min="2051" max="2051" width="10.5703125" style="7" customWidth="1"/>
    <col min="2052" max="2052" width="12.140625" style="7" customWidth="1"/>
    <col min="2053" max="2053" width="4.42578125" style="7" customWidth="1"/>
    <col min="2054" max="2056" width="10.140625" style="7" customWidth="1"/>
    <col min="2057" max="2057" width="10.42578125" style="7" customWidth="1"/>
    <col min="2058" max="2058" width="9" style="7"/>
    <col min="2059" max="2059" width="17.5703125" style="7" customWidth="1"/>
    <col min="2060" max="2060" width="17.85546875" style="7" customWidth="1"/>
    <col min="2061" max="2061" width="19.140625" style="7" customWidth="1"/>
    <col min="2062" max="2064" width="19" style="7" customWidth="1"/>
    <col min="2065" max="2271" width="9" style="7"/>
    <col min="2272" max="2273" width="20.140625" style="7" customWidth="1"/>
    <col min="2274" max="2274" width="5.5703125" style="7" customWidth="1"/>
    <col min="2275" max="2275" width="6.42578125" style="7" customWidth="1"/>
    <col min="2276" max="2276" width="1.42578125" style="7" customWidth="1"/>
    <col min="2277" max="2288" width="0" style="7" hidden="1" customWidth="1"/>
    <col min="2289" max="2290" width="10.85546875" style="7" customWidth="1"/>
    <col min="2291" max="2291" width="4.140625" style="7" customWidth="1"/>
    <col min="2292" max="2292" width="7.42578125" style="7" customWidth="1"/>
    <col min="2293" max="2294" width="11.140625" style="7" customWidth="1"/>
    <col min="2295" max="2295" width="5.42578125" style="7" customWidth="1"/>
    <col min="2296" max="2296" width="10.85546875" style="7" customWidth="1"/>
    <col min="2297" max="2297" width="11.85546875" style="7" customWidth="1"/>
    <col min="2298" max="2298" width="4.42578125" style="7" customWidth="1"/>
    <col min="2299" max="2299" width="5.42578125" style="7" customWidth="1"/>
    <col min="2300" max="2300" width="7.85546875" style="7" customWidth="1"/>
    <col min="2301" max="2301" width="8.5703125" style="7" customWidth="1"/>
    <col min="2302" max="2302" width="12.5703125" style="7" customWidth="1"/>
    <col min="2303" max="2303" width="6.42578125" style="7" customWidth="1"/>
    <col min="2304" max="2304" width="6" style="7" customWidth="1"/>
    <col min="2305" max="2305" width="8.140625" style="7" customWidth="1"/>
    <col min="2306" max="2306" width="7.140625" style="7" customWidth="1"/>
    <col min="2307" max="2307" width="10.5703125" style="7" customWidth="1"/>
    <col min="2308" max="2308" width="12.140625" style="7" customWidth="1"/>
    <col min="2309" max="2309" width="4.42578125" style="7" customWidth="1"/>
    <col min="2310" max="2312" width="10.140625" style="7" customWidth="1"/>
    <col min="2313" max="2313" width="10.42578125" style="7" customWidth="1"/>
    <col min="2314" max="2314" width="9" style="7"/>
    <col min="2315" max="2315" width="17.5703125" style="7" customWidth="1"/>
    <col min="2316" max="2316" width="17.85546875" style="7" customWidth="1"/>
    <col min="2317" max="2317" width="19.140625" style="7" customWidth="1"/>
    <col min="2318" max="2320" width="19" style="7" customWidth="1"/>
    <col min="2321" max="2527" width="9" style="7"/>
    <col min="2528" max="2529" width="20.140625" style="7" customWidth="1"/>
    <col min="2530" max="2530" width="5.5703125" style="7" customWidth="1"/>
    <col min="2531" max="2531" width="6.42578125" style="7" customWidth="1"/>
    <col min="2532" max="2532" width="1.42578125" style="7" customWidth="1"/>
    <col min="2533" max="2544" width="0" style="7" hidden="1" customWidth="1"/>
    <col min="2545" max="2546" width="10.85546875" style="7" customWidth="1"/>
    <col min="2547" max="2547" width="4.140625" style="7" customWidth="1"/>
    <col min="2548" max="2548" width="7.42578125" style="7" customWidth="1"/>
    <col min="2549" max="2550" width="11.140625" style="7" customWidth="1"/>
    <col min="2551" max="2551" width="5.42578125" style="7" customWidth="1"/>
    <col min="2552" max="2552" width="10.85546875" style="7" customWidth="1"/>
    <col min="2553" max="2553" width="11.85546875" style="7" customWidth="1"/>
    <col min="2554" max="2554" width="4.42578125" style="7" customWidth="1"/>
    <col min="2555" max="2555" width="5.42578125" style="7" customWidth="1"/>
    <col min="2556" max="2556" width="7.85546875" style="7" customWidth="1"/>
    <col min="2557" max="2557" width="8.5703125" style="7" customWidth="1"/>
    <col min="2558" max="2558" width="12.5703125" style="7" customWidth="1"/>
    <col min="2559" max="2559" width="6.42578125" style="7" customWidth="1"/>
    <col min="2560" max="2560" width="6" style="7" customWidth="1"/>
    <col min="2561" max="2561" width="8.140625" style="7" customWidth="1"/>
    <col min="2562" max="2562" width="7.140625" style="7" customWidth="1"/>
    <col min="2563" max="2563" width="10.5703125" style="7" customWidth="1"/>
    <col min="2564" max="2564" width="12.140625" style="7" customWidth="1"/>
    <col min="2565" max="2565" width="4.42578125" style="7" customWidth="1"/>
    <col min="2566" max="2568" width="10.140625" style="7" customWidth="1"/>
    <col min="2569" max="2569" width="10.42578125" style="7" customWidth="1"/>
    <col min="2570" max="2570" width="9" style="7"/>
    <col min="2571" max="2571" width="17.5703125" style="7" customWidth="1"/>
    <col min="2572" max="2572" width="17.85546875" style="7" customWidth="1"/>
    <col min="2573" max="2573" width="19.140625" style="7" customWidth="1"/>
    <col min="2574" max="2576" width="19" style="7" customWidth="1"/>
    <col min="2577" max="2783" width="9" style="7"/>
    <col min="2784" max="2785" width="20.140625" style="7" customWidth="1"/>
    <col min="2786" max="2786" width="5.5703125" style="7" customWidth="1"/>
    <col min="2787" max="2787" width="6.42578125" style="7" customWidth="1"/>
    <col min="2788" max="2788" width="1.42578125" style="7" customWidth="1"/>
    <col min="2789" max="2800" width="0" style="7" hidden="1" customWidth="1"/>
    <col min="2801" max="2802" width="10.85546875" style="7" customWidth="1"/>
    <col min="2803" max="2803" width="4.140625" style="7" customWidth="1"/>
    <col min="2804" max="2804" width="7.42578125" style="7" customWidth="1"/>
    <col min="2805" max="2806" width="11.140625" style="7" customWidth="1"/>
    <col min="2807" max="2807" width="5.42578125" style="7" customWidth="1"/>
    <col min="2808" max="2808" width="10.85546875" style="7" customWidth="1"/>
    <col min="2809" max="2809" width="11.85546875" style="7" customWidth="1"/>
    <col min="2810" max="2810" width="4.42578125" style="7" customWidth="1"/>
    <col min="2811" max="2811" width="5.42578125" style="7" customWidth="1"/>
    <col min="2812" max="2812" width="7.85546875" style="7" customWidth="1"/>
    <col min="2813" max="2813" width="8.5703125" style="7" customWidth="1"/>
    <col min="2814" max="2814" width="12.5703125" style="7" customWidth="1"/>
    <col min="2815" max="2815" width="6.42578125" style="7" customWidth="1"/>
    <col min="2816" max="2816" width="6" style="7" customWidth="1"/>
    <col min="2817" max="2817" width="8.140625" style="7" customWidth="1"/>
    <col min="2818" max="2818" width="7.140625" style="7" customWidth="1"/>
    <col min="2819" max="2819" width="10.5703125" style="7" customWidth="1"/>
    <col min="2820" max="2820" width="12.140625" style="7" customWidth="1"/>
    <col min="2821" max="2821" width="4.42578125" style="7" customWidth="1"/>
    <col min="2822" max="2824" width="10.140625" style="7" customWidth="1"/>
    <col min="2825" max="2825" width="10.42578125" style="7" customWidth="1"/>
    <col min="2826" max="2826" width="9" style="7"/>
    <col min="2827" max="2827" width="17.5703125" style="7" customWidth="1"/>
    <col min="2828" max="2828" width="17.85546875" style="7" customWidth="1"/>
    <col min="2829" max="2829" width="19.140625" style="7" customWidth="1"/>
    <col min="2830" max="2832" width="19" style="7" customWidth="1"/>
    <col min="2833" max="3039" width="9" style="7"/>
    <col min="3040" max="3041" width="20.140625" style="7" customWidth="1"/>
    <col min="3042" max="3042" width="5.5703125" style="7" customWidth="1"/>
    <col min="3043" max="3043" width="6.42578125" style="7" customWidth="1"/>
    <col min="3044" max="3044" width="1.42578125" style="7" customWidth="1"/>
    <col min="3045" max="3056" width="0" style="7" hidden="1" customWidth="1"/>
    <col min="3057" max="3058" width="10.85546875" style="7" customWidth="1"/>
    <col min="3059" max="3059" width="4.140625" style="7" customWidth="1"/>
    <col min="3060" max="3060" width="7.42578125" style="7" customWidth="1"/>
    <col min="3061" max="3062" width="11.140625" style="7" customWidth="1"/>
    <col min="3063" max="3063" width="5.42578125" style="7" customWidth="1"/>
    <col min="3064" max="3064" width="10.85546875" style="7" customWidth="1"/>
    <col min="3065" max="3065" width="11.85546875" style="7" customWidth="1"/>
    <col min="3066" max="3066" width="4.42578125" style="7" customWidth="1"/>
    <col min="3067" max="3067" width="5.42578125" style="7" customWidth="1"/>
    <col min="3068" max="3068" width="7.85546875" style="7" customWidth="1"/>
    <col min="3069" max="3069" width="8.5703125" style="7" customWidth="1"/>
    <col min="3070" max="3070" width="12.5703125" style="7" customWidth="1"/>
    <col min="3071" max="3071" width="6.42578125" style="7" customWidth="1"/>
    <col min="3072" max="3072" width="6" style="7" customWidth="1"/>
    <col min="3073" max="3073" width="8.140625" style="7" customWidth="1"/>
    <col min="3074" max="3074" width="7.140625" style="7" customWidth="1"/>
    <col min="3075" max="3075" width="10.5703125" style="7" customWidth="1"/>
    <col min="3076" max="3076" width="12.140625" style="7" customWidth="1"/>
    <col min="3077" max="3077" width="4.42578125" style="7" customWidth="1"/>
    <col min="3078" max="3080" width="10.140625" style="7" customWidth="1"/>
    <col min="3081" max="3081" width="10.42578125" style="7" customWidth="1"/>
    <col min="3082" max="3082" width="9" style="7"/>
    <col min="3083" max="3083" width="17.5703125" style="7" customWidth="1"/>
    <col min="3084" max="3084" width="17.85546875" style="7" customWidth="1"/>
    <col min="3085" max="3085" width="19.140625" style="7" customWidth="1"/>
    <col min="3086" max="3088" width="19" style="7" customWidth="1"/>
    <col min="3089" max="3295" width="9" style="7"/>
    <col min="3296" max="3297" width="20.140625" style="7" customWidth="1"/>
    <col min="3298" max="3298" width="5.5703125" style="7" customWidth="1"/>
    <col min="3299" max="3299" width="6.42578125" style="7" customWidth="1"/>
    <col min="3300" max="3300" width="1.42578125" style="7" customWidth="1"/>
    <col min="3301" max="3312" width="0" style="7" hidden="1" customWidth="1"/>
    <col min="3313" max="3314" width="10.85546875" style="7" customWidth="1"/>
    <col min="3315" max="3315" width="4.140625" style="7" customWidth="1"/>
    <col min="3316" max="3316" width="7.42578125" style="7" customWidth="1"/>
    <col min="3317" max="3318" width="11.140625" style="7" customWidth="1"/>
    <col min="3319" max="3319" width="5.42578125" style="7" customWidth="1"/>
    <col min="3320" max="3320" width="10.85546875" style="7" customWidth="1"/>
    <col min="3321" max="3321" width="11.85546875" style="7" customWidth="1"/>
    <col min="3322" max="3322" width="4.42578125" style="7" customWidth="1"/>
    <col min="3323" max="3323" width="5.42578125" style="7" customWidth="1"/>
    <col min="3324" max="3324" width="7.85546875" style="7" customWidth="1"/>
    <col min="3325" max="3325" width="8.5703125" style="7" customWidth="1"/>
    <col min="3326" max="3326" width="12.5703125" style="7" customWidth="1"/>
    <col min="3327" max="3327" width="6.42578125" style="7" customWidth="1"/>
    <col min="3328" max="3328" width="6" style="7" customWidth="1"/>
    <col min="3329" max="3329" width="8.140625" style="7" customWidth="1"/>
    <col min="3330" max="3330" width="7.140625" style="7" customWidth="1"/>
    <col min="3331" max="3331" width="10.5703125" style="7" customWidth="1"/>
    <col min="3332" max="3332" width="12.140625" style="7" customWidth="1"/>
    <col min="3333" max="3333" width="4.42578125" style="7" customWidth="1"/>
    <col min="3334" max="3336" width="10.140625" style="7" customWidth="1"/>
    <col min="3337" max="3337" width="10.42578125" style="7" customWidth="1"/>
    <col min="3338" max="3338" width="9" style="7"/>
    <col min="3339" max="3339" width="17.5703125" style="7" customWidth="1"/>
    <col min="3340" max="3340" width="17.85546875" style="7" customWidth="1"/>
    <col min="3341" max="3341" width="19.140625" style="7" customWidth="1"/>
    <col min="3342" max="3344" width="19" style="7" customWidth="1"/>
    <col min="3345" max="3551" width="9" style="7"/>
    <col min="3552" max="3553" width="20.140625" style="7" customWidth="1"/>
    <col min="3554" max="3554" width="5.5703125" style="7" customWidth="1"/>
    <col min="3555" max="3555" width="6.42578125" style="7" customWidth="1"/>
    <col min="3556" max="3556" width="1.42578125" style="7" customWidth="1"/>
    <col min="3557" max="3568" width="0" style="7" hidden="1" customWidth="1"/>
    <col min="3569" max="3570" width="10.85546875" style="7" customWidth="1"/>
    <col min="3571" max="3571" width="4.140625" style="7" customWidth="1"/>
    <col min="3572" max="3572" width="7.42578125" style="7" customWidth="1"/>
    <col min="3573" max="3574" width="11.140625" style="7" customWidth="1"/>
    <col min="3575" max="3575" width="5.42578125" style="7" customWidth="1"/>
    <col min="3576" max="3576" width="10.85546875" style="7" customWidth="1"/>
    <col min="3577" max="3577" width="11.85546875" style="7" customWidth="1"/>
    <col min="3578" max="3578" width="4.42578125" style="7" customWidth="1"/>
    <col min="3579" max="3579" width="5.42578125" style="7" customWidth="1"/>
    <col min="3580" max="3580" width="7.85546875" style="7" customWidth="1"/>
    <col min="3581" max="3581" width="8.5703125" style="7" customWidth="1"/>
    <col min="3582" max="3582" width="12.5703125" style="7" customWidth="1"/>
    <col min="3583" max="3583" width="6.42578125" style="7" customWidth="1"/>
    <col min="3584" max="3584" width="6" style="7" customWidth="1"/>
    <col min="3585" max="3585" width="8.140625" style="7" customWidth="1"/>
    <col min="3586" max="3586" width="7.140625" style="7" customWidth="1"/>
    <col min="3587" max="3587" width="10.5703125" style="7" customWidth="1"/>
    <col min="3588" max="3588" width="12.140625" style="7" customWidth="1"/>
    <col min="3589" max="3589" width="4.42578125" style="7" customWidth="1"/>
    <col min="3590" max="3592" width="10.140625" style="7" customWidth="1"/>
    <col min="3593" max="3593" width="10.42578125" style="7" customWidth="1"/>
    <col min="3594" max="3594" width="9" style="7"/>
    <col min="3595" max="3595" width="17.5703125" style="7" customWidth="1"/>
    <col min="3596" max="3596" width="17.85546875" style="7" customWidth="1"/>
    <col min="3597" max="3597" width="19.140625" style="7" customWidth="1"/>
    <col min="3598" max="3600" width="19" style="7" customWidth="1"/>
    <col min="3601" max="3807" width="9" style="7"/>
    <col min="3808" max="3809" width="20.140625" style="7" customWidth="1"/>
    <col min="3810" max="3810" width="5.5703125" style="7" customWidth="1"/>
    <col min="3811" max="3811" width="6.42578125" style="7" customWidth="1"/>
    <col min="3812" max="3812" width="1.42578125" style="7" customWidth="1"/>
    <col min="3813" max="3824" width="0" style="7" hidden="1" customWidth="1"/>
    <col min="3825" max="3826" width="10.85546875" style="7" customWidth="1"/>
    <col min="3827" max="3827" width="4.140625" style="7" customWidth="1"/>
    <col min="3828" max="3828" width="7.42578125" style="7" customWidth="1"/>
    <col min="3829" max="3830" width="11.140625" style="7" customWidth="1"/>
    <col min="3831" max="3831" width="5.42578125" style="7" customWidth="1"/>
    <col min="3832" max="3832" width="10.85546875" style="7" customWidth="1"/>
    <col min="3833" max="3833" width="11.85546875" style="7" customWidth="1"/>
    <col min="3834" max="3834" width="4.42578125" style="7" customWidth="1"/>
    <col min="3835" max="3835" width="5.42578125" style="7" customWidth="1"/>
    <col min="3836" max="3836" width="7.85546875" style="7" customWidth="1"/>
    <col min="3837" max="3837" width="8.5703125" style="7" customWidth="1"/>
    <col min="3838" max="3838" width="12.5703125" style="7" customWidth="1"/>
    <col min="3839" max="3839" width="6.42578125" style="7" customWidth="1"/>
    <col min="3840" max="3840" width="6" style="7" customWidth="1"/>
    <col min="3841" max="3841" width="8.140625" style="7" customWidth="1"/>
    <col min="3842" max="3842" width="7.140625" style="7" customWidth="1"/>
    <col min="3843" max="3843" width="10.5703125" style="7" customWidth="1"/>
    <col min="3844" max="3844" width="12.140625" style="7" customWidth="1"/>
    <col min="3845" max="3845" width="4.42578125" style="7" customWidth="1"/>
    <col min="3846" max="3848" width="10.140625" style="7" customWidth="1"/>
    <col min="3849" max="3849" width="10.42578125" style="7" customWidth="1"/>
    <col min="3850" max="3850" width="9" style="7"/>
    <col min="3851" max="3851" width="17.5703125" style="7" customWidth="1"/>
    <col min="3852" max="3852" width="17.85546875" style="7" customWidth="1"/>
    <col min="3853" max="3853" width="19.140625" style="7" customWidth="1"/>
    <col min="3854" max="3856" width="19" style="7" customWidth="1"/>
    <col min="3857" max="4063" width="9" style="7"/>
    <col min="4064" max="4065" width="20.140625" style="7" customWidth="1"/>
    <col min="4066" max="4066" width="5.5703125" style="7" customWidth="1"/>
    <col min="4067" max="4067" width="6.42578125" style="7" customWidth="1"/>
    <col min="4068" max="4068" width="1.42578125" style="7" customWidth="1"/>
    <col min="4069" max="4080" width="0" style="7" hidden="1" customWidth="1"/>
    <col min="4081" max="4082" width="10.85546875" style="7" customWidth="1"/>
    <col min="4083" max="4083" width="4.140625" style="7" customWidth="1"/>
    <col min="4084" max="4084" width="7.42578125" style="7" customWidth="1"/>
    <col min="4085" max="4086" width="11.140625" style="7" customWidth="1"/>
    <col min="4087" max="4087" width="5.42578125" style="7" customWidth="1"/>
    <col min="4088" max="4088" width="10.85546875" style="7" customWidth="1"/>
    <col min="4089" max="4089" width="11.85546875" style="7" customWidth="1"/>
    <col min="4090" max="4090" width="4.42578125" style="7" customWidth="1"/>
    <col min="4091" max="4091" width="5.42578125" style="7" customWidth="1"/>
    <col min="4092" max="4092" width="7.85546875" style="7" customWidth="1"/>
    <col min="4093" max="4093" width="8.5703125" style="7" customWidth="1"/>
    <col min="4094" max="4094" width="12.5703125" style="7" customWidth="1"/>
    <col min="4095" max="4095" width="6.42578125" style="7" customWidth="1"/>
    <col min="4096" max="4096" width="6" style="7" customWidth="1"/>
    <col min="4097" max="4097" width="8.140625" style="7" customWidth="1"/>
    <col min="4098" max="4098" width="7.140625" style="7" customWidth="1"/>
    <col min="4099" max="4099" width="10.5703125" style="7" customWidth="1"/>
    <col min="4100" max="4100" width="12.140625" style="7" customWidth="1"/>
    <col min="4101" max="4101" width="4.42578125" style="7" customWidth="1"/>
    <col min="4102" max="4104" width="10.140625" style="7" customWidth="1"/>
    <col min="4105" max="4105" width="10.42578125" style="7" customWidth="1"/>
    <col min="4106" max="4106" width="9" style="7"/>
    <col min="4107" max="4107" width="17.5703125" style="7" customWidth="1"/>
    <col min="4108" max="4108" width="17.85546875" style="7" customWidth="1"/>
    <col min="4109" max="4109" width="19.140625" style="7" customWidth="1"/>
    <col min="4110" max="4112" width="19" style="7" customWidth="1"/>
    <col min="4113" max="4319" width="9" style="7"/>
    <col min="4320" max="4321" width="20.140625" style="7" customWidth="1"/>
    <col min="4322" max="4322" width="5.5703125" style="7" customWidth="1"/>
    <col min="4323" max="4323" width="6.42578125" style="7" customWidth="1"/>
    <col min="4324" max="4324" width="1.42578125" style="7" customWidth="1"/>
    <col min="4325" max="4336" width="0" style="7" hidden="1" customWidth="1"/>
    <col min="4337" max="4338" width="10.85546875" style="7" customWidth="1"/>
    <col min="4339" max="4339" width="4.140625" style="7" customWidth="1"/>
    <col min="4340" max="4340" width="7.42578125" style="7" customWidth="1"/>
    <col min="4341" max="4342" width="11.140625" style="7" customWidth="1"/>
    <col min="4343" max="4343" width="5.42578125" style="7" customWidth="1"/>
    <col min="4344" max="4344" width="10.85546875" style="7" customWidth="1"/>
    <col min="4345" max="4345" width="11.85546875" style="7" customWidth="1"/>
    <col min="4346" max="4346" width="4.42578125" style="7" customWidth="1"/>
    <col min="4347" max="4347" width="5.42578125" style="7" customWidth="1"/>
    <col min="4348" max="4348" width="7.85546875" style="7" customWidth="1"/>
    <col min="4349" max="4349" width="8.5703125" style="7" customWidth="1"/>
    <col min="4350" max="4350" width="12.5703125" style="7" customWidth="1"/>
    <col min="4351" max="4351" width="6.42578125" style="7" customWidth="1"/>
    <col min="4352" max="4352" width="6" style="7" customWidth="1"/>
    <col min="4353" max="4353" width="8.140625" style="7" customWidth="1"/>
    <col min="4354" max="4354" width="7.140625" style="7" customWidth="1"/>
    <col min="4355" max="4355" width="10.5703125" style="7" customWidth="1"/>
    <col min="4356" max="4356" width="12.140625" style="7" customWidth="1"/>
    <col min="4357" max="4357" width="4.42578125" style="7" customWidth="1"/>
    <col min="4358" max="4360" width="10.140625" style="7" customWidth="1"/>
    <col min="4361" max="4361" width="10.42578125" style="7" customWidth="1"/>
    <col min="4362" max="4362" width="9" style="7"/>
    <col min="4363" max="4363" width="17.5703125" style="7" customWidth="1"/>
    <col min="4364" max="4364" width="17.85546875" style="7" customWidth="1"/>
    <col min="4365" max="4365" width="19.140625" style="7" customWidth="1"/>
    <col min="4366" max="4368" width="19" style="7" customWidth="1"/>
    <col min="4369" max="4575" width="9" style="7"/>
    <col min="4576" max="4577" width="20.140625" style="7" customWidth="1"/>
    <col min="4578" max="4578" width="5.5703125" style="7" customWidth="1"/>
    <col min="4579" max="4579" width="6.42578125" style="7" customWidth="1"/>
    <col min="4580" max="4580" width="1.42578125" style="7" customWidth="1"/>
    <col min="4581" max="4592" width="0" style="7" hidden="1" customWidth="1"/>
    <col min="4593" max="4594" width="10.85546875" style="7" customWidth="1"/>
    <col min="4595" max="4595" width="4.140625" style="7" customWidth="1"/>
    <col min="4596" max="4596" width="7.42578125" style="7" customWidth="1"/>
    <col min="4597" max="4598" width="11.140625" style="7" customWidth="1"/>
    <col min="4599" max="4599" width="5.42578125" style="7" customWidth="1"/>
    <col min="4600" max="4600" width="10.85546875" style="7" customWidth="1"/>
    <col min="4601" max="4601" width="11.85546875" style="7" customWidth="1"/>
    <col min="4602" max="4602" width="4.42578125" style="7" customWidth="1"/>
    <col min="4603" max="4603" width="5.42578125" style="7" customWidth="1"/>
    <col min="4604" max="4604" width="7.85546875" style="7" customWidth="1"/>
    <col min="4605" max="4605" width="8.5703125" style="7" customWidth="1"/>
    <col min="4606" max="4606" width="12.5703125" style="7" customWidth="1"/>
    <col min="4607" max="4607" width="6.42578125" style="7" customWidth="1"/>
    <col min="4608" max="4608" width="6" style="7" customWidth="1"/>
    <col min="4609" max="4609" width="8.140625" style="7" customWidth="1"/>
    <col min="4610" max="4610" width="7.140625" style="7" customWidth="1"/>
    <col min="4611" max="4611" width="10.5703125" style="7" customWidth="1"/>
    <col min="4612" max="4612" width="12.140625" style="7" customWidth="1"/>
    <col min="4613" max="4613" width="4.42578125" style="7" customWidth="1"/>
    <col min="4614" max="4616" width="10.140625" style="7" customWidth="1"/>
    <col min="4617" max="4617" width="10.42578125" style="7" customWidth="1"/>
    <col min="4618" max="4618" width="9" style="7"/>
    <col min="4619" max="4619" width="17.5703125" style="7" customWidth="1"/>
    <col min="4620" max="4620" width="17.85546875" style="7" customWidth="1"/>
    <col min="4621" max="4621" width="19.140625" style="7" customWidth="1"/>
    <col min="4622" max="4624" width="19" style="7" customWidth="1"/>
    <col min="4625" max="4831" width="9" style="7"/>
    <col min="4832" max="4833" width="20.140625" style="7" customWidth="1"/>
    <col min="4834" max="4834" width="5.5703125" style="7" customWidth="1"/>
    <col min="4835" max="4835" width="6.42578125" style="7" customWidth="1"/>
    <col min="4836" max="4836" width="1.42578125" style="7" customWidth="1"/>
    <col min="4837" max="4848" width="0" style="7" hidden="1" customWidth="1"/>
    <col min="4849" max="4850" width="10.85546875" style="7" customWidth="1"/>
    <col min="4851" max="4851" width="4.140625" style="7" customWidth="1"/>
    <col min="4852" max="4852" width="7.42578125" style="7" customWidth="1"/>
    <col min="4853" max="4854" width="11.140625" style="7" customWidth="1"/>
    <col min="4855" max="4855" width="5.42578125" style="7" customWidth="1"/>
    <col min="4856" max="4856" width="10.85546875" style="7" customWidth="1"/>
    <col min="4857" max="4857" width="11.85546875" style="7" customWidth="1"/>
    <col min="4858" max="4858" width="4.42578125" style="7" customWidth="1"/>
    <col min="4859" max="4859" width="5.42578125" style="7" customWidth="1"/>
    <col min="4860" max="4860" width="7.85546875" style="7" customWidth="1"/>
    <col min="4861" max="4861" width="8.5703125" style="7" customWidth="1"/>
    <col min="4862" max="4862" width="12.5703125" style="7" customWidth="1"/>
    <col min="4863" max="4863" width="6.42578125" style="7" customWidth="1"/>
    <col min="4864" max="4864" width="6" style="7" customWidth="1"/>
    <col min="4865" max="4865" width="8.140625" style="7" customWidth="1"/>
    <col min="4866" max="4866" width="7.140625" style="7" customWidth="1"/>
    <col min="4867" max="4867" width="10.5703125" style="7" customWidth="1"/>
    <col min="4868" max="4868" width="12.140625" style="7" customWidth="1"/>
    <col min="4869" max="4869" width="4.42578125" style="7" customWidth="1"/>
    <col min="4870" max="4872" width="10.140625" style="7" customWidth="1"/>
    <col min="4873" max="4873" width="10.42578125" style="7" customWidth="1"/>
    <col min="4874" max="4874" width="9" style="7"/>
    <col min="4875" max="4875" width="17.5703125" style="7" customWidth="1"/>
    <col min="4876" max="4876" width="17.85546875" style="7" customWidth="1"/>
    <col min="4877" max="4877" width="19.140625" style="7" customWidth="1"/>
    <col min="4878" max="4880" width="19" style="7" customWidth="1"/>
    <col min="4881" max="5087" width="9" style="7"/>
    <col min="5088" max="5089" width="20.140625" style="7" customWidth="1"/>
    <col min="5090" max="5090" width="5.5703125" style="7" customWidth="1"/>
    <col min="5091" max="5091" width="6.42578125" style="7" customWidth="1"/>
    <col min="5092" max="5092" width="1.42578125" style="7" customWidth="1"/>
    <col min="5093" max="5104" width="0" style="7" hidden="1" customWidth="1"/>
    <col min="5105" max="5106" width="10.85546875" style="7" customWidth="1"/>
    <col min="5107" max="5107" width="4.140625" style="7" customWidth="1"/>
    <col min="5108" max="5108" width="7.42578125" style="7" customWidth="1"/>
    <col min="5109" max="5110" width="11.140625" style="7" customWidth="1"/>
    <col min="5111" max="5111" width="5.42578125" style="7" customWidth="1"/>
    <col min="5112" max="5112" width="10.85546875" style="7" customWidth="1"/>
    <col min="5113" max="5113" width="11.85546875" style="7" customWidth="1"/>
    <col min="5114" max="5114" width="4.42578125" style="7" customWidth="1"/>
    <col min="5115" max="5115" width="5.42578125" style="7" customWidth="1"/>
    <col min="5116" max="5116" width="7.85546875" style="7" customWidth="1"/>
    <col min="5117" max="5117" width="8.5703125" style="7" customWidth="1"/>
    <col min="5118" max="5118" width="12.5703125" style="7" customWidth="1"/>
    <col min="5119" max="5119" width="6.42578125" style="7" customWidth="1"/>
    <col min="5120" max="5120" width="6" style="7" customWidth="1"/>
    <col min="5121" max="5121" width="8.140625" style="7" customWidth="1"/>
    <col min="5122" max="5122" width="7.140625" style="7" customWidth="1"/>
    <col min="5123" max="5123" width="10.5703125" style="7" customWidth="1"/>
    <col min="5124" max="5124" width="12.140625" style="7" customWidth="1"/>
    <col min="5125" max="5125" width="4.42578125" style="7" customWidth="1"/>
    <col min="5126" max="5128" width="10.140625" style="7" customWidth="1"/>
    <col min="5129" max="5129" width="10.42578125" style="7" customWidth="1"/>
    <col min="5130" max="5130" width="9" style="7"/>
    <col min="5131" max="5131" width="17.5703125" style="7" customWidth="1"/>
    <col min="5132" max="5132" width="17.85546875" style="7" customWidth="1"/>
    <col min="5133" max="5133" width="19.140625" style="7" customWidth="1"/>
    <col min="5134" max="5136" width="19" style="7" customWidth="1"/>
    <col min="5137" max="5343" width="9" style="7"/>
    <col min="5344" max="5345" width="20.140625" style="7" customWidth="1"/>
    <col min="5346" max="5346" width="5.5703125" style="7" customWidth="1"/>
    <col min="5347" max="5347" width="6.42578125" style="7" customWidth="1"/>
    <col min="5348" max="5348" width="1.42578125" style="7" customWidth="1"/>
    <col min="5349" max="5360" width="0" style="7" hidden="1" customWidth="1"/>
    <col min="5361" max="5362" width="10.85546875" style="7" customWidth="1"/>
    <col min="5363" max="5363" width="4.140625" style="7" customWidth="1"/>
    <col min="5364" max="5364" width="7.42578125" style="7" customWidth="1"/>
    <col min="5365" max="5366" width="11.140625" style="7" customWidth="1"/>
    <col min="5367" max="5367" width="5.42578125" style="7" customWidth="1"/>
    <col min="5368" max="5368" width="10.85546875" style="7" customWidth="1"/>
    <col min="5369" max="5369" width="11.85546875" style="7" customWidth="1"/>
    <col min="5370" max="5370" width="4.42578125" style="7" customWidth="1"/>
    <col min="5371" max="5371" width="5.42578125" style="7" customWidth="1"/>
    <col min="5372" max="5372" width="7.85546875" style="7" customWidth="1"/>
    <col min="5373" max="5373" width="8.5703125" style="7" customWidth="1"/>
    <col min="5374" max="5374" width="12.5703125" style="7" customWidth="1"/>
    <col min="5375" max="5375" width="6.42578125" style="7" customWidth="1"/>
    <col min="5376" max="5376" width="6" style="7" customWidth="1"/>
    <col min="5377" max="5377" width="8.140625" style="7" customWidth="1"/>
    <col min="5378" max="5378" width="7.140625" style="7" customWidth="1"/>
    <col min="5379" max="5379" width="10.5703125" style="7" customWidth="1"/>
    <col min="5380" max="5380" width="12.140625" style="7" customWidth="1"/>
    <col min="5381" max="5381" width="4.42578125" style="7" customWidth="1"/>
    <col min="5382" max="5384" width="10.140625" style="7" customWidth="1"/>
    <col min="5385" max="5385" width="10.42578125" style="7" customWidth="1"/>
    <col min="5386" max="5386" width="9" style="7"/>
    <col min="5387" max="5387" width="17.5703125" style="7" customWidth="1"/>
    <col min="5388" max="5388" width="17.85546875" style="7" customWidth="1"/>
    <col min="5389" max="5389" width="19.140625" style="7" customWidth="1"/>
    <col min="5390" max="5392" width="19" style="7" customWidth="1"/>
    <col min="5393" max="5599" width="9" style="7"/>
    <col min="5600" max="5601" width="20.140625" style="7" customWidth="1"/>
    <col min="5602" max="5602" width="5.5703125" style="7" customWidth="1"/>
    <col min="5603" max="5603" width="6.42578125" style="7" customWidth="1"/>
    <col min="5604" max="5604" width="1.42578125" style="7" customWidth="1"/>
    <col min="5605" max="5616" width="0" style="7" hidden="1" customWidth="1"/>
    <col min="5617" max="5618" width="10.85546875" style="7" customWidth="1"/>
    <col min="5619" max="5619" width="4.140625" style="7" customWidth="1"/>
    <col min="5620" max="5620" width="7.42578125" style="7" customWidth="1"/>
    <col min="5621" max="5622" width="11.140625" style="7" customWidth="1"/>
    <col min="5623" max="5623" width="5.42578125" style="7" customWidth="1"/>
    <col min="5624" max="5624" width="10.85546875" style="7" customWidth="1"/>
    <col min="5625" max="5625" width="11.85546875" style="7" customWidth="1"/>
    <col min="5626" max="5626" width="4.42578125" style="7" customWidth="1"/>
    <col min="5627" max="5627" width="5.42578125" style="7" customWidth="1"/>
    <col min="5628" max="5628" width="7.85546875" style="7" customWidth="1"/>
    <col min="5629" max="5629" width="8.5703125" style="7" customWidth="1"/>
    <col min="5630" max="5630" width="12.5703125" style="7" customWidth="1"/>
    <col min="5631" max="5631" width="6.42578125" style="7" customWidth="1"/>
    <col min="5632" max="5632" width="6" style="7" customWidth="1"/>
    <col min="5633" max="5633" width="8.140625" style="7" customWidth="1"/>
    <col min="5634" max="5634" width="7.140625" style="7" customWidth="1"/>
    <col min="5635" max="5635" width="10.5703125" style="7" customWidth="1"/>
    <col min="5636" max="5636" width="12.140625" style="7" customWidth="1"/>
    <col min="5637" max="5637" width="4.42578125" style="7" customWidth="1"/>
    <col min="5638" max="5640" width="10.140625" style="7" customWidth="1"/>
    <col min="5641" max="5641" width="10.42578125" style="7" customWidth="1"/>
    <col min="5642" max="5642" width="9" style="7"/>
    <col min="5643" max="5643" width="17.5703125" style="7" customWidth="1"/>
    <col min="5644" max="5644" width="17.85546875" style="7" customWidth="1"/>
    <col min="5645" max="5645" width="19.140625" style="7" customWidth="1"/>
    <col min="5646" max="5648" width="19" style="7" customWidth="1"/>
    <col min="5649" max="5855" width="9" style="7"/>
    <col min="5856" max="5857" width="20.140625" style="7" customWidth="1"/>
    <col min="5858" max="5858" width="5.5703125" style="7" customWidth="1"/>
    <col min="5859" max="5859" width="6.42578125" style="7" customWidth="1"/>
    <col min="5860" max="5860" width="1.42578125" style="7" customWidth="1"/>
    <col min="5861" max="5872" width="0" style="7" hidden="1" customWidth="1"/>
    <col min="5873" max="5874" width="10.85546875" style="7" customWidth="1"/>
    <col min="5875" max="5875" width="4.140625" style="7" customWidth="1"/>
    <col min="5876" max="5876" width="7.42578125" style="7" customWidth="1"/>
    <col min="5877" max="5878" width="11.140625" style="7" customWidth="1"/>
    <col min="5879" max="5879" width="5.42578125" style="7" customWidth="1"/>
    <col min="5880" max="5880" width="10.85546875" style="7" customWidth="1"/>
    <col min="5881" max="5881" width="11.85546875" style="7" customWidth="1"/>
    <col min="5882" max="5882" width="4.42578125" style="7" customWidth="1"/>
    <col min="5883" max="5883" width="5.42578125" style="7" customWidth="1"/>
    <col min="5884" max="5884" width="7.85546875" style="7" customWidth="1"/>
    <col min="5885" max="5885" width="8.5703125" style="7" customWidth="1"/>
    <col min="5886" max="5886" width="12.5703125" style="7" customWidth="1"/>
    <col min="5887" max="5887" width="6.42578125" style="7" customWidth="1"/>
    <col min="5888" max="5888" width="6" style="7" customWidth="1"/>
    <col min="5889" max="5889" width="8.140625" style="7" customWidth="1"/>
    <col min="5890" max="5890" width="7.140625" style="7" customWidth="1"/>
    <col min="5891" max="5891" width="10.5703125" style="7" customWidth="1"/>
    <col min="5892" max="5892" width="12.140625" style="7" customWidth="1"/>
    <col min="5893" max="5893" width="4.42578125" style="7" customWidth="1"/>
    <col min="5894" max="5896" width="10.140625" style="7" customWidth="1"/>
    <col min="5897" max="5897" width="10.42578125" style="7" customWidth="1"/>
    <col min="5898" max="5898" width="9" style="7"/>
    <col min="5899" max="5899" width="17.5703125" style="7" customWidth="1"/>
    <col min="5900" max="5900" width="17.85546875" style="7" customWidth="1"/>
    <col min="5901" max="5901" width="19.140625" style="7" customWidth="1"/>
    <col min="5902" max="5904" width="19" style="7" customWidth="1"/>
    <col min="5905" max="6111" width="9" style="7"/>
    <col min="6112" max="6113" width="20.140625" style="7" customWidth="1"/>
    <col min="6114" max="6114" width="5.5703125" style="7" customWidth="1"/>
    <col min="6115" max="6115" width="6.42578125" style="7" customWidth="1"/>
    <col min="6116" max="6116" width="1.42578125" style="7" customWidth="1"/>
    <col min="6117" max="6128" width="0" style="7" hidden="1" customWidth="1"/>
    <col min="6129" max="6130" width="10.85546875" style="7" customWidth="1"/>
    <col min="6131" max="6131" width="4.140625" style="7" customWidth="1"/>
    <col min="6132" max="6132" width="7.42578125" style="7" customWidth="1"/>
    <col min="6133" max="6134" width="11.140625" style="7" customWidth="1"/>
    <col min="6135" max="6135" width="5.42578125" style="7" customWidth="1"/>
    <col min="6136" max="6136" width="10.85546875" style="7" customWidth="1"/>
    <col min="6137" max="6137" width="11.85546875" style="7" customWidth="1"/>
    <col min="6138" max="6138" width="4.42578125" style="7" customWidth="1"/>
    <col min="6139" max="6139" width="5.42578125" style="7" customWidth="1"/>
    <col min="6140" max="6140" width="7.85546875" style="7" customWidth="1"/>
    <col min="6141" max="6141" width="8.5703125" style="7" customWidth="1"/>
    <col min="6142" max="6142" width="12.5703125" style="7" customWidth="1"/>
    <col min="6143" max="6143" width="6.42578125" style="7" customWidth="1"/>
    <col min="6144" max="6144" width="6" style="7" customWidth="1"/>
    <col min="6145" max="6145" width="8.140625" style="7" customWidth="1"/>
    <col min="6146" max="6146" width="7.140625" style="7" customWidth="1"/>
    <col min="6147" max="6147" width="10.5703125" style="7" customWidth="1"/>
    <col min="6148" max="6148" width="12.140625" style="7" customWidth="1"/>
    <col min="6149" max="6149" width="4.42578125" style="7" customWidth="1"/>
    <col min="6150" max="6152" width="10.140625" style="7" customWidth="1"/>
    <col min="6153" max="6153" width="10.42578125" style="7" customWidth="1"/>
    <col min="6154" max="6154" width="9" style="7"/>
    <col min="6155" max="6155" width="17.5703125" style="7" customWidth="1"/>
    <col min="6156" max="6156" width="17.85546875" style="7" customWidth="1"/>
    <col min="6157" max="6157" width="19.140625" style="7" customWidth="1"/>
    <col min="6158" max="6160" width="19" style="7" customWidth="1"/>
    <col min="6161" max="6367" width="9" style="7"/>
    <col min="6368" max="6369" width="20.140625" style="7" customWidth="1"/>
    <col min="6370" max="6370" width="5.5703125" style="7" customWidth="1"/>
    <col min="6371" max="6371" width="6.42578125" style="7" customWidth="1"/>
    <col min="6372" max="6372" width="1.42578125" style="7" customWidth="1"/>
    <col min="6373" max="6384" width="0" style="7" hidden="1" customWidth="1"/>
    <col min="6385" max="6386" width="10.85546875" style="7" customWidth="1"/>
    <col min="6387" max="6387" width="4.140625" style="7" customWidth="1"/>
    <col min="6388" max="6388" width="7.42578125" style="7" customWidth="1"/>
    <col min="6389" max="6390" width="11.140625" style="7" customWidth="1"/>
    <col min="6391" max="6391" width="5.42578125" style="7" customWidth="1"/>
    <col min="6392" max="6392" width="10.85546875" style="7" customWidth="1"/>
    <col min="6393" max="6393" width="11.85546875" style="7" customWidth="1"/>
    <col min="6394" max="6394" width="4.42578125" style="7" customWidth="1"/>
    <col min="6395" max="6395" width="5.42578125" style="7" customWidth="1"/>
    <col min="6396" max="6396" width="7.85546875" style="7" customWidth="1"/>
    <col min="6397" max="6397" width="8.5703125" style="7" customWidth="1"/>
    <col min="6398" max="6398" width="12.5703125" style="7" customWidth="1"/>
    <col min="6399" max="6399" width="6.42578125" style="7" customWidth="1"/>
    <col min="6400" max="6400" width="6" style="7" customWidth="1"/>
    <col min="6401" max="6401" width="8.140625" style="7" customWidth="1"/>
    <col min="6402" max="6402" width="7.140625" style="7" customWidth="1"/>
    <col min="6403" max="6403" width="10.5703125" style="7" customWidth="1"/>
    <col min="6404" max="6404" width="12.140625" style="7" customWidth="1"/>
    <col min="6405" max="6405" width="4.42578125" style="7" customWidth="1"/>
    <col min="6406" max="6408" width="10.140625" style="7" customWidth="1"/>
    <col min="6409" max="6409" width="10.42578125" style="7" customWidth="1"/>
    <col min="6410" max="6410" width="9" style="7"/>
    <col min="6411" max="6411" width="17.5703125" style="7" customWidth="1"/>
    <col min="6412" max="6412" width="17.85546875" style="7" customWidth="1"/>
    <col min="6413" max="6413" width="19.140625" style="7" customWidth="1"/>
    <col min="6414" max="6416" width="19" style="7" customWidth="1"/>
    <col min="6417" max="6623" width="9" style="7"/>
    <col min="6624" max="6625" width="20.140625" style="7" customWidth="1"/>
    <col min="6626" max="6626" width="5.5703125" style="7" customWidth="1"/>
    <col min="6627" max="6627" width="6.42578125" style="7" customWidth="1"/>
    <col min="6628" max="6628" width="1.42578125" style="7" customWidth="1"/>
    <col min="6629" max="6640" width="0" style="7" hidden="1" customWidth="1"/>
    <col min="6641" max="6642" width="10.85546875" style="7" customWidth="1"/>
    <col min="6643" max="6643" width="4.140625" style="7" customWidth="1"/>
    <col min="6644" max="6644" width="7.42578125" style="7" customWidth="1"/>
    <col min="6645" max="6646" width="11.140625" style="7" customWidth="1"/>
    <col min="6647" max="6647" width="5.42578125" style="7" customWidth="1"/>
    <col min="6648" max="6648" width="10.85546875" style="7" customWidth="1"/>
    <col min="6649" max="6649" width="11.85546875" style="7" customWidth="1"/>
    <col min="6650" max="6650" width="4.42578125" style="7" customWidth="1"/>
    <col min="6651" max="6651" width="5.42578125" style="7" customWidth="1"/>
    <col min="6652" max="6652" width="7.85546875" style="7" customWidth="1"/>
    <col min="6653" max="6653" width="8.5703125" style="7" customWidth="1"/>
    <col min="6654" max="6654" width="12.5703125" style="7" customWidth="1"/>
    <col min="6655" max="6655" width="6.42578125" style="7" customWidth="1"/>
    <col min="6656" max="6656" width="6" style="7" customWidth="1"/>
    <col min="6657" max="6657" width="8.140625" style="7" customWidth="1"/>
    <col min="6658" max="6658" width="7.140625" style="7" customWidth="1"/>
    <col min="6659" max="6659" width="10.5703125" style="7" customWidth="1"/>
    <col min="6660" max="6660" width="12.140625" style="7" customWidth="1"/>
    <col min="6661" max="6661" width="4.42578125" style="7" customWidth="1"/>
    <col min="6662" max="6664" width="10.140625" style="7" customWidth="1"/>
    <col min="6665" max="6665" width="10.42578125" style="7" customWidth="1"/>
    <col min="6666" max="6666" width="9" style="7"/>
    <col min="6667" max="6667" width="17.5703125" style="7" customWidth="1"/>
    <col min="6668" max="6668" width="17.85546875" style="7" customWidth="1"/>
    <col min="6669" max="6669" width="19.140625" style="7" customWidth="1"/>
    <col min="6670" max="6672" width="19" style="7" customWidth="1"/>
    <col min="6673" max="6879" width="9" style="7"/>
    <col min="6880" max="6881" width="20.140625" style="7" customWidth="1"/>
    <col min="6882" max="6882" width="5.5703125" style="7" customWidth="1"/>
    <col min="6883" max="6883" width="6.42578125" style="7" customWidth="1"/>
    <col min="6884" max="6884" width="1.42578125" style="7" customWidth="1"/>
    <col min="6885" max="6896" width="0" style="7" hidden="1" customWidth="1"/>
    <col min="6897" max="6898" width="10.85546875" style="7" customWidth="1"/>
    <col min="6899" max="6899" width="4.140625" style="7" customWidth="1"/>
    <col min="6900" max="6900" width="7.42578125" style="7" customWidth="1"/>
    <col min="6901" max="6902" width="11.140625" style="7" customWidth="1"/>
    <col min="6903" max="6903" width="5.42578125" style="7" customWidth="1"/>
    <col min="6904" max="6904" width="10.85546875" style="7" customWidth="1"/>
    <col min="6905" max="6905" width="11.85546875" style="7" customWidth="1"/>
    <col min="6906" max="6906" width="4.42578125" style="7" customWidth="1"/>
    <col min="6907" max="6907" width="5.42578125" style="7" customWidth="1"/>
    <col min="6908" max="6908" width="7.85546875" style="7" customWidth="1"/>
    <col min="6909" max="6909" width="8.5703125" style="7" customWidth="1"/>
    <col min="6910" max="6910" width="12.5703125" style="7" customWidth="1"/>
    <col min="6911" max="6911" width="6.42578125" style="7" customWidth="1"/>
    <col min="6912" max="6912" width="6" style="7" customWidth="1"/>
    <col min="6913" max="6913" width="8.140625" style="7" customWidth="1"/>
    <col min="6914" max="6914" width="7.140625" style="7" customWidth="1"/>
    <col min="6915" max="6915" width="10.5703125" style="7" customWidth="1"/>
    <col min="6916" max="6916" width="12.140625" style="7" customWidth="1"/>
    <col min="6917" max="6917" width="4.42578125" style="7" customWidth="1"/>
    <col min="6918" max="6920" width="10.140625" style="7" customWidth="1"/>
    <col min="6921" max="6921" width="10.42578125" style="7" customWidth="1"/>
    <col min="6922" max="6922" width="9" style="7"/>
    <col min="6923" max="6923" width="17.5703125" style="7" customWidth="1"/>
    <col min="6924" max="6924" width="17.85546875" style="7" customWidth="1"/>
    <col min="6925" max="6925" width="19.140625" style="7" customWidth="1"/>
    <col min="6926" max="6928" width="19" style="7" customWidth="1"/>
    <col min="6929" max="7135" width="9" style="7"/>
    <col min="7136" max="7137" width="20.140625" style="7" customWidth="1"/>
    <col min="7138" max="7138" width="5.5703125" style="7" customWidth="1"/>
    <col min="7139" max="7139" width="6.42578125" style="7" customWidth="1"/>
    <col min="7140" max="7140" width="1.42578125" style="7" customWidth="1"/>
    <col min="7141" max="7152" width="0" style="7" hidden="1" customWidth="1"/>
    <col min="7153" max="7154" width="10.85546875" style="7" customWidth="1"/>
    <col min="7155" max="7155" width="4.140625" style="7" customWidth="1"/>
    <col min="7156" max="7156" width="7.42578125" style="7" customWidth="1"/>
    <col min="7157" max="7158" width="11.140625" style="7" customWidth="1"/>
    <col min="7159" max="7159" width="5.42578125" style="7" customWidth="1"/>
    <col min="7160" max="7160" width="10.85546875" style="7" customWidth="1"/>
    <col min="7161" max="7161" width="11.85546875" style="7" customWidth="1"/>
    <col min="7162" max="7162" width="4.42578125" style="7" customWidth="1"/>
    <col min="7163" max="7163" width="5.42578125" style="7" customWidth="1"/>
    <col min="7164" max="7164" width="7.85546875" style="7" customWidth="1"/>
    <col min="7165" max="7165" width="8.5703125" style="7" customWidth="1"/>
    <col min="7166" max="7166" width="12.5703125" style="7" customWidth="1"/>
    <col min="7167" max="7167" width="6.42578125" style="7" customWidth="1"/>
    <col min="7168" max="7168" width="6" style="7" customWidth="1"/>
    <col min="7169" max="7169" width="8.140625" style="7" customWidth="1"/>
    <col min="7170" max="7170" width="7.140625" style="7" customWidth="1"/>
    <col min="7171" max="7171" width="10.5703125" style="7" customWidth="1"/>
    <col min="7172" max="7172" width="12.140625" style="7" customWidth="1"/>
    <col min="7173" max="7173" width="4.42578125" style="7" customWidth="1"/>
    <col min="7174" max="7176" width="10.140625" style="7" customWidth="1"/>
    <col min="7177" max="7177" width="10.42578125" style="7" customWidth="1"/>
    <col min="7178" max="7178" width="9" style="7"/>
    <col min="7179" max="7179" width="17.5703125" style="7" customWidth="1"/>
    <col min="7180" max="7180" width="17.85546875" style="7" customWidth="1"/>
    <col min="7181" max="7181" width="19.140625" style="7" customWidth="1"/>
    <col min="7182" max="7184" width="19" style="7" customWidth="1"/>
    <col min="7185" max="7391" width="9" style="7"/>
    <col min="7392" max="7393" width="20.140625" style="7" customWidth="1"/>
    <col min="7394" max="7394" width="5.5703125" style="7" customWidth="1"/>
    <col min="7395" max="7395" width="6.42578125" style="7" customWidth="1"/>
    <col min="7396" max="7396" width="1.42578125" style="7" customWidth="1"/>
    <col min="7397" max="7408" width="0" style="7" hidden="1" customWidth="1"/>
    <col min="7409" max="7410" width="10.85546875" style="7" customWidth="1"/>
    <col min="7411" max="7411" width="4.140625" style="7" customWidth="1"/>
    <col min="7412" max="7412" width="7.42578125" style="7" customWidth="1"/>
    <col min="7413" max="7414" width="11.140625" style="7" customWidth="1"/>
    <col min="7415" max="7415" width="5.42578125" style="7" customWidth="1"/>
    <col min="7416" max="7416" width="10.85546875" style="7" customWidth="1"/>
    <col min="7417" max="7417" width="11.85546875" style="7" customWidth="1"/>
    <col min="7418" max="7418" width="4.42578125" style="7" customWidth="1"/>
    <col min="7419" max="7419" width="5.42578125" style="7" customWidth="1"/>
    <col min="7420" max="7420" width="7.85546875" style="7" customWidth="1"/>
    <col min="7421" max="7421" width="8.5703125" style="7" customWidth="1"/>
    <col min="7422" max="7422" width="12.5703125" style="7" customWidth="1"/>
    <col min="7423" max="7423" width="6.42578125" style="7" customWidth="1"/>
    <col min="7424" max="7424" width="6" style="7" customWidth="1"/>
    <col min="7425" max="7425" width="8.140625" style="7" customWidth="1"/>
    <col min="7426" max="7426" width="7.140625" style="7" customWidth="1"/>
    <col min="7427" max="7427" width="10.5703125" style="7" customWidth="1"/>
    <col min="7428" max="7428" width="12.140625" style="7" customWidth="1"/>
    <col min="7429" max="7429" width="4.42578125" style="7" customWidth="1"/>
    <col min="7430" max="7432" width="10.140625" style="7" customWidth="1"/>
    <col min="7433" max="7433" width="10.42578125" style="7" customWidth="1"/>
    <col min="7434" max="7434" width="9" style="7"/>
    <col min="7435" max="7435" width="17.5703125" style="7" customWidth="1"/>
    <col min="7436" max="7436" width="17.85546875" style="7" customWidth="1"/>
    <col min="7437" max="7437" width="19.140625" style="7" customWidth="1"/>
    <col min="7438" max="7440" width="19" style="7" customWidth="1"/>
    <col min="7441" max="7647" width="9" style="7"/>
    <col min="7648" max="7649" width="20.140625" style="7" customWidth="1"/>
    <col min="7650" max="7650" width="5.5703125" style="7" customWidth="1"/>
    <col min="7651" max="7651" width="6.42578125" style="7" customWidth="1"/>
    <col min="7652" max="7652" width="1.42578125" style="7" customWidth="1"/>
    <col min="7653" max="7664" width="0" style="7" hidden="1" customWidth="1"/>
    <col min="7665" max="7666" width="10.85546875" style="7" customWidth="1"/>
    <col min="7667" max="7667" width="4.140625" style="7" customWidth="1"/>
    <col min="7668" max="7668" width="7.42578125" style="7" customWidth="1"/>
    <col min="7669" max="7670" width="11.140625" style="7" customWidth="1"/>
    <col min="7671" max="7671" width="5.42578125" style="7" customWidth="1"/>
    <col min="7672" max="7672" width="10.85546875" style="7" customWidth="1"/>
    <col min="7673" max="7673" width="11.85546875" style="7" customWidth="1"/>
    <col min="7674" max="7674" width="4.42578125" style="7" customWidth="1"/>
    <col min="7675" max="7675" width="5.42578125" style="7" customWidth="1"/>
    <col min="7676" max="7676" width="7.85546875" style="7" customWidth="1"/>
    <col min="7677" max="7677" width="8.5703125" style="7" customWidth="1"/>
    <col min="7678" max="7678" width="12.5703125" style="7" customWidth="1"/>
    <col min="7679" max="7679" width="6.42578125" style="7" customWidth="1"/>
    <col min="7680" max="7680" width="6" style="7" customWidth="1"/>
    <col min="7681" max="7681" width="8.140625" style="7" customWidth="1"/>
    <col min="7682" max="7682" width="7.140625" style="7" customWidth="1"/>
    <col min="7683" max="7683" width="10.5703125" style="7" customWidth="1"/>
    <col min="7684" max="7684" width="12.140625" style="7" customWidth="1"/>
    <col min="7685" max="7685" width="4.42578125" style="7" customWidth="1"/>
    <col min="7686" max="7688" width="10.140625" style="7" customWidth="1"/>
    <col min="7689" max="7689" width="10.42578125" style="7" customWidth="1"/>
    <col min="7690" max="7690" width="9" style="7"/>
    <col min="7691" max="7691" width="17.5703125" style="7" customWidth="1"/>
    <col min="7692" max="7692" width="17.85546875" style="7" customWidth="1"/>
    <col min="7693" max="7693" width="19.140625" style="7" customWidth="1"/>
    <col min="7694" max="7696" width="19" style="7" customWidth="1"/>
    <col min="7697" max="7903" width="9" style="7"/>
    <col min="7904" max="7905" width="20.140625" style="7" customWidth="1"/>
    <col min="7906" max="7906" width="5.5703125" style="7" customWidth="1"/>
    <col min="7907" max="7907" width="6.42578125" style="7" customWidth="1"/>
    <col min="7908" max="7908" width="1.42578125" style="7" customWidth="1"/>
    <col min="7909" max="7920" width="0" style="7" hidden="1" customWidth="1"/>
    <col min="7921" max="7922" width="10.85546875" style="7" customWidth="1"/>
    <col min="7923" max="7923" width="4.140625" style="7" customWidth="1"/>
    <col min="7924" max="7924" width="7.42578125" style="7" customWidth="1"/>
    <col min="7925" max="7926" width="11.140625" style="7" customWidth="1"/>
    <col min="7927" max="7927" width="5.42578125" style="7" customWidth="1"/>
    <col min="7928" max="7928" width="10.85546875" style="7" customWidth="1"/>
    <col min="7929" max="7929" width="11.85546875" style="7" customWidth="1"/>
    <col min="7930" max="7930" width="4.42578125" style="7" customWidth="1"/>
    <col min="7931" max="7931" width="5.42578125" style="7" customWidth="1"/>
    <col min="7932" max="7932" width="7.85546875" style="7" customWidth="1"/>
    <col min="7933" max="7933" width="8.5703125" style="7" customWidth="1"/>
    <col min="7934" max="7934" width="12.5703125" style="7" customWidth="1"/>
    <col min="7935" max="7935" width="6.42578125" style="7" customWidth="1"/>
    <col min="7936" max="7936" width="6" style="7" customWidth="1"/>
    <col min="7937" max="7937" width="8.140625" style="7" customWidth="1"/>
    <col min="7938" max="7938" width="7.140625" style="7" customWidth="1"/>
    <col min="7939" max="7939" width="10.5703125" style="7" customWidth="1"/>
    <col min="7940" max="7940" width="12.140625" style="7" customWidth="1"/>
    <col min="7941" max="7941" width="4.42578125" style="7" customWidth="1"/>
    <col min="7942" max="7944" width="10.140625" style="7" customWidth="1"/>
    <col min="7945" max="7945" width="10.42578125" style="7" customWidth="1"/>
    <col min="7946" max="7946" width="9" style="7"/>
    <col min="7947" max="7947" width="17.5703125" style="7" customWidth="1"/>
    <col min="7948" max="7948" width="17.85546875" style="7" customWidth="1"/>
    <col min="7949" max="7949" width="19.140625" style="7" customWidth="1"/>
    <col min="7950" max="7952" width="19" style="7" customWidth="1"/>
    <col min="7953" max="8159" width="9" style="7"/>
    <col min="8160" max="8161" width="20.140625" style="7" customWidth="1"/>
    <col min="8162" max="8162" width="5.5703125" style="7" customWidth="1"/>
    <col min="8163" max="8163" width="6.42578125" style="7" customWidth="1"/>
    <col min="8164" max="8164" width="1.42578125" style="7" customWidth="1"/>
    <col min="8165" max="8176" width="0" style="7" hidden="1" customWidth="1"/>
    <col min="8177" max="8178" width="10.85546875" style="7" customWidth="1"/>
    <col min="8179" max="8179" width="4.140625" style="7" customWidth="1"/>
    <col min="8180" max="8180" width="7.42578125" style="7" customWidth="1"/>
    <col min="8181" max="8182" width="11.140625" style="7" customWidth="1"/>
    <col min="8183" max="8183" width="5.42578125" style="7" customWidth="1"/>
    <col min="8184" max="8184" width="10.85546875" style="7" customWidth="1"/>
    <col min="8185" max="8185" width="11.85546875" style="7" customWidth="1"/>
    <col min="8186" max="8186" width="4.42578125" style="7" customWidth="1"/>
    <col min="8187" max="8187" width="5.42578125" style="7" customWidth="1"/>
    <col min="8188" max="8188" width="7.85546875" style="7" customWidth="1"/>
    <col min="8189" max="8189" width="8.5703125" style="7" customWidth="1"/>
    <col min="8190" max="8190" width="12.5703125" style="7" customWidth="1"/>
    <col min="8191" max="8191" width="6.42578125" style="7" customWidth="1"/>
    <col min="8192" max="8192" width="6" style="7" customWidth="1"/>
    <col min="8193" max="8193" width="8.140625" style="7" customWidth="1"/>
    <col min="8194" max="8194" width="7.140625" style="7" customWidth="1"/>
    <col min="8195" max="8195" width="10.5703125" style="7" customWidth="1"/>
    <col min="8196" max="8196" width="12.140625" style="7" customWidth="1"/>
    <col min="8197" max="8197" width="4.42578125" style="7" customWidth="1"/>
    <col min="8198" max="8200" width="10.140625" style="7" customWidth="1"/>
    <col min="8201" max="8201" width="10.42578125" style="7" customWidth="1"/>
    <col min="8202" max="8202" width="9" style="7"/>
    <col min="8203" max="8203" width="17.5703125" style="7" customWidth="1"/>
    <col min="8204" max="8204" width="17.85546875" style="7" customWidth="1"/>
    <col min="8205" max="8205" width="19.140625" style="7" customWidth="1"/>
    <col min="8206" max="8208" width="19" style="7" customWidth="1"/>
    <col min="8209" max="8415" width="9" style="7"/>
    <col min="8416" max="8417" width="20.140625" style="7" customWidth="1"/>
    <col min="8418" max="8418" width="5.5703125" style="7" customWidth="1"/>
    <col min="8419" max="8419" width="6.42578125" style="7" customWidth="1"/>
    <col min="8420" max="8420" width="1.42578125" style="7" customWidth="1"/>
    <col min="8421" max="8432" width="0" style="7" hidden="1" customWidth="1"/>
    <col min="8433" max="8434" width="10.85546875" style="7" customWidth="1"/>
    <col min="8435" max="8435" width="4.140625" style="7" customWidth="1"/>
    <col min="8436" max="8436" width="7.42578125" style="7" customWidth="1"/>
    <col min="8437" max="8438" width="11.140625" style="7" customWidth="1"/>
    <col min="8439" max="8439" width="5.42578125" style="7" customWidth="1"/>
    <col min="8440" max="8440" width="10.85546875" style="7" customWidth="1"/>
    <col min="8441" max="8441" width="11.85546875" style="7" customWidth="1"/>
    <col min="8442" max="8442" width="4.42578125" style="7" customWidth="1"/>
    <col min="8443" max="8443" width="5.42578125" style="7" customWidth="1"/>
    <col min="8444" max="8444" width="7.85546875" style="7" customWidth="1"/>
    <col min="8445" max="8445" width="8.5703125" style="7" customWidth="1"/>
    <col min="8446" max="8446" width="12.5703125" style="7" customWidth="1"/>
    <col min="8447" max="8447" width="6.42578125" style="7" customWidth="1"/>
    <col min="8448" max="8448" width="6" style="7" customWidth="1"/>
    <col min="8449" max="8449" width="8.140625" style="7" customWidth="1"/>
    <col min="8450" max="8450" width="7.140625" style="7" customWidth="1"/>
    <col min="8451" max="8451" width="10.5703125" style="7" customWidth="1"/>
    <col min="8452" max="8452" width="12.140625" style="7" customWidth="1"/>
    <col min="8453" max="8453" width="4.42578125" style="7" customWidth="1"/>
    <col min="8454" max="8456" width="10.140625" style="7" customWidth="1"/>
    <col min="8457" max="8457" width="10.42578125" style="7" customWidth="1"/>
    <col min="8458" max="8458" width="9" style="7"/>
    <col min="8459" max="8459" width="17.5703125" style="7" customWidth="1"/>
    <col min="8460" max="8460" width="17.85546875" style="7" customWidth="1"/>
    <col min="8461" max="8461" width="19.140625" style="7" customWidth="1"/>
    <col min="8462" max="8464" width="19" style="7" customWidth="1"/>
    <col min="8465" max="8671" width="9" style="7"/>
    <col min="8672" max="8673" width="20.140625" style="7" customWidth="1"/>
    <col min="8674" max="8674" width="5.5703125" style="7" customWidth="1"/>
    <col min="8675" max="8675" width="6.42578125" style="7" customWidth="1"/>
    <col min="8676" max="8676" width="1.42578125" style="7" customWidth="1"/>
    <col min="8677" max="8688" width="0" style="7" hidden="1" customWidth="1"/>
    <col min="8689" max="8690" width="10.85546875" style="7" customWidth="1"/>
    <col min="8691" max="8691" width="4.140625" style="7" customWidth="1"/>
    <col min="8692" max="8692" width="7.42578125" style="7" customWidth="1"/>
    <col min="8693" max="8694" width="11.140625" style="7" customWidth="1"/>
    <col min="8695" max="8695" width="5.42578125" style="7" customWidth="1"/>
    <col min="8696" max="8696" width="10.85546875" style="7" customWidth="1"/>
    <col min="8697" max="8697" width="11.85546875" style="7" customWidth="1"/>
    <col min="8698" max="8698" width="4.42578125" style="7" customWidth="1"/>
    <col min="8699" max="8699" width="5.42578125" style="7" customWidth="1"/>
    <col min="8700" max="8700" width="7.85546875" style="7" customWidth="1"/>
    <col min="8701" max="8701" width="8.5703125" style="7" customWidth="1"/>
    <col min="8702" max="8702" width="12.5703125" style="7" customWidth="1"/>
    <col min="8703" max="8703" width="6.42578125" style="7" customWidth="1"/>
    <col min="8704" max="8704" width="6" style="7" customWidth="1"/>
    <col min="8705" max="8705" width="8.140625" style="7" customWidth="1"/>
    <col min="8706" max="8706" width="7.140625" style="7" customWidth="1"/>
    <col min="8707" max="8707" width="10.5703125" style="7" customWidth="1"/>
    <col min="8708" max="8708" width="12.140625" style="7" customWidth="1"/>
    <col min="8709" max="8709" width="4.42578125" style="7" customWidth="1"/>
    <col min="8710" max="8712" width="10.140625" style="7" customWidth="1"/>
    <col min="8713" max="8713" width="10.42578125" style="7" customWidth="1"/>
    <col min="8714" max="8714" width="9" style="7"/>
    <col min="8715" max="8715" width="17.5703125" style="7" customWidth="1"/>
    <col min="8716" max="8716" width="17.85546875" style="7" customWidth="1"/>
    <col min="8717" max="8717" width="19.140625" style="7" customWidth="1"/>
    <col min="8718" max="8720" width="19" style="7" customWidth="1"/>
    <col min="8721" max="8927" width="9" style="7"/>
    <col min="8928" max="8929" width="20.140625" style="7" customWidth="1"/>
    <col min="8930" max="8930" width="5.5703125" style="7" customWidth="1"/>
    <col min="8931" max="8931" width="6.42578125" style="7" customWidth="1"/>
    <col min="8932" max="8932" width="1.42578125" style="7" customWidth="1"/>
    <col min="8933" max="8944" width="0" style="7" hidden="1" customWidth="1"/>
    <col min="8945" max="8946" width="10.85546875" style="7" customWidth="1"/>
    <col min="8947" max="8947" width="4.140625" style="7" customWidth="1"/>
    <col min="8948" max="8948" width="7.42578125" style="7" customWidth="1"/>
    <col min="8949" max="8950" width="11.140625" style="7" customWidth="1"/>
    <col min="8951" max="8951" width="5.42578125" style="7" customWidth="1"/>
    <col min="8952" max="8952" width="10.85546875" style="7" customWidth="1"/>
    <col min="8953" max="8953" width="11.85546875" style="7" customWidth="1"/>
    <col min="8954" max="8954" width="4.42578125" style="7" customWidth="1"/>
    <col min="8955" max="8955" width="5.42578125" style="7" customWidth="1"/>
    <col min="8956" max="8956" width="7.85546875" style="7" customWidth="1"/>
    <col min="8957" max="8957" width="8.5703125" style="7" customWidth="1"/>
    <col min="8958" max="8958" width="12.5703125" style="7" customWidth="1"/>
    <col min="8959" max="8959" width="6.42578125" style="7" customWidth="1"/>
    <col min="8960" max="8960" width="6" style="7" customWidth="1"/>
    <col min="8961" max="8961" width="8.140625" style="7" customWidth="1"/>
    <col min="8962" max="8962" width="7.140625" style="7" customWidth="1"/>
    <col min="8963" max="8963" width="10.5703125" style="7" customWidth="1"/>
    <col min="8964" max="8964" width="12.140625" style="7" customWidth="1"/>
    <col min="8965" max="8965" width="4.42578125" style="7" customWidth="1"/>
    <col min="8966" max="8968" width="10.140625" style="7" customWidth="1"/>
    <col min="8969" max="8969" width="10.42578125" style="7" customWidth="1"/>
    <col min="8970" max="8970" width="9" style="7"/>
    <col min="8971" max="8971" width="17.5703125" style="7" customWidth="1"/>
    <col min="8972" max="8972" width="17.85546875" style="7" customWidth="1"/>
    <col min="8973" max="8973" width="19.140625" style="7" customWidth="1"/>
    <col min="8974" max="8976" width="19" style="7" customWidth="1"/>
    <col min="8977" max="9183" width="9" style="7"/>
    <col min="9184" max="9185" width="20.140625" style="7" customWidth="1"/>
    <col min="9186" max="9186" width="5.5703125" style="7" customWidth="1"/>
    <col min="9187" max="9187" width="6.42578125" style="7" customWidth="1"/>
    <col min="9188" max="9188" width="1.42578125" style="7" customWidth="1"/>
    <col min="9189" max="9200" width="0" style="7" hidden="1" customWidth="1"/>
    <col min="9201" max="9202" width="10.85546875" style="7" customWidth="1"/>
    <col min="9203" max="9203" width="4.140625" style="7" customWidth="1"/>
    <col min="9204" max="9204" width="7.42578125" style="7" customWidth="1"/>
    <col min="9205" max="9206" width="11.140625" style="7" customWidth="1"/>
    <col min="9207" max="9207" width="5.42578125" style="7" customWidth="1"/>
    <col min="9208" max="9208" width="10.85546875" style="7" customWidth="1"/>
    <col min="9209" max="9209" width="11.85546875" style="7" customWidth="1"/>
    <col min="9210" max="9210" width="4.42578125" style="7" customWidth="1"/>
    <col min="9211" max="9211" width="5.42578125" style="7" customWidth="1"/>
    <col min="9212" max="9212" width="7.85546875" style="7" customWidth="1"/>
    <col min="9213" max="9213" width="8.5703125" style="7" customWidth="1"/>
    <col min="9214" max="9214" width="12.5703125" style="7" customWidth="1"/>
    <col min="9215" max="9215" width="6.42578125" style="7" customWidth="1"/>
    <col min="9216" max="9216" width="6" style="7" customWidth="1"/>
    <col min="9217" max="9217" width="8.140625" style="7" customWidth="1"/>
    <col min="9218" max="9218" width="7.140625" style="7" customWidth="1"/>
    <col min="9219" max="9219" width="10.5703125" style="7" customWidth="1"/>
    <col min="9220" max="9220" width="12.140625" style="7" customWidth="1"/>
    <col min="9221" max="9221" width="4.42578125" style="7" customWidth="1"/>
    <col min="9222" max="9224" width="10.140625" style="7" customWidth="1"/>
    <col min="9225" max="9225" width="10.42578125" style="7" customWidth="1"/>
    <col min="9226" max="9226" width="9" style="7"/>
    <col min="9227" max="9227" width="17.5703125" style="7" customWidth="1"/>
    <col min="9228" max="9228" width="17.85546875" style="7" customWidth="1"/>
    <col min="9229" max="9229" width="19.140625" style="7" customWidth="1"/>
    <col min="9230" max="9232" width="19" style="7" customWidth="1"/>
    <col min="9233" max="9439" width="9" style="7"/>
    <col min="9440" max="9441" width="20.140625" style="7" customWidth="1"/>
    <col min="9442" max="9442" width="5.5703125" style="7" customWidth="1"/>
    <col min="9443" max="9443" width="6.42578125" style="7" customWidth="1"/>
    <col min="9444" max="9444" width="1.42578125" style="7" customWidth="1"/>
    <col min="9445" max="9456" width="0" style="7" hidden="1" customWidth="1"/>
    <col min="9457" max="9458" width="10.85546875" style="7" customWidth="1"/>
    <col min="9459" max="9459" width="4.140625" style="7" customWidth="1"/>
    <col min="9460" max="9460" width="7.42578125" style="7" customWidth="1"/>
    <col min="9461" max="9462" width="11.140625" style="7" customWidth="1"/>
    <col min="9463" max="9463" width="5.42578125" style="7" customWidth="1"/>
    <col min="9464" max="9464" width="10.85546875" style="7" customWidth="1"/>
    <col min="9465" max="9465" width="11.85546875" style="7" customWidth="1"/>
    <col min="9466" max="9466" width="4.42578125" style="7" customWidth="1"/>
    <col min="9467" max="9467" width="5.42578125" style="7" customWidth="1"/>
    <col min="9468" max="9468" width="7.85546875" style="7" customWidth="1"/>
    <col min="9469" max="9469" width="8.5703125" style="7" customWidth="1"/>
    <col min="9470" max="9470" width="12.5703125" style="7" customWidth="1"/>
    <col min="9471" max="9471" width="6.42578125" style="7" customWidth="1"/>
    <col min="9472" max="9472" width="6" style="7" customWidth="1"/>
    <col min="9473" max="9473" width="8.140625" style="7" customWidth="1"/>
    <col min="9474" max="9474" width="7.140625" style="7" customWidth="1"/>
    <col min="9475" max="9475" width="10.5703125" style="7" customWidth="1"/>
    <col min="9476" max="9476" width="12.140625" style="7" customWidth="1"/>
    <col min="9477" max="9477" width="4.42578125" style="7" customWidth="1"/>
    <col min="9478" max="9480" width="10.140625" style="7" customWidth="1"/>
    <col min="9481" max="9481" width="10.42578125" style="7" customWidth="1"/>
    <col min="9482" max="9482" width="9" style="7"/>
    <col min="9483" max="9483" width="17.5703125" style="7" customWidth="1"/>
    <col min="9484" max="9484" width="17.85546875" style="7" customWidth="1"/>
    <col min="9485" max="9485" width="19.140625" style="7" customWidth="1"/>
    <col min="9486" max="9488" width="19" style="7" customWidth="1"/>
    <col min="9489" max="9695" width="9" style="7"/>
    <col min="9696" max="9697" width="20.140625" style="7" customWidth="1"/>
    <col min="9698" max="9698" width="5.5703125" style="7" customWidth="1"/>
    <col min="9699" max="9699" width="6.42578125" style="7" customWidth="1"/>
    <col min="9700" max="9700" width="1.42578125" style="7" customWidth="1"/>
    <col min="9701" max="9712" width="0" style="7" hidden="1" customWidth="1"/>
    <col min="9713" max="9714" width="10.85546875" style="7" customWidth="1"/>
    <col min="9715" max="9715" width="4.140625" style="7" customWidth="1"/>
    <col min="9716" max="9716" width="7.42578125" style="7" customWidth="1"/>
    <col min="9717" max="9718" width="11.140625" style="7" customWidth="1"/>
    <col min="9719" max="9719" width="5.42578125" style="7" customWidth="1"/>
    <col min="9720" max="9720" width="10.85546875" style="7" customWidth="1"/>
    <col min="9721" max="9721" width="11.85546875" style="7" customWidth="1"/>
    <col min="9722" max="9722" width="4.42578125" style="7" customWidth="1"/>
    <col min="9723" max="9723" width="5.42578125" style="7" customWidth="1"/>
    <col min="9724" max="9724" width="7.85546875" style="7" customWidth="1"/>
    <col min="9725" max="9725" width="8.5703125" style="7" customWidth="1"/>
    <col min="9726" max="9726" width="12.5703125" style="7" customWidth="1"/>
    <col min="9727" max="9727" width="6.42578125" style="7" customWidth="1"/>
    <col min="9728" max="9728" width="6" style="7" customWidth="1"/>
    <col min="9729" max="9729" width="8.140625" style="7" customWidth="1"/>
    <col min="9730" max="9730" width="7.140625" style="7" customWidth="1"/>
    <col min="9731" max="9731" width="10.5703125" style="7" customWidth="1"/>
    <col min="9732" max="9732" width="12.140625" style="7" customWidth="1"/>
    <col min="9733" max="9733" width="4.42578125" style="7" customWidth="1"/>
    <col min="9734" max="9736" width="10.140625" style="7" customWidth="1"/>
    <col min="9737" max="9737" width="10.42578125" style="7" customWidth="1"/>
    <col min="9738" max="9738" width="9" style="7"/>
    <col min="9739" max="9739" width="17.5703125" style="7" customWidth="1"/>
    <col min="9740" max="9740" width="17.85546875" style="7" customWidth="1"/>
    <col min="9741" max="9741" width="19.140625" style="7" customWidth="1"/>
    <col min="9742" max="9744" width="19" style="7" customWidth="1"/>
    <col min="9745" max="9951" width="9" style="7"/>
    <col min="9952" max="9953" width="20.140625" style="7" customWidth="1"/>
    <col min="9954" max="9954" width="5.5703125" style="7" customWidth="1"/>
    <col min="9955" max="9955" width="6.42578125" style="7" customWidth="1"/>
    <col min="9956" max="9956" width="1.42578125" style="7" customWidth="1"/>
    <col min="9957" max="9968" width="0" style="7" hidden="1" customWidth="1"/>
    <col min="9969" max="9970" width="10.85546875" style="7" customWidth="1"/>
    <col min="9971" max="9971" width="4.140625" style="7" customWidth="1"/>
    <col min="9972" max="9972" width="7.42578125" style="7" customWidth="1"/>
    <col min="9973" max="9974" width="11.140625" style="7" customWidth="1"/>
    <col min="9975" max="9975" width="5.42578125" style="7" customWidth="1"/>
    <col min="9976" max="9976" width="10.85546875" style="7" customWidth="1"/>
    <col min="9977" max="9977" width="11.85546875" style="7" customWidth="1"/>
    <col min="9978" max="9978" width="4.42578125" style="7" customWidth="1"/>
    <col min="9979" max="9979" width="5.42578125" style="7" customWidth="1"/>
    <col min="9980" max="9980" width="7.85546875" style="7" customWidth="1"/>
    <col min="9981" max="9981" width="8.5703125" style="7" customWidth="1"/>
    <col min="9982" max="9982" width="12.5703125" style="7" customWidth="1"/>
    <col min="9983" max="9983" width="6.42578125" style="7" customWidth="1"/>
    <col min="9984" max="9984" width="6" style="7" customWidth="1"/>
    <col min="9985" max="9985" width="8.140625" style="7" customWidth="1"/>
    <col min="9986" max="9986" width="7.140625" style="7" customWidth="1"/>
    <col min="9987" max="9987" width="10.5703125" style="7" customWidth="1"/>
    <col min="9988" max="9988" width="12.140625" style="7" customWidth="1"/>
    <col min="9989" max="9989" width="4.42578125" style="7" customWidth="1"/>
    <col min="9990" max="9992" width="10.140625" style="7" customWidth="1"/>
    <col min="9993" max="9993" width="10.42578125" style="7" customWidth="1"/>
    <col min="9994" max="9994" width="9" style="7"/>
    <col min="9995" max="9995" width="17.5703125" style="7" customWidth="1"/>
    <col min="9996" max="9996" width="17.85546875" style="7" customWidth="1"/>
    <col min="9997" max="9997" width="19.140625" style="7" customWidth="1"/>
    <col min="9998" max="10000" width="19" style="7" customWidth="1"/>
    <col min="10001" max="10207" width="9" style="7"/>
    <col min="10208" max="10209" width="20.140625" style="7" customWidth="1"/>
    <col min="10210" max="10210" width="5.5703125" style="7" customWidth="1"/>
    <col min="10211" max="10211" width="6.42578125" style="7" customWidth="1"/>
    <col min="10212" max="10212" width="1.42578125" style="7" customWidth="1"/>
    <col min="10213" max="10224" width="0" style="7" hidden="1" customWidth="1"/>
    <col min="10225" max="10226" width="10.85546875" style="7" customWidth="1"/>
    <col min="10227" max="10227" width="4.140625" style="7" customWidth="1"/>
    <col min="10228" max="10228" width="7.42578125" style="7" customWidth="1"/>
    <col min="10229" max="10230" width="11.140625" style="7" customWidth="1"/>
    <col min="10231" max="10231" width="5.42578125" style="7" customWidth="1"/>
    <col min="10232" max="10232" width="10.85546875" style="7" customWidth="1"/>
    <col min="10233" max="10233" width="11.85546875" style="7" customWidth="1"/>
    <col min="10234" max="10234" width="4.42578125" style="7" customWidth="1"/>
    <col min="10235" max="10235" width="5.42578125" style="7" customWidth="1"/>
    <col min="10236" max="10236" width="7.85546875" style="7" customWidth="1"/>
    <col min="10237" max="10237" width="8.5703125" style="7" customWidth="1"/>
    <col min="10238" max="10238" width="12.5703125" style="7" customWidth="1"/>
    <col min="10239" max="10239" width="6.42578125" style="7" customWidth="1"/>
    <col min="10240" max="10240" width="6" style="7" customWidth="1"/>
    <col min="10241" max="10241" width="8.140625" style="7" customWidth="1"/>
    <col min="10242" max="10242" width="7.140625" style="7" customWidth="1"/>
    <col min="10243" max="10243" width="10.5703125" style="7" customWidth="1"/>
    <col min="10244" max="10244" width="12.140625" style="7" customWidth="1"/>
    <col min="10245" max="10245" width="4.42578125" style="7" customWidth="1"/>
    <col min="10246" max="10248" width="10.140625" style="7" customWidth="1"/>
    <col min="10249" max="10249" width="10.42578125" style="7" customWidth="1"/>
    <col min="10250" max="10250" width="9" style="7"/>
    <col min="10251" max="10251" width="17.5703125" style="7" customWidth="1"/>
    <col min="10252" max="10252" width="17.85546875" style="7" customWidth="1"/>
    <col min="10253" max="10253" width="19.140625" style="7" customWidth="1"/>
    <col min="10254" max="10256" width="19" style="7" customWidth="1"/>
    <col min="10257" max="10463" width="9" style="7"/>
    <col min="10464" max="10465" width="20.140625" style="7" customWidth="1"/>
    <col min="10466" max="10466" width="5.5703125" style="7" customWidth="1"/>
    <col min="10467" max="10467" width="6.42578125" style="7" customWidth="1"/>
    <col min="10468" max="10468" width="1.42578125" style="7" customWidth="1"/>
    <col min="10469" max="10480" width="0" style="7" hidden="1" customWidth="1"/>
    <col min="10481" max="10482" width="10.85546875" style="7" customWidth="1"/>
    <col min="10483" max="10483" width="4.140625" style="7" customWidth="1"/>
    <col min="10484" max="10484" width="7.42578125" style="7" customWidth="1"/>
    <col min="10485" max="10486" width="11.140625" style="7" customWidth="1"/>
    <col min="10487" max="10487" width="5.42578125" style="7" customWidth="1"/>
    <col min="10488" max="10488" width="10.85546875" style="7" customWidth="1"/>
    <col min="10489" max="10489" width="11.85546875" style="7" customWidth="1"/>
    <col min="10490" max="10490" width="4.42578125" style="7" customWidth="1"/>
    <col min="10491" max="10491" width="5.42578125" style="7" customWidth="1"/>
    <col min="10492" max="10492" width="7.85546875" style="7" customWidth="1"/>
    <col min="10493" max="10493" width="8.5703125" style="7" customWidth="1"/>
    <col min="10494" max="10494" width="12.5703125" style="7" customWidth="1"/>
    <col min="10495" max="10495" width="6.42578125" style="7" customWidth="1"/>
    <col min="10496" max="10496" width="6" style="7" customWidth="1"/>
    <col min="10497" max="10497" width="8.140625" style="7" customWidth="1"/>
    <col min="10498" max="10498" width="7.140625" style="7" customWidth="1"/>
    <col min="10499" max="10499" width="10.5703125" style="7" customWidth="1"/>
    <col min="10500" max="10500" width="12.140625" style="7" customWidth="1"/>
    <col min="10501" max="10501" width="4.42578125" style="7" customWidth="1"/>
    <col min="10502" max="10504" width="10.140625" style="7" customWidth="1"/>
    <col min="10505" max="10505" width="10.42578125" style="7" customWidth="1"/>
    <col min="10506" max="10506" width="9" style="7"/>
    <col min="10507" max="10507" width="17.5703125" style="7" customWidth="1"/>
    <col min="10508" max="10508" width="17.85546875" style="7" customWidth="1"/>
    <col min="10509" max="10509" width="19.140625" style="7" customWidth="1"/>
    <col min="10510" max="10512" width="19" style="7" customWidth="1"/>
    <col min="10513" max="10719" width="9" style="7"/>
    <col min="10720" max="10721" width="20.140625" style="7" customWidth="1"/>
    <col min="10722" max="10722" width="5.5703125" style="7" customWidth="1"/>
    <col min="10723" max="10723" width="6.42578125" style="7" customWidth="1"/>
    <col min="10724" max="10724" width="1.42578125" style="7" customWidth="1"/>
    <col min="10725" max="10736" width="0" style="7" hidden="1" customWidth="1"/>
    <col min="10737" max="10738" width="10.85546875" style="7" customWidth="1"/>
    <col min="10739" max="10739" width="4.140625" style="7" customWidth="1"/>
    <col min="10740" max="10740" width="7.42578125" style="7" customWidth="1"/>
    <col min="10741" max="10742" width="11.140625" style="7" customWidth="1"/>
    <col min="10743" max="10743" width="5.42578125" style="7" customWidth="1"/>
    <col min="10744" max="10744" width="10.85546875" style="7" customWidth="1"/>
    <col min="10745" max="10745" width="11.85546875" style="7" customWidth="1"/>
    <col min="10746" max="10746" width="4.42578125" style="7" customWidth="1"/>
    <col min="10747" max="10747" width="5.42578125" style="7" customWidth="1"/>
    <col min="10748" max="10748" width="7.85546875" style="7" customWidth="1"/>
    <col min="10749" max="10749" width="8.5703125" style="7" customWidth="1"/>
    <col min="10750" max="10750" width="12.5703125" style="7" customWidth="1"/>
    <col min="10751" max="10751" width="6.42578125" style="7" customWidth="1"/>
    <col min="10752" max="10752" width="6" style="7" customWidth="1"/>
    <col min="10753" max="10753" width="8.140625" style="7" customWidth="1"/>
    <col min="10754" max="10754" width="7.140625" style="7" customWidth="1"/>
    <col min="10755" max="10755" width="10.5703125" style="7" customWidth="1"/>
    <col min="10756" max="10756" width="12.140625" style="7" customWidth="1"/>
    <col min="10757" max="10757" width="4.42578125" style="7" customWidth="1"/>
    <col min="10758" max="10760" width="10.140625" style="7" customWidth="1"/>
    <col min="10761" max="10761" width="10.42578125" style="7" customWidth="1"/>
    <col min="10762" max="10762" width="9" style="7"/>
    <col min="10763" max="10763" width="17.5703125" style="7" customWidth="1"/>
    <col min="10764" max="10764" width="17.85546875" style="7" customWidth="1"/>
    <col min="10765" max="10765" width="19.140625" style="7" customWidth="1"/>
    <col min="10766" max="10768" width="19" style="7" customWidth="1"/>
    <col min="10769" max="10975" width="9" style="7"/>
    <col min="10976" max="10977" width="20.140625" style="7" customWidth="1"/>
    <col min="10978" max="10978" width="5.5703125" style="7" customWidth="1"/>
    <col min="10979" max="10979" width="6.42578125" style="7" customWidth="1"/>
    <col min="10980" max="10980" width="1.42578125" style="7" customWidth="1"/>
    <col min="10981" max="10992" width="0" style="7" hidden="1" customWidth="1"/>
    <col min="10993" max="10994" width="10.85546875" style="7" customWidth="1"/>
    <col min="10995" max="10995" width="4.140625" style="7" customWidth="1"/>
    <col min="10996" max="10996" width="7.42578125" style="7" customWidth="1"/>
    <col min="10997" max="10998" width="11.140625" style="7" customWidth="1"/>
    <col min="10999" max="10999" width="5.42578125" style="7" customWidth="1"/>
    <col min="11000" max="11000" width="10.85546875" style="7" customWidth="1"/>
    <col min="11001" max="11001" width="11.85546875" style="7" customWidth="1"/>
    <col min="11002" max="11002" width="4.42578125" style="7" customWidth="1"/>
    <col min="11003" max="11003" width="5.42578125" style="7" customWidth="1"/>
    <col min="11004" max="11004" width="7.85546875" style="7" customWidth="1"/>
    <col min="11005" max="11005" width="8.5703125" style="7" customWidth="1"/>
    <col min="11006" max="11006" width="12.5703125" style="7" customWidth="1"/>
    <col min="11007" max="11007" width="6.42578125" style="7" customWidth="1"/>
    <col min="11008" max="11008" width="6" style="7" customWidth="1"/>
    <col min="11009" max="11009" width="8.140625" style="7" customWidth="1"/>
    <col min="11010" max="11010" width="7.140625" style="7" customWidth="1"/>
    <col min="11011" max="11011" width="10.5703125" style="7" customWidth="1"/>
    <col min="11012" max="11012" width="12.140625" style="7" customWidth="1"/>
    <col min="11013" max="11013" width="4.42578125" style="7" customWidth="1"/>
    <col min="11014" max="11016" width="10.140625" style="7" customWidth="1"/>
    <col min="11017" max="11017" width="10.42578125" style="7" customWidth="1"/>
    <col min="11018" max="11018" width="9" style="7"/>
    <col min="11019" max="11019" width="17.5703125" style="7" customWidth="1"/>
    <col min="11020" max="11020" width="17.85546875" style="7" customWidth="1"/>
    <col min="11021" max="11021" width="19.140625" style="7" customWidth="1"/>
    <col min="11022" max="11024" width="19" style="7" customWidth="1"/>
    <col min="11025" max="11231" width="9" style="7"/>
    <col min="11232" max="11233" width="20.140625" style="7" customWidth="1"/>
    <col min="11234" max="11234" width="5.5703125" style="7" customWidth="1"/>
    <col min="11235" max="11235" width="6.42578125" style="7" customWidth="1"/>
    <col min="11236" max="11236" width="1.42578125" style="7" customWidth="1"/>
    <col min="11237" max="11248" width="0" style="7" hidden="1" customWidth="1"/>
    <col min="11249" max="11250" width="10.85546875" style="7" customWidth="1"/>
    <col min="11251" max="11251" width="4.140625" style="7" customWidth="1"/>
    <col min="11252" max="11252" width="7.42578125" style="7" customWidth="1"/>
    <col min="11253" max="11254" width="11.140625" style="7" customWidth="1"/>
    <col min="11255" max="11255" width="5.42578125" style="7" customWidth="1"/>
    <col min="11256" max="11256" width="10.85546875" style="7" customWidth="1"/>
    <col min="11257" max="11257" width="11.85546875" style="7" customWidth="1"/>
    <col min="11258" max="11258" width="4.42578125" style="7" customWidth="1"/>
    <col min="11259" max="11259" width="5.42578125" style="7" customWidth="1"/>
    <col min="11260" max="11260" width="7.85546875" style="7" customWidth="1"/>
    <col min="11261" max="11261" width="8.5703125" style="7" customWidth="1"/>
    <col min="11262" max="11262" width="12.5703125" style="7" customWidth="1"/>
    <col min="11263" max="11263" width="6.42578125" style="7" customWidth="1"/>
    <col min="11264" max="11264" width="6" style="7" customWidth="1"/>
    <col min="11265" max="11265" width="8.140625" style="7" customWidth="1"/>
    <col min="11266" max="11266" width="7.140625" style="7" customWidth="1"/>
    <col min="11267" max="11267" width="10.5703125" style="7" customWidth="1"/>
    <col min="11268" max="11268" width="12.140625" style="7" customWidth="1"/>
    <col min="11269" max="11269" width="4.42578125" style="7" customWidth="1"/>
    <col min="11270" max="11272" width="10.140625" style="7" customWidth="1"/>
    <col min="11273" max="11273" width="10.42578125" style="7" customWidth="1"/>
    <col min="11274" max="11274" width="9" style="7"/>
    <col min="11275" max="11275" width="17.5703125" style="7" customWidth="1"/>
    <col min="11276" max="11276" width="17.85546875" style="7" customWidth="1"/>
    <col min="11277" max="11277" width="19.140625" style="7" customWidth="1"/>
    <col min="11278" max="11280" width="19" style="7" customWidth="1"/>
    <col min="11281" max="11487" width="9" style="7"/>
    <col min="11488" max="11489" width="20.140625" style="7" customWidth="1"/>
    <col min="11490" max="11490" width="5.5703125" style="7" customWidth="1"/>
    <col min="11491" max="11491" width="6.42578125" style="7" customWidth="1"/>
    <col min="11492" max="11492" width="1.42578125" style="7" customWidth="1"/>
    <col min="11493" max="11504" width="0" style="7" hidden="1" customWidth="1"/>
    <col min="11505" max="11506" width="10.85546875" style="7" customWidth="1"/>
    <col min="11507" max="11507" width="4.140625" style="7" customWidth="1"/>
    <col min="11508" max="11508" width="7.42578125" style="7" customWidth="1"/>
    <col min="11509" max="11510" width="11.140625" style="7" customWidth="1"/>
    <col min="11511" max="11511" width="5.42578125" style="7" customWidth="1"/>
    <col min="11512" max="11512" width="10.85546875" style="7" customWidth="1"/>
    <col min="11513" max="11513" width="11.85546875" style="7" customWidth="1"/>
    <col min="11514" max="11514" width="4.42578125" style="7" customWidth="1"/>
    <col min="11515" max="11515" width="5.42578125" style="7" customWidth="1"/>
    <col min="11516" max="11516" width="7.85546875" style="7" customWidth="1"/>
    <col min="11517" max="11517" width="8.5703125" style="7" customWidth="1"/>
    <col min="11518" max="11518" width="12.5703125" style="7" customWidth="1"/>
    <col min="11519" max="11519" width="6.42578125" style="7" customWidth="1"/>
    <col min="11520" max="11520" width="6" style="7" customWidth="1"/>
    <col min="11521" max="11521" width="8.140625" style="7" customWidth="1"/>
    <col min="11522" max="11522" width="7.140625" style="7" customWidth="1"/>
    <col min="11523" max="11523" width="10.5703125" style="7" customWidth="1"/>
    <col min="11524" max="11524" width="12.140625" style="7" customWidth="1"/>
    <col min="11525" max="11525" width="4.42578125" style="7" customWidth="1"/>
    <col min="11526" max="11528" width="10.140625" style="7" customWidth="1"/>
    <col min="11529" max="11529" width="10.42578125" style="7" customWidth="1"/>
    <col min="11530" max="11530" width="9" style="7"/>
    <col min="11531" max="11531" width="17.5703125" style="7" customWidth="1"/>
    <col min="11532" max="11532" width="17.85546875" style="7" customWidth="1"/>
    <col min="11533" max="11533" width="19.140625" style="7" customWidth="1"/>
    <col min="11534" max="11536" width="19" style="7" customWidth="1"/>
    <col min="11537" max="11743" width="9" style="7"/>
    <col min="11744" max="11745" width="20.140625" style="7" customWidth="1"/>
    <col min="11746" max="11746" width="5.5703125" style="7" customWidth="1"/>
    <col min="11747" max="11747" width="6.42578125" style="7" customWidth="1"/>
    <col min="11748" max="11748" width="1.42578125" style="7" customWidth="1"/>
    <col min="11749" max="11760" width="0" style="7" hidden="1" customWidth="1"/>
    <col min="11761" max="11762" width="10.85546875" style="7" customWidth="1"/>
    <col min="11763" max="11763" width="4.140625" style="7" customWidth="1"/>
    <col min="11764" max="11764" width="7.42578125" style="7" customWidth="1"/>
    <col min="11765" max="11766" width="11.140625" style="7" customWidth="1"/>
    <col min="11767" max="11767" width="5.42578125" style="7" customWidth="1"/>
    <col min="11768" max="11768" width="10.85546875" style="7" customWidth="1"/>
    <col min="11769" max="11769" width="11.85546875" style="7" customWidth="1"/>
    <col min="11770" max="11770" width="4.42578125" style="7" customWidth="1"/>
    <col min="11771" max="11771" width="5.42578125" style="7" customWidth="1"/>
    <col min="11772" max="11772" width="7.85546875" style="7" customWidth="1"/>
    <col min="11773" max="11773" width="8.5703125" style="7" customWidth="1"/>
    <col min="11774" max="11774" width="12.5703125" style="7" customWidth="1"/>
    <col min="11775" max="11775" width="6.42578125" style="7" customWidth="1"/>
    <col min="11776" max="11776" width="6" style="7" customWidth="1"/>
    <col min="11777" max="11777" width="8.140625" style="7" customWidth="1"/>
    <col min="11778" max="11778" width="7.140625" style="7" customWidth="1"/>
    <col min="11779" max="11779" width="10.5703125" style="7" customWidth="1"/>
    <col min="11780" max="11780" width="12.140625" style="7" customWidth="1"/>
    <col min="11781" max="11781" width="4.42578125" style="7" customWidth="1"/>
    <col min="11782" max="11784" width="10.140625" style="7" customWidth="1"/>
    <col min="11785" max="11785" width="10.42578125" style="7" customWidth="1"/>
    <col min="11786" max="11786" width="9" style="7"/>
    <col min="11787" max="11787" width="17.5703125" style="7" customWidth="1"/>
    <col min="11788" max="11788" width="17.85546875" style="7" customWidth="1"/>
    <col min="11789" max="11789" width="19.140625" style="7" customWidth="1"/>
    <col min="11790" max="11792" width="19" style="7" customWidth="1"/>
    <col min="11793" max="11999" width="9" style="7"/>
    <col min="12000" max="12001" width="20.140625" style="7" customWidth="1"/>
    <col min="12002" max="12002" width="5.5703125" style="7" customWidth="1"/>
    <col min="12003" max="12003" width="6.42578125" style="7" customWidth="1"/>
    <col min="12004" max="12004" width="1.42578125" style="7" customWidth="1"/>
    <col min="12005" max="12016" width="0" style="7" hidden="1" customWidth="1"/>
    <col min="12017" max="12018" width="10.85546875" style="7" customWidth="1"/>
    <col min="12019" max="12019" width="4.140625" style="7" customWidth="1"/>
    <col min="12020" max="12020" width="7.42578125" style="7" customWidth="1"/>
    <col min="12021" max="12022" width="11.140625" style="7" customWidth="1"/>
    <col min="12023" max="12023" width="5.42578125" style="7" customWidth="1"/>
    <col min="12024" max="12024" width="10.85546875" style="7" customWidth="1"/>
    <col min="12025" max="12025" width="11.85546875" style="7" customWidth="1"/>
    <col min="12026" max="12026" width="4.42578125" style="7" customWidth="1"/>
    <col min="12027" max="12027" width="5.42578125" style="7" customWidth="1"/>
    <col min="12028" max="12028" width="7.85546875" style="7" customWidth="1"/>
    <col min="12029" max="12029" width="8.5703125" style="7" customWidth="1"/>
    <col min="12030" max="12030" width="12.5703125" style="7" customWidth="1"/>
    <col min="12031" max="12031" width="6.42578125" style="7" customWidth="1"/>
    <col min="12032" max="12032" width="6" style="7" customWidth="1"/>
    <col min="12033" max="12033" width="8.140625" style="7" customWidth="1"/>
    <col min="12034" max="12034" width="7.140625" style="7" customWidth="1"/>
    <col min="12035" max="12035" width="10.5703125" style="7" customWidth="1"/>
    <col min="12036" max="12036" width="12.140625" style="7" customWidth="1"/>
    <col min="12037" max="12037" width="4.42578125" style="7" customWidth="1"/>
    <col min="12038" max="12040" width="10.140625" style="7" customWidth="1"/>
    <col min="12041" max="12041" width="10.42578125" style="7" customWidth="1"/>
    <col min="12042" max="12042" width="9" style="7"/>
    <col min="12043" max="12043" width="17.5703125" style="7" customWidth="1"/>
    <col min="12044" max="12044" width="17.85546875" style="7" customWidth="1"/>
    <col min="12045" max="12045" width="19.140625" style="7" customWidth="1"/>
    <col min="12046" max="12048" width="19" style="7" customWidth="1"/>
    <col min="12049" max="12255" width="9" style="7"/>
    <col min="12256" max="12257" width="20.140625" style="7" customWidth="1"/>
    <col min="12258" max="12258" width="5.5703125" style="7" customWidth="1"/>
    <col min="12259" max="12259" width="6.42578125" style="7" customWidth="1"/>
    <col min="12260" max="12260" width="1.42578125" style="7" customWidth="1"/>
    <col min="12261" max="12272" width="0" style="7" hidden="1" customWidth="1"/>
    <col min="12273" max="12274" width="10.85546875" style="7" customWidth="1"/>
    <col min="12275" max="12275" width="4.140625" style="7" customWidth="1"/>
    <col min="12276" max="12276" width="7.42578125" style="7" customWidth="1"/>
    <col min="12277" max="12278" width="11.140625" style="7" customWidth="1"/>
    <col min="12279" max="12279" width="5.42578125" style="7" customWidth="1"/>
    <col min="12280" max="12280" width="10.85546875" style="7" customWidth="1"/>
    <col min="12281" max="12281" width="11.85546875" style="7" customWidth="1"/>
    <col min="12282" max="12282" width="4.42578125" style="7" customWidth="1"/>
    <col min="12283" max="12283" width="5.42578125" style="7" customWidth="1"/>
    <col min="12284" max="12284" width="7.85546875" style="7" customWidth="1"/>
    <col min="12285" max="12285" width="8.5703125" style="7" customWidth="1"/>
    <col min="12286" max="12286" width="12.5703125" style="7" customWidth="1"/>
    <col min="12287" max="12287" width="6.42578125" style="7" customWidth="1"/>
    <col min="12288" max="12288" width="6" style="7" customWidth="1"/>
    <col min="12289" max="12289" width="8.140625" style="7" customWidth="1"/>
    <col min="12290" max="12290" width="7.140625" style="7" customWidth="1"/>
    <col min="12291" max="12291" width="10.5703125" style="7" customWidth="1"/>
    <col min="12292" max="12292" width="12.140625" style="7" customWidth="1"/>
    <col min="12293" max="12293" width="4.42578125" style="7" customWidth="1"/>
    <col min="12294" max="12296" width="10.140625" style="7" customWidth="1"/>
    <col min="12297" max="12297" width="10.42578125" style="7" customWidth="1"/>
    <col min="12298" max="12298" width="9" style="7"/>
    <col min="12299" max="12299" width="17.5703125" style="7" customWidth="1"/>
    <col min="12300" max="12300" width="17.85546875" style="7" customWidth="1"/>
    <col min="12301" max="12301" width="19.140625" style="7" customWidth="1"/>
    <col min="12302" max="12304" width="19" style="7" customWidth="1"/>
    <col min="12305" max="12511" width="9" style="7"/>
    <col min="12512" max="12513" width="20.140625" style="7" customWidth="1"/>
    <col min="12514" max="12514" width="5.5703125" style="7" customWidth="1"/>
    <col min="12515" max="12515" width="6.42578125" style="7" customWidth="1"/>
    <col min="12516" max="12516" width="1.42578125" style="7" customWidth="1"/>
    <col min="12517" max="12528" width="0" style="7" hidden="1" customWidth="1"/>
    <col min="12529" max="12530" width="10.85546875" style="7" customWidth="1"/>
    <col min="12531" max="12531" width="4.140625" style="7" customWidth="1"/>
    <col min="12532" max="12532" width="7.42578125" style="7" customWidth="1"/>
    <col min="12533" max="12534" width="11.140625" style="7" customWidth="1"/>
    <col min="12535" max="12535" width="5.42578125" style="7" customWidth="1"/>
    <col min="12536" max="12536" width="10.85546875" style="7" customWidth="1"/>
    <col min="12537" max="12537" width="11.85546875" style="7" customWidth="1"/>
    <col min="12538" max="12538" width="4.42578125" style="7" customWidth="1"/>
    <col min="12539" max="12539" width="5.42578125" style="7" customWidth="1"/>
    <col min="12540" max="12540" width="7.85546875" style="7" customWidth="1"/>
    <col min="12541" max="12541" width="8.5703125" style="7" customWidth="1"/>
    <col min="12542" max="12542" width="12.5703125" style="7" customWidth="1"/>
    <col min="12543" max="12543" width="6.42578125" style="7" customWidth="1"/>
    <col min="12544" max="12544" width="6" style="7" customWidth="1"/>
    <col min="12545" max="12545" width="8.140625" style="7" customWidth="1"/>
    <col min="12546" max="12546" width="7.140625" style="7" customWidth="1"/>
    <col min="12547" max="12547" width="10.5703125" style="7" customWidth="1"/>
    <col min="12548" max="12548" width="12.140625" style="7" customWidth="1"/>
    <col min="12549" max="12549" width="4.42578125" style="7" customWidth="1"/>
    <col min="12550" max="12552" width="10.140625" style="7" customWidth="1"/>
    <col min="12553" max="12553" width="10.42578125" style="7" customWidth="1"/>
    <col min="12554" max="12554" width="9" style="7"/>
    <col min="12555" max="12555" width="17.5703125" style="7" customWidth="1"/>
    <col min="12556" max="12556" width="17.85546875" style="7" customWidth="1"/>
    <col min="12557" max="12557" width="19.140625" style="7" customWidth="1"/>
    <col min="12558" max="12560" width="19" style="7" customWidth="1"/>
    <col min="12561" max="12767" width="9" style="7"/>
    <col min="12768" max="12769" width="20.140625" style="7" customWidth="1"/>
    <col min="12770" max="12770" width="5.5703125" style="7" customWidth="1"/>
    <col min="12771" max="12771" width="6.42578125" style="7" customWidth="1"/>
    <col min="12772" max="12772" width="1.42578125" style="7" customWidth="1"/>
    <col min="12773" max="12784" width="0" style="7" hidden="1" customWidth="1"/>
    <col min="12785" max="12786" width="10.85546875" style="7" customWidth="1"/>
    <col min="12787" max="12787" width="4.140625" style="7" customWidth="1"/>
    <col min="12788" max="12788" width="7.42578125" style="7" customWidth="1"/>
    <col min="12789" max="12790" width="11.140625" style="7" customWidth="1"/>
    <col min="12791" max="12791" width="5.42578125" style="7" customWidth="1"/>
    <col min="12792" max="12792" width="10.85546875" style="7" customWidth="1"/>
    <col min="12793" max="12793" width="11.85546875" style="7" customWidth="1"/>
    <col min="12794" max="12794" width="4.42578125" style="7" customWidth="1"/>
    <col min="12795" max="12795" width="5.42578125" style="7" customWidth="1"/>
    <col min="12796" max="12796" width="7.85546875" style="7" customWidth="1"/>
    <col min="12797" max="12797" width="8.5703125" style="7" customWidth="1"/>
    <col min="12798" max="12798" width="12.5703125" style="7" customWidth="1"/>
    <col min="12799" max="12799" width="6.42578125" style="7" customWidth="1"/>
    <col min="12800" max="12800" width="6" style="7" customWidth="1"/>
    <col min="12801" max="12801" width="8.140625" style="7" customWidth="1"/>
    <col min="12802" max="12802" width="7.140625" style="7" customWidth="1"/>
    <col min="12803" max="12803" width="10.5703125" style="7" customWidth="1"/>
    <col min="12804" max="12804" width="12.140625" style="7" customWidth="1"/>
    <col min="12805" max="12805" width="4.42578125" style="7" customWidth="1"/>
    <col min="12806" max="12808" width="10.140625" style="7" customWidth="1"/>
    <col min="12809" max="12809" width="10.42578125" style="7" customWidth="1"/>
    <col min="12810" max="12810" width="9" style="7"/>
    <col min="12811" max="12811" width="17.5703125" style="7" customWidth="1"/>
    <col min="12812" max="12812" width="17.85546875" style="7" customWidth="1"/>
    <col min="12813" max="12813" width="19.140625" style="7" customWidth="1"/>
    <col min="12814" max="12816" width="19" style="7" customWidth="1"/>
    <col min="12817" max="13023" width="9" style="7"/>
    <col min="13024" max="13025" width="20.140625" style="7" customWidth="1"/>
    <col min="13026" max="13026" width="5.5703125" style="7" customWidth="1"/>
    <col min="13027" max="13027" width="6.42578125" style="7" customWidth="1"/>
    <col min="13028" max="13028" width="1.42578125" style="7" customWidth="1"/>
    <col min="13029" max="13040" width="0" style="7" hidden="1" customWidth="1"/>
    <col min="13041" max="13042" width="10.85546875" style="7" customWidth="1"/>
    <col min="13043" max="13043" width="4.140625" style="7" customWidth="1"/>
    <col min="13044" max="13044" width="7.42578125" style="7" customWidth="1"/>
    <col min="13045" max="13046" width="11.140625" style="7" customWidth="1"/>
    <col min="13047" max="13047" width="5.42578125" style="7" customWidth="1"/>
    <col min="13048" max="13048" width="10.85546875" style="7" customWidth="1"/>
    <col min="13049" max="13049" width="11.85546875" style="7" customWidth="1"/>
    <col min="13050" max="13050" width="4.42578125" style="7" customWidth="1"/>
    <col min="13051" max="13051" width="5.42578125" style="7" customWidth="1"/>
    <col min="13052" max="13052" width="7.85546875" style="7" customWidth="1"/>
    <col min="13053" max="13053" width="8.5703125" style="7" customWidth="1"/>
    <col min="13054" max="13054" width="12.5703125" style="7" customWidth="1"/>
    <col min="13055" max="13055" width="6.42578125" style="7" customWidth="1"/>
    <col min="13056" max="13056" width="6" style="7" customWidth="1"/>
    <col min="13057" max="13057" width="8.140625" style="7" customWidth="1"/>
    <col min="13058" max="13058" width="7.140625" style="7" customWidth="1"/>
    <col min="13059" max="13059" width="10.5703125" style="7" customWidth="1"/>
    <col min="13060" max="13060" width="12.140625" style="7" customWidth="1"/>
    <col min="13061" max="13061" width="4.42578125" style="7" customWidth="1"/>
    <col min="13062" max="13064" width="10.140625" style="7" customWidth="1"/>
    <col min="13065" max="13065" width="10.42578125" style="7" customWidth="1"/>
    <col min="13066" max="13066" width="9" style="7"/>
    <col min="13067" max="13067" width="17.5703125" style="7" customWidth="1"/>
    <col min="13068" max="13068" width="17.85546875" style="7" customWidth="1"/>
    <col min="13069" max="13069" width="19.140625" style="7" customWidth="1"/>
    <col min="13070" max="13072" width="19" style="7" customWidth="1"/>
    <col min="13073" max="13279" width="9" style="7"/>
    <col min="13280" max="13281" width="20.140625" style="7" customWidth="1"/>
    <col min="13282" max="13282" width="5.5703125" style="7" customWidth="1"/>
    <col min="13283" max="13283" width="6.42578125" style="7" customWidth="1"/>
    <col min="13284" max="13284" width="1.42578125" style="7" customWidth="1"/>
    <col min="13285" max="13296" width="0" style="7" hidden="1" customWidth="1"/>
    <col min="13297" max="13298" width="10.85546875" style="7" customWidth="1"/>
    <col min="13299" max="13299" width="4.140625" style="7" customWidth="1"/>
    <col min="13300" max="13300" width="7.42578125" style="7" customWidth="1"/>
    <col min="13301" max="13302" width="11.140625" style="7" customWidth="1"/>
    <col min="13303" max="13303" width="5.42578125" style="7" customWidth="1"/>
    <col min="13304" max="13304" width="10.85546875" style="7" customWidth="1"/>
    <col min="13305" max="13305" width="11.85546875" style="7" customWidth="1"/>
    <col min="13306" max="13306" width="4.42578125" style="7" customWidth="1"/>
    <col min="13307" max="13307" width="5.42578125" style="7" customWidth="1"/>
    <col min="13308" max="13308" width="7.85546875" style="7" customWidth="1"/>
    <col min="13309" max="13309" width="8.5703125" style="7" customWidth="1"/>
    <col min="13310" max="13310" width="12.5703125" style="7" customWidth="1"/>
    <col min="13311" max="13311" width="6.42578125" style="7" customWidth="1"/>
    <col min="13312" max="13312" width="6" style="7" customWidth="1"/>
    <col min="13313" max="13313" width="8.140625" style="7" customWidth="1"/>
    <col min="13314" max="13314" width="7.140625" style="7" customWidth="1"/>
    <col min="13315" max="13315" width="10.5703125" style="7" customWidth="1"/>
    <col min="13316" max="13316" width="12.140625" style="7" customWidth="1"/>
    <col min="13317" max="13317" width="4.42578125" style="7" customWidth="1"/>
    <col min="13318" max="13320" width="10.140625" style="7" customWidth="1"/>
    <col min="13321" max="13321" width="10.42578125" style="7" customWidth="1"/>
    <col min="13322" max="13322" width="9" style="7"/>
    <col min="13323" max="13323" width="17.5703125" style="7" customWidth="1"/>
    <col min="13324" max="13324" width="17.85546875" style="7" customWidth="1"/>
    <col min="13325" max="13325" width="19.140625" style="7" customWidth="1"/>
    <col min="13326" max="13328" width="19" style="7" customWidth="1"/>
    <col min="13329" max="13535" width="9" style="7"/>
    <col min="13536" max="13537" width="20.140625" style="7" customWidth="1"/>
    <col min="13538" max="13538" width="5.5703125" style="7" customWidth="1"/>
    <col min="13539" max="13539" width="6.42578125" style="7" customWidth="1"/>
    <col min="13540" max="13540" width="1.42578125" style="7" customWidth="1"/>
    <col min="13541" max="13552" width="0" style="7" hidden="1" customWidth="1"/>
    <col min="13553" max="13554" width="10.85546875" style="7" customWidth="1"/>
    <col min="13555" max="13555" width="4.140625" style="7" customWidth="1"/>
    <col min="13556" max="13556" width="7.42578125" style="7" customWidth="1"/>
    <col min="13557" max="13558" width="11.140625" style="7" customWidth="1"/>
    <col min="13559" max="13559" width="5.42578125" style="7" customWidth="1"/>
    <col min="13560" max="13560" width="10.85546875" style="7" customWidth="1"/>
    <col min="13561" max="13561" width="11.85546875" style="7" customWidth="1"/>
    <col min="13562" max="13562" width="4.42578125" style="7" customWidth="1"/>
    <col min="13563" max="13563" width="5.42578125" style="7" customWidth="1"/>
    <col min="13564" max="13564" width="7.85546875" style="7" customWidth="1"/>
    <col min="13565" max="13565" width="8.5703125" style="7" customWidth="1"/>
    <col min="13566" max="13566" width="12.5703125" style="7" customWidth="1"/>
    <col min="13567" max="13567" width="6.42578125" style="7" customWidth="1"/>
    <col min="13568" max="13568" width="6" style="7" customWidth="1"/>
    <col min="13569" max="13569" width="8.140625" style="7" customWidth="1"/>
    <col min="13570" max="13570" width="7.140625" style="7" customWidth="1"/>
    <col min="13571" max="13571" width="10.5703125" style="7" customWidth="1"/>
    <col min="13572" max="13572" width="12.140625" style="7" customWidth="1"/>
    <col min="13573" max="13573" width="4.42578125" style="7" customWidth="1"/>
    <col min="13574" max="13576" width="10.140625" style="7" customWidth="1"/>
    <col min="13577" max="13577" width="10.42578125" style="7" customWidth="1"/>
    <col min="13578" max="13578" width="9" style="7"/>
    <col min="13579" max="13579" width="17.5703125" style="7" customWidth="1"/>
    <col min="13580" max="13580" width="17.85546875" style="7" customWidth="1"/>
    <col min="13581" max="13581" width="19.140625" style="7" customWidth="1"/>
    <col min="13582" max="13584" width="19" style="7" customWidth="1"/>
    <col min="13585" max="13791" width="9" style="7"/>
    <col min="13792" max="13793" width="20.140625" style="7" customWidth="1"/>
    <col min="13794" max="13794" width="5.5703125" style="7" customWidth="1"/>
    <col min="13795" max="13795" width="6.42578125" style="7" customWidth="1"/>
    <col min="13796" max="13796" width="1.42578125" style="7" customWidth="1"/>
    <col min="13797" max="13808" width="0" style="7" hidden="1" customWidth="1"/>
    <col min="13809" max="13810" width="10.85546875" style="7" customWidth="1"/>
    <col min="13811" max="13811" width="4.140625" style="7" customWidth="1"/>
    <col min="13812" max="13812" width="7.42578125" style="7" customWidth="1"/>
    <col min="13813" max="13814" width="11.140625" style="7" customWidth="1"/>
    <col min="13815" max="13815" width="5.42578125" style="7" customWidth="1"/>
    <col min="13816" max="13816" width="10.85546875" style="7" customWidth="1"/>
    <col min="13817" max="13817" width="11.85546875" style="7" customWidth="1"/>
    <col min="13818" max="13818" width="4.42578125" style="7" customWidth="1"/>
    <col min="13819" max="13819" width="5.42578125" style="7" customWidth="1"/>
    <col min="13820" max="13820" width="7.85546875" style="7" customWidth="1"/>
    <col min="13821" max="13821" width="8.5703125" style="7" customWidth="1"/>
    <col min="13822" max="13822" width="12.5703125" style="7" customWidth="1"/>
    <col min="13823" max="13823" width="6.42578125" style="7" customWidth="1"/>
    <col min="13824" max="13824" width="6" style="7" customWidth="1"/>
    <col min="13825" max="13825" width="8.140625" style="7" customWidth="1"/>
    <col min="13826" max="13826" width="7.140625" style="7" customWidth="1"/>
    <col min="13827" max="13827" width="10.5703125" style="7" customWidth="1"/>
    <col min="13828" max="13828" width="12.140625" style="7" customWidth="1"/>
    <col min="13829" max="13829" width="4.42578125" style="7" customWidth="1"/>
    <col min="13830" max="13832" width="10.140625" style="7" customWidth="1"/>
    <col min="13833" max="13833" width="10.42578125" style="7" customWidth="1"/>
    <col min="13834" max="13834" width="9" style="7"/>
    <col min="13835" max="13835" width="17.5703125" style="7" customWidth="1"/>
    <col min="13836" max="13836" width="17.85546875" style="7" customWidth="1"/>
    <col min="13837" max="13837" width="19.140625" style="7" customWidth="1"/>
    <col min="13838" max="13840" width="19" style="7" customWidth="1"/>
    <col min="13841" max="14047" width="9" style="7"/>
    <col min="14048" max="14049" width="20.140625" style="7" customWidth="1"/>
    <col min="14050" max="14050" width="5.5703125" style="7" customWidth="1"/>
    <col min="14051" max="14051" width="6.42578125" style="7" customWidth="1"/>
    <col min="14052" max="14052" width="1.42578125" style="7" customWidth="1"/>
    <col min="14053" max="14064" width="0" style="7" hidden="1" customWidth="1"/>
    <col min="14065" max="14066" width="10.85546875" style="7" customWidth="1"/>
    <col min="14067" max="14067" width="4.140625" style="7" customWidth="1"/>
    <col min="14068" max="14068" width="7.42578125" style="7" customWidth="1"/>
    <col min="14069" max="14070" width="11.140625" style="7" customWidth="1"/>
    <col min="14071" max="14071" width="5.42578125" style="7" customWidth="1"/>
    <col min="14072" max="14072" width="10.85546875" style="7" customWidth="1"/>
    <col min="14073" max="14073" width="11.85546875" style="7" customWidth="1"/>
    <col min="14074" max="14074" width="4.42578125" style="7" customWidth="1"/>
    <col min="14075" max="14075" width="5.42578125" style="7" customWidth="1"/>
    <col min="14076" max="14076" width="7.85546875" style="7" customWidth="1"/>
    <col min="14077" max="14077" width="8.5703125" style="7" customWidth="1"/>
    <col min="14078" max="14078" width="12.5703125" style="7" customWidth="1"/>
    <col min="14079" max="14079" width="6.42578125" style="7" customWidth="1"/>
    <col min="14080" max="14080" width="6" style="7" customWidth="1"/>
    <col min="14081" max="14081" width="8.140625" style="7" customWidth="1"/>
    <col min="14082" max="14082" width="7.140625" style="7" customWidth="1"/>
    <col min="14083" max="14083" width="10.5703125" style="7" customWidth="1"/>
    <col min="14084" max="14084" width="12.140625" style="7" customWidth="1"/>
    <col min="14085" max="14085" width="4.42578125" style="7" customWidth="1"/>
    <col min="14086" max="14088" width="10.140625" style="7" customWidth="1"/>
    <col min="14089" max="14089" width="10.42578125" style="7" customWidth="1"/>
    <col min="14090" max="14090" width="9" style="7"/>
    <col min="14091" max="14091" width="17.5703125" style="7" customWidth="1"/>
    <col min="14092" max="14092" width="17.85546875" style="7" customWidth="1"/>
    <col min="14093" max="14093" width="19.140625" style="7" customWidth="1"/>
    <col min="14094" max="14096" width="19" style="7" customWidth="1"/>
    <col min="14097" max="14303" width="9" style="7"/>
    <col min="14304" max="14305" width="20.140625" style="7" customWidth="1"/>
    <col min="14306" max="14306" width="5.5703125" style="7" customWidth="1"/>
    <col min="14307" max="14307" width="6.42578125" style="7" customWidth="1"/>
    <col min="14308" max="14308" width="1.42578125" style="7" customWidth="1"/>
    <col min="14309" max="14320" width="0" style="7" hidden="1" customWidth="1"/>
    <col min="14321" max="14322" width="10.85546875" style="7" customWidth="1"/>
    <col min="14323" max="14323" width="4.140625" style="7" customWidth="1"/>
    <col min="14324" max="14324" width="7.42578125" style="7" customWidth="1"/>
    <col min="14325" max="14326" width="11.140625" style="7" customWidth="1"/>
    <col min="14327" max="14327" width="5.42578125" style="7" customWidth="1"/>
    <col min="14328" max="14328" width="10.85546875" style="7" customWidth="1"/>
    <col min="14329" max="14329" width="11.85546875" style="7" customWidth="1"/>
    <col min="14330" max="14330" width="4.42578125" style="7" customWidth="1"/>
    <col min="14331" max="14331" width="5.42578125" style="7" customWidth="1"/>
    <col min="14332" max="14332" width="7.85546875" style="7" customWidth="1"/>
    <col min="14333" max="14333" width="8.5703125" style="7" customWidth="1"/>
    <col min="14334" max="14334" width="12.5703125" style="7" customWidth="1"/>
    <col min="14335" max="14335" width="6.42578125" style="7" customWidth="1"/>
    <col min="14336" max="14336" width="6" style="7" customWidth="1"/>
    <col min="14337" max="14337" width="8.140625" style="7" customWidth="1"/>
    <col min="14338" max="14338" width="7.140625" style="7" customWidth="1"/>
    <col min="14339" max="14339" width="10.5703125" style="7" customWidth="1"/>
    <col min="14340" max="14340" width="12.140625" style="7" customWidth="1"/>
    <col min="14341" max="14341" width="4.42578125" style="7" customWidth="1"/>
    <col min="14342" max="14344" width="10.140625" style="7" customWidth="1"/>
    <col min="14345" max="14345" width="10.42578125" style="7" customWidth="1"/>
    <col min="14346" max="14346" width="9" style="7"/>
    <col min="14347" max="14347" width="17.5703125" style="7" customWidth="1"/>
    <col min="14348" max="14348" width="17.85546875" style="7" customWidth="1"/>
    <col min="14349" max="14349" width="19.140625" style="7" customWidth="1"/>
    <col min="14350" max="14352" width="19" style="7" customWidth="1"/>
    <col min="14353" max="14559" width="9" style="7"/>
    <col min="14560" max="14561" width="20.140625" style="7" customWidth="1"/>
    <col min="14562" max="14562" width="5.5703125" style="7" customWidth="1"/>
    <col min="14563" max="14563" width="6.42578125" style="7" customWidth="1"/>
    <col min="14564" max="14564" width="1.42578125" style="7" customWidth="1"/>
    <col min="14565" max="14576" width="0" style="7" hidden="1" customWidth="1"/>
    <col min="14577" max="14578" width="10.85546875" style="7" customWidth="1"/>
    <col min="14579" max="14579" width="4.140625" style="7" customWidth="1"/>
    <col min="14580" max="14580" width="7.42578125" style="7" customWidth="1"/>
    <col min="14581" max="14582" width="11.140625" style="7" customWidth="1"/>
    <col min="14583" max="14583" width="5.42578125" style="7" customWidth="1"/>
    <col min="14584" max="14584" width="10.85546875" style="7" customWidth="1"/>
    <col min="14585" max="14585" width="11.85546875" style="7" customWidth="1"/>
    <col min="14586" max="14586" width="4.42578125" style="7" customWidth="1"/>
    <col min="14587" max="14587" width="5.42578125" style="7" customWidth="1"/>
    <col min="14588" max="14588" width="7.85546875" style="7" customWidth="1"/>
    <col min="14589" max="14589" width="8.5703125" style="7" customWidth="1"/>
    <col min="14590" max="14590" width="12.5703125" style="7" customWidth="1"/>
    <col min="14591" max="14591" width="6.42578125" style="7" customWidth="1"/>
    <col min="14592" max="14592" width="6" style="7" customWidth="1"/>
    <col min="14593" max="14593" width="8.140625" style="7" customWidth="1"/>
    <col min="14594" max="14594" width="7.140625" style="7" customWidth="1"/>
    <col min="14595" max="14595" width="10.5703125" style="7" customWidth="1"/>
    <col min="14596" max="14596" width="12.140625" style="7" customWidth="1"/>
    <col min="14597" max="14597" width="4.42578125" style="7" customWidth="1"/>
    <col min="14598" max="14600" width="10.140625" style="7" customWidth="1"/>
    <col min="14601" max="14601" width="10.42578125" style="7" customWidth="1"/>
    <col min="14602" max="14602" width="9" style="7"/>
    <col min="14603" max="14603" width="17.5703125" style="7" customWidth="1"/>
    <col min="14604" max="14604" width="17.85546875" style="7" customWidth="1"/>
    <col min="14605" max="14605" width="19.140625" style="7" customWidth="1"/>
    <col min="14606" max="14608" width="19" style="7" customWidth="1"/>
    <col min="14609" max="14815" width="9" style="7"/>
    <col min="14816" max="14817" width="20.140625" style="7" customWidth="1"/>
    <col min="14818" max="14818" width="5.5703125" style="7" customWidth="1"/>
    <col min="14819" max="14819" width="6.42578125" style="7" customWidth="1"/>
    <col min="14820" max="14820" width="1.42578125" style="7" customWidth="1"/>
    <col min="14821" max="14832" width="0" style="7" hidden="1" customWidth="1"/>
    <col min="14833" max="14834" width="10.85546875" style="7" customWidth="1"/>
    <col min="14835" max="14835" width="4.140625" style="7" customWidth="1"/>
    <col min="14836" max="14836" width="7.42578125" style="7" customWidth="1"/>
    <col min="14837" max="14838" width="11.140625" style="7" customWidth="1"/>
    <col min="14839" max="14839" width="5.42578125" style="7" customWidth="1"/>
    <col min="14840" max="14840" width="10.85546875" style="7" customWidth="1"/>
    <col min="14841" max="14841" width="11.85546875" style="7" customWidth="1"/>
    <col min="14842" max="14842" width="4.42578125" style="7" customWidth="1"/>
    <col min="14843" max="14843" width="5.42578125" style="7" customWidth="1"/>
    <col min="14844" max="14844" width="7.85546875" style="7" customWidth="1"/>
    <col min="14845" max="14845" width="8.5703125" style="7" customWidth="1"/>
    <col min="14846" max="14846" width="12.5703125" style="7" customWidth="1"/>
    <col min="14847" max="14847" width="6.42578125" style="7" customWidth="1"/>
    <col min="14848" max="14848" width="6" style="7" customWidth="1"/>
    <col min="14849" max="14849" width="8.140625" style="7" customWidth="1"/>
    <col min="14850" max="14850" width="7.140625" style="7" customWidth="1"/>
    <col min="14851" max="14851" width="10.5703125" style="7" customWidth="1"/>
    <col min="14852" max="14852" width="12.140625" style="7" customWidth="1"/>
    <col min="14853" max="14853" width="4.42578125" style="7" customWidth="1"/>
    <col min="14854" max="14856" width="10.140625" style="7" customWidth="1"/>
    <col min="14857" max="14857" width="10.42578125" style="7" customWidth="1"/>
    <col min="14858" max="14858" width="9" style="7"/>
    <col min="14859" max="14859" width="17.5703125" style="7" customWidth="1"/>
    <col min="14860" max="14860" width="17.85546875" style="7" customWidth="1"/>
    <col min="14861" max="14861" width="19.140625" style="7" customWidth="1"/>
    <col min="14862" max="14864" width="19" style="7" customWidth="1"/>
    <col min="14865" max="15071" width="9" style="7"/>
    <col min="15072" max="15073" width="20.140625" style="7" customWidth="1"/>
    <col min="15074" max="15074" width="5.5703125" style="7" customWidth="1"/>
    <col min="15075" max="15075" width="6.42578125" style="7" customWidth="1"/>
    <col min="15076" max="15076" width="1.42578125" style="7" customWidth="1"/>
    <col min="15077" max="15088" width="0" style="7" hidden="1" customWidth="1"/>
    <col min="15089" max="15090" width="10.85546875" style="7" customWidth="1"/>
    <col min="15091" max="15091" width="4.140625" style="7" customWidth="1"/>
    <col min="15092" max="15092" width="7.42578125" style="7" customWidth="1"/>
    <col min="15093" max="15094" width="11.140625" style="7" customWidth="1"/>
    <col min="15095" max="15095" width="5.42578125" style="7" customWidth="1"/>
    <col min="15096" max="15096" width="10.85546875" style="7" customWidth="1"/>
    <col min="15097" max="15097" width="11.85546875" style="7" customWidth="1"/>
    <col min="15098" max="15098" width="4.42578125" style="7" customWidth="1"/>
    <col min="15099" max="15099" width="5.42578125" style="7" customWidth="1"/>
    <col min="15100" max="15100" width="7.85546875" style="7" customWidth="1"/>
    <col min="15101" max="15101" width="8.5703125" style="7" customWidth="1"/>
    <col min="15102" max="15102" width="12.5703125" style="7" customWidth="1"/>
    <col min="15103" max="15103" width="6.42578125" style="7" customWidth="1"/>
    <col min="15104" max="15104" width="6" style="7" customWidth="1"/>
    <col min="15105" max="15105" width="8.140625" style="7" customWidth="1"/>
    <col min="15106" max="15106" width="7.140625" style="7" customWidth="1"/>
    <col min="15107" max="15107" width="10.5703125" style="7" customWidth="1"/>
    <col min="15108" max="15108" width="12.140625" style="7" customWidth="1"/>
    <col min="15109" max="15109" width="4.42578125" style="7" customWidth="1"/>
    <col min="15110" max="15112" width="10.140625" style="7" customWidth="1"/>
    <col min="15113" max="15113" width="10.42578125" style="7" customWidth="1"/>
    <col min="15114" max="15114" width="9" style="7"/>
    <col min="15115" max="15115" width="17.5703125" style="7" customWidth="1"/>
    <col min="15116" max="15116" width="17.85546875" style="7" customWidth="1"/>
    <col min="15117" max="15117" width="19.140625" style="7" customWidth="1"/>
    <col min="15118" max="15120" width="19" style="7" customWidth="1"/>
    <col min="15121" max="15327" width="9" style="7"/>
    <col min="15328" max="15329" width="20.140625" style="7" customWidth="1"/>
    <col min="15330" max="15330" width="5.5703125" style="7" customWidth="1"/>
    <col min="15331" max="15331" width="6.42578125" style="7" customWidth="1"/>
    <col min="15332" max="15332" width="1.42578125" style="7" customWidth="1"/>
    <col min="15333" max="15344" width="0" style="7" hidden="1" customWidth="1"/>
    <col min="15345" max="15346" width="10.85546875" style="7" customWidth="1"/>
    <col min="15347" max="15347" width="4.140625" style="7" customWidth="1"/>
    <col min="15348" max="15348" width="7.42578125" style="7" customWidth="1"/>
    <col min="15349" max="15350" width="11.140625" style="7" customWidth="1"/>
    <col min="15351" max="15351" width="5.42578125" style="7" customWidth="1"/>
    <col min="15352" max="15352" width="10.85546875" style="7" customWidth="1"/>
    <col min="15353" max="15353" width="11.85546875" style="7" customWidth="1"/>
    <col min="15354" max="15354" width="4.42578125" style="7" customWidth="1"/>
    <col min="15355" max="15355" width="5.42578125" style="7" customWidth="1"/>
    <col min="15356" max="15356" width="7.85546875" style="7" customWidth="1"/>
    <col min="15357" max="15357" width="8.5703125" style="7" customWidth="1"/>
    <col min="15358" max="15358" width="12.5703125" style="7" customWidth="1"/>
    <col min="15359" max="15359" width="6.42578125" style="7" customWidth="1"/>
    <col min="15360" max="15360" width="6" style="7" customWidth="1"/>
    <col min="15361" max="15361" width="8.140625" style="7" customWidth="1"/>
    <col min="15362" max="15362" width="7.140625" style="7" customWidth="1"/>
    <col min="15363" max="15363" width="10.5703125" style="7" customWidth="1"/>
    <col min="15364" max="15364" width="12.140625" style="7" customWidth="1"/>
    <col min="15365" max="15365" width="4.42578125" style="7" customWidth="1"/>
    <col min="15366" max="15368" width="10.140625" style="7" customWidth="1"/>
    <col min="15369" max="15369" width="10.42578125" style="7" customWidth="1"/>
    <col min="15370" max="15370" width="9" style="7"/>
    <col min="15371" max="15371" width="17.5703125" style="7" customWidth="1"/>
    <col min="15372" max="15372" width="17.85546875" style="7" customWidth="1"/>
    <col min="15373" max="15373" width="19.140625" style="7" customWidth="1"/>
    <col min="15374" max="15376" width="19" style="7" customWidth="1"/>
    <col min="15377" max="15583" width="9" style="7"/>
    <col min="15584" max="15585" width="20.140625" style="7" customWidth="1"/>
    <col min="15586" max="15586" width="5.5703125" style="7" customWidth="1"/>
    <col min="15587" max="15587" width="6.42578125" style="7" customWidth="1"/>
    <col min="15588" max="15588" width="1.42578125" style="7" customWidth="1"/>
    <col min="15589" max="15600" width="0" style="7" hidden="1" customWidth="1"/>
    <col min="15601" max="15602" width="10.85546875" style="7" customWidth="1"/>
    <col min="15603" max="15603" width="4.140625" style="7" customWidth="1"/>
    <col min="15604" max="15604" width="7.42578125" style="7" customWidth="1"/>
    <col min="15605" max="15606" width="11.140625" style="7" customWidth="1"/>
    <col min="15607" max="15607" width="5.42578125" style="7" customWidth="1"/>
    <col min="15608" max="15608" width="10.85546875" style="7" customWidth="1"/>
    <col min="15609" max="15609" width="11.85546875" style="7" customWidth="1"/>
    <col min="15610" max="15610" width="4.42578125" style="7" customWidth="1"/>
    <col min="15611" max="15611" width="5.42578125" style="7" customWidth="1"/>
    <col min="15612" max="15612" width="7.85546875" style="7" customWidth="1"/>
    <col min="15613" max="15613" width="8.5703125" style="7" customWidth="1"/>
    <col min="15614" max="15614" width="12.5703125" style="7" customWidth="1"/>
    <col min="15615" max="15615" width="6.42578125" style="7" customWidth="1"/>
    <col min="15616" max="15616" width="6" style="7" customWidth="1"/>
    <col min="15617" max="15617" width="8.140625" style="7" customWidth="1"/>
    <col min="15618" max="15618" width="7.140625" style="7" customWidth="1"/>
    <col min="15619" max="15619" width="10.5703125" style="7" customWidth="1"/>
    <col min="15620" max="15620" width="12.140625" style="7" customWidth="1"/>
    <col min="15621" max="15621" width="4.42578125" style="7" customWidth="1"/>
    <col min="15622" max="15624" width="10.140625" style="7" customWidth="1"/>
    <col min="15625" max="15625" width="10.42578125" style="7" customWidth="1"/>
    <col min="15626" max="15626" width="9" style="7"/>
    <col min="15627" max="15627" width="17.5703125" style="7" customWidth="1"/>
    <col min="15628" max="15628" width="17.85546875" style="7" customWidth="1"/>
    <col min="15629" max="15629" width="19.140625" style="7" customWidth="1"/>
    <col min="15630" max="15632" width="19" style="7" customWidth="1"/>
    <col min="15633" max="15839" width="9" style="7"/>
    <col min="15840" max="15841" width="20.140625" style="7" customWidth="1"/>
    <col min="15842" max="15842" width="5.5703125" style="7" customWidth="1"/>
    <col min="15843" max="15843" width="6.42578125" style="7" customWidth="1"/>
    <col min="15844" max="15844" width="1.42578125" style="7" customWidth="1"/>
    <col min="15845" max="15856" width="0" style="7" hidden="1" customWidth="1"/>
    <col min="15857" max="15858" width="10.85546875" style="7" customWidth="1"/>
    <col min="15859" max="15859" width="4.140625" style="7" customWidth="1"/>
    <col min="15860" max="15860" width="7.42578125" style="7" customWidth="1"/>
    <col min="15861" max="15862" width="11.140625" style="7" customWidth="1"/>
    <col min="15863" max="15863" width="5.42578125" style="7" customWidth="1"/>
    <col min="15864" max="15864" width="10.85546875" style="7" customWidth="1"/>
    <col min="15865" max="15865" width="11.85546875" style="7" customWidth="1"/>
    <col min="15866" max="15866" width="4.42578125" style="7" customWidth="1"/>
    <col min="15867" max="15867" width="5.42578125" style="7" customWidth="1"/>
    <col min="15868" max="15868" width="7.85546875" style="7" customWidth="1"/>
    <col min="15869" max="15869" width="8.5703125" style="7" customWidth="1"/>
    <col min="15870" max="15870" width="12.5703125" style="7" customWidth="1"/>
    <col min="15871" max="15871" width="6.42578125" style="7" customWidth="1"/>
    <col min="15872" max="15872" width="6" style="7" customWidth="1"/>
    <col min="15873" max="15873" width="8.140625" style="7" customWidth="1"/>
    <col min="15874" max="15874" width="7.140625" style="7" customWidth="1"/>
    <col min="15875" max="15875" width="10.5703125" style="7" customWidth="1"/>
    <col min="15876" max="15876" width="12.140625" style="7" customWidth="1"/>
    <col min="15877" max="15877" width="4.42578125" style="7" customWidth="1"/>
    <col min="15878" max="15880" width="10.140625" style="7" customWidth="1"/>
    <col min="15881" max="15881" width="10.42578125" style="7" customWidth="1"/>
    <col min="15882" max="15882" width="9" style="7"/>
    <col min="15883" max="15883" width="17.5703125" style="7" customWidth="1"/>
    <col min="15884" max="15884" width="17.85546875" style="7" customWidth="1"/>
    <col min="15885" max="15885" width="19.140625" style="7" customWidth="1"/>
    <col min="15886" max="15888" width="19" style="7" customWidth="1"/>
    <col min="15889" max="16095" width="9" style="7"/>
    <col min="16096" max="16097" width="20.140625" style="7" customWidth="1"/>
    <col min="16098" max="16098" width="5.5703125" style="7" customWidth="1"/>
    <col min="16099" max="16099" width="6.42578125" style="7" customWidth="1"/>
    <col min="16100" max="16100" width="1.42578125" style="7" customWidth="1"/>
    <col min="16101" max="16112" width="0" style="7" hidden="1" customWidth="1"/>
    <col min="16113" max="16114" width="10.85546875" style="7" customWidth="1"/>
    <col min="16115" max="16115" width="4.140625" style="7" customWidth="1"/>
    <col min="16116" max="16116" width="7.42578125" style="7" customWidth="1"/>
    <col min="16117" max="16118" width="11.140625" style="7" customWidth="1"/>
    <col min="16119" max="16119" width="5.42578125" style="7" customWidth="1"/>
    <col min="16120" max="16120" width="10.85546875" style="7" customWidth="1"/>
    <col min="16121" max="16121" width="11.85546875" style="7" customWidth="1"/>
    <col min="16122" max="16122" width="4.42578125" style="7" customWidth="1"/>
    <col min="16123" max="16123" width="5.42578125" style="7" customWidth="1"/>
    <col min="16124" max="16124" width="7.85546875" style="7" customWidth="1"/>
    <col min="16125" max="16125" width="8.5703125" style="7" customWidth="1"/>
    <col min="16126" max="16126" width="12.5703125" style="7" customWidth="1"/>
    <col min="16127" max="16127" width="6.42578125" style="7" customWidth="1"/>
    <col min="16128" max="16128" width="6" style="7" customWidth="1"/>
    <col min="16129" max="16129" width="8.140625" style="7" customWidth="1"/>
    <col min="16130" max="16130" width="7.140625" style="7" customWidth="1"/>
    <col min="16131" max="16131" width="10.5703125" style="7" customWidth="1"/>
    <col min="16132" max="16132" width="12.140625" style="7" customWidth="1"/>
    <col min="16133" max="16133" width="4.42578125" style="7" customWidth="1"/>
    <col min="16134" max="16136" width="10.140625" style="7" customWidth="1"/>
    <col min="16137" max="16137" width="10.42578125" style="7" customWidth="1"/>
    <col min="16138" max="16138" width="9" style="7"/>
    <col min="16139" max="16139" width="17.5703125" style="7" customWidth="1"/>
    <col min="16140" max="16140" width="17.85546875" style="7" customWidth="1"/>
    <col min="16141" max="16141" width="19.140625" style="7" customWidth="1"/>
    <col min="16142" max="16144" width="19" style="7" customWidth="1"/>
    <col min="16145" max="16348" width="9" style="7"/>
    <col min="16349" max="16384" width="9" style="7" customWidth="1"/>
  </cols>
  <sheetData>
    <row r="1" spans="1:45" s="102" customFormat="1" ht="54.6" customHeight="1">
      <c r="A1" s="102" t="s">
        <v>258</v>
      </c>
      <c r="B1" s="102" t="s">
        <v>212</v>
      </c>
      <c r="C1" s="3" t="s">
        <v>14</v>
      </c>
      <c r="D1" s="4" t="s">
        <v>15</v>
      </c>
      <c r="E1" s="103" t="s">
        <v>259</v>
      </c>
      <c r="F1" s="103" t="s">
        <v>117</v>
      </c>
      <c r="G1" s="60" t="s">
        <v>139</v>
      </c>
      <c r="H1" s="104" t="s">
        <v>260</v>
      </c>
      <c r="I1" s="154" t="s">
        <v>261</v>
      </c>
      <c r="J1" s="144" t="s">
        <v>262</v>
      </c>
      <c r="K1" s="145" t="s">
        <v>263</v>
      </c>
      <c r="L1" s="162" t="s">
        <v>217</v>
      </c>
      <c r="M1" s="163" t="s">
        <v>218</v>
      </c>
      <c r="N1" s="144" t="s">
        <v>264</v>
      </c>
      <c r="O1" s="145" t="s">
        <v>265</v>
      </c>
      <c r="P1" s="162" t="s">
        <v>219</v>
      </c>
      <c r="Q1" s="163" t="s">
        <v>220</v>
      </c>
      <c r="R1" s="144" t="s">
        <v>266</v>
      </c>
      <c r="S1" s="145" t="s">
        <v>267</v>
      </c>
      <c r="T1" s="162" t="s">
        <v>268</v>
      </c>
      <c r="U1" s="163" t="s">
        <v>269</v>
      </c>
      <c r="V1" s="144" t="s">
        <v>270</v>
      </c>
      <c r="W1" s="145" t="s">
        <v>271</v>
      </c>
      <c r="X1" s="162" t="s">
        <v>272</v>
      </c>
      <c r="Y1" s="163" t="s">
        <v>273</v>
      </c>
      <c r="Z1" s="127" t="s">
        <v>274</v>
      </c>
      <c r="AA1" s="127" t="s">
        <v>275</v>
      </c>
      <c r="AB1" s="127" t="s">
        <v>276</v>
      </c>
      <c r="AC1" s="30" t="s">
        <v>277</v>
      </c>
      <c r="AD1" s="127" t="s">
        <v>278</v>
      </c>
      <c r="AE1" s="127" t="s">
        <v>279</v>
      </c>
      <c r="AF1" s="127" t="s">
        <v>280</v>
      </c>
      <c r="AG1" s="105" t="s">
        <v>281</v>
      </c>
      <c r="AH1" s="105" t="s">
        <v>282</v>
      </c>
      <c r="AI1" s="105" t="s">
        <v>283</v>
      </c>
      <c r="AJ1" s="105" t="s">
        <v>284</v>
      </c>
      <c r="AK1" s="223" t="s">
        <v>285</v>
      </c>
      <c r="AL1" s="223" t="s">
        <v>286</v>
      </c>
    </row>
    <row r="2" spans="1:45" ht="24.75" customHeight="1">
      <c r="E2" s="106" t="s">
        <v>137</v>
      </c>
      <c r="F2" s="106" t="s">
        <v>137</v>
      </c>
      <c r="G2" s="107" t="s">
        <v>137</v>
      </c>
      <c r="H2" s="33" t="s">
        <v>287</v>
      </c>
      <c r="I2" s="200" t="s">
        <v>288</v>
      </c>
      <c r="J2" s="157" t="s">
        <v>289</v>
      </c>
      <c r="K2" s="156" t="s">
        <v>290</v>
      </c>
      <c r="L2" s="156"/>
      <c r="M2" s="158"/>
      <c r="N2" s="157" t="s">
        <v>291</v>
      </c>
      <c r="O2" s="156" t="s">
        <v>292</v>
      </c>
      <c r="P2" s="156"/>
      <c r="Q2" s="158"/>
      <c r="R2" s="157" t="s">
        <v>293</v>
      </c>
      <c r="S2" s="156" t="s">
        <v>294</v>
      </c>
      <c r="T2" s="156"/>
      <c r="U2" s="158"/>
      <c r="V2" s="156"/>
      <c r="W2" s="156"/>
      <c r="X2" s="156"/>
      <c r="Y2" s="156"/>
      <c r="Z2" s="35" t="s">
        <v>295</v>
      </c>
      <c r="AA2" s="35" t="s">
        <v>296</v>
      </c>
      <c r="AB2" s="35" t="s">
        <v>280</v>
      </c>
      <c r="AC2" s="6"/>
      <c r="AD2" s="35" t="s">
        <v>297</v>
      </c>
      <c r="AE2" s="16"/>
      <c r="AF2" s="16"/>
      <c r="AG2" s="108"/>
      <c r="AH2" s="108"/>
      <c r="AI2" s="108"/>
      <c r="AJ2" s="108"/>
      <c r="AK2" s="108" t="e">
        <f>(Table1[[#This Row],[Qty 1]]*IF(Table1[[#This Row],[Dimension L1]]&lt;1,(Table1[[#This Row],[Length]]*Table1[[#This Row],[Width]]),(Table1[[#This Row],[Dimension L1]]*Table1[[#This Row],[Dimension W1]])))/1000000</f>
        <v>#VALUE!</v>
      </c>
      <c r="AL2" s="121"/>
    </row>
    <row r="3" spans="1:45" ht="25.35" customHeight="1">
      <c r="A3" s="7" t="s">
        <v>298</v>
      </c>
      <c r="B3" s="7" t="s">
        <v>24</v>
      </c>
      <c r="C3" s="7" t="str">
        <f>_xlfn.CONCAT(B3,"_",G3,"_",E3,"_",F3,"")</f>
        <v>PL_1_2500_1250</v>
      </c>
      <c r="D3" s="7" t="str">
        <f>_xlfn.CONCAT(Table1[[#This Row],[ProductRecord.AccountReference]]," @ ",Table1[[#This Row],[KG/M2]],$H$2)</f>
        <v>PL_1_2500_1250 @ 7.85Kg/m2</v>
      </c>
      <c r="E3" s="27">
        <v>2500</v>
      </c>
      <c r="F3" s="27">
        <v>1250</v>
      </c>
      <c r="G3" s="32">
        <v>1</v>
      </c>
      <c r="H3" s="109">
        <f>G3*[1]Density!$D$6/1000</f>
        <v>7.85</v>
      </c>
      <c r="I3" s="161">
        <f t="shared" ref="I3:I123" si="0">E3*F3*H3/1000000</f>
        <v>24.53125</v>
      </c>
      <c r="J3" s="164"/>
      <c r="K3" s="165"/>
      <c r="L3" s="165"/>
      <c r="M3" s="196"/>
      <c r="N3" s="201">
        <v>2500</v>
      </c>
      <c r="O3" s="202">
        <v>1200</v>
      </c>
      <c r="P3" s="202">
        <v>7</v>
      </c>
      <c r="Q3" s="203" t="s">
        <v>299</v>
      </c>
      <c r="R3" s="201"/>
      <c r="S3" s="202"/>
      <c r="T3" s="202"/>
      <c r="U3" s="203"/>
      <c r="Z3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164.85</v>
      </c>
      <c r="AA3" s="17">
        <f t="shared" ref="AA3:AA66" si="1">Z3/1000*AC3</f>
        <v>102.20699999999999</v>
      </c>
      <c r="AB3" s="17"/>
      <c r="AC3" s="10">
        <v>620</v>
      </c>
      <c r="AD3" s="10">
        <f>Table1[[#This Row],[£/Tonne]]/1000*Table1[[#This Row],[KG/M2]]</f>
        <v>4.867</v>
      </c>
      <c r="AE3" s="10">
        <f>Table1[[#This Row],[£/Tonne]]/1000*Table1[[#This Row],[Kg/ Sheet]]</f>
        <v>15.209375</v>
      </c>
      <c r="AF3" s="10"/>
      <c r="AG3" s="111">
        <f>Table1[[#This Row],[£Cost / SHEET]]*(1+AG$1)</f>
        <v>19.772187500000001</v>
      </c>
      <c r="AH3" s="111">
        <f>Table1[[#This Row],[£Cost / SHEET]]*(1+AH$1)</f>
        <v>20.532656250000002</v>
      </c>
      <c r="AI3" s="111">
        <f>Table1[[#This Row],[£Cost / SHEET]]*(1+AI$1)</f>
        <v>21.293125</v>
      </c>
      <c r="AJ3" s="111">
        <f>Table1[[#This Row],[£Cost / SHEET]]*(1+AJ$1)</f>
        <v>22.814062499999999</v>
      </c>
      <c r="AK3" s="222">
        <f>(Table1[[#This Row],[Qty 1]]*IF(Table1[[#This Row],[Dimension L1]]&lt;1,(Table1[[#This Row],[Length]]*Table1[[#This Row],[Width]]),(Table1[[#This Row],[Dimension L1]]*Table1[[#This Row],[Dimension W1]])))/1000000</f>
        <v>0</v>
      </c>
      <c r="AL3" s="121"/>
    </row>
    <row r="4" spans="1:45" ht="25.35" customHeight="1">
      <c r="A4" s="7" t="s">
        <v>298</v>
      </c>
      <c r="B4" s="7" t="s">
        <v>24</v>
      </c>
      <c r="C4" s="7" t="str">
        <f t="shared" ref="C4:C124" si="2">_xlfn.CONCAT(B4,"_",G4,"_",E4,"_",F4,"")</f>
        <v>PL_1_2500_1250</v>
      </c>
      <c r="D4" s="7" t="str">
        <f>_xlfn.CONCAT(Table1[[#This Row],[ProductRecord.AccountReference]]," @ ",Table1[[#This Row],[KG/M2]],$H$2)</f>
        <v>PL_1_2500_1250 @ 7.85Kg/m2</v>
      </c>
      <c r="E4" s="27">
        <v>2500</v>
      </c>
      <c r="F4" s="27">
        <v>1250</v>
      </c>
      <c r="G4" s="32">
        <v>1</v>
      </c>
      <c r="H4" s="109">
        <f>G4*[1]Density!$D$6/1000</f>
        <v>7.85</v>
      </c>
      <c r="I4" s="161">
        <f t="shared" si="0"/>
        <v>24.53125</v>
      </c>
      <c r="J4" s="164"/>
      <c r="K4" s="165"/>
      <c r="L4" s="165"/>
      <c r="M4" s="196"/>
      <c r="N4" s="204">
        <v>2500</v>
      </c>
      <c r="O4" s="205">
        <v>1250</v>
      </c>
      <c r="P4" s="205">
        <v>4</v>
      </c>
      <c r="Q4" s="206" t="s">
        <v>299</v>
      </c>
      <c r="R4" s="204"/>
      <c r="S4" s="205"/>
      <c r="T4" s="205"/>
      <c r="U4" s="206"/>
      <c r="Z4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98.125</v>
      </c>
      <c r="AA4" s="17">
        <f t="shared" si="1"/>
        <v>12.75625</v>
      </c>
      <c r="AB4" s="17"/>
      <c r="AC4" s="10">
        <v>130</v>
      </c>
      <c r="AD4" s="10">
        <f>Table1[[#This Row],[£/Tonne]]/1000*Table1[[#This Row],[KG/M2]]</f>
        <v>1.0205</v>
      </c>
      <c r="AE4" s="10">
        <f>Table1[[#This Row],[£/Tonne]]/1000*Table1[[#This Row],[Kg/ Sheet]]</f>
        <v>3.1890624999999999</v>
      </c>
      <c r="AF4" s="10"/>
      <c r="AG4" s="111">
        <f>Table1[[#This Row],[£Cost / SHEET]]*(1+AG$1)</f>
        <v>4.1457812499999998</v>
      </c>
      <c r="AH4" s="111">
        <f>Table1[[#This Row],[£Cost / SHEET]]*(1+AH$1)</f>
        <v>4.3052343750000004</v>
      </c>
      <c r="AI4" s="111">
        <f>Table1[[#This Row],[£Cost / SHEET]]*(1+AI$1)</f>
        <v>4.4646874999999993</v>
      </c>
      <c r="AJ4" s="111">
        <f>Table1[[#This Row],[£Cost / SHEET]]*(1+AJ$1)</f>
        <v>4.7835937499999996</v>
      </c>
      <c r="AK4" s="222">
        <f>(Table1[[#This Row],[Qty 1]]*IF(Table1[[#This Row],[Dimension L1]]&lt;1,(Table1[[#This Row],[Length]]*Table1[[#This Row],[Width]]),(Table1[[#This Row],[Dimension L1]]*Table1[[#This Row],[Dimension W1]])))/1000000</f>
        <v>0</v>
      </c>
      <c r="AL4" s="121"/>
    </row>
    <row r="5" spans="1:45" ht="25.35" customHeight="1">
      <c r="A5" s="7" t="s">
        <v>300</v>
      </c>
      <c r="B5" s="7" t="s">
        <v>24</v>
      </c>
      <c r="C5" s="7" t="str">
        <f t="shared" si="2"/>
        <v>PL_1.2__</v>
      </c>
      <c r="D5" s="7" t="str">
        <f>_xlfn.CONCAT(Table1[[#This Row],[ProductRecord.AccountReference]]," @ ",Table1[[#This Row],[KG/M2]],$H$2)</f>
        <v>PL_1.2__ @ 9.42Kg/m2</v>
      </c>
      <c r="G5" s="32">
        <v>1.2</v>
      </c>
      <c r="H5" s="109">
        <f>G5*[1]Density!$D$6/1000</f>
        <v>9.42</v>
      </c>
      <c r="I5" s="161">
        <f t="shared" si="0"/>
        <v>0</v>
      </c>
      <c r="J5" s="164"/>
      <c r="K5" s="165"/>
      <c r="L5" s="165"/>
      <c r="M5" s="196"/>
      <c r="N5" s="201"/>
      <c r="O5" s="202"/>
      <c r="P5" s="202"/>
      <c r="Q5" s="203"/>
      <c r="R5" s="201"/>
      <c r="S5" s="202"/>
      <c r="T5" s="202"/>
      <c r="U5" s="203"/>
      <c r="Z5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5" s="17">
        <f t="shared" si="1"/>
        <v>0</v>
      </c>
      <c r="AB5" s="17"/>
      <c r="AC5" s="10">
        <f>IF(Table1[[#This Row],[Total Weight All Areas]]&gt;0,"PT",0)</f>
        <v>0</v>
      </c>
      <c r="AD5" s="10">
        <f>Table1[[#This Row],[£/Tonne]]/1000*Table1[[#This Row],[KG/M2]]</f>
        <v>0</v>
      </c>
      <c r="AE5" s="10">
        <f>Table1[[#This Row],[£/Tonne]]/1000*Table1[[#This Row],[Kg/ Sheet]]</f>
        <v>0</v>
      </c>
      <c r="AF5" s="10"/>
      <c r="AG5" s="111">
        <f>Table1[[#This Row],[£Cost / SHEET]]*(1+AG$1)</f>
        <v>0</v>
      </c>
      <c r="AH5" s="111">
        <f>Table1[[#This Row],[£Cost / SHEET]]*(1+AH$1)</f>
        <v>0</v>
      </c>
      <c r="AI5" s="111">
        <f>Table1[[#This Row],[£Cost / SHEET]]*(1+AI$1)</f>
        <v>0</v>
      </c>
      <c r="AJ5" s="111">
        <f>Table1[[#This Row],[£Cost / SHEET]]*(1+AJ$1)</f>
        <v>0</v>
      </c>
      <c r="AK5" s="222">
        <f>(Table1[[#This Row],[Qty 1]]*IF(Table1[[#This Row],[Dimension L1]]&lt;1,(Table1[[#This Row],[Length]]*Table1[[#This Row],[Width]]),(Table1[[#This Row],[Dimension L1]]*Table1[[#This Row],[Dimension W1]])))/1000000</f>
        <v>0</v>
      </c>
      <c r="AL5" s="121"/>
    </row>
    <row r="6" spans="1:45" ht="25.35" customHeight="1">
      <c r="A6" s="7" t="s">
        <v>301</v>
      </c>
      <c r="B6" s="7" t="s">
        <v>24</v>
      </c>
      <c r="C6" s="7" t="str">
        <f t="shared" si="2"/>
        <v>PL_1.5_2500_1250</v>
      </c>
      <c r="D6" s="7" t="str">
        <f>_xlfn.CONCAT(Table1[[#This Row],[ProductRecord.AccountReference]]," @ ",Table1[[#This Row],[KG/M2]],$H$2)</f>
        <v>PL_1.5_2500_1250 @ 11.775Kg/m2</v>
      </c>
      <c r="E6" s="27">
        <v>2500</v>
      </c>
      <c r="F6" s="27">
        <v>1250</v>
      </c>
      <c r="G6" s="32">
        <v>1.5</v>
      </c>
      <c r="H6" s="109">
        <f>G6*[1]Density!$D$6/1000</f>
        <v>11.775</v>
      </c>
      <c r="I6" s="161">
        <f t="shared" si="0"/>
        <v>36.796875</v>
      </c>
      <c r="J6" s="164">
        <v>2500</v>
      </c>
      <c r="K6" s="165">
        <v>1250</v>
      </c>
      <c r="L6" s="165">
        <v>2.5</v>
      </c>
      <c r="M6" s="196" t="s">
        <v>72</v>
      </c>
      <c r="N6" s="204"/>
      <c r="O6" s="205"/>
      <c r="P6" s="205">
        <v>50</v>
      </c>
      <c r="Q6" s="206" t="s">
        <v>302</v>
      </c>
      <c r="R6" s="204"/>
      <c r="S6" s="205"/>
      <c r="T6" s="205"/>
      <c r="U6" s="206"/>
      <c r="Z6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1931.8359375</v>
      </c>
      <c r="AA6" s="17">
        <f t="shared" si="1"/>
        <v>1081.828125</v>
      </c>
      <c r="AB6" s="17"/>
      <c r="AC6" s="10">
        <v>560</v>
      </c>
      <c r="AD6" s="10">
        <f>Table1[[#This Row],[£/Tonne]]/1000*Table1[[#This Row],[KG/M2]]</f>
        <v>6.5940000000000012</v>
      </c>
      <c r="AE6" s="10">
        <f>Table1[[#This Row],[£/Tonne]]/1000*Table1[[#This Row],[Kg/ Sheet]]</f>
        <v>20.606250000000003</v>
      </c>
      <c r="AF6" s="10"/>
      <c r="AG6" s="111">
        <f>Table1[[#This Row],[£Cost / SHEET]]*(1+AG$1)</f>
        <v>26.788125000000004</v>
      </c>
      <c r="AH6" s="111">
        <f>Table1[[#This Row],[£Cost / SHEET]]*(1+AH$1)</f>
        <v>27.818437500000005</v>
      </c>
      <c r="AI6" s="111">
        <f>Table1[[#This Row],[£Cost / SHEET]]*(1+AI$1)</f>
        <v>28.848750000000003</v>
      </c>
      <c r="AJ6" s="111">
        <f>Table1[[#This Row],[£Cost / SHEET]]*(1+AJ$1)</f>
        <v>30.909375000000004</v>
      </c>
      <c r="AK6" s="222">
        <f>(Table1[[#This Row],[Qty 1]]*IF(Table1[[#This Row],[Dimension L1]]&lt;1,(Table1[[#This Row],[Length]]*Table1[[#This Row],[Width]]),(Table1[[#This Row],[Dimension L1]]*Table1[[#This Row],[Dimension W1]])))/1000000</f>
        <v>7.8125</v>
      </c>
      <c r="AL6" s="111">
        <f>Table1[[#This Row],[£Cost/m2]]*(1+Table1[[#Headers],[30%]])</f>
        <v>8.5722000000000023</v>
      </c>
      <c r="AM6" s="18"/>
      <c r="AN6" s="18">
        <f>Table1[[#This Row],[£Cost/m2]]*(1+0)</f>
        <v>6.5940000000000012</v>
      </c>
      <c r="AO6" s="18">
        <f>$AN6*(1+Table1[[#Headers],[30%]])</f>
        <v>8.5722000000000023</v>
      </c>
      <c r="AP6" s="18">
        <f>$AN6*(1+Table1[[#Headers],[35%]])</f>
        <v>8.901900000000003</v>
      </c>
      <c r="AQ6" s="18">
        <f>$AN6*(1+Table1[[#Headers],[40%]])</f>
        <v>9.2316000000000003</v>
      </c>
      <c r="AR6" s="18">
        <f>$AN6*(1+Table1[[#Headers],[50%]])</f>
        <v>9.8910000000000018</v>
      </c>
      <c r="AS6" s="18"/>
    </row>
    <row r="7" spans="1:45" ht="25.35" customHeight="1">
      <c r="A7" s="7" t="s">
        <v>303</v>
      </c>
      <c r="B7" s="7" t="s">
        <v>24</v>
      </c>
      <c r="C7" s="7" t="str">
        <f t="shared" si="2"/>
        <v>PL_2_2500_1250</v>
      </c>
      <c r="D7" s="7" t="str">
        <f>_xlfn.CONCAT(Table1[[#This Row],[ProductRecord.AccountReference]]," @ ",Table1[[#This Row],[KG/M2]],$H$2)</f>
        <v>PL_2_2500_1250 @ 15.7Kg/m2</v>
      </c>
      <c r="E7" s="27">
        <v>2500</v>
      </c>
      <c r="F7" s="27">
        <v>1250</v>
      </c>
      <c r="G7" s="32">
        <v>2</v>
      </c>
      <c r="H7" s="109">
        <f>G7*[1]Density!$D$6/1000</f>
        <v>15.7</v>
      </c>
      <c r="I7" s="161">
        <f t="shared" si="0"/>
        <v>49.0625</v>
      </c>
      <c r="J7" s="164">
        <v>2500</v>
      </c>
      <c r="K7" s="165">
        <v>1250</v>
      </c>
      <c r="L7" s="165">
        <v>13</v>
      </c>
      <c r="M7" s="196" t="s">
        <v>72</v>
      </c>
      <c r="N7" s="201">
        <v>1200</v>
      </c>
      <c r="O7" s="202">
        <v>930</v>
      </c>
      <c r="P7" s="202">
        <v>3</v>
      </c>
      <c r="Q7" s="203" t="s">
        <v>239</v>
      </c>
      <c r="R7" s="201"/>
      <c r="S7" s="202"/>
      <c r="T7" s="202"/>
      <c r="U7" s="203"/>
      <c r="Z7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690.37609999999995</v>
      </c>
      <c r="AA7" s="17">
        <f t="shared" si="1"/>
        <v>807.74003699999992</v>
      </c>
      <c r="AB7" s="17"/>
      <c r="AC7" s="10">
        <v>1170</v>
      </c>
      <c r="AD7" s="10">
        <f>Table1[[#This Row],[£/Tonne]]/1000*Table1[[#This Row],[KG/M2]]</f>
        <v>18.369</v>
      </c>
      <c r="AE7" s="10">
        <f>Table1[[#This Row],[£/Tonne]]/1000*Table1[[#This Row],[Kg/ Sheet]]</f>
        <v>57.403124999999996</v>
      </c>
      <c r="AF7" s="10"/>
      <c r="AG7" s="111">
        <f>Table1[[#This Row],[£Cost / SHEET]]*(1+AG$1)</f>
        <v>74.624062499999994</v>
      </c>
      <c r="AH7" s="111">
        <f>Table1[[#This Row],[£Cost / SHEET]]*(1+AH$1)</f>
        <v>77.494218750000002</v>
      </c>
      <c r="AI7" s="111">
        <f>Table1[[#This Row],[£Cost / SHEET]]*(1+AI$1)</f>
        <v>80.364374999999995</v>
      </c>
      <c r="AJ7" s="111">
        <f>Table1[[#This Row],[£Cost / SHEET]]*(1+AJ$1)</f>
        <v>86.104687499999997</v>
      </c>
      <c r="AK7" s="222">
        <f>(Table1[[#This Row],[Qty 1]]*IF(Table1[[#This Row],[Dimension L1]]&lt;1,(Table1[[#This Row],[Length]]*Table1[[#This Row],[Width]]),(Table1[[#This Row],[Dimension L1]]*Table1[[#This Row],[Dimension W1]])))/1000000</f>
        <v>40.625</v>
      </c>
      <c r="AL7" s="121"/>
    </row>
    <row r="8" spans="1:45" ht="25.35" customHeight="1">
      <c r="A8" s="7" t="s">
        <v>303</v>
      </c>
      <c r="B8" s="7" t="s">
        <v>24</v>
      </c>
      <c r="C8" s="7" t="str">
        <f t="shared" si="2"/>
        <v>PL_2_2000_1040</v>
      </c>
      <c r="D8" s="7" t="str">
        <f>_xlfn.CONCAT(Table1[[#This Row],[ProductRecord.AccountReference]]," @ ",Table1[[#This Row],[KG/M2]],$H$2)</f>
        <v>PL_2_2000_1040 @ 15.7Kg/m2</v>
      </c>
      <c r="E8" s="27">
        <v>2000</v>
      </c>
      <c r="F8" s="27">
        <v>1040</v>
      </c>
      <c r="G8" s="32">
        <v>2</v>
      </c>
      <c r="H8" s="109">
        <f>G8*[1]Density!$D$6/1000</f>
        <v>15.7</v>
      </c>
      <c r="I8" s="161">
        <f t="shared" si="0"/>
        <v>32.655999999999999</v>
      </c>
      <c r="J8" s="164"/>
      <c r="K8" s="165"/>
      <c r="L8" s="165"/>
      <c r="M8" s="196"/>
      <c r="N8" s="204"/>
      <c r="O8" s="202"/>
      <c r="P8" s="202">
        <v>9</v>
      </c>
      <c r="Q8" s="203" t="s">
        <v>302</v>
      </c>
      <c r="R8" s="201"/>
      <c r="S8" s="202"/>
      <c r="T8" s="202"/>
      <c r="U8" s="203"/>
      <c r="Z8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293.904</v>
      </c>
      <c r="AA8" s="17">
        <f t="shared" si="1"/>
        <v>73.475999999999999</v>
      </c>
      <c r="AB8" s="17"/>
      <c r="AC8" s="10">
        <v>250</v>
      </c>
      <c r="AD8" s="10">
        <f>Table1[[#This Row],[£/Tonne]]/1000*Table1[[#This Row],[KG/M2]]</f>
        <v>3.9249999999999998</v>
      </c>
      <c r="AE8" s="10">
        <f>Table1[[#This Row],[£/Tonne]]/1000*Table1[[#This Row],[Kg/ Sheet]]</f>
        <v>8.1639999999999997</v>
      </c>
      <c r="AF8" s="10"/>
      <c r="AG8" s="111">
        <f>Table1[[#This Row],[£Cost / SHEET]]*(1+AG$1)</f>
        <v>10.613200000000001</v>
      </c>
      <c r="AH8" s="111">
        <f>Table1[[#This Row],[£Cost / SHEET]]*(1+AH$1)</f>
        <v>11.0214</v>
      </c>
      <c r="AI8" s="111">
        <f>Table1[[#This Row],[£Cost / SHEET]]*(1+AI$1)</f>
        <v>11.429599999999999</v>
      </c>
      <c r="AJ8" s="111">
        <f>Table1[[#This Row],[£Cost / SHEET]]*(1+AJ$1)</f>
        <v>12.245999999999999</v>
      </c>
      <c r="AK8" s="222">
        <f>(Table1[[#This Row],[Qty 1]]*IF(Table1[[#This Row],[Dimension L1]]&lt;1,(Table1[[#This Row],[Length]]*Table1[[#This Row],[Width]]),(Table1[[#This Row],[Dimension L1]]*Table1[[#This Row],[Dimension W1]])))/1000000</f>
        <v>0</v>
      </c>
      <c r="AL8" s="121"/>
    </row>
    <row r="9" spans="1:45" ht="25.35" customHeight="1">
      <c r="A9" s="7" t="s">
        <v>303</v>
      </c>
      <c r="B9" s="7" t="s">
        <v>24</v>
      </c>
      <c r="C9" s="7" t="str">
        <f t="shared" si="2"/>
        <v>PL_2_3000_1500</v>
      </c>
      <c r="D9" s="7" t="str">
        <f>_xlfn.CONCAT(Table1[[#This Row],[ProductRecord.AccountReference]]," @ ",Table1[[#This Row],[KG/M2]],$H$2)</f>
        <v>PL_2_3000_1500 @ 15.7Kg/m2</v>
      </c>
      <c r="E9" s="27">
        <v>3000</v>
      </c>
      <c r="F9" s="27">
        <v>1500</v>
      </c>
      <c r="G9" s="32">
        <v>2</v>
      </c>
      <c r="H9" s="109">
        <f>G9*[1]Density!$D$6/1000</f>
        <v>15.7</v>
      </c>
      <c r="I9" s="161">
        <f t="shared" si="0"/>
        <v>70.650000000000006</v>
      </c>
      <c r="J9" s="164">
        <v>3000</v>
      </c>
      <c r="K9" s="165">
        <v>1500</v>
      </c>
      <c r="L9" s="165">
        <v>20</v>
      </c>
      <c r="M9" s="196" t="s">
        <v>72</v>
      </c>
      <c r="N9" s="201"/>
      <c r="O9" s="202"/>
      <c r="P9" s="202"/>
      <c r="Q9" s="203"/>
      <c r="R9" s="201"/>
      <c r="S9" s="202"/>
      <c r="T9" s="202"/>
      <c r="U9" s="203"/>
      <c r="Z9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1413</v>
      </c>
      <c r="AA9" s="17">
        <f t="shared" si="1"/>
        <v>826.60500000000002</v>
      </c>
      <c r="AB9" s="17"/>
      <c r="AC9" s="10">
        <v>585</v>
      </c>
      <c r="AD9" s="10">
        <f>Table1[[#This Row],[£/Tonne]]/1000*Table1[[#This Row],[KG/M2]]</f>
        <v>9.1844999999999999</v>
      </c>
      <c r="AE9" s="10">
        <f>Table1[[#This Row],[£/Tonne]]/1000*Table1[[#This Row],[Kg/ Sheet]]</f>
        <v>41.330249999999999</v>
      </c>
      <c r="AF9" s="10"/>
      <c r="AG9" s="111">
        <f>Table1[[#This Row],[£Cost / SHEET]]*(1+AG$1)</f>
        <v>53.729325000000003</v>
      </c>
      <c r="AH9" s="111">
        <f>Table1[[#This Row],[£Cost / SHEET]]*(1+AH$1)</f>
        <v>55.795837500000005</v>
      </c>
      <c r="AI9" s="111">
        <f>Table1[[#This Row],[£Cost / SHEET]]*(1+AI$1)</f>
        <v>57.862349999999992</v>
      </c>
      <c r="AJ9" s="111">
        <f>Table1[[#This Row],[£Cost / SHEET]]*(1+AJ$1)</f>
        <v>61.995374999999996</v>
      </c>
      <c r="AK9" s="222">
        <f>(Table1[[#This Row],[Qty 1]]*IF(Table1[[#This Row],[Dimension L1]]&lt;1,(Table1[[#This Row],[Length]]*Table1[[#This Row],[Width]]),(Table1[[#This Row],[Dimension L1]]*Table1[[#This Row],[Dimension W1]])))/1000000</f>
        <v>90</v>
      </c>
      <c r="AL9" s="121"/>
    </row>
    <row r="10" spans="1:45" ht="25.35" customHeight="1">
      <c r="A10" s="7" t="s">
        <v>304</v>
      </c>
      <c r="B10" s="7" t="s">
        <v>24</v>
      </c>
      <c r="C10" s="7" t="str">
        <f t="shared" si="2"/>
        <v>PL_2.5_2500_1250</v>
      </c>
      <c r="D10" s="7" t="str">
        <f>_xlfn.CONCAT(Table1[[#This Row],[ProductRecord.AccountReference]]," @ ",Table1[[#This Row],[KG/M2]],$H$2)</f>
        <v>PL_2.5_2500_1250 @ 19.625Kg/m2</v>
      </c>
      <c r="E10" s="27">
        <v>2500</v>
      </c>
      <c r="F10" s="27">
        <v>1250</v>
      </c>
      <c r="G10" s="32">
        <v>2.5</v>
      </c>
      <c r="H10" s="109">
        <f>G10*[1]Density!$D$6/1000</f>
        <v>19.625</v>
      </c>
      <c r="I10" s="161">
        <f t="shared" si="0"/>
        <v>61.328125</v>
      </c>
      <c r="J10" s="164">
        <v>2500</v>
      </c>
      <c r="K10" s="165">
        <v>1250</v>
      </c>
      <c r="L10" s="165">
        <v>28</v>
      </c>
      <c r="M10" s="196" t="s">
        <v>72</v>
      </c>
      <c r="N10" s="204"/>
      <c r="O10" s="202"/>
      <c r="P10" s="202"/>
      <c r="Q10" s="203"/>
      <c r="R10" s="201"/>
      <c r="S10" s="202"/>
      <c r="T10" s="202"/>
      <c r="U10" s="203"/>
      <c r="Z10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1717.1875</v>
      </c>
      <c r="AA10" s="17">
        <f t="shared" si="1"/>
        <v>1200.3140625000001</v>
      </c>
      <c r="AB10" s="17"/>
      <c r="AC10" s="10">
        <v>699</v>
      </c>
      <c r="AD10" s="10">
        <f>Table1[[#This Row],[£/Tonne]]/1000*Table1[[#This Row],[KG/M2]]</f>
        <v>13.717874999999999</v>
      </c>
      <c r="AE10" s="10">
        <f>Table1[[#This Row],[£/Tonne]]/1000*Table1[[#This Row],[Kg/ Sheet]]</f>
        <v>42.868359374999997</v>
      </c>
      <c r="AF10" s="10"/>
      <c r="AG10" s="111">
        <f>Table1[[#This Row],[£Cost / SHEET]]*(1+AG$1)</f>
        <v>55.728867187500001</v>
      </c>
      <c r="AH10" s="111">
        <f>Table1[[#This Row],[£Cost / SHEET]]*(1+AH$1)</f>
        <v>57.872285156250001</v>
      </c>
      <c r="AI10" s="111">
        <f>Table1[[#This Row],[£Cost / SHEET]]*(1+AI$1)</f>
        <v>60.015703124999995</v>
      </c>
      <c r="AJ10" s="111">
        <f>Table1[[#This Row],[£Cost / SHEET]]*(1+AJ$1)</f>
        <v>64.302539062499989</v>
      </c>
      <c r="AK10" s="222">
        <f>(Table1[[#This Row],[Qty 1]]*IF(Table1[[#This Row],[Dimension L1]]&lt;1,(Table1[[#This Row],[Length]]*Table1[[#This Row],[Width]]),(Table1[[#This Row],[Dimension L1]]*Table1[[#This Row],[Dimension W1]])))/1000000</f>
        <v>87.5</v>
      </c>
      <c r="AL10" s="121"/>
    </row>
    <row r="11" spans="1:45" ht="25.35" customHeight="1">
      <c r="H11" s="109"/>
      <c r="I11" s="110"/>
      <c r="J11" s="159"/>
      <c r="K11" s="161"/>
      <c r="L11" s="161"/>
      <c r="M11" s="196"/>
      <c r="N11" s="207"/>
      <c r="O11" s="202"/>
      <c r="P11" s="202"/>
      <c r="Q11" s="203"/>
      <c r="R11" s="201"/>
      <c r="S11" s="202"/>
      <c r="T11" s="202"/>
      <c r="U11" s="203"/>
      <c r="Z11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11" s="17">
        <f t="shared" si="1"/>
        <v>0</v>
      </c>
      <c r="AB11" s="17"/>
      <c r="AC11" s="10"/>
      <c r="AD11" s="10">
        <f>Table1[[#This Row],[£/Tonne]]/1000*Table1[[#This Row],[KG/M2]]</f>
        <v>0</v>
      </c>
      <c r="AE11" s="10">
        <f>Table1[[#This Row],[£/Tonne]]/1000*Table1[[#This Row],[Kg/ Sheet]]</f>
        <v>0</v>
      </c>
      <c r="AF11" s="10"/>
      <c r="AG11" s="111">
        <f>Table1[[#This Row],[£Cost / SHEET]]*(1+AG$1)</f>
        <v>0</v>
      </c>
      <c r="AH11" s="111">
        <f>Table1[[#This Row],[£Cost / SHEET]]*(1+AH$1)</f>
        <v>0</v>
      </c>
      <c r="AI11" s="111">
        <f>Table1[[#This Row],[£Cost / SHEET]]*(1+AI$1)</f>
        <v>0</v>
      </c>
      <c r="AJ11" s="111">
        <f>Table1[[#This Row],[£Cost / SHEET]]*(1+AJ$1)</f>
        <v>0</v>
      </c>
      <c r="AK11" s="222">
        <f>(Table1[[#This Row],[Qty 1]]*IF(Table1[[#This Row],[Dimension L1]]&lt;1,(Table1[[#This Row],[Length]]*Table1[[#This Row],[Width]]),(Table1[[#This Row],[Dimension L1]]*Table1[[#This Row],[Dimension W1]])))/1000000</f>
        <v>0</v>
      </c>
      <c r="AL11" s="121"/>
    </row>
    <row r="12" spans="1:45" ht="25.35" customHeight="1">
      <c r="B12" s="7" t="s">
        <v>24</v>
      </c>
      <c r="C12" s="7" t="str">
        <f t="shared" si="2"/>
        <v>PL_3_2500_1250</v>
      </c>
      <c r="D12" s="7" t="str">
        <f>_xlfn.CONCAT(Table1[[#This Row],[ProductRecord.AccountReference]]," @ ",Table1[[#This Row],[KG/M2]],$H$2)</f>
        <v>PL_3_2500_1250 @ 23.55Kg/m2</v>
      </c>
      <c r="E12" s="27">
        <v>2500</v>
      </c>
      <c r="F12" s="27">
        <v>1250</v>
      </c>
      <c r="G12" s="32">
        <v>3</v>
      </c>
      <c r="H12" s="109">
        <f>G12*[1]Density!$D$6/1000</f>
        <v>23.55</v>
      </c>
      <c r="I12" s="161">
        <f t="shared" si="0"/>
        <v>73.59375</v>
      </c>
      <c r="J12" s="164">
        <v>2500</v>
      </c>
      <c r="K12" s="165">
        <v>1250</v>
      </c>
      <c r="L12" s="165">
        <v>49</v>
      </c>
      <c r="M12" s="196" t="s">
        <v>72</v>
      </c>
      <c r="N12" s="204"/>
      <c r="O12" s="202"/>
      <c r="P12" s="202">
        <v>2</v>
      </c>
      <c r="Q12" s="203" t="s">
        <v>305</v>
      </c>
      <c r="R12" s="201"/>
      <c r="S12" s="202"/>
      <c r="T12" s="202">
        <v>3</v>
      </c>
      <c r="U12" s="203" t="s">
        <v>299</v>
      </c>
      <c r="Z12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3974.0625</v>
      </c>
      <c r="AA12" s="17">
        <f t="shared" si="1"/>
        <v>3815.1</v>
      </c>
      <c r="AB12" s="17"/>
      <c r="AC12" s="10">
        <v>960</v>
      </c>
      <c r="AD12" s="10">
        <f>Table1[[#This Row],[£/Tonne]]/1000*Table1[[#This Row],[KG/M2]]</f>
        <v>22.608000000000001</v>
      </c>
      <c r="AE12" s="10">
        <f>Table1[[#This Row],[£/Tonne]]/1000*Table1[[#This Row],[Kg/ Sheet]]</f>
        <v>70.649999999999991</v>
      </c>
      <c r="AF12" s="10"/>
      <c r="AG12" s="111">
        <f>Table1[[#This Row],[£Cost / SHEET]]*(1+AG$1)</f>
        <v>91.844999999999999</v>
      </c>
      <c r="AH12" s="111">
        <f>Table1[[#This Row],[£Cost / SHEET]]*(1+AH$1)</f>
        <v>95.377499999999998</v>
      </c>
      <c r="AI12" s="111">
        <f>Table1[[#This Row],[£Cost / SHEET]]*(1+AI$1)</f>
        <v>98.909999999999982</v>
      </c>
      <c r="AJ12" s="111">
        <f>Table1[[#This Row],[£Cost / SHEET]]*(1+AJ$1)</f>
        <v>105.97499999999999</v>
      </c>
      <c r="AK12" s="222">
        <f>(Table1[[#This Row],[Qty 1]]*IF(Table1[[#This Row],[Dimension L1]]&lt;1,(Table1[[#This Row],[Length]]*Table1[[#This Row],[Width]]),(Table1[[#This Row],[Dimension L1]]*Table1[[#This Row],[Dimension W1]])))/1000000</f>
        <v>153.125</v>
      </c>
      <c r="AL12" s="121"/>
    </row>
    <row r="13" spans="1:45" ht="25.35" customHeight="1">
      <c r="B13" s="7" t="s">
        <v>24</v>
      </c>
      <c r="C13" s="7" t="str">
        <f t="shared" si="2"/>
        <v>PL_3_2000_1520</v>
      </c>
      <c r="D13" s="7" t="str">
        <f>_xlfn.CONCAT(Table1[[#This Row],[ProductRecord.AccountReference]]," @ ",Table1[[#This Row],[KG/M2]],$H$2)</f>
        <v>PL_3_2000_1520 @ 23.55Kg/m2</v>
      </c>
      <c r="E13" s="27">
        <v>2000</v>
      </c>
      <c r="F13" s="27">
        <v>1520</v>
      </c>
      <c r="G13" s="32">
        <v>3</v>
      </c>
      <c r="H13" s="109">
        <f>G13*[1]Density!$D$6/1000</f>
        <v>23.55</v>
      </c>
      <c r="I13" s="161">
        <f t="shared" si="0"/>
        <v>71.591999999999999</v>
      </c>
      <c r="J13" s="164">
        <v>1470</v>
      </c>
      <c r="K13" s="165">
        <v>1200</v>
      </c>
      <c r="L13" s="165">
        <v>21</v>
      </c>
      <c r="M13" s="196" t="s">
        <v>306</v>
      </c>
      <c r="N13" s="201"/>
      <c r="O13" s="202"/>
      <c r="P13" s="202"/>
      <c r="Q13" s="203"/>
      <c r="R13" s="201">
        <v>2500</v>
      </c>
      <c r="S13" s="202">
        <v>1200</v>
      </c>
      <c r="T13" s="202">
        <v>1</v>
      </c>
      <c r="U13" s="203" t="s">
        <v>299</v>
      </c>
      <c r="V13" s="9">
        <v>2130</v>
      </c>
      <c r="W13" s="9">
        <v>1830</v>
      </c>
      <c r="X13" s="9">
        <v>7</v>
      </c>
      <c r="Y13" s="9" t="s">
        <v>72</v>
      </c>
      <c r="Z13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1585.6050149999999</v>
      </c>
      <c r="AA13" s="17">
        <f t="shared" si="1"/>
        <v>1633.1731654499999</v>
      </c>
      <c r="AB13" s="17"/>
      <c r="AC13" s="10">
        <f>AC15</f>
        <v>1030</v>
      </c>
      <c r="AD13" s="10">
        <f>Table1[[#This Row],[£/Tonne]]/1000*Table1[[#This Row],[KG/M2]]</f>
        <v>24.256500000000003</v>
      </c>
      <c r="AE13" s="10">
        <f>Table1[[#This Row],[£/Tonne]]/1000*Table1[[#This Row],[Kg/ Sheet]]</f>
        <v>73.739760000000004</v>
      </c>
      <c r="AF13" s="10"/>
      <c r="AG13" s="111">
        <f>Table1[[#This Row],[£Cost / SHEET]]*(1+AG$1)</f>
        <v>95.861688000000015</v>
      </c>
      <c r="AH13" s="111">
        <f>Table1[[#This Row],[£Cost / SHEET]]*(1+AH$1)</f>
        <v>99.548676000000015</v>
      </c>
      <c r="AI13" s="111">
        <f>Table1[[#This Row],[£Cost / SHEET]]*(1+AI$1)</f>
        <v>103.235664</v>
      </c>
      <c r="AJ13" s="111">
        <f>Table1[[#This Row],[£Cost / SHEET]]*(1+AJ$1)</f>
        <v>110.60964000000001</v>
      </c>
      <c r="AK13" s="222">
        <f>(Table1[[#This Row],[Qty 1]]*IF(Table1[[#This Row],[Dimension L1]]&lt;1,(Table1[[#This Row],[Length]]*Table1[[#This Row],[Width]]),(Table1[[#This Row],[Dimension L1]]*Table1[[#This Row],[Dimension W1]])))/1000000</f>
        <v>37.043999999999997</v>
      </c>
      <c r="AL13" s="121"/>
    </row>
    <row r="14" spans="1:45" ht="25.35" customHeight="1">
      <c r="B14" s="7" t="s">
        <v>24</v>
      </c>
      <c r="C14" s="7" t="str">
        <f t="shared" si="2"/>
        <v>PL_3_2300_1500</v>
      </c>
      <c r="D14" s="7" t="str">
        <f>_xlfn.CONCAT(Table1[[#This Row],[ProductRecord.AccountReference]]," @ ",Table1[[#This Row],[KG/M2]],$H$2)</f>
        <v>PL_3_2300_1500 @ 23.55Kg/m2</v>
      </c>
      <c r="E14" s="27">
        <v>2300</v>
      </c>
      <c r="F14" s="27">
        <v>1500</v>
      </c>
      <c r="G14" s="32">
        <v>3</v>
      </c>
      <c r="H14" s="109">
        <f>G14*[1]Density!$D$6/1000</f>
        <v>23.55</v>
      </c>
      <c r="I14" s="161">
        <f t="shared" si="0"/>
        <v>81.247500000000002</v>
      </c>
      <c r="J14" s="164"/>
      <c r="K14" s="165"/>
      <c r="L14" s="165"/>
      <c r="M14" s="196"/>
      <c r="N14" s="164">
        <v>1500</v>
      </c>
      <c r="O14" s="202">
        <v>780</v>
      </c>
      <c r="P14" s="202">
        <v>2</v>
      </c>
      <c r="Q14" s="203" t="s">
        <v>72</v>
      </c>
      <c r="R14" s="201"/>
      <c r="S14" s="202"/>
      <c r="T14" s="202">
        <v>20</v>
      </c>
      <c r="U14" s="203" t="s">
        <v>302</v>
      </c>
      <c r="Z14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1680.0570000000002</v>
      </c>
      <c r="AA14" s="17">
        <f t="shared" si="1"/>
        <v>1730.4587100000001</v>
      </c>
      <c r="AB14" s="17"/>
      <c r="AC14" s="10">
        <f>AC15</f>
        <v>1030</v>
      </c>
      <c r="AD14" s="10">
        <f>Table1[[#This Row],[£/Tonne]]/1000*Table1[[#This Row],[KG/M2]]</f>
        <v>24.256500000000003</v>
      </c>
      <c r="AE14" s="10">
        <f>Table1[[#This Row],[£/Tonne]]/1000*Table1[[#This Row],[Kg/ Sheet]]</f>
        <v>83.684925000000007</v>
      </c>
      <c r="AF14" s="10"/>
      <c r="AG14" s="111">
        <f>Table1[[#This Row],[£Cost / SHEET]]*(1+AG$1)</f>
        <v>108.79040250000001</v>
      </c>
      <c r="AH14" s="111">
        <f>Table1[[#This Row],[£Cost / SHEET]]*(1+AH$1)</f>
        <v>112.97464875000001</v>
      </c>
      <c r="AI14" s="111">
        <f>Table1[[#This Row],[£Cost / SHEET]]*(1+AI$1)</f>
        <v>117.158895</v>
      </c>
      <c r="AJ14" s="111">
        <f>Table1[[#This Row],[£Cost / SHEET]]*(1+AJ$1)</f>
        <v>125.5273875</v>
      </c>
      <c r="AK14" s="222">
        <f>(Table1[[#This Row],[Qty 1]]*IF(Table1[[#This Row],[Dimension L1]]&lt;1,(Table1[[#This Row],[Length]]*Table1[[#This Row],[Width]]),(Table1[[#This Row],[Dimension L1]]*Table1[[#This Row],[Dimension W1]])))/1000000</f>
        <v>0</v>
      </c>
      <c r="AL14" s="121"/>
    </row>
    <row r="15" spans="1:45" ht="25.35" customHeight="1">
      <c r="B15" s="7" t="s">
        <v>24</v>
      </c>
      <c r="C15" s="7" t="str">
        <f t="shared" si="2"/>
        <v>PL_3_3000_1500</v>
      </c>
      <c r="D15" s="7" t="str">
        <f>_xlfn.CONCAT(Table1[[#This Row],[ProductRecord.AccountReference]]," @ ",Table1[[#This Row],[KG/M2]],$H$2)</f>
        <v>PL_3_3000_1500 @ 23.55Kg/m2</v>
      </c>
      <c r="E15" s="27">
        <v>3000</v>
      </c>
      <c r="F15" s="27">
        <v>1500</v>
      </c>
      <c r="G15" s="32">
        <v>3</v>
      </c>
      <c r="H15" s="109">
        <f>G15*[1]Density!$D$6/1000</f>
        <v>23.55</v>
      </c>
      <c r="I15" s="161">
        <f t="shared" si="0"/>
        <v>105.97499999999999</v>
      </c>
      <c r="J15" s="164">
        <v>3000</v>
      </c>
      <c r="K15" s="165">
        <v>1500</v>
      </c>
      <c r="L15" s="165">
        <v>25</v>
      </c>
      <c r="M15" s="196" t="s">
        <v>72</v>
      </c>
      <c r="N15" s="201"/>
      <c r="O15" s="202"/>
      <c r="P15" s="202">
        <v>7</v>
      </c>
      <c r="Q15" s="203" t="s">
        <v>302</v>
      </c>
      <c r="R15" s="201"/>
      <c r="S15" s="202"/>
      <c r="T15" s="202">
        <v>78</v>
      </c>
      <c r="U15" s="203" t="s">
        <v>302</v>
      </c>
      <c r="X15" s="9">
        <v>19</v>
      </c>
      <c r="Y15" s="9" t="s">
        <v>302</v>
      </c>
      <c r="Z15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13670.775</v>
      </c>
      <c r="AA15" s="17">
        <f t="shared" si="1"/>
        <v>14080.898249999998</v>
      </c>
      <c r="AB15" s="17"/>
      <c r="AC15" s="10">
        <v>1030</v>
      </c>
      <c r="AD15" s="10">
        <f>Table1[[#This Row],[£/Tonne]]/1000*Table1[[#This Row],[KG/M2]]</f>
        <v>24.256500000000003</v>
      </c>
      <c r="AE15" s="10">
        <f>Table1[[#This Row],[£/Tonne]]/1000*Table1[[#This Row],[Kg/ Sheet]]</f>
        <v>109.15424999999999</v>
      </c>
      <c r="AF15" s="10"/>
      <c r="AG15" s="111">
        <f>Table1[[#This Row],[£Cost / SHEET]]*(1+AG$1)</f>
        <v>141.90052499999999</v>
      </c>
      <c r="AH15" s="111">
        <f>Table1[[#This Row],[£Cost / SHEET]]*(1+AH$1)</f>
        <v>147.3582375</v>
      </c>
      <c r="AI15" s="111">
        <f>Table1[[#This Row],[£Cost / SHEET]]*(1+AI$1)</f>
        <v>152.81594999999999</v>
      </c>
      <c r="AJ15" s="111">
        <f>Table1[[#This Row],[£Cost / SHEET]]*(1+AJ$1)</f>
        <v>163.73137499999999</v>
      </c>
      <c r="AK15" s="222">
        <f>(Table1[[#This Row],[Qty 1]]*IF(Table1[[#This Row],[Dimension L1]]&lt;1,(Table1[[#This Row],[Length]]*Table1[[#This Row],[Width]]),(Table1[[#This Row],[Dimension L1]]*Table1[[#This Row],[Dimension W1]])))/1000000</f>
        <v>112.5</v>
      </c>
      <c r="AL15" s="121"/>
    </row>
    <row r="16" spans="1:45" ht="25.35" customHeight="1">
      <c r="B16" s="7" t="s">
        <v>24</v>
      </c>
      <c r="C16" s="7" t="str">
        <f t="shared" si="2"/>
        <v>PL_3_4300_1500</v>
      </c>
      <c r="D16" s="7" t="str">
        <f>_xlfn.CONCAT(Table1[[#This Row],[ProductRecord.AccountReference]]," @ ",Table1[[#This Row],[KG/M2]],$H$2)</f>
        <v>PL_3_4300_1500 @ 23.55Kg/m2</v>
      </c>
      <c r="E16" s="27">
        <v>4300</v>
      </c>
      <c r="F16" s="27">
        <v>1500</v>
      </c>
      <c r="G16" s="32">
        <v>3</v>
      </c>
      <c r="H16" s="109">
        <f>G16*[1]Density!$D$6/1000</f>
        <v>23.55</v>
      </c>
      <c r="I16" s="161">
        <f t="shared" si="0"/>
        <v>151.89750000000001</v>
      </c>
      <c r="J16" s="164">
        <v>4300</v>
      </c>
      <c r="K16" s="165">
        <v>730</v>
      </c>
      <c r="L16" s="165">
        <v>1</v>
      </c>
      <c r="M16" s="196" t="s">
        <v>306</v>
      </c>
      <c r="N16" s="201"/>
      <c r="O16" s="202"/>
      <c r="P16" s="202"/>
      <c r="Q16" s="203"/>
      <c r="R16" s="201"/>
      <c r="S16" s="202"/>
      <c r="T16" s="202"/>
      <c r="U16" s="203"/>
      <c r="Z16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73.923450000000003</v>
      </c>
      <c r="AA16" s="17">
        <f t="shared" si="1"/>
        <v>76.141153500000001</v>
      </c>
      <c r="AB16" s="17"/>
      <c r="AC16" s="10">
        <f>AC15</f>
        <v>1030</v>
      </c>
      <c r="AD16" s="10">
        <f>Table1[[#This Row],[£/Tonne]]/1000*Table1[[#This Row],[KG/M2]]</f>
        <v>24.256500000000003</v>
      </c>
      <c r="AE16" s="10">
        <f>Table1[[#This Row],[£/Tonne]]/1000*Table1[[#This Row],[Kg/ Sheet]]</f>
        <v>156.45442500000001</v>
      </c>
      <c r="AF16" s="10"/>
      <c r="AG16" s="111">
        <f>Table1[[#This Row],[£Cost / SHEET]]*(1+AG$1)</f>
        <v>203.39075250000002</v>
      </c>
      <c r="AH16" s="111">
        <f>Table1[[#This Row],[£Cost / SHEET]]*(1+AH$1)</f>
        <v>211.21347375000002</v>
      </c>
      <c r="AI16" s="111">
        <f>Table1[[#This Row],[£Cost / SHEET]]*(1+AI$1)</f>
        <v>219.03619500000002</v>
      </c>
      <c r="AJ16" s="111">
        <f>Table1[[#This Row],[£Cost / SHEET]]*(1+AJ$1)</f>
        <v>234.68163750000002</v>
      </c>
      <c r="AK16" s="222">
        <f>(Table1[[#This Row],[Qty 1]]*IF(Table1[[#This Row],[Dimension L1]]&lt;1,(Table1[[#This Row],[Length]]*Table1[[#This Row],[Width]]),(Table1[[#This Row],[Dimension L1]]*Table1[[#This Row],[Dimension W1]])))/1000000</f>
        <v>3.1389999999999998</v>
      </c>
      <c r="AL16" s="121"/>
    </row>
    <row r="17" spans="2:38" ht="25.35" customHeight="1">
      <c r="B17" s="7" t="s">
        <v>24</v>
      </c>
      <c r="C17" s="7" t="str">
        <f t="shared" si="2"/>
        <v>PL_3_4000_2000</v>
      </c>
      <c r="D17" s="7" t="str">
        <f>_xlfn.CONCAT(Table1[[#This Row],[ProductRecord.AccountReference]]," @ ",Table1[[#This Row],[KG/M2]],$H$2)</f>
        <v>PL_3_4000_2000 @ 23.55Kg/m2</v>
      </c>
      <c r="E17" s="27">
        <v>4000</v>
      </c>
      <c r="F17" s="27">
        <v>2000</v>
      </c>
      <c r="G17" s="32">
        <v>3</v>
      </c>
      <c r="H17" s="109">
        <f>G17*[1]Density!$D$6/1000</f>
        <v>23.55</v>
      </c>
      <c r="I17" s="161">
        <f t="shared" si="0"/>
        <v>188.4</v>
      </c>
      <c r="J17" s="164">
        <v>1840</v>
      </c>
      <c r="K17" s="165">
        <v>1360</v>
      </c>
      <c r="L17" s="165">
        <v>2</v>
      </c>
      <c r="M17" s="196" t="s">
        <v>306</v>
      </c>
      <c r="N17" s="201"/>
      <c r="O17" s="202"/>
      <c r="P17" s="202">
        <v>2</v>
      </c>
      <c r="Q17" s="203" t="s">
        <v>305</v>
      </c>
      <c r="R17" s="201"/>
      <c r="S17" s="202"/>
      <c r="T17" s="202">
        <v>15</v>
      </c>
      <c r="U17" s="203" t="s">
        <v>305</v>
      </c>
      <c r="Z17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3320.6630399999999</v>
      </c>
      <c r="AA17" s="17">
        <f t="shared" si="1"/>
        <v>4134.2254848000002</v>
      </c>
      <c r="AB17" s="17"/>
      <c r="AC17" s="10">
        <v>1245</v>
      </c>
      <c r="AD17" s="10">
        <f>Table1[[#This Row],[£/Tonne]]/1000*Table1[[#This Row],[KG/M2]]</f>
        <v>29.319750000000003</v>
      </c>
      <c r="AE17" s="10">
        <f>Table1[[#This Row],[£/Tonne]]/1000*Table1[[#This Row],[Kg/ Sheet]]</f>
        <v>234.55800000000002</v>
      </c>
      <c r="AF17" s="10"/>
      <c r="AG17" s="111">
        <f>Table1[[#This Row],[£Cost / SHEET]]*(1+AG$1)</f>
        <v>304.92540000000002</v>
      </c>
      <c r="AH17" s="111">
        <f>Table1[[#This Row],[£Cost / SHEET]]*(1+AH$1)</f>
        <v>316.65330000000006</v>
      </c>
      <c r="AI17" s="111">
        <f>Table1[[#This Row],[£Cost / SHEET]]*(1+AI$1)</f>
        <v>328.38120000000004</v>
      </c>
      <c r="AJ17" s="111">
        <f>Table1[[#This Row],[£Cost / SHEET]]*(1+AJ$1)</f>
        <v>351.83700000000005</v>
      </c>
      <c r="AK17" s="222">
        <f>(Table1[[#This Row],[Qty 1]]*IF(Table1[[#This Row],[Dimension L1]]&lt;1,(Table1[[#This Row],[Length]]*Table1[[#This Row],[Width]]),(Table1[[#This Row],[Dimension L1]]*Table1[[#This Row],[Dimension W1]])))/1000000</f>
        <v>5.0048000000000004</v>
      </c>
      <c r="AL17" s="121"/>
    </row>
    <row r="18" spans="2:38" ht="25.35" customHeight="1">
      <c r="B18" s="7" t="s">
        <v>24</v>
      </c>
      <c r="C18" s="7" t="str">
        <f t="shared" si="2"/>
        <v>PL_3_4050_1840</v>
      </c>
      <c r="D18" s="7" t="str">
        <f>_xlfn.CONCAT(Table1[[#This Row],[ProductRecord.AccountReference]]," @ ",Table1[[#This Row],[KG/M2]],$H$2)</f>
        <v>PL_3_4050_1840 @ 23.55Kg/m2</v>
      </c>
      <c r="E18" s="27">
        <v>4050</v>
      </c>
      <c r="F18" s="27">
        <v>1840</v>
      </c>
      <c r="G18" s="32">
        <v>3</v>
      </c>
      <c r="H18" s="109">
        <f>G18*[1]Density!$D$6/1000</f>
        <v>23.55</v>
      </c>
      <c r="I18" s="161">
        <f t="shared" si="0"/>
        <v>175.49459999999999</v>
      </c>
      <c r="J18" s="164">
        <v>4300</v>
      </c>
      <c r="K18" s="165">
        <v>1500</v>
      </c>
      <c r="L18" s="165">
        <v>1</v>
      </c>
      <c r="M18" s="196" t="s">
        <v>306</v>
      </c>
      <c r="N18" s="201"/>
      <c r="O18" s="202"/>
      <c r="P18" s="202"/>
      <c r="Q18" s="203"/>
      <c r="R18" s="201"/>
      <c r="S18" s="202"/>
      <c r="T18" s="202"/>
      <c r="U18" s="203"/>
      <c r="Z18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151.89750000000001</v>
      </c>
      <c r="AA18" s="17">
        <f t="shared" si="1"/>
        <v>92.049885000000017</v>
      </c>
      <c r="AB18" s="17"/>
      <c r="AC18" s="10">
        <v>606</v>
      </c>
      <c r="AD18" s="10">
        <f>Table1[[#This Row],[£/Tonne]]/1000*Table1[[#This Row],[KG/M2]]</f>
        <v>14.2713</v>
      </c>
      <c r="AE18" s="10">
        <f>Table1[[#This Row],[£/Tonne]]/1000*Table1[[#This Row],[Kg/ Sheet]]</f>
        <v>106.34972759999999</v>
      </c>
      <c r="AF18" s="10"/>
      <c r="AG18" s="111">
        <f>Table1[[#This Row],[£Cost / SHEET]]*(1+AG$1)</f>
        <v>138.25464588</v>
      </c>
      <c r="AH18" s="111">
        <f>Table1[[#This Row],[£Cost / SHEET]]*(1+AH$1)</f>
        <v>143.57213225999999</v>
      </c>
      <c r="AI18" s="111">
        <f>Table1[[#This Row],[£Cost / SHEET]]*(1+AI$1)</f>
        <v>148.88961863999998</v>
      </c>
      <c r="AJ18" s="111">
        <f>Table1[[#This Row],[£Cost / SHEET]]*(1+AJ$1)</f>
        <v>159.52459139999999</v>
      </c>
      <c r="AK18" s="222">
        <f>(Table1[[#This Row],[Qty 1]]*IF(Table1[[#This Row],[Dimension L1]]&lt;1,(Table1[[#This Row],[Length]]*Table1[[#This Row],[Width]]),(Table1[[#This Row],[Dimension L1]]*Table1[[#This Row],[Dimension W1]])))/1000000</f>
        <v>6.45</v>
      </c>
      <c r="AL18" s="121"/>
    </row>
    <row r="19" spans="2:38" ht="25.35" customHeight="1">
      <c r="B19" s="7" t="s">
        <v>24</v>
      </c>
      <c r="C19" s="7" t="str">
        <f t="shared" si="2"/>
        <v>PL_3_2010_1850</v>
      </c>
      <c r="D19" s="7" t="str">
        <f>_xlfn.CONCAT(Table1[[#This Row],[ProductRecord.AccountReference]]," @ ",Table1[[#This Row],[KG/M2]],$H$2)</f>
        <v>PL_3_2010_1850 @ 23.55Kg/m2</v>
      </c>
      <c r="E19" s="27">
        <v>2010</v>
      </c>
      <c r="F19" s="27">
        <v>1850</v>
      </c>
      <c r="G19" s="32">
        <v>3</v>
      </c>
      <c r="H19" s="109">
        <f>G19*[1]Density!$D$6/1000</f>
        <v>23.55</v>
      </c>
      <c r="I19" s="161">
        <f t="shared" si="0"/>
        <v>87.570674999999994</v>
      </c>
      <c r="J19" s="164">
        <v>2100</v>
      </c>
      <c r="K19" s="165">
        <v>2000</v>
      </c>
      <c r="L19" s="165">
        <v>1</v>
      </c>
      <c r="M19" s="196" t="s">
        <v>306</v>
      </c>
      <c r="N19" s="201"/>
      <c r="O19" s="202"/>
      <c r="P19" s="202"/>
      <c r="Q19" s="203"/>
      <c r="R19" s="201"/>
      <c r="S19" s="202"/>
      <c r="T19" s="202"/>
      <c r="U19" s="203"/>
      <c r="Z19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98.910000000000011</v>
      </c>
      <c r="AA19" s="17">
        <f t="shared" si="1"/>
        <v>59.939460000000004</v>
      </c>
      <c r="AB19" s="17"/>
      <c r="AC19" s="10">
        <f>AC18</f>
        <v>606</v>
      </c>
      <c r="AD19" s="10">
        <f>Table1[[#This Row],[£/Tonne]]/1000*Table1[[#This Row],[KG/M2]]</f>
        <v>14.2713</v>
      </c>
      <c r="AE19" s="10">
        <f>Table1[[#This Row],[£/Tonne]]/1000*Table1[[#This Row],[Kg/ Sheet]]</f>
        <v>53.067829049999993</v>
      </c>
      <c r="AF19" s="10"/>
      <c r="AG19" s="111">
        <f>Table1[[#This Row],[£Cost / SHEET]]*(1+AG$1)</f>
        <v>68.988177764999989</v>
      </c>
      <c r="AH19" s="111">
        <f>Table1[[#This Row],[£Cost / SHEET]]*(1+AH$1)</f>
        <v>71.641569217499992</v>
      </c>
      <c r="AI19" s="111">
        <f>Table1[[#This Row],[£Cost / SHEET]]*(1+AI$1)</f>
        <v>74.29496066999998</v>
      </c>
      <c r="AJ19" s="111">
        <f>Table1[[#This Row],[£Cost / SHEET]]*(1+AJ$1)</f>
        <v>79.601743574999986</v>
      </c>
      <c r="AK19" s="222">
        <f>(Table1[[#This Row],[Qty 1]]*IF(Table1[[#This Row],[Dimension L1]]&lt;1,(Table1[[#This Row],[Length]]*Table1[[#This Row],[Width]]),(Table1[[#This Row],[Dimension L1]]*Table1[[#This Row],[Dimension W1]])))/1000000</f>
        <v>4.2</v>
      </c>
      <c r="AL19" s="121"/>
    </row>
    <row r="20" spans="2:38" ht="25.35" customHeight="1">
      <c r="B20" s="7" t="s">
        <v>24</v>
      </c>
      <c r="C20" s="7" t="str">
        <f t="shared" ref="C20:C27" si="3">_xlfn.CONCAT(B20,"_",G20,"_",E20,"_",F20,"")</f>
        <v>PL_3_2500_1250</v>
      </c>
      <c r="D20" s="7" t="str">
        <f>_xlfn.CONCAT(Table1[[#This Row],[ProductRecord.AccountReference]]," @ ",Table1[[#This Row],[KG/M2]],$H$2)</f>
        <v>PL_3_2500_1250 @ 23.55Kg/m2</v>
      </c>
      <c r="E20" s="27">
        <v>2500</v>
      </c>
      <c r="F20" s="27">
        <v>1250</v>
      </c>
      <c r="G20" s="32">
        <v>3</v>
      </c>
      <c r="H20" s="109">
        <f>G20*[1]Density!$D$6/1000</f>
        <v>23.55</v>
      </c>
      <c r="I20" s="161">
        <f t="shared" ref="I20:I27" si="4">E20*F20*H20/1000000</f>
        <v>73.59375</v>
      </c>
      <c r="J20" s="109">
        <v>2500</v>
      </c>
      <c r="K20" s="210">
        <v>1250</v>
      </c>
      <c r="L20" s="165">
        <v>1</v>
      </c>
      <c r="M20" s="196" t="s">
        <v>307</v>
      </c>
      <c r="N20" s="201"/>
      <c r="O20" s="202"/>
      <c r="P20" s="202"/>
      <c r="Q20" s="203"/>
      <c r="R20" s="201"/>
      <c r="S20" s="202"/>
      <c r="T20" s="202"/>
      <c r="U20" s="203"/>
      <c r="Z20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73.59375</v>
      </c>
      <c r="AA20" s="17">
        <f t="shared" si="1"/>
        <v>70.650000000000006</v>
      </c>
      <c r="AB20" s="17"/>
      <c r="AC20" s="10">
        <f>AC12</f>
        <v>960</v>
      </c>
      <c r="AD20" s="10">
        <f>Table1[[#This Row],[£/Tonne]]/1000*Table1[[#This Row],[KG/M2]]</f>
        <v>22.608000000000001</v>
      </c>
      <c r="AE20" s="10">
        <f>Table1[[#This Row],[£/Tonne]]/1000*Table1[[#This Row],[Kg/ Sheet]]</f>
        <v>70.649999999999991</v>
      </c>
      <c r="AF20" s="10"/>
      <c r="AG20" s="111">
        <f>Table1[[#This Row],[£Cost / SHEET]]*(1+AG$1)</f>
        <v>91.844999999999999</v>
      </c>
      <c r="AH20" s="111">
        <f>Table1[[#This Row],[£Cost / SHEET]]*(1+AH$1)</f>
        <v>95.377499999999998</v>
      </c>
      <c r="AI20" s="111">
        <f>Table1[[#This Row],[£Cost / SHEET]]*(1+AI$1)</f>
        <v>98.909999999999982</v>
      </c>
      <c r="AJ20" s="111">
        <f>Table1[[#This Row],[£Cost / SHEET]]*(1+AJ$1)</f>
        <v>105.97499999999999</v>
      </c>
      <c r="AK20" s="222">
        <f>(Table1[[#This Row],[Qty 1]]*IF(Table1[[#This Row],[Dimension L1]]&lt;1,(Table1[[#This Row],[Length]]*Table1[[#This Row],[Width]]),(Table1[[#This Row],[Dimension L1]]*Table1[[#This Row],[Dimension W1]])))/1000000</f>
        <v>3.125</v>
      </c>
      <c r="AL20" s="121"/>
    </row>
    <row r="21" spans="2:38" ht="25.35" customHeight="1">
      <c r="B21" s="7" t="s">
        <v>24</v>
      </c>
      <c r="C21" s="7" t="str">
        <f t="shared" si="3"/>
        <v>PL_3_2660_1830</v>
      </c>
      <c r="D21" s="7" t="str">
        <f>_xlfn.CONCAT(Table1[[#This Row],[ProductRecord.AccountReference]]," @ ",Table1[[#This Row],[KG/M2]],$H$2)</f>
        <v>PL_3_2660_1830 @ 23.55Kg/m2</v>
      </c>
      <c r="E21" s="27">
        <v>2660</v>
      </c>
      <c r="F21" s="27">
        <v>1830</v>
      </c>
      <c r="G21" s="32">
        <v>3</v>
      </c>
      <c r="H21" s="109">
        <f>G21*[1]Density!$D$6/1000</f>
        <v>23.55</v>
      </c>
      <c r="I21" s="161">
        <f t="shared" si="4"/>
        <v>114.63669</v>
      </c>
      <c r="J21" s="109">
        <v>2660</v>
      </c>
      <c r="K21" s="210">
        <v>1830</v>
      </c>
      <c r="L21" s="165">
        <v>1</v>
      </c>
      <c r="M21" s="196" t="s">
        <v>308</v>
      </c>
      <c r="N21" s="201"/>
      <c r="O21" s="202"/>
      <c r="P21" s="202"/>
      <c r="Q21" s="203"/>
      <c r="R21" s="201"/>
      <c r="S21" s="202"/>
      <c r="T21" s="202"/>
      <c r="U21" s="203"/>
      <c r="Z21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114.63669</v>
      </c>
      <c r="AA21" s="17">
        <f t="shared" si="1"/>
        <v>69.469834140000003</v>
      </c>
      <c r="AB21" s="17"/>
      <c r="AC21" s="10">
        <f>AC18</f>
        <v>606</v>
      </c>
      <c r="AD21" s="10">
        <f>Table1[[#This Row],[£/Tonne]]/1000*Table1[[#This Row],[KG/M2]]</f>
        <v>14.2713</v>
      </c>
      <c r="AE21" s="10">
        <f>Table1[[#This Row],[£/Tonne]]/1000*Table1[[#This Row],[Kg/ Sheet]]</f>
        <v>69.469834140000003</v>
      </c>
      <c r="AF21" s="10"/>
      <c r="AG21" s="111">
        <f>Table1[[#This Row],[£Cost / SHEET]]*(1+AG$1)</f>
        <v>90.310784382000008</v>
      </c>
      <c r="AH21" s="111">
        <f>Table1[[#This Row],[£Cost / SHEET]]*(1+AH$1)</f>
        <v>93.784276089000016</v>
      </c>
      <c r="AI21" s="111">
        <f>Table1[[#This Row],[£Cost / SHEET]]*(1+AI$1)</f>
        <v>97.257767795999996</v>
      </c>
      <c r="AJ21" s="111">
        <f>Table1[[#This Row],[£Cost / SHEET]]*(1+AJ$1)</f>
        <v>104.20475121000001</v>
      </c>
      <c r="AK21" s="222">
        <f>(Table1[[#This Row],[Qty 1]]*IF(Table1[[#This Row],[Dimension L1]]&lt;1,(Table1[[#This Row],[Length]]*Table1[[#This Row],[Width]]),(Table1[[#This Row],[Dimension L1]]*Table1[[#This Row],[Dimension W1]])))/1000000</f>
        <v>4.8677999999999999</v>
      </c>
      <c r="AL21" s="121"/>
    </row>
    <row r="22" spans="2:38" ht="25.35" customHeight="1">
      <c r="B22" s="7" t="s">
        <v>24</v>
      </c>
      <c r="C22" s="7" t="str">
        <f t="shared" si="3"/>
        <v>PL_3_4000_2000</v>
      </c>
      <c r="D22" s="7" t="str">
        <f>_xlfn.CONCAT(Table1[[#This Row],[ProductRecord.AccountReference]]," @ ",Table1[[#This Row],[KG/M2]],$H$2)</f>
        <v>PL_3_4000_2000 @ 23.55Kg/m2</v>
      </c>
      <c r="E22" s="27">
        <v>4000</v>
      </c>
      <c r="F22" s="27">
        <v>2000</v>
      </c>
      <c r="G22" s="32">
        <v>3</v>
      </c>
      <c r="H22" s="109">
        <f>G22*[1]Density!$D$6/1000</f>
        <v>23.55</v>
      </c>
      <c r="I22" s="161">
        <f t="shared" si="4"/>
        <v>188.4</v>
      </c>
      <c r="J22" s="109">
        <v>4000</v>
      </c>
      <c r="K22" s="210">
        <v>2000</v>
      </c>
      <c r="L22" s="165">
        <v>1</v>
      </c>
      <c r="M22" s="196" t="s">
        <v>308</v>
      </c>
      <c r="N22" s="201"/>
      <c r="O22" s="202"/>
      <c r="P22" s="202"/>
      <c r="Q22" s="203"/>
      <c r="R22" s="201"/>
      <c r="S22" s="202"/>
      <c r="T22" s="202"/>
      <c r="U22" s="203"/>
      <c r="Z22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188.4</v>
      </c>
      <c r="AA22" s="17">
        <f t="shared" si="1"/>
        <v>234.55800000000002</v>
      </c>
      <c r="AB22" s="17"/>
      <c r="AC22" s="10">
        <f>AC17</f>
        <v>1245</v>
      </c>
      <c r="AD22" s="10">
        <f>Table1[[#This Row],[£/Tonne]]/1000*Table1[[#This Row],[KG/M2]]</f>
        <v>29.319750000000003</v>
      </c>
      <c r="AE22" s="10">
        <f>Table1[[#This Row],[£/Tonne]]/1000*Table1[[#This Row],[Kg/ Sheet]]</f>
        <v>234.55800000000002</v>
      </c>
      <c r="AF22" s="10"/>
      <c r="AG22" s="111">
        <f>Table1[[#This Row],[£Cost / SHEET]]*(1+AG$1)</f>
        <v>304.92540000000002</v>
      </c>
      <c r="AH22" s="111">
        <f>Table1[[#This Row],[£Cost / SHEET]]*(1+AH$1)</f>
        <v>316.65330000000006</v>
      </c>
      <c r="AI22" s="111">
        <f>Table1[[#This Row],[£Cost / SHEET]]*(1+AI$1)</f>
        <v>328.38120000000004</v>
      </c>
      <c r="AJ22" s="111">
        <f>Table1[[#This Row],[£Cost / SHEET]]*(1+AJ$1)</f>
        <v>351.83700000000005</v>
      </c>
      <c r="AK22" s="222">
        <f>(Table1[[#This Row],[Qty 1]]*IF(Table1[[#This Row],[Dimension L1]]&lt;1,(Table1[[#This Row],[Length]]*Table1[[#This Row],[Width]]),(Table1[[#This Row],[Dimension L1]]*Table1[[#This Row],[Dimension W1]])))/1000000</f>
        <v>8</v>
      </c>
      <c r="AL22" s="121"/>
    </row>
    <row r="23" spans="2:38" ht="25.35" customHeight="1">
      <c r="B23" s="7" t="s">
        <v>24</v>
      </c>
      <c r="C23" s="7" t="str">
        <f t="shared" si="3"/>
        <v>PL_3_1550_300</v>
      </c>
      <c r="D23" s="7" t="str">
        <f>_xlfn.CONCAT(Table1[[#This Row],[ProductRecord.AccountReference]]," @ ",Table1[[#This Row],[KG/M2]],$H$2)</f>
        <v>PL_3_1550_300 @ 23.55Kg/m2</v>
      </c>
      <c r="E23" s="27">
        <v>1550</v>
      </c>
      <c r="F23" s="27">
        <v>300</v>
      </c>
      <c r="G23" s="32">
        <v>3</v>
      </c>
      <c r="H23" s="109">
        <f>G23*[1]Density!$D$6/1000</f>
        <v>23.55</v>
      </c>
      <c r="I23" s="161">
        <f t="shared" si="4"/>
        <v>10.950749999999999</v>
      </c>
      <c r="J23" s="109">
        <v>1550</v>
      </c>
      <c r="K23" s="210">
        <v>300</v>
      </c>
      <c r="L23" s="165">
        <v>6</v>
      </c>
      <c r="M23" s="196" t="s">
        <v>239</v>
      </c>
      <c r="N23" s="201"/>
      <c r="O23" s="202"/>
      <c r="P23" s="202"/>
      <c r="Q23" s="203"/>
      <c r="R23" s="201"/>
      <c r="S23" s="202"/>
      <c r="T23" s="202"/>
      <c r="U23" s="203"/>
      <c r="Z23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65.704499999999996</v>
      </c>
      <c r="AA23" s="17">
        <f t="shared" si="1"/>
        <v>67.675635</v>
      </c>
      <c r="AB23" s="17"/>
      <c r="AC23" s="10">
        <f>AC15</f>
        <v>1030</v>
      </c>
      <c r="AD23" s="10">
        <f>Table1[[#This Row],[£/Tonne]]/1000*Table1[[#This Row],[KG/M2]]</f>
        <v>24.256500000000003</v>
      </c>
      <c r="AE23" s="10">
        <f>Table1[[#This Row],[£/Tonne]]/1000*Table1[[#This Row],[Kg/ Sheet]]</f>
        <v>11.279272499999999</v>
      </c>
      <c r="AF23" s="10"/>
      <c r="AG23" s="111">
        <f>Table1[[#This Row],[£Cost / SHEET]]*(1+AG$1)</f>
        <v>14.66305425</v>
      </c>
      <c r="AH23" s="111">
        <f>Table1[[#This Row],[£Cost / SHEET]]*(1+AH$1)</f>
        <v>15.227017875</v>
      </c>
      <c r="AI23" s="111">
        <f>Table1[[#This Row],[£Cost / SHEET]]*(1+AI$1)</f>
        <v>15.790981499999997</v>
      </c>
      <c r="AJ23" s="111">
        <f>Table1[[#This Row],[£Cost / SHEET]]*(1+AJ$1)</f>
        <v>16.91890875</v>
      </c>
      <c r="AK23" s="222">
        <f>(Table1[[#This Row],[Qty 1]]*IF(Table1[[#This Row],[Dimension L1]]&lt;1,(Table1[[#This Row],[Length]]*Table1[[#This Row],[Width]]),(Table1[[#This Row],[Dimension L1]]*Table1[[#This Row],[Dimension W1]])))/1000000</f>
        <v>2.79</v>
      </c>
      <c r="AL23" s="121"/>
    </row>
    <row r="24" spans="2:38" ht="25.15" customHeight="1">
      <c r="B24" s="7" t="s">
        <v>24</v>
      </c>
      <c r="C24" s="7" t="str">
        <f t="shared" si="3"/>
        <v>PL_3_1900_1640</v>
      </c>
      <c r="D24" s="7" t="str">
        <f>_xlfn.CONCAT(Table1[[#This Row],[ProductRecord.AccountReference]]," @ ",Table1[[#This Row],[KG/M2]],$H$2)</f>
        <v>PL_3_1900_1640 @ 23.55Kg/m2</v>
      </c>
      <c r="E24" s="27">
        <v>1900</v>
      </c>
      <c r="F24" s="27">
        <v>1640</v>
      </c>
      <c r="G24" s="32">
        <v>3</v>
      </c>
      <c r="H24" s="109">
        <f>G24*[1]Density!$D$6/1000</f>
        <v>23.55</v>
      </c>
      <c r="I24" s="161">
        <f t="shared" si="4"/>
        <v>73.381799999999998</v>
      </c>
      <c r="J24" s="109">
        <v>1900</v>
      </c>
      <c r="K24" s="210">
        <v>1640</v>
      </c>
      <c r="L24" s="165">
        <v>1</v>
      </c>
      <c r="M24" s="196" t="s">
        <v>308</v>
      </c>
      <c r="N24" s="201"/>
      <c r="O24" s="202"/>
      <c r="P24" s="202"/>
      <c r="Q24" s="203"/>
      <c r="R24" s="201"/>
      <c r="S24" s="202"/>
      <c r="T24" s="202"/>
      <c r="U24" s="203"/>
      <c r="Z24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73.381799999999998</v>
      </c>
      <c r="AA24" s="17">
        <f t="shared" si="1"/>
        <v>44.4693708</v>
      </c>
      <c r="AB24" s="17"/>
      <c r="AC24" s="10">
        <f>AC18</f>
        <v>606</v>
      </c>
      <c r="AD24" s="10">
        <f>Table1[[#This Row],[£/Tonne]]/1000*Table1[[#This Row],[KG/M2]]</f>
        <v>14.2713</v>
      </c>
      <c r="AE24" s="10">
        <f>Table1[[#This Row],[£/Tonne]]/1000*Table1[[#This Row],[Kg/ Sheet]]</f>
        <v>44.4693708</v>
      </c>
      <c r="AF24" s="10"/>
      <c r="AG24" s="111">
        <f>Table1[[#This Row],[£Cost / SHEET]]*(1+AG$1)</f>
        <v>57.810182040000001</v>
      </c>
      <c r="AH24" s="111">
        <f>Table1[[#This Row],[£Cost / SHEET]]*(1+AH$1)</f>
        <v>60.033650580000007</v>
      </c>
      <c r="AI24" s="111">
        <f>Table1[[#This Row],[£Cost / SHEET]]*(1+AI$1)</f>
        <v>62.257119119999999</v>
      </c>
      <c r="AJ24" s="111">
        <f>Table1[[#This Row],[£Cost / SHEET]]*(1+AJ$1)</f>
        <v>66.704056199999997</v>
      </c>
      <c r="AK24" s="222">
        <f>(Table1[[#This Row],[Qty 1]]*IF(Table1[[#This Row],[Dimension L1]]&lt;1,(Table1[[#This Row],[Length]]*Table1[[#This Row],[Width]]),(Table1[[#This Row],[Dimension L1]]*Table1[[#This Row],[Dimension W1]])))/1000000</f>
        <v>3.1160000000000001</v>
      </c>
      <c r="AL24" s="121"/>
    </row>
    <row r="25" spans="2:38" ht="25.35" customHeight="1">
      <c r="B25" s="7" t="s">
        <v>24</v>
      </c>
      <c r="C25" s="7" t="str">
        <f t="shared" si="3"/>
        <v>PL_3_3520_300</v>
      </c>
      <c r="D25" s="7" t="str">
        <f>_xlfn.CONCAT(Table1[[#This Row],[ProductRecord.AccountReference]]," @ ",Table1[[#This Row],[KG/M2]],$H$2)</f>
        <v>PL_3_3520_300 @ 23.55Kg/m2</v>
      </c>
      <c r="E25" s="27">
        <v>3520</v>
      </c>
      <c r="F25" s="27">
        <v>300</v>
      </c>
      <c r="G25" s="32">
        <v>3</v>
      </c>
      <c r="H25" s="109">
        <f>G25*[1]Density!$D$6/1000</f>
        <v>23.55</v>
      </c>
      <c r="I25" s="161">
        <f t="shared" si="4"/>
        <v>24.8688</v>
      </c>
      <c r="J25" s="109">
        <v>3520</v>
      </c>
      <c r="K25" s="210">
        <v>300</v>
      </c>
      <c r="L25" s="165">
        <v>1</v>
      </c>
      <c r="M25" s="196" t="s">
        <v>308</v>
      </c>
      <c r="N25" s="201"/>
      <c r="O25" s="202"/>
      <c r="P25" s="202"/>
      <c r="Q25" s="203"/>
      <c r="R25" s="201"/>
      <c r="S25" s="202"/>
      <c r="T25" s="202"/>
      <c r="U25" s="203"/>
      <c r="Z25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24.8688</v>
      </c>
      <c r="AA25" s="17">
        <f t="shared" si="1"/>
        <v>15.0704928</v>
      </c>
      <c r="AB25" s="17"/>
      <c r="AC25" s="10">
        <f>AC18</f>
        <v>606</v>
      </c>
      <c r="AD25" s="10">
        <f>Table1[[#This Row],[£/Tonne]]/1000*Table1[[#This Row],[KG/M2]]</f>
        <v>14.2713</v>
      </c>
      <c r="AE25" s="10">
        <f>Table1[[#This Row],[£/Tonne]]/1000*Table1[[#This Row],[Kg/ Sheet]]</f>
        <v>15.0704928</v>
      </c>
      <c r="AF25" s="10"/>
      <c r="AG25" s="111">
        <f>Table1[[#This Row],[£Cost / SHEET]]*(1+AG$1)</f>
        <v>19.591640640000001</v>
      </c>
      <c r="AH25" s="111">
        <f>Table1[[#This Row],[£Cost / SHEET]]*(1+AH$1)</f>
        <v>20.345165280000003</v>
      </c>
      <c r="AI25" s="111">
        <f>Table1[[#This Row],[£Cost / SHEET]]*(1+AI$1)</f>
        <v>21.098689919999998</v>
      </c>
      <c r="AJ25" s="111">
        <f>Table1[[#This Row],[£Cost / SHEET]]*(1+AJ$1)</f>
        <v>22.605739200000002</v>
      </c>
      <c r="AK25" s="222">
        <f>(Table1[[#This Row],[Qty 1]]*IF(Table1[[#This Row],[Dimension L1]]&lt;1,(Table1[[#This Row],[Length]]*Table1[[#This Row],[Width]]),(Table1[[#This Row],[Dimension L1]]*Table1[[#This Row],[Dimension W1]])))/1000000</f>
        <v>1.056</v>
      </c>
      <c r="AL25" s="121"/>
    </row>
    <row r="26" spans="2:38" ht="25.35" customHeight="1">
      <c r="B26" s="7" t="s">
        <v>24</v>
      </c>
      <c r="C26" s="7" t="str">
        <f t="shared" si="3"/>
        <v>PL_3_4200_420</v>
      </c>
      <c r="D26" s="7" t="str">
        <f>_xlfn.CONCAT(Table1[[#This Row],[ProductRecord.AccountReference]]," @ ",Table1[[#This Row],[KG/M2]],$H$2)</f>
        <v>PL_3_4200_420 @ 23.55Kg/m2</v>
      </c>
      <c r="E26" s="27">
        <v>4200</v>
      </c>
      <c r="F26" s="27">
        <v>420</v>
      </c>
      <c r="G26" s="32">
        <v>3</v>
      </c>
      <c r="H26" s="109">
        <f>G26*[1]Density!$D$6/1000</f>
        <v>23.55</v>
      </c>
      <c r="I26" s="161">
        <f t="shared" si="4"/>
        <v>41.542200000000001</v>
      </c>
      <c r="J26" s="109">
        <v>4200</v>
      </c>
      <c r="K26" s="210">
        <v>420</v>
      </c>
      <c r="L26" s="165">
        <v>1</v>
      </c>
      <c r="M26" s="196" t="s">
        <v>308</v>
      </c>
      <c r="N26" s="201"/>
      <c r="O26" s="202"/>
      <c r="P26" s="202"/>
      <c r="Q26" s="203"/>
      <c r="R26" s="201"/>
      <c r="S26" s="202"/>
      <c r="T26" s="202"/>
      <c r="U26" s="203"/>
      <c r="Z26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41.542200000000001</v>
      </c>
      <c r="AA26" s="17">
        <f t="shared" si="1"/>
        <v>25.174573200000001</v>
      </c>
      <c r="AB26" s="17"/>
      <c r="AC26" s="10">
        <f>AC18</f>
        <v>606</v>
      </c>
      <c r="AD26" s="10">
        <f>Table1[[#This Row],[£/Tonne]]/1000*Table1[[#This Row],[KG/M2]]</f>
        <v>14.2713</v>
      </c>
      <c r="AE26" s="10">
        <f>Table1[[#This Row],[£/Tonne]]/1000*Table1[[#This Row],[Kg/ Sheet]]</f>
        <v>25.174573200000001</v>
      </c>
      <c r="AF26" s="10"/>
      <c r="AG26" s="111">
        <f>Table1[[#This Row],[£Cost / SHEET]]*(1+AG$1)</f>
        <v>32.72694516</v>
      </c>
      <c r="AH26" s="111">
        <f>Table1[[#This Row],[£Cost / SHEET]]*(1+AH$1)</f>
        <v>33.985673820000002</v>
      </c>
      <c r="AI26" s="111">
        <f>Table1[[#This Row],[£Cost / SHEET]]*(1+AI$1)</f>
        <v>35.244402479999998</v>
      </c>
      <c r="AJ26" s="111">
        <f>Table1[[#This Row],[£Cost / SHEET]]*(1+AJ$1)</f>
        <v>37.761859800000003</v>
      </c>
      <c r="AK26" s="222">
        <f>(Table1[[#This Row],[Qty 1]]*IF(Table1[[#This Row],[Dimension L1]]&lt;1,(Table1[[#This Row],[Length]]*Table1[[#This Row],[Width]]),(Table1[[#This Row],[Dimension L1]]*Table1[[#This Row],[Dimension W1]])))/1000000</f>
        <v>1.764</v>
      </c>
      <c r="AL26" s="121"/>
    </row>
    <row r="27" spans="2:38" ht="25.35" customHeight="1">
      <c r="B27" s="7" t="s">
        <v>24</v>
      </c>
      <c r="C27" s="7" t="str">
        <f t="shared" si="3"/>
        <v>PL_3_4300_1500</v>
      </c>
      <c r="D27" s="7" t="str">
        <f>_xlfn.CONCAT(Table1[[#This Row],[ProductRecord.AccountReference]]," @ ",Table1[[#This Row],[KG/M2]],$H$2)</f>
        <v>PL_3_4300_1500 @ 23.55Kg/m2</v>
      </c>
      <c r="E27" s="27">
        <v>4300</v>
      </c>
      <c r="F27" s="27">
        <v>1500</v>
      </c>
      <c r="G27" s="32">
        <v>3</v>
      </c>
      <c r="H27" s="109">
        <f>G27*[1]Density!$D$6/1000</f>
        <v>23.55</v>
      </c>
      <c r="I27" s="161">
        <f t="shared" si="4"/>
        <v>151.89750000000001</v>
      </c>
      <c r="J27" s="109">
        <v>4300</v>
      </c>
      <c r="K27" s="210">
        <v>1500</v>
      </c>
      <c r="L27" s="165">
        <v>3</v>
      </c>
      <c r="M27" s="196" t="s">
        <v>308</v>
      </c>
      <c r="N27" s="201"/>
      <c r="O27" s="202"/>
      <c r="P27" s="202"/>
      <c r="Q27" s="203"/>
      <c r="R27" s="201"/>
      <c r="S27" s="202"/>
      <c r="T27" s="202"/>
      <c r="U27" s="203"/>
      <c r="Z27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455.69250000000005</v>
      </c>
      <c r="AA27" s="17">
        <f t="shared" si="1"/>
        <v>469.36327500000004</v>
      </c>
      <c r="AB27" s="17"/>
      <c r="AC27" s="10">
        <f>AC16</f>
        <v>1030</v>
      </c>
      <c r="AD27" s="10">
        <f>Table1[[#This Row],[£/Tonne]]/1000*Table1[[#This Row],[KG/M2]]</f>
        <v>24.256500000000003</v>
      </c>
      <c r="AE27" s="10">
        <f>Table1[[#This Row],[£/Tonne]]/1000*Table1[[#This Row],[Kg/ Sheet]]</f>
        <v>156.45442500000001</v>
      </c>
      <c r="AF27" s="10"/>
      <c r="AG27" s="111">
        <f>Table1[[#This Row],[£Cost / SHEET]]*(1+AG$1)</f>
        <v>203.39075250000002</v>
      </c>
      <c r="AH27" s="111">
        <f>Table1[[#This Row],[£Cost / SHEET]]*(1+AH$1)</f>
        <v>211.21347375000002</v>
      </c>
      <c r="AI27" s="111">
        <f>Table1[[#This Row],[£Cost / SHEET]]*(1+AI$1)</f>
        <v>219.03619500000002</v>
      </c>
      <c r="AJ27" s="111">
        <f>Table1[[#This Row],[£Cost / SHEET]]*(1+AJ$1)</f>
        <v>234.68163750000002</v>
      </c>
      <c r="AK27" s="222">
        <f>(Table1[[#This Row],[Qty 1]]*IF(Table1[[#This Row],[Dimension L1]]&lt;1,(Table1[[#This Row],[Length]]*Table1[[#This Row],[Width]]),(Table1[[#This Row],[Dimension L1]]*Table1[[#This Row],[Dimension W1]])))/1000000</f>
        <v>19.350000000000001</v>
      </c>
      <c r="AL27" s="121"/>
    </row>
    <row r="28" spans="2:38" ht="25.35" customHeight="1">
      <c r="H28" s="109"/>
      <c r="I28" s="110"/>
      <c r="J28" s="159"/>
      <c r="K28" s="161"/>
      <c r="L28" s="161"/>
      <c r="M28" s="110"/>
      <c r="N28" s="159"/>
      <c r="O28" s="202"/>
      <c r="P28" s="202"/>
      <c r="Q28" s="203"/>
      <c r="R28" s="201"/>
      <c r="S28" s="202"/>
      <c r="T28" s="202"/>
      <c r="U28" s="203"/>
      <c r="Z28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28" s="17">
        <f t="shared" si="1"/>
        <v>0</v>
      </c>
      <c r="AB28" s="17"/>
      <c r="AC28" s="10"/>
      <c r="AD28" s="10">
        <f>Table1[[#This Row],[£/Tonne]]/1000*Table1[[#This Row],[KG/M2]]</f>
        <v>0</v>
      </c>
      <c r="AE28" s="10">
        <f>Table1[[#This Row],[£/Tonne]]/1000*Table1[[#This Row],[Kg/ Sheet]]</f>
        <v>0</v>
      </c>
      <c r="AF28" s="10"/>
      <c r="AG28" s="111">
        <f>Table1[[#This Row],[£Cost / SHEET]]*(1+AG$1)</f>
        <v>0</v>
      </c>
      <c r="AH28" s="111">
        <f>Table1[[#This Row],[£Cost / SHEET]]*(1+AH$1)</f>
        <v>0</v>
      </c>
      <c r="AI28" s="111">
        <f>Table1[[#This Row],[£Cost / SHEET]]*(1+AI$1)</f>
        <v>0</v>
      </c>
      <c r="AJ28" s="111">
        <f>Table1[[#This Row],[£Cost / SHEET]]*(1+AJ$1)</f>
        <v>0</v>
      </c>
      <c r="AK28" s="222">
        <f>(Table1[[#This Row],[Qty 1]]*IF(Table1[[#This Row],[Dimension L1]]&lt;1,(Table1[[#This Row],[Length]]*Table1[[#This Row],[Width]]),(Table1[[#This Row],[Dimension L1]]*Table1[[#This Row],[Dimension W1]])))/1000000</f>
        <v>0</v>
      </c>
      <c r="AL28" s="121"/>
    </row>
    <row r="29" spans="2:38" ht="25.35" customHeight="1">
      <c r="B29" s="7" t="s">
        <v>24</v>
      </c>
      <c r="C29" s="7" t="str">
        <f t="shared" si="2"/>
        <v>PL_4_2500_1250</v>
      </c>
      <c r="D29" s="7" t="str">
        <f>_xlfn.CONCAT(Table1[[#This Row],[ProductRecord.AccountReference]]," @ ",Table1[[#This Row],[KG/M2]],$H$2)</f>
        <v>PL_4_2500_1250 @ 31.4Kg/m2</v>
      </c>
      <c r="E29" s="27">
        <v>2500</v>
      </c>
      <c r="F29" s="27">
        <v>1250</v>
      </c>
      <c r="G29" s="112">
        <v>4</v>
      </c>
      <c r="H29" s="109">
        <f>G29*[1]Density!$D$6/1000</f>
        <v>31.4</v>
      </c>
      <c r="I29" s="161">
        <f t="shared" si="0"/>
        <v>98.125</v>
      </c>
      <c r="J29" s="164">
        <v>2500</v>
      </c>
      <c r="K29" s="165">
        <v>1250</v>
      </c>
      <c r="L29" s="165">
        <v>16</v>
      </c>
      <c r="M29" s="196"/>
      <c r="N29" s="164"/>
      <c r="O29" s="202"/>
      <c r="P29" s="202"/>
      <c r="Q29" s="203"/>
      <c r="R29" s="201"/>
      <c r="S29" s="202"/>
      <c r="T29" s="202"/>
      <c r="U29" s="203"/>
      <c r="Z29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1570</v>
      </c>
      <c r="AA29" s="17">
        <f t="shared" si="1"/>
        <v>1554.3</v>
      </c>
      <c r="AB29" s="17"/>
      <c r="AC29" s="10">
        <v>990</v>
      </c>
      <c r="AD29" s="10">
        <f>Table1[[#This Row],[£/Tonne]]/1000*Table1[[#This Row],[KG/M2]]</f>
        <v>31.085999999999999</v>
      </c>
      <c r="AE29" s="10">
        <f>Table1[[#This Row],[£/Tonne]]/1000*Table1[[#This Row],[Kg/ Sheet]]</f>
        <v>97.143749999999997</v>
      </c>
      <c r="AF29" s="10"/>
      <c r="AG29" s="111">
        <f>Table1[[#This Row],[£Cost / SHEET]]*(1+AG$1)</f>
        <v>126.28687499999999</v>
      </c>
      <c r="AH29" s="111">
        <f>Table1[[#This Row],[£Cost / SHEET]]*(1+AH$1)</f>
        <v>131.14406250000002</v>
      </c>
      <c r="AI29" s="111">
        <f>Table1[[#This Row],[£Cost / SHEET]]*(1+AI$1)</f>
        <v>136.00125</v>
      </c>
      <c r="AJ29" s="111">
        <f>Table1[[#This Row],[£Cost / SHEET]]*(1+AJ$1)</f>
        <v>145.71562499999999</v>
      </c>
      <c r="AK29" s="222">
        <f>(Table1[[#This Row],[Qty 1]]*IF(Table1[[#This Row],[Dimension L1]]&lt;1,(Table1[[#This Row],[Length]]*Table1[[#This Row],[Width]]),(Table1[[#This Row],[Dimension L1]]*Table1[[#This Row],[Dimension W1]])))/1000000</f>
        <v>50</v>
      </c>
      <c r="AL29" s="121"/>
    </row>
    <row r="30" spans="2:38" ht="25.35" customHeight="1">
      <c r="B30" s="7" t="s">
        <v>24</v>
      </c>
      <c r="C30" s="7" t="str">
        <f t="shared" si="2"/>
        <v>PL_4_4000_2000</v>
      </c>
      <c r="D30" s="7" t="str">
        <f>_xlfn.CONCAT(Table1[[#This Row],[ProductRecord.AccountReference]]," @ ",Table1[[#This Row],[KG/M2]],$H$2)</f>
        <v>PL_4_4000_2000 @ 31.4Kg/m2</v>
      </c>
      <c r="E30" s="27">
        <v>4000</v>
      </c>
      <c r="F30" s="27">
        <v>2000</v>
      </c>
      <c r="G30" s="112">
        <v>4</v>
      </c>
      <c r="H30" s="109">
        <f>G30*[1]Density!$D$6/1000</f>
        <v>31.4</v>
      </c>
      <c r="I30" s="161">
        <f t="shared" si="0"/>
        <v>251.2</v>
      </c>
      <c r="J30" s="164">
        <v>4000</v>
      </c>
      <c r="K30" s="165">
        <v>1900</v>
      </c>
      <c r="L30" s="165">
        <v>1</v>
      </c>
      <c r="M30" s="140" t="s">
        <v>306</v>
      </c>
      <c r="N30" s="164">
        <v>2200</v>
      </c>
      <c r="O30" s="202">
        <v>1680</v>
      </c>
      <c r="P30" s="202">
        <v>1</v>
      </c>
      <c r="Q30" s="203" t="s">
        <v>306</v>
      </c>
      <c r="R30" s="201"/>
      <c r="S30" s="202"/>
      <c r="T30" s="202">
        <v>10</v>
      </c>
      <c r="U30" s="203" t="s">
        <v>305</v>
      </c>
      <c r="X30" s="9">
        <v>3</v>
      </c>
      <c r="Y30" s="9" t="s">
        <v>308</v>
      </c>
      <c r="Z30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3620.2943999999998</v>
      </c>
      <c r="AA30" s="17">
        <f t="shared" si="1"/>
        <v>4163.3385599999992</v>
      </c>
      <c r="AB30" s="17"/>
      <c r="AC30" s="10">
        <v>1150</v>
      </c>
      <c r="AD30" s="10">
        <f>Table1[[#This Row],[£/Tonne]]/1000*Table1[[#This Row],[KG/M2]]</f>
        <v>36.109999999999992</v>
      </c>
      <c r="AE30" s="10">
        <f>Table1[[#This Row],[£/Tonne]]/1000*Table1[[#This Row],[Kg/ Sheet]]</f>
        <v>288.87999999999994</v>
      </c>
      <c r="AF30" s="10"/>
      <c r="AG30" s="111">
        <f>Table1[[#This Row],[£Cost / SHEET]]*(1+AG$1)</f>
        <v>375.54399999999993</v>
      </c>
      <c r="AH30" s="111">
        <f>Table1[[#This Row],[£Cost / SHEET]]*(1+AH$1)</f>
        <v>389.98799999999994</v>
      </c>
      <c r="AI30" s="111">
        <f>Table1[[#This Row],[£Cost / SHEET]]*(1+AI$1)</f>
        <v>404.4319999999999</v>
      </c>
      <c r="AJ30" s="111">
        <f>Table1[[#This Row],[£Cost / SHEET]]*(1+AJ$1)</f>
        <v>433.31999999999994</v>
      </c>
      <c r="AK30" s="222">
        <f>(Table1[[#This Row],[Qty 1]]*IF(Table1[[#This Row],[Dimension L1]]&lt;1,(Table1[[#This Row],[Length]]*Table1[[#This Row],[Width]]),(Table1[[#This Row],[Dimension L1]]*Table1[[#This Row],[Dimension W1]])))/1000000</f>
        <v>7.6</v>
      </c>
      <c r="AL30" s="121"/>
    </row>
    <row r="31" spans="2:38" ht="25.35" customHeight="1">
      <c r="B31" s="7" t="s">
        <v>24</v>
      </c>
      <c r="C31" s="7" t="str">
        <f t="shared" si="2"/>
        <v>PL_4_3000_1500</v>
      </c>
      <c r="D31" s="7" t="str">
        <f>_xlfn.CONCAT(Table1[[#This Row],[ProductRecord.AccountReference]]," @ ",Table1[[#This Row],[KG/M2]],$H$2)</f>
        <v>PL_4_3000_1500 @ 31.4Kg/m2</v>
      </c>
      <c r="E31" s="27">
        <v>3000</v>
      </c>
      <c r="F31" s="27">
        <v>1500</v>
      </c>
      <c r="G31" s="112">
        <v>4</v>
      </c>
      <c r="H31" s="109">
        <f>G31*[1]Density!$D$6/1000</f>
        <v>31.4</v>
      </c>
      <c r="I31" s="161">
        <f t="shared" si="0"/>
        <v>141.30000000000001</v>
      </c>
      <c r="J31" s="164">
        <v>3000</v>
      </c>
      <c r="K31" s="165">
        <v>1500</v>
      </c>
      <c r="L31" s="165">
        <v>3</v>
      </c>
      <c r="M31" s="196" t="s">
        <v>72</v>
      </c>
      <c r="N31" s="164">
        <v>1000</v>
      </c>
      <c r="O31" s="202">
        <v>790</v>
      </c>
      <c r="P31" s="202">
        <v>1</v>
      </c>
      <c r="Q31" s="203" t="s">
        <v>306</v>
      </c>
      <c r="R31" s="201"/>
      <c r="S31" s="202"/>
      <c r="T31" s="202">
        <v>6</v>
      </c>
      <c r="U31" s="203" t="s">
        <v>302</v>
      </c>
      <c r="Z31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1296.5059999999999</v>
      </c>
      <c r="AA31" s="17">
        <f t="shared" si="1"/>
        <v>1199.2680499999999</v>
      </c>
      <c r="AB31" s="17"/>
      <c r="AC31" s="10">
        <v>925</v>
      </c>
      <c r="AD31" s="10">
        <f>Table1[[#This Row],[£/Tonne]]/1000*Table1[[#This Row],[KG/M2]]</f>
        <v>29.045000000000002</v>
      </c>
      <c r="AE31" s="10">
        <f>Table1[[#This Row],[£/Tonne]]/1000*Table1[[#This Row],[Kg/ Sheet]]</f>
        <v>130.70250000000001</v>
      </c>
      <c r="AF31" s="10"/>
      <c r="AG31" s="111">
        <f>Table1[[#This Row],[£Cost / SHEET]]*(1+AG$1)</f>
        <v>169.91325000000003</v>
      </c>
      <c r="AH31" s="111">
        <f>Table1[[#This Row],[£Cost / SHEET]]*(1+AH$1)</f>
        <v>176.44837500000003</v>
      </c>
      <c r="AI31" s="111">
        <f>Table1[[#This Row],[£Cost / SHEET]]*(1+AI$1)</f>
        <v>182.98350000000002</v>
      </c>
      <c r="AJ31" s="111">
        <f>Table1[[#This Row],[£Cost / SHEET]]*(1+AJ$1)</f>
        <v>196.05375000000004</v>
      </c>
      <c r="AK31" s="222">
        <f>(Table1[[#This Row],[Qty 1]]*IF(Table1[[#This Row],[Dimension L1]]&lt;1,(Table1[[#This Row],[Length]]*Table1[[#This Row],[Width]]),(Table1[[#This Row],[Dimension L1]]*Table1[[#This Row],[Dimension W1]])))/1000000</f>
        <v>13.5</v>
      </c>
      <c r="AL31" s="121"/>
    </row>
    <row r="32" spans="2:38" ht="25.35" customHeight="1">
      <c r="B32" s="7" t="s">
        <v>24</v>
      </c>
      <c r="C32" s="7" t="str">
        <f t="shared" si="2"/>
        <v>PL_4_5000_1260</v>
      </c>
      <c r="D32" s="7" t="str">
        <f>_xlfn.CONCAT(Table1[[#This Row],[ProductRecord.AccountReference]]," @ ",Table1[[#This Row],[KG/M2]],$H$2)</f>
        <v>PL_4_5000_1260 @ 31.4Kg/m2</v>
      </c>
      <c r="E32" s="27">
        <v>5000</v>
      </c>
      <c r="F32" s="27">
        <v>1260</v>
      </c>
      <c r="G32" s="112">
        <v>4</v>
      </c>
      <c r="H32" s="109">
        <f>G32*[1]Density!$D$6/1000</f>
        <v>31.4</v>
      </c>
      <c r="I32" s="161">
        <f t="shared" si="0"/>
        <v>197.82</v>
      </c>
      <c r="J32" s="164">
        <v>4000</v>
      </c>
      <c r="K32" s="165">
        <v>1000</v>
      </c>
      <c r="L32" s="165">
        <v>1</v>
      </c>
      <c r="M32" s="196" t="s">
        <v>306</v>
      </c>
      <c r="N32" s="164">
        <v>1960</v>
      </c>
      <c r="O32" s="202">
        <v>840</v>
      </c>
      <c r="P32" s="202">
        <v>1</v>
      </c>
      <c r="Q32" s="203" t="s">
        <v>306</v>
      </c>
      <c r="R32" s="201"/>
      <c r="S32" s="202"/>
      <c r="T32" s="202"/>
      <c r="U32" s="203"/>
      <c r="Z32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177.29695999999998</v>
      </c>
      <c r="AA32" s="17">
        <f t="shared" si="1"/>
        <v>107.44195775999998</v>
      </c>
      <c r="AB32" s="17"/>
      <c r="AC32" s="10">
        <f>AC18</f>
        <v>606</v>
      </c>
      <c r="AD32" s="10">
        <f>Table1[[#This Row],[£/Tonne]]/1000*Table1[[#This Row],[KG/M2]]</f>
        <v>19.028399999999998</v>
      </c>
      <c r="AE32" s="10">
        <f>Table1[[#This Row],[£/Tonne]]/1000*Table1[[#This Row],[Kg/ Sheet]]</f>
        <v>119.87891999999999</v>
      </c>
      <c r="AF32" s="10"/>
      <c r="AG32" s="111">
        <f>Table1[[#This Row],[£Cost / SHEET]]*(1+AG$1)</f>
        <v>155.84259599999999</v>
      </c>
      <c r="AH32" s="111">
        <f>Table1[[#This Row],[£Cost / SHEET]]*(1+AH$1)</f>
        <v>161.83654200000001</v>
      </c>
      <c r="AI32" s="111">
        <f>Table1[[#This Row],[£Cost / SHEET]]*(1+AI$1)</f>
        <v>167.83048799999997</v>
      </c>
      <c r="AJ32" s="111">
        <f>Table1[[#This Row],[£Cost / SHEET]]*(1+AJ$1)</f>
        <v>179.81837999999999</v>
      </c>
      <c r="AK32" s="222">
        <f>(Table1[[#This Row],[Qty 1]]*IF(Table1[[#This Row],[Dimension L1]]&lt;1,(Table1[[#This Row],[Length]]*Table1[[#This Row],[Width]]),(Table1[[#This Row],[Dimension L1]]*Table1[[#This Row],[Dimension W1]])))/1000000</f>
        <v>4</v>
      </c>
      <c r="AL32" s="121"/>
    </row>
    <row r="33" spans="2:38" ht="25.35" customHeight="1">
      <c r="G33" s="112"/>
      <c r="H33" s="109"/>
      <c r="I33" s="110"/>
      <c r="J33" s="159"/>
      <c r="K33" s="161"/>
      <c r="L33" s="161"/>
      <c r="M33" s="196"/>
      <c r="N33" s="159"/>
      <c r="O33" s="202"/>
      <c r="P33" s="202"/>
      <c r="Q33" s="203"/>
      <c r="R33" s="201"/>
      <c r="S33" s="202"/>
      <c r="T33" s="202"/>
      <c r="U33" s="203"/>
      <c r="Z33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33" s="17">
        <f t="shared" si="1"/>
        <v>0</v>
      </c>
      <c r="AB33" s="17"/>
      <c r="AC33" s="10"/>
      <c r="AD33" s="10">
        <f>Table1[[#This Row],[£/Tonne]]/1000*Table1[[#This Row],[KG/M2]]</f>
        <v>0</v>
      </c>
      <c r="AE33" s="10">
        <f>Table1[[#This Row],[£/Tonne]]/1000*Table1[[#This Row],[Kg/ Sheet]]</f>
        <v>0</v>
      </c>
      <c r="AF33" s="10"/>
      <c r="AG33" s="111">
        <f>Table1[[#This Row],[£Cost / SHEET]]*(1+AG$1)</f>
        <v>0</v>
      </c>
      <c r="AH33" s="111">
        <f>Table1[[#This Row],[£Cost / SHEET]]*(1+AH$1)</f>
        <v>0</v>
      </c>
      <c r="AI33" s="111">
        <f>Table1[[#This Row],[£Cost / SHEET]]*(1+AI$1)</f>
        <v>0</v>
      </c>
      <c r="AJ33" s="111">
        <f>Table1[[#This Row],[£Cost / SHEET]]*(1+AJ$1)</f>
        <v>0</v>
      </c>
      <c r="AK33" s="222">
        <f>(Table1[[#This Row],[Qty 1]]*IF(Table1[[#This Row],[Dimension L1]]&lt;1,(Table1[[#This Row],[Length]]*Table1[[#This Row],[Width]]),(Table1[[#This Row],[Dimension L1]]*Table1[[#This Row],[Dimension W1]])))/1000000</f>
        <v>0</v>
      </c>
      <c r="AL33" s="121"/>
    </row>
    <row r="34" spans="2:38" ht="25.35" customHeight="1">
      <c r="B34" s="7" t="s">
        <v>24</v>
      </c>
      <c r="C34" s="7" t="str">
        <f t="shared" si="2"/>
        <v>PL_5_2500_1250</v>
      </c>
      <c r="D34" s="7" t="str">
        <f>_xlfn.CONCAT(Table1[[#This Row],[ProductRecord.AccountReference]]," @ ",Table1[[#This Row],[KG/M2]],$H$2)</f>
        <v>PL_5_2500_1250 @ 39.25Kg/m2</v>
      </c>
      <c r="E34" s="27">
        <v>2500</v>
      </c>
      <c r="F34" s="27">
        <v>1250</v>
      </c>
      <c r="G34" s="32">
        <v>5</v>
      </c>
      <c r="H34" s="109">
        <f>G34*[1]Density!$D$6/1000</f>
        <v>39.25</v>
      </c>
      <c r="I34" s="161">
        <f t="shared" si="0"/>
        <v>122.65625</v>
      </c>
      <c r="J34" s="164">
        <v>2500</v>
      </c>
      <c r="K34" s="165">
        <v>1250</v>
      </c>
      <c r="L34" s="165">
        <v>52</v>
      </c>
      <c r="M34" s="196" t="s">
        <v>72</v>
      </c>
      <c r="N34" s="164"/>
      <c r="O34" s="202"/>
      <c r="P34" s="202"/>
      <c r="Q34" s="203"/>
      <c r="R34" s="201"/>
      <c r="S34" s="202"/>
      <c r="T34" s="202"/>
      <c r="U34" s="203"/>
      <c r="Z34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6378.125</v>
      </c>
      <c r="AA34" s="17">
        <f t="shared" si="1"/>
        <v>5580.859375</v>
      </c>
      <c r="AB34" s="17"/>
      <c r="AC34" s="10">
        <v>875</v>
      </c>
      <c r="AD34" s="10">
        <f>Table1[[#This Row],[£/Tonne]]/1000*Table1[[#This Row],[KG/M2]]</f>
        <v>34.34375</v>
      </c>
      <c r="AE34" s="10">
        <f>Table1[[#This Row],[£/Tonne]]/1000*Table1[[#This Row],[Kg/ Sheet]]</f>
        <v>107.32421875</v>
      </c>
      <c r="AF34" s="10"/>
      <c r="AG34" s="111">
        <f>Table1[[#This Row],[£Cost / SHEET]]*(1+AG$1)</f>
        <v>139.521484375</v>
      </c>
      <c r="AH34" s="111">
        <f>Table1[[#This Row],[£Cost / SHEET]]*(1+AH$1)</f>
        <v>144.8876953125</v>
      </c>
      <c r="AI34" s="111">
        <f>Table1[[#This Row],[£Cost / SHEET]]*(1+AI$1)</f>
        <v>150.25390625</v>
      </c>
      <c r="AJ34" s="111">
        <f>Table1[[#This Row],[£Cost / SHEET]]*(1+AJ$1)</f>
        <v>160.986328125</v>
      </c>
      <c r="AK34" s="222">
        <f>(Table1[[#This Row],[Qty 1]]*IF(Table1[[#This Row],[Dimension L1]]&lt;1,(Table1[[#This Row],[Length]]*Table1[[#This Row],[Width]]),(Table1[[#This Row],[Dimension L1]]*Table1[[#This Row],[Dimension W1]])))/1000000</f>
        <v>162.5</v>
      </c>
      <c r="AL34" s="121"/>
    </row>
    <row r="35" spans="2:38" ht="25.35" customHeight="1">
      <c r="B35" s="7" t="s">
        <v>24</v>
      </c>
      <c r="C35" s="7" t="str">
        <f t="shared" si="2"/>
        <v>PL_5_3000_1500</v>
      </c>
      <c r="D35" s="7" t="str">
        <f>_xlfn.CONCAT(Table1[[#This Row],[ProductRecord.AccountReference]]," @ ",Table1[[#This Row],[KG/M2]],$H$2)</f>
        <v>PL_5_3000_1500 @ 39.25Kg/m2</v>
      </c>
      <c r="E35" s="27">
        <v>3000</v>
      </c>
      <c r="F35" s="27">
        <v>1500</v>
      </c>
      <c r="G35" s="32">
        <v>5</v>
      </c>
      <c r="H35" s="109">
        <f>G35*[1]Density!$D$6/1000</f>
        <v>39.25</v>
      </c>
      <c r="I35" s="161">
        <f t="shared" si="0"/>
        <v>176.625</v>
      </c>
      <c r="J35" s="164">
        <v>3000</v>
      </c>
      <c r="K35" s="165">
        <v>1500</v>
      </c>
      <c r="L35" s="165">
        <v>10</v>
      </c>
      <c r="M35" s="196" t="s">
        <v>72</v>
      </c>
      <c r="N35" s="164">
        <v>3000</v>
      </c>
      <c r="O35" s="202">
        <v>1500</v>
      </c>
      <c r="P35" s="202">
        <v>18</v>
      </c>
      <c r="Q35" s="203" t="s">
        <v>72</v>
      </c>
      <c r="R35" s="201"/>
      <c r="S35" s="202"/>
      <c r="T35" s="202">
        <v>11</v>
      </c>
      <c r="U35" s="203" t="s">
        <v>305</v>
      </c>
      <c r="Z35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6888.375</v>
      </c>
      <c r="AA35" s="17">
        <f t="shared" si="1"/>
        <v>6812.6028749999996</v>
      </c>
      <c r="AB35" s="17"/>
      <c r="AC35" s="10">
        <v>989</v>
      </c>
      <c r="AD35" s="10">
        <f>Table1[[#This Row],[£/Tonne]]/1000*Table1[[#This Row],[KG/M2]]</f>
        <v>38.818249999999999</v>
      </c>
      <c r="AE35" s="10">
        <f>Table1[[#This Row],[£/Tonne]]/1000*Table1[[#This Row],[Kg/ Sheet]]</f>
        <v>174.68212499999998</v>
      </c>
      <c r="AF35" s="10"/>
      <c r="AG35" s="111">
        <f>Table1[[#This Row],[£Cost / SHEET]]*(1+AG$1)</f>
        <v>227.08676249999999</v>
      </c>
      <c r="AH35" s="111">
        <f>Table1[[#This Row],[£Cost / SHEET]]*(1+AH$1)</f>
        <v>235.82086874999999</v>
      </c>
      <c r="AI35" s="111">
        <f>Table1[[#This Row],[£Cost / SHEET]]*(1+AI$1)</f>
        <v>244.55497499999996</v>
      </c>
      <c r="AJ35" s="111">
        <f>Table1[[#This Row],[£Cost / SHEET]]*(1+AJ$1)</f>
        <v>262.02318749999995</v>
      </c>
      <c r="AK35" s="222">
        <f>(Table1[[#This Row],[Qty 1]]*IF(Table1[[#This Row],[Dimension L1]]&lt;1,(Table1[[#This Row],[Length]]*Table1[[#This Row],[Width]]),(Table1[[#This Row],[Dimension L1]]*Table1[[#This Row],[Dimension W1]])))/1000000</f>
        <v>45</v>
      </c>
      <c r="AL35" s="121"/>
    </row>
    <row r="36" spans="2:38" ht="25.35" customHeight="1">
      <c r="B36" s="7" t="s">
        <v>24</v>
      </c>
      <c r="C36" s="7" t="str">
        <f t="shared" si="2"/>
        <v>PL_5_4000_2000</v>
      </c>
      <c r="D36" s="7" t="str">
        <f>_xlfn.CONCAT(Table1[[#This Row],[ProductRecord.AccountReference]]," @ ",Table1[[#This Row],[KG/M2]],$H$2)</f>
        <v>PL_5_4000_2000 @ 39.25Kg/m2</v>
      </c>
      <c r="E36" s="27">
        <v>4000</v>
      </c>
      <c r="F36" s="27">
        <v>2000</v>
      </c>
      <c r="G36" s="32">
        <v>5</v>
      </c>
      <c r="H36" s="109">
        <f>G36*[1]Density!$D$6/1000</f>
        <v>39.25</v>
      </c>
      <c r="I36" s="161">
        <f t="shared" si="0"/>
        <v>314</v>
      </c>
      <c r="J36" s="164">
        <v>4100</v>
      </c>
      <c r="K36" s="165">
        <v>1330</v>
      </c>
      <c r="L36" s="165">
        <v>1</v>
      </c>
      <c r="M36" s="196" t="s">
        <v>306</v>
      </c>
      <c r="N36" s="204"/>
      <c r="O36" s="202"/>
      <c r="P36" s="202">
        <v>1</v>
      </c>
      <c r="Q36" s="203" t="s">
        <v>305</v>
      </c>
      <c r="R36" s="201"/>
      <c r="S36" s="202"/>
      <c r="T36" s="202">
        <v>1</v>
      </c>
      <c r="U36" s="203" t="s">
        <v>305</v>
      </c>
      <c r="X36" s="9">
        <v>3</v>
      </c>
      <c r="Y36" s="9" t="s">
        <v>305</v>
      </c>
      <c r="Z36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1784.03025</v>
      </c>
      <c r="AA36" s="17">
        <f t="shared" si="1"/>
        <v>1764.4059172500001</v>
      </c>
      <c r="AB36" s="17"/>
      <c r="AC36" s="10">
        <v>989</v>
      </c>
      <c r="AD36" s="10">
        <f>Table1[[#This Row],[£/Tonne]]/1000*Table1[[#This Row],[KG/M2]]</f>
        <v>38.818249999999999</v>
      </c>
      <c r="AE36" s="10">
        <f>Table1[[#This Row],[£/Tonne]]/1000*Table1[[#This Row],[Kg/ Sheet]]</f>
        <v>310.54599999999999</v>
      </c>
      <c r="AF36" s="10"/>
      <c r="AG36" s="111">
        <f>Table1[[#This Row],[£Cost / SHEET]]*(1+AG$1)</f>
        <v>403.70980000000003</v>
      </c>
      <c r="AH36" s="111">
        <f>Table1[[#This Row],[£Cost / SHEET]]*(1+AH$1)</f>
        <v>419.2371</v>
      </c>
      <c r="AI36" s="111">
        <f>Table1[[#This Row],[£Cost / SHEET]]*(1+AI$1)</f>
        <v>434.76439999999997</v>
      </c>
      <c r="AJ36" s="111">
        <f>Table1[[#This Row],[£Cost / SHEET]]*(1+AJ$1)</f>
        <v>465.81899999999996</v>
      </c>
      <c r="AK36" s="222">
        <f>(Table1[[#This Row],[Qty 1]]*IF(Table1[[#This Row],[Dimension L1]]&lt;1,(Table1[[#This Row],[Length]]*Table1[[#This Row],[Width]]),(Table1[[#This Row],[Dimension L1]]*Table1[[#This Row],[Dimension W1]])))/1000000</f>
        <v>5.4530000000000003</v>
      </c>
      <c r="AL36" s="121"/>
    </row>
    <row r="37" spans="2:38" ht="25.15" customHeight="1">
      <c r="B37" s="7" t="s">
        <v>24</v>
      </c>
      <c r="C37" s="7" t="str">
        <f t="shared" si="2"/>
        <v>PL_5_5000_2000</v>
      </c>
      <c r="D37" s="7" t="str">
        <f>_xlfn.CONCAT(Table1[[#This Row],[ProductRecord.AccountReference]]," @ ",Table1[[#This Row],[KG/M2]],$H$2)</f>
        <v>PL_5_5000_2000 @ 39.25Kg/m2</v>
      </c>
      <c r="E37" s="27">
        <v>5000</v>
      </c>
      <c r="F37" s="27">
        <v>2000</v>
      </c>
      <c r="G37" s="32">
        <v>5</v>
      </c>
      <c r="H37" s="109">
        <f>G37*[1]Density!$D$6/1000</f>
        <v>39.25</v>
      </c>
      <c r="I37" s="161">
        <f t="shared" si="0"/>
        <v>392.5</v>
      </c>
      <c r="J37" s="164">
        <v>4000</v>
      </c>
      <c r="K37" s="165">
        <v>2000</v>
      </c>
      <c r="L37" s="165">
        <v>1</v>
      </c>
      <c r="M37" s="196" t="s">
        <v>239</v>
      </c>
      <c r="N37" s="164">
        <v>5000</v>
      </c>
      <c r="O37" s="202">
        <v>640</v>
      </c>
      <c r="P37" s="202">
        <v>1</v>
      </c>
      <c r="Q37" s="203" t="s">
        <v>239</v>
      </c>
      <c r="R37" s="201"/>
      <c r="S37" s="202"/>
      <c r="T37" s="202"/>
      <c r="U37" s="203"/>
      <c r="Z37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439.59999999999997</v>
      </c>
      <c r="AA37" s="17">
        <f t="shared" si="1"/>
        <v>527.08039999999994</v>
      </c>
      <c r="AB37" s="17"/>
      <c r="AC37" s="10">
        <v>1199</v>
      </c>
      <c r="AD37" s="10">
        <f>Table1[[#This Row],[£/Tonne]]/1000*Table1[[#This Row],[KG/M2]]</f>
        <v>47.060750000000006</v>
      </c>
      <c r="AE37" s="10">
        <f>Table1[[#This Row],[£/Tonne]]/1000*Table1[[#This Row],[Kg/ Sheet]]</f>
        <v>470.60750000000002</v>
      </c>
      <c r="AF37" s="10"/>
      <c r="AG37" s="111">
        <f>Table1[[#This Row],[£Cost / SHEET]]*(1+AG$1)</f>
        <v>611.78975000000003</v>
      </c>
      <c r="AH37" s="111">
        <f>Table1[[#This Row],[£Cost / SHEET]]*(1+AH$1)</f>
        <v>635.32012500000008</v>
      </c>
      <c r="AI37" s="111">
        <f>Table1[[#This Row],[£Cost / SHEET]]*(1+AI$1)</f>
        <v>658.85050000000001</v>
      </c>
      <c r="AJ37" s="111">
        <f>Table1[[#This Row],[£Cost / SHEET]]*(1+AJ$1)</f>
        <v>705.91125</v>
      </c>
      <c r="AK37" s="222">
        <f>(Table1[[#This Row],[Qty 1]]*IF(Table1[[#This Row],[Dimension L1]]&lt;1,(Table1[[#This Row],[Length]]*Table1[[#This Row],[Width]]),(Table1[[#This Row],[Dimension L1]]*Table1[[#This Row],[Dimension W1]])))/1000000</f>
        <v>8</v>
      </c>
      <c r="AL37" s="121"/>
    </row>
    <row r="38" spans="2:38" ht="25.15" customHeight="1">
      <c r="B38" s="7" t="s">
        <v>24</v>
      </c>
      <c r="C38" s="7" t="str">
        <f t="shared" si="2"/>
        <v>PL_5_6200_1500</v>
      </c>
      <c r="D38" s="7" t="str">
        <f>_xlfn.CONCAT(Table1[[#This Row],[ProductRecord.AccountReference]]," @ ",Table1[[#This Row],[KG/M2]],$H$2)</f>
        <v>PL_5_6200_1500 @ 39.25Kg/m2</v>
      </c>
      <c r="E38" s="27">
        <v>6200</v>
      </c>
      <c r="F38" s="27">
        <v>1500</v>
      </c>
      <c r="G38" s="32">
        <v>5</v>
      </c>
      <c r="H38" s="109">
        <f>G38*[1]Density!$D$6/1000</f>
        <v>39.25</v>
      </c>
      <c r="I38" s="161">
        <f t="shared" si="0"/>
        <v>365.02499999999998</v>
      </c>
      <c r="J38" s="164">
        <v>4000</v>
      </c>
      <c r="K38" s="165">
        <v>1100</v>
      </c>
      <c r="L38" s="165">
        <v>1</v>
      </c>
      <c r="M38" s="196" t="s">
        <v>306</v>
      </c>
      <c r="N38" s="164">
        <v>2500</v>
      </c>
      <c r="O38" s="202">
        <v>720</v>
      </c>
      <c r="P38" s="202">
        <v>1</v>
      </c>
      <c r="Q38" s="203" t="s">
        <v>239</v>
      </c>
      <c r="R38" s="201"/>
      <c r="S38" s="202"/>
      <c r="T38" s="202"/>
      <c r="U38" s="203"/>
      <c r="Z38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243.35</v>
      </c>
      <c r="AA38" s="17">
        <f t="shared" si="1"/>
        <v>116.56464999999999</v>
      </c>
      <c r="AB38" s="17"/>
      <c r="AC38" s="10">
        <v>479</v>
      </c>
      <c r="AD38" s="10">
        <f>Table1[[#This Row],[£/Tonne]]/1000*Table1[[#This Row],[KG/M2]]</f>
        <v>18.800750000000001</v>
      </c>
      <c r="AE38" s="10">
        <f>Table1[[#This Row],[£/Tonne]]/1000*Table1[[#This Row],[Kg/ Sheet]]</f>
        <v>174.84697499999999</v>
      </c>
      <c r="AF38" s="10"/>
      <c r="AG38" s="111">
        <f>Table1[[#This Row],[£Cost / SHEET]]*(1+AG$1)</f>
        <v>227.30106749999999</v>
      </c>
      <c r="AH38" s="111">
        <f>Table1[[#This Row],[£Cost / SHEET]]*(1+AH$1)</f>
        <v>236.04341625000001</v>
      </c>
      <c r="AI38" s="111">
        <f>Table1[[#This Row],[£Cost / SHEET]]*(1+AI$1)</f>
        <v>244.78576499999997</v>
      </c>
      <c r="AJ38" s="111">
        <f>Table1[[#This Row],[£Cost / SHEET]]*(1+AJ$1)</f>
        <v>262.27046250000001</v>
      </c>
      <c r="AK38" s="222">
        <f>(Table1[[#This Row],[Qty 1]]*IF(Table1[[#This Row],[Dimension L1]]&lt;1,(Table1[[#This Row],[Length]]*Table1[[#This Row],[Width]]),(Table1[[#This Row],[Dimension L1]]*Table1[[#This Row],[Dimension W1]])))/1000000</f>
        <v>4.4000000000000004</v>
      </c>
      <c r="AL38" s="121"/>
    </row>
    <row r="39" spans="2:38" ht="25.15" customHeight="1">
      <c r="B39" s="7" t="s">
        <v>24</v>
      </c>
      <c r="C39" s="7" t="str">
        <f t="shared" si="2"/>
        <v>PL_5_2000_1500</v>
      </c>
      <c r="D39" s="7" t="str">
        <f>_xlfn.CONCAT(Table1[[#This Row],[ProductRecord.AccountReference]]," @ ",Table1[[#This Row],[KG/M2]],$H$2)</f>
        <v>PL_5_2000_1500 @ 39.25Kg/m2</v>
      </c>
      <c r="E39" s="27">
        <v>2000</v>
      </c>
      <c r="F39" s="27">
        <v>1500</v>
      </c>
      <c r="G39" s="32">
        <v>5</v>
      </c>
      <c r="H39" s="109">
        <f>G39*[1]Density!$D$6/1000</f>
        <v>39.25</v>
      </c>
      <c r="I39" s="161">
        <f t="shared" si="0"/>
        <v>117.75</v>
      </c>
      <c r="J39" s="164">
        <v>2300</v>
      </c>
      <c r="K39" s="165">
        <v>2000</v>
      </c>
      <c r="L39" s="165">
        <v>1</v>
      </c>
      <c r="M39" s="196" t="s">
        <v>306</v>
      </c>
      <c r="N39" s="164"/>
      <c r="O39" s="202"/>
      <c r="P39" s="202"/>
      <c r="Q39" s="203"/>
      <c r="R39" s="201"/>
      <c r="S39" s="202"/>
      <c r="T39" s="202"/>
      <c r="U39" s="203"/>
      <c r="Z39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180.54999999999998</v>
      </c>
      <c r="AA39" s="17">
        <f t="shared" si="1"/>
        <v>83.052999999999997</v>
      </c>
      <c r="AB39" s="17"/>
      <c r="AC39" s="10">
        <v>460</v>
      </c>
      <c r="AD39" s="10">
        <f>Table1[[#This Row],[£/Tonne]]/1000*Table1[[#This Row],[KG/M2]]</f>
        <v>18.055</v>
      </c>
      <c r="AE39" s="10">
        <f>Table1[[#This Row],[£/Tonne]]/1000*Table1[[#This Row],[Kg/ Sheet]]</f>
        <v>54.164999999999999</v>
      </c>
      <c r="AF39" s="10"/>
      <c r="AG39" s="111">
        <f>Table1[[#This Row],[£Cost / SHEET]]*(1+AG$1)</f>
        <v>70.414500000000004</v>
      </c>
      <c r="AH39" s="111">
        <f>Table1[[#This Row],[£Cost / SHEET]]*(1+AH$1)</f>
        <v>73.122750000000011</v>
      </c>
      <c r="AI39" s="111">
        <f>Table1[[#This Row],[£Cost / SHEET]]*(1+AI$1)</f>
        <v>75.830999999999989</v>
      </c>
      <c r="AJ39" s="111">
        <f>Table1[[#This Row],[£Cost / SHEET]]*(1+AJ$1)</f>
        <v>81.247500000000002</v>
      </c>
      <c r="AK39" s="222">
        <f>(Table1[[#This Row],[Qty 1]]*IF(Table1[[#This Row],[Dimension L1]]&lt;1,(Table1[[#This Row],[Length]]*Table1[[#This Row],[Width]]),(Table1[[#This Row],[Dimension L1]]*Table1[[#This Row],[Dimension W1]])))/1000000</f>
        <v>4.5999999999999996</v>
      </c>
      <c r="AL39" s="121"/>
    </row>
    <row r="40" spans="2:38" ht="25.15" customHeight="1">
      <c r="B40" s="7" t="s">
        <v>24</v>
      </c>
      <c r="C40" s="7" t="str">
        <f t="shared" ref="C40:C51" si="5">_xlfn.CONCAT(B40,"_",G40,"_",E40,"_",F40,"")</f>
        <v>PL_5_2000_1500</v>
      </c>
      <c r="D40" s="7" t="str">
        <f>_xlfn.CONCAT(Table1[[#This Row],[ProductRecord.AccountReference]]," @ ",Table1[[#This Row],[KG/M2]],$H$2)</f>
        <v>PL_5_2000_1500 @ 39.25Kg/m2</v>
      </c>
      <c r="E40" s="27">
        <v>2000</v>
      </c>
      <c r="F40" s="27">
        <v>1500</v>
      </c>
      <c r="G40" s="32">
        <v>5</v>
      </c>
      <c r="H40" s="109">
        <f>G40*[1]Density!$D$6/1000</f>
        <v>39.25</v>
      </c>
      <c r="I40" s="161">
        <f t="shared" si="0"/>
        <v>117.75</v>
      </c>
      <c r="J40" s="164">
        <v>6000</v>
      </c>
      <c r="K40" s="165">
        <v>480</v>
      </c>
      <c r="L40" s="165">
        <v>1</v>
      </c>
      <c r="M40" s="196" t="s">
        <v>239</v>
      </c>
      <c r="N40" s="164">
        <v>4000</v>
      </c>
      <c r="O40" s="202">
        <v>1100</v>
      </c>
      <c r="P40" s="202">
        <v>1</v>
      </c>
      <c r="Q40" s="203" t="s">
        <v>306</v>
      </c>
      <c r="R40" s="201"/>
      <c r="S40" s="202"/>
      <c r="T40" s="202">
        <v>1</v>
      </c>
      <c r="U40" s="203" t="s">
        <v>305</v>
      </c>
      <c r="Z40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403.49000000000007</v>
      </c>
      <c r="AA40" s="17">
        <f t="shared" si="1"/>
        <v>185.60540000000003</v>
      </c>
      <c r="AB40" s="17"/>
      <c r="AC40" s="10">
        <v>460</v>
      </c>
      <c r="AD40" s="10">
        <f>Table1[[#This Row],[£/Tonne]]/1000*Table1[[#This Row],[KG/M2]]</f>
        <v>18.055</v>
      </c>
      <c r="AE40" s="10">
        <f>Table1[[#This Row],[£/Tonne]]/1000*Table1[[#This Row],[Kg/ Sheet]]</f>
        <v>54.164999999999999</v>
      </c>
      <c r="AF40" s="10"/>
      <c r="AG40" s="111">
        <f>Table1[[#This Row],[£Cost / SHEET]]*(1+AG$1)</f>
        <v>70.414500000000004</v>
      </c>
      <c r="AH40" s="111">
        <f>Table1[[#This Row],[£Cost / SHEET]]*(1+AH$1)</f>
        <v>73.122750000000011</v>
      </c>
      <c r="AI40" s="111">
        <f>Table1[[#This Row],[£Cost / SHEET]]*(1+AI$1)</f>
        <v>75.830999999999989</v>
      </c>
      <c r="AJ40" s="111">
        <f>Table1[[#This Row],[£Cost / SHEET]]*(1+AJ$1)</f>
        <v>81.247500000000002</v>
      </c>
      <c r="AK40" s="222">
        <f>(Table1[[#This Row],[Qty 1]]*IF(Table1[[#This Row],[Dimension L1]]&lt;1,(Table1[[#This Row],[Length]]*Table1[[#This Row],[Width]]),(Table1[[#This Row],[Dimension L1]]*Table1[[#This Row],[Dimension W1]])))/1000000</f>
        <v>2.88</v>
      </c>
      <c r="AL40" s="121"/>
    </row>
    <row r="41" spans="2:38" ht="25.15" customHeight="1">
      <c r="B41" s="7" t="s">
        <v>24</v>
      </c>
      <c r="C41" s="7" t="str">
        <f t="shared" si="5"/>
        <v>PL_5_3660_1830</v>
      </c>
      <c r="D41" s="7" t="str">
        <f>_xlfn.CONCAT(Table1[[#This Row],[ProductRecord.AccountReference]]," @ ",Table1[[#This Row],[KG/M2]],$H$2)</f>
        <v>PL_5_3660_1830 @ 39.25Kg/m2</v>
      </c>
      <c r="E41" s="27">
        <v>3660</v>
      </c>
      <c r="F41" s="27">
        <v>1830</v>
      </c>
      <c r="G41" s="32">
        <v>5</v>
      </c>
      <c r="H41" s="109">
        <f>G41*[1]Density!$D$6/1000</f>
        <v>39.25</v>
      </c>
      <c r="I41" s="161">
        <f t="shared" ref="I41:I51" si="6">E41*F41*H41/1000000</f>
        <v>262.88864999999998</v>
      </c>
      <c r="J41" s="164">
        <v>3660</v>
      </c>
      <c r="K41" s="165">
        <v>1830</v>
      </c>
      <c r="L41" s="165">
        <v>4</v>
      </c>
      <c r="M41" s="196" t="s">
        <v>308</v>
      </c>
      <c r="N41" s="164"/>
      <c r="O41" s="202"/>
      <c r="P41" s="202"/>
      <c r="Q41" s="203"/>
      <c r="R41" s="201"/>
      <c r="S41" s="202"/>
      <c r="T41" s="202"/>
      <c r="U41" s="203"/>
      <c r="Z41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1051.5545999999999</v>
      </c>
      <c r="AA41" s="17">
        <f t="shared" si="1"/>
        <v>892.76985539999998</v>
      </c>
      <c r="AB41" s="17"/>
      <c r="AC41" s="10">
        <v>849</v>
      </c>
      <c r="AD41" s="10">
        <f>Table1[[#This Row],[£/Tonne]]/1000*Table1[[#This Row],[KG/M2]]</f>
        <v>33.323250000000002</v>
      </c>
      <c r="AE41" s="10">
        <f>Table1[[#This Row],[£/Tonne]]/1000*Table1[[#This Row],[Kg/ Sheet]]</f>
        <v>223.19246384999997</v>
      </c>
      <c r="AF41" s="10"/>
      <c r="AG41" s="111">
        <f>Table1[[#This Row],[£Cost / SHEET]]*(1+AG$1)</f>
        <v>290.15020300499998</v>
      </c>
      <c r="AH41" s="111">
        <f>Table1[[#This Row],[£Cost / SHEET]]*(1+AH$1)</f>
        <v>301.3098261975</v>
      </c>
      <c r="AI41" s="111">
        <f>Table1[[#This Row],[£Cost / SHEET]]*(1+AI$1)</f>
        <v>312.46944938999991</v>
      </c>
      <c r="AJ41" s="111">
        <f>Table1[[#This Row],[£Cost / SHEET]]*(1+AJ$1)</f>
        <v>334.78869577499995</v>
      </c>
      <c r="AK41" s="222">
        <f>(Table1[[#This Row],[Qty 1]]*IF(Table1[[#This Row],[Dimension L1]]&lt;1,(Table1[[#This Row],[Length]]*Table1[[#This Row],[Width]]),(Table1[[#This Row],[Dimension L1]]*Table1[[#This Row],[Dimension W1]])))/1000000</f>
        <v>26.7912</v>
      </c>
      <c r="AL41" s="121"/>
    </row>
    <row r="42" spans="2:38" ht="25.15" customHeight="1">
      <c r="B42" s="7" t="s">
        <v>24</v>
      </c>
      <c r="C42" s="7" t="str">
        <f t="shared" si="5"/>
        <v>PL_5_4000_2000</v>
      </c>
      <c r="D42" s="7" t="str">
        <f>_xlfn.CONCAT(Table1[[#This Row],[ProductRecord.AccountReference]]," @ ",Table1[[#This Row],[KG/M2]],$H$2)</f>
        <v>PL_5_4000_2000 @ 39.25Kg/m2</v>
      </c>
      <c r="E42" s="27">
        <v>4000</v>
      </c>
      <c r="F42" s="27">
        <v>2000</v>
      </c>
      <c r="G42" s="32">
        <v>5</v>
      </c>
      <c r="H42" s="109">
        <f>G42*[1]Density!$D$6/1000</f>
        <v>39.25</v>
      </c>
      <c r="I42" s="161">
        <f t="shared" si="6"/>
        <v>314</v>
      </c>
      <c r="J42" s="164">
        <v>4000</v>
      </c>
      <c r="K42" s="165">
        <v>2000</v>
      </c>
      <c r="L42" s="165">
        <v>1</v>
      </c>
      <c r="M42" s="196" t="s">
        <v>308</v>
      </c>
      <c r="N42" s="164"/>
      <c r="O42" s="202"/>
      <c r="P42" s="202"/>
      <c r="Q42" s="203"/>
      <c r="R42" s="201"/>
      <c r="S42" s="202"/>
      <c r="T42" s="202"/>
      <c r="U42" s="203"/>
      <c r="Z42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314</v>
      </c>
      <c r="AA42" s="17">
        <f t="shared" si="1"/>
        <v>310.54599999999999</v>
      </c>
      <c r="AB42" s="17"/>
      <c r="AC42" s="10">
        <v>989</v>
      </c>
      <c r="AD42" s="10">
        <f>Table1[[#This Row],[£/Tonne]]/1000*Table1[[#This Row],[KG/M2]]</f>
        <v>38.818249999999999</v>
      </c>
      <c r="AE42" s="10">
        <f>Table1[[#This Row],[£/Tonne]]/1000*Table1[[#This Row],[Kg/ Sheet]]</f>
        <v>310.54599999999999</v>
      </c>
      <c r="AF42" s="10"/>
      <c r="AG42" s="111">
        <f>Table1[[#This Row],[£Cost / SHEET]]*(1+AG$1)</f>
        <v>403.70980000000003</v>
      </c>
      <c r="AH42" s="111">
        <f>Table1[[#This Row],[£Cost / SHEET]]*(1+AH$1)</f>
        <v>419.2371</v>
      </c>
      <c r="AI42" s="111">
        <f>Table1[[#This Row],[£Cost / SHEET]]*(1+AI$1)</f>
        <v>434.76439999999997</v>
      </c>
      <c r="AJ42" s="111">
        <f>Table1[[#This Row],[£Cost / SHEET]]*(1+AJ$1)</f>
        <v>465.81899999999996</v>
      </c>
      <c r="AK42" s="222">
        <f>(Table1[[#This Row],[Qty 1]]*IF(Table1[[#This Row],[Dimension L1]]&lt;1,(Table1[[#This Row],[Length]]*Table1[[#This Row],[Width]]),(Table1[[#This Row],[Dimension L1]]*Table1[[#This Row],[Dimension W1]])))/1000000</f>
        <v>8</v>
      </c>
      <c r="AL42" s="121"/>
    </row>
    <row r="43" spans="2:38" ht="25.15" customHeight="1">
      <c r="B43" s="7" t="s">
        <v>24</v>
      </c>
      <c r="C43" s="7" t="str">
        <f t="shared" si="5"/>
        <v>PL_5_1850_1000</v>
      </c>
      <c r="D43" s="7" t="str">
        <f>_xlfn.CONCAT(Table1[[#This Row],[ProductRecord.AccountReference]]," @ ",Table1[[#This Row],[KG/M2]],$H$2)</f>
        <v>PL_5_1850_1000 @ 39.25Kg/m2</v>
      </c>
      <c r="E43" s="27">
        <v>1850</v>
      </c>
      <c r="F43" s="27">
        <v>1000</v>
      </c>
      <c r="G43" s="32">
        <v>5</v>
      </c>
      <c r="H43" s="109">
        <f>G43*[1]Density!$D$6/1000</f>
        <v>39.25</v>
      </c>
      <c r="I43" s="161">
        <f t="shared" si="6"/>
        <v>72.612499999999997</v>
      </c>
      <c r="J43" s="164">
        <v>1850</v>
      </c>
      <c r="K43" s="165">
        <v>1000</v>
      </c>
      <c r="L43" s="165">
        <v>11</v>
      </c>
      <c r="M43" s="196" t="s">
        <v>308</v>
      </c>
      <c r="N43" s="164"/>
      <c r="O43" s="202"/>
      <c r="P43" s="202"/>
      <c r="Q43" s="203"/>
      <c r="R43" s="201"/>
      <c r="S43" s="202"/>
      <c r="T43" s="202"/>
      <c r="U43" s="203"/>
      <c r="Z43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798.73750000000007</v>
      </c>
      <c r="AA43" s="17">
        <f t="shared" si="1"/>
        <v>678.12813750000009</v>
      </c>
      <c r="AB43" s="17"/>
      <c r="AC43" s="10">
        <f>AC41</f>
        <v>849</v>
      </c>
      <c r="AD43" s="10">
        <f>Table1[[#This Row],[£/Tonne]]/1000*Table1[[#This Row],[KG/M2]]</f>
        <v>33.323250000000002</v>
      </c>
      <c r="AE43" s="10">
        <f>Table1[[#This Row],[£/Tonne]]/1000*Table1[[#This Row],[Kg/ Sheet]]</f>
        <v>61.648012499999993</v>
      </c>
      <c r="AF43" s="10"/>
      <c r="AG43" s="111">
        <f>Table1[[#This Row],[£Cost / SHEET]]*(1+AG$1)</f>
        <v>80.142416249999997</v>
      </c>
      <c r="AH43" s="111">
        <f>Table1[[#This Row],[£Cost / SHEET]]*(1+AH$1)</f>
        <v>83.224816875000002</v>
      </c>
      <c r="AI43" s="111">
        <f>Table1[[#This Row],[£Cost / SHEET]]*(1+AI$1)</f>
        <v>86.307217499999979</v>
      </c>
      <c r="AJ43" s="111">
        <f>Table1[[#This Row],[£Cost / SHEET]]*(1+AJ$1)</f>
        <v>92.472018749999989</v>
      </c>
      <c r="AK43" s="222">
        <f>(Table1[[#This Row],[Qty 1]]*IF(Table1[[#This Row],[Dimension L1]]&lt;1,(Table1[[#This Row],[Length]]*Table1[[#This Row],[Width]]),(Table1[[#This Row],[Dimension L1]]*Table1[[#This Row],[Dimension W1]])))/1000000</f>
        <v>20.350000000000001</v>
      </c>
      <c r="AL43" s="121"/>
    </row>
    <row r="44" spans="2:38" ht="25.15" customHeight="1">
      <c r="B44" s="7" t="s">
        <v>24</v>
      </c>
      <c r="C44" s="7" t="str">
        <f t="shared" si="5"/>
        <v>PL_5_2020_1730</v>
      </c>
      <c r="D44" s="7" t="str">
        <f>_xlfn.CONCAT(Table1[[#This Row],[ProductRecord.AccountReference]]," @ ",Table1[[#This Row],[KG/M2]],$H$2)</f>
        <v>PL_5_2020_1730 @ 39.25Kg/m2</v>
      </c>
      <c r="E44" s="27">
        <v>2020</v>
      </c>
      <c r="F44" s="27">
        <v>1730</v>
      </c>
      <c r="G44" s="32">
        <v>5</v>
      </c>
      <c r="H44" s="109">
        <f>G44*[1]Density!$D$6/1000</f>
        <v>39.25</v>
      </c>
      <c r="I44" s="161">
        <f t="shared" si="6"/>
        <v>137.16305</v>
      </c>
      <c r="J44" s="164">
        <v>2020</v>
      </c>
      <c r="K44" s="165">
        <v>1730</v>
      </c>
      <c r="L44" s="165">
        <v>1</v>
      </c>
      <c r="M44" s="196" t="s">
        <v>308</v>
      </c>
      <c r="N44" s="164"/>
      <c r="O44" s="202"/>
      <c r="P44" s="202"/>
      <c r="Q44" s="203"/>
      <c r="R44" s="201"/>
      <c r="S44" s="202"/>
      <c r="T44" s="202"/>
      <c r="U44" s="203"/>
      <c r="Z44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137.16305</v>
      </c>
      <c r="AA44" s="17">
        <f t="shared" si="1"/>
        <v>135.65425645000002</v>
      </c>
      <c r="AB44" s="17"/>
      <c r="AC44" s="10">
        <f>AC42</f>
        <v>989</v>
      </c>
      <c r="AD44" s="10">
        <f>Table1[[#This Row],[£/Tonne]]/1000*Table1[[#This Row],[KG/M2]]</f>
        <v>38.818249999999999</v>
      </c>
      <c r="AE44" s="10">
        <f>Table1[[#This Row],[£/Tonne]]/1000*Table1[[#This Row],[Kg/ Sheet]]</f>
        <v>135.65425644999999</v>
      </c>
      <c r="AF44" s="10"/>
      <c r="AG44" s="111">
        <f>Table1[[#This Row],[£Cost / SHEET]]*(1+AG$1)</f>
        <v>176.35053338500001</v>
      </c>
      <c r="AH44" s="111">
        <f>Table1[[#This Row],[£Cost / SHEET]]*(1+AH$1)</f>
        <v>183.13324620750001</v>
      </c>
      <c r="AI44" s="111">
        <f>Table1[[#This Row],[£Cost / SHEET]]*(1+AI$1)</f>
        <v>189.91595902999998</v>
      </c>
      <c r="AJ44" s="111">
        <f>Table1[[#This Row],[£Cost / SHEET]]*(1+AJ$1)</f>
        <v>203.48138467499999</v>
      </c>
      <c r="AK44" s="222">
        <f>(Table1[[#This Row],[Qty 1]]*IF(Table1[[#This Row],[Dimension L1]]&lt;1,(Table1[[#This Row],[Length]]*Table1[[#This Row],[Width]]),(Table1[[#This Row],[Dimension L1]]*Table1[[#This Row],[Dimension W1]])))/1000000</f>
        <v>3.4946000000000002</v>
      </c>
      <c r="AL44" s="121"/>
    </row>
    <row r="45" spans="2:38" ht="25.15" customHeight="1">
      <c r="B45" s="7" t="s">
        <v>24</v>
      </c>
      <c r="C45" s="7" t="str">
        <f t="shared" si="5"/>
        <v>PL_5_2140_360</v>
      </c>
      <c r="D45" s="7" t="str">
        <f>_xlfn.CONCAT(Table1[[#This Row],[ProductRecord.AccountReference]]," @ ",Table1[[#This Row],[KG/M2]],$H$2)</f>
        <v>PL_5_2140_360 @ 39.25Kg/m2</v>
      </c>
      <c r="E45" s="27">
        <v>2140</v>
      </c>
      <c r="F45" s="27">
        <v>360</v>
      </c>
      <c r="G45" s="32">
        <v>5</v>
      </c>
      <c r="H45" s="109">
        <f>G45*[1]Density!$D$6/1000</f>
        <v>39.25</v>
      </c>
      <c r="I45" s="161">
        <f t="shared" si="6"/>
        <v>30.238199999999999</v>
      </c>
      <c r="J45" s="164">
        <v>2140</v>
      </c>
      <c r="K45" s="165">
        <v>360</v>
      </c>
      <c r="L45" s="165">
        <v>1</v>
      </c>
      <c r="M45" s="196" t="s">
        <v>308</v>
      </c>
      <c r="N45" s="164"/>
      <c r="O45" s="202"/>
      <c r="P45" s="202"/>
      <c r="Q45" s="203"/>
      <c r="R45" s="201"/>
      <c r="S45" s="202"/>
      <c r="T45" s="202"/>
      <c r="U45" s="203"/>
      <c r="Z45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30.238199999999999</v>
      </c>
      <c r="AA45" s="17">
        <f t="shared" si="1"/>
        <v>29.905579799999998</v>
      </c>
      <c r="AB45" s="17"/>
      <c r="AC45" s="10">
        <f>AC36</f>
        <v>989</v>
      </c>
      <c r="AD45" s="10">
        <f>Table1[[#This Row],[£/Tonne]]/1000*Table1[[#This Row],[KG/M2]]</f>
        <v>38.818249999999999</v>
      </c>
      <c r="AE45" s="10">
        <f>Table1[[#This Row],[£/Tonne]]/1000*Table1[[#This Row],[Kg/ Sheet]]</f>
        <v>29.905579799999998</v>
      </c>
      <c r="AF45" s="10"/>
      <c r="AG45" s="111">
        <f>Table1[[#This Row],[£Cost / SHEET]]*(1+AG$1)</f>
        <v>38.87725374</v>
      </c>
      <c r="AH45" s="111">
        <f>Table1[[#This Row],[£Cost / SHEET]]*(1+AH$1)</f>
        <v>40.372532730000003</v>
      </c>
      <c r="AI45" s="111">
        <f>Table1[[#This Row],[£Cost / SHEET]]*(1+AI$1)</f>
        <v>41.867811719999992</v>
      </c>
      <c r="AJ45" s="111">
        <f>Table1[[#This Row],[£Cost / SHEET]]*(1+AJ$1)</f>
        <v>44.858369699999997</v>
      </c>
      <c r="AK45" s="222">
        <f>(Table1[[#This Row],[Qty 1]]*IF(Table1[[#This Row],[Dimension L1]]&lt;1,(Table1[[#This Row],[Length]]*Table1[[#This Row],[Width]]),(Table1[[#This Row],[Dimension L1]]*Table1[[#This Row],[Dimension W1]])))/1000000</f>
        <v>0.77039999999999997</v>
      </c>
      <c r="AL45" s="121"/>
    </row>
    <row r="46" spans="2:38" ht="25.15" customHeight="1">
      <c r="B46" s="7" t="s">
        <v>24</v>
      </c>
      <c r="C46" s="7" t="str">
        <f t="shared" si="5"/>
        <v>PL_5_2180_2000</v>
      </c>
      <c r="D46" s="7" t="str">
        <f>_xlfn.CONCAT(Table1[[#This Row],[ProductRecord.AccountReference]]," @ ",Table1[[#This Row],[KG/M2]],$H$2)</f>
        <v>PL_5_2180_2000 @ 39.25Kg/m2</v>
      </c>
      <c r="E46" s="27">
        <v>2180</v>
      </c>
      <c r="F46" s="27">
        <v>2000</v>
      </c>
      <c r="G46" s="32">
        <v>5</v>
      </c>
      <c r="H46" s="109">
        <f>G46*[1]Density!$D$6/1000</f>
        <v>39.25</v>
      </c>
      <c r="I46" s="161">
        <f t="shared" si="6"/>
        <v>171.13</v>
      </c>
      <c r="J46" s="164">
        <v>2180</v>
      </c>
      <c r="K46" s="165">
        <v>2000</v>
      </c>
      <c r="L46" s="165">
        <v>1</v>
      </c>
      <c r="M46" s="196" t="s">
        <v>308</v>
      </c>
      <c r="N46" s="164"/>
      <c r="O46" s="202"/>
      <c r="P46" s="202"/>
      <c r="Q46" s="203"/>
      <c r="R46" s="201"/>
      <c r="S46" s="202"/>
      <c r="T46" s="202"/>
      <c r="U46" s="203"/>
      <c r="Z46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171.13000000000002</v>
      </c>
      <c r="AA46" s="17">
        <f t="shared" si="1"/>
        <v>169.24757000000002</v>
      </c>
      <c r="AB46" s="17"/>
      <c r="AC46" s="10">
        <f>AC36</f>
        <v>989</v>
      </c>
      <c r="AD46" s="10">
        <f>Table1[[#This Row],[£/Tonne]]/1000*Table1[[#This Row],[KG/M2]]</f>
        <v>38.818249999999999</v>
      </c>
      <c r="AE46" s="10">
        <f>Table1[[#This Row],[£/Tonne]]/1000*Table1[[#This Row],[Kg/ Sheet]]</f>
        <v>169.24757</v>
      </c>
      <c r="AF46" s="10"/>
      <c r="AG46" s="111">
        <f>Table1[[#This Row],[£Cost / SHEET]]*(1+AG$1)</f>
        <v>220.02184099999999</v>
      </c>
      <c r="AH46" s="111">
        <f>Table1[[#This Row],[£Cost / SHEET]]*(1+AH$1)</f>
        <v>228.48421950000002</v>
      </c>
      <c r="AI46" s="111">
        <f>Table1[[#This Row],[£Cost / SHEET]]*(1+AI$1)</f>
        <v>236.94659799999997</v>
      </c>
      <c r="AJ46" s="111">
        <f>Table1[[#This Row],[£Cost / SHEET]]*(1+AJ$1)</f>
        <v>253.87135499999999</v>
      </c>
      <c r="AK46" s="222">
        <f>(Table1[[#This Row],[Qty 1]]*IF(Table1[[#This Row],[Dimension L1]]&lt;1,(Table1[[#This Row],[Length]]*Table1[[#This Row],[Width]]),(Table1[[#This Row],[Dimension L1]]*Table1[[#This Row],[Dimension W1]])))/1000000</f>
        <v>4.3600000000000003</v>
      </c>
      <c r="AL46" s="121"/>
    </row>
    <row r="47" spans="2:38" ht="25.15" customHeight="1">
      <c r="B47" s="7" t="s">
        <v>24</v>
      </c>
      <c r="C47" s="7" t="str">
        <f t="shared" si="5"/>
        <v>PL_5_2700_1020</v>
      </c>
      <c r="D47" s="7" t="str">
        <f>_xlfn.CONCAT(Table1[[#This Row],[ProductRecord.AccountReference]]," @ ",Table1[[#This Row],[KG/M2]],$H$2)</f>
        <v>PL_5_2700_1020 @ 39.25Kg/m2</v>
      </c>
      <c r="E47" s="27">
        <v>2700</v>
      </c>
      <c r="F47" s="27">
        <v>1020</v>
      </c>
      <c r="G47" s="32">
        <v>5</v>
      </c>
      <c r="H47" s="109">
        <f>G47*[1]Density!$D$6/1000</f>
        <v>39.25</v>
      </c>
      <c r="I47" s="161">
        <f t="shared" si="6"/>
        <v>108.0945</v>
      </c>
      <c r="J47" s="164">
        <v>2700</v>
      </c>
      <c r="K47" s="165">
        <v>1020</v>
      </c>
      <c r="L47" s="165">
        <v>1</v>
      </c>
      <c r="M47" s="196" t="s">
        <v>308</v>
      </c>
      <c r="N47" s="164"/>
      <c r="O47" s="202"/>
      <c r="P47" s="202"/>
      <c r="Q47" s="203"/>
      <c r="R47" s="201"/>
      <c r="S47" s="202"/>
      <c r="T47" s="202"/>
      <c r="U47" s="203"/>
      <c r="Z47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108.0945</v>
      </c>
      <c r="AA47" s="17">
        <f t="shared" si="1"/>
        <v>106.90546049999999</v>
      </c>
      <c r="AB47" s="17"/>
      <c r="AC47" s="10">
        <f>AC36</f>
        <v>989</v>
      </c>
      <c r="AD47" s="10">
        <f>Table1[[#This Row],[£/Tonne]]/1000*Table1[[#This Row],[KG/M2]]</f>
        <v>38.818249999999999</v>
      </c>
      <c r="AE47" s="10">
        <f>Table1[[#This Row],[£/Tonne]]/1000*Table1[[#This Row],[Kg/ Sheet]]</f>
        <v>106.90546049999999</v>
      </c>
      <c r="AF47" s="10"/>
      <c r="AG47" s="111">
        <f>Table1[[#This Row],[£Cost / SHEET]]*(1+AG$1)</f>
        <v>138.97709864999999</v>
      </c>
      <c r="AH47" s="111">
        <f>Table1[[#This Row],[£Cost / SHEET]]*(1+AH$1)</f>
        <v>144.322371675</v>
      </c>
      <c r="AI47" s="111">
        <f>Table1[[#This Row],[£Cost / SHEET]]*(1+AI$1)</f>
        <v>149.66764469999998</v>
      </c>
      <c r="AJ47" s="111">
        <f>Table1[[#This Row],[£Cost / SHEET]]*(1+AJ$1)</f>
        <v>160.35819074999998</v>
      </c>
      <c r="AK47" s="222">
        <f>(Table1[[#This Row],[Qty 1]]*IF(Table1[[#This Row],[Dimension L1]]&lt;1,(Table1[[#This Row],[Length]]*Table1[[#This Row],[Width]]),(Table1[[#This Row],[Dimension L1]]*Table1[[#This Row],[Dimension W1]])))/1000000</f>
        <v>2.754</v>
      </c>
      <c r="AL47" s="121"/>
    </row>
    <row r="48" spans="2:38" ht="25.15" customHeight="1">
      <c r="B48" s="7" t="s">
        <v>24</v>
      </c>
      <c r="C48" s="7" t="str">
        <f t="shared" si="5"/>
        <v>PL_5_4000_870</v>
      </c>
      <c r="D48" s="7" t="str">
        <f>_xlfn.CONCAT(Table1[[#This Row],[ProductRecord.AccountReference]]," @ ",Table1[[#This Row],[KG/M2]],$H$2)</f>
        <v>PL_5_4000_870 @ 39.25Kg/m2</v>
      </c>
      <c r="E48" s="27">
        <v>4000</v>
      </c>
      <c r="F48" s="27">
        <v>870</v>
      </c>
      <c r="G48" s="32">
        <v>5</v>
      </c>
      <c r="H48" s="109">
        <f>G48*[1]Density!$D$6/1000</f>
        <v>39.25</v>
      </c>
      <c r="I48" s="161">
        <f t="shared" si="6"/>
        <v>136.59</v>
      </c>
      <c r="J48" s="164">
        <v>4000</v>
      </c>
      <c r="K48" s="165">
        <v>870</v>
      </c>
      <c r="L48" s="165">
        <v>1</v>
      </c>
      <c r="M48" s="196" t="s">
        <v>308</v>
      </c>
      <c r="N48" s="164"/>
      <c r="O48" s="202"/>
      <c r="P48" s="202"/>
      <c r="Q48" s="203"/>
      <c r="R48" s="201"/>
      <c r="S48" s="202"/>
      <c r="T48" s="202"/>
      <c r="U48" s="203"/>
      <c r="Z48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136.59</v>
      </c>
      <c r="AA48" s="17">
        <f t="shared" si="1"/>
        <v>135.08751000000001</v>
      </c>
      <c r="AB48" s="17"/>
      <c r="AC48" s="10">
        <f>AC36</f>
        <v>989</v>
      </c>
      <c r="AD48" s="10">
        <f>Table1[[#This Row],[£/Tonne]]/1000*Table1[[#This Row],[KG/M2]]</f>
        <v>38.818249999999999</v>
      </c>
      <c r="AE48" s="10">
        <f>Table1[[#This Row],[£/Tonne]]/1000*Table1[[#This Row],[Kg/ Sheet]]</f>
        <v>135.08751000000001</v>
      </c>
      <c r="AF48" s="10"/>
      <c r="AG48" s="111">
        <f>Table1[[#This Row],[£Cost / SHEET]]*(1+AG$1)</f>
        <v>175.61376300000001</v>
      </c>
      <c r="AH48" s="111">
        <f>Table1[[#This Row],[£Cost / SHEET]]*(1+AH$1)</f>
        <v>182.36813850000001</v>
      </c>
      <c r="AI48" s="111">
        <f>Table1[[#This Row],[£Cost / SHEET]]*(1+AI$1)</f>
        <v>189.122514</v>
      </c>
      <c r="AJ48" s="111">
        <f>Table1[[#This Row],[£Cost / SHEET]]*(1+AJ$1)</f>
        <v>202.63126500000001</v>
      </c>
      <c r="AK48" s="222">
        <f>(Table1[[#This Row],[Qty 1]]*IF(Table1[[#This Row],[Dimension L1]]&lt;1,(Table1[[#This Row],[Length]]*Table1[[#This Row],[Width]]),(Table1[[#This Row],[Dimension L1]]*Table1[[#This Row],[Dimension W1]])))/1000000</f>
        <v>3.48</v>
      </c>
      <c r="AL48" s="121"/>
    </row>
    <row r="49" spans="2:38" ht="25.15" customHeight="1">
      <c r="B49" s="7" t="s">
        <v>24</v>
      </c>
      <c r="C49" s="7" t="str">
        <f t="shared" si="5"/>
        <v>PL_5_4620_2500</v>
      </c>
      <c r="D49" s="7" t="str">
        <f>_xlfn.CONCAT(Table1[[#This Row],[ProductRecord.AccountReference]]," @ ",Table1[[#This Row],[KG/M2]],$H$2)</f>
        <v>PL_5_4620_2500 @ 39.25Kg/m2</v>
      </c>
      <c r="E49" s="27">
        <v>4620</v>
      </c>
      <c r="F49" s="27">
        <v>2500</v>
      </c>
      <c r="G49" s="32">
        <v>5</v>
      </c>
      <c r="H49" s="109">
        <f>G49*[1]Density!$D$6/1000</f>
        <v>39.25</v>
      </c>
      <c r="I49" s="161">
        <f t="shared" si="6"/>
        <v>453.33749999999998</v>
      </c>
      <c r="J49" s="164">
        <v>4620</v>
      </c>
      <c r="K49" s="165">
        <v>2500</v>
      </c>
      <c r="L49" s="165">
        <v>1</v>
      </c>
      <c r="M49" s="196" t="s">
        <v>308</v>
      </c>
      <c r="N49" s="164"/>
      <c r="O49" s="202"/>
      <c r="P49" s="202"/>
      <c r="Q49" s="203"/>
      <c r="R49" s="201"/>
      <c r="S49" s="202"/>
      <c r="T49" s="202"/>
      <c r="U49" s="203"/>
      <c r="Z49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453.33750000000003</v>
      </c>
      <c r="AA49" s="17">
        <f t="shared" si="1"/>
        <v>384.88353750000005</v>
      </c>
      <c r="AB49" s="17"/>
      <c r="AC49" s="10">
        <f>AC41</f>
        <v>849</v>
      </c>
      <c r="AD49" s="10">
        <f>Table1[[#This Row],[£/Tonne]]/1000*Table1[[#This Row],[KG/M2]]</f>
        <v>33.323250000000002</v>
      </c>
      <c r="AE49" s="10">
        <f>Table1[[#This Row],[£/Tonne]]/1000*Table1[[#This Row],[Kg/ Sheet]]</f>
        <v>384.88353749999999</v>
      </c>
      <c r="AF49" s="10"/>
      <c r="AG49" s="111">
        <f>Table1[[#This Row],[£Cost / SHEET]]*(1+AG$1)</f>
        <v>500.34859875000001</v>
      </c>
      <c r="AH49" s="111">
        <f>Table1[[#This Row],[£Cost / SHEET]]*(1+AH$1)</f>
        <v>519.59277562500006</v>
      </c>
      <c r="AI49" s="111">
        <f>Table1[[#This Row],[£Cost / SHEET]]*(1+AI$1)</f>
        <v>538.83695249999994</v>
      </c>
      <c r="AJ49" s="111">
        <f>Table1[[#This Row],[£Cost / SHEET]]*(1+AJ$1)</f>
        <v>577.32530625000004</v>
      </c>
      <c r="AK49" s="222">
        <f>(Table1[[#This Row],[Qty 1]]*IF(Table1[[#This Row],[Dimension L1]]&lt;1,(Table1[[#This Row],[Length]]*Table1[[#This Row],[Width]]),(Table1[[#This Row],[Dimension L1]]*Table1[[#This Row],[Dimension W1]])))/1000000</f>
        <v>11.55</v>
      </c>
      <c r="AL49" s="121"/>
    </row>
    <row r="50" spans="2:38" ht="25.15" customHeight="1">
      <c r="B50" s="7" t="s">
        <v>24</v>
      </c>
      <c r="C50" s="7" t="str">
        <f t="shared" si="5"/>
        <v>PL_5_5300_350</v>
      </c>
      <c r="D50" s="7" t="str">
        <f>_xlfn.CONCAT(Table1[[#This Row],[ProductRecord.AccountReference]]," @ ",Table1[[#This Row],[KG/M2]],$H$2)</f>
        <v>PL_5_5300_350 @ 39.25Kg/m2</v>
      </c>
      <c r="E50" s="27">
        <v>5300</v>
      </c>
      <c r="F50" s="27">
        <v>350</v>
      </c>
      <c r="G50" s="32">
        <v>5</v>
      </c>
      <c r="H50" s="109">
        <f>G50*[1]Density!$D$6/1000</f>
        <v>39.25</v>
      </c>
      <c r="I50" s="161">
        <f t="shared" si="6"/>
        <v>72.808750000000003</v>
      </c>
      <c r="J50" s="164">
        <v>5300</v>
      </c>
      <c r="K50" s="165">
        <v>350</v>
      </c>
      <c r="L50" s="165">
        <v>5</v>
      </c>
      <c r="M50" s="196" t="s">
        <v>239</v>
      </c>
      <c r="N50" s="164"/>
      <c r="O50" s="202"/>
      <c r="P50" s="202"/>
      <c r="Q50" s="203"/>
      <c r="R50" s="201"/>
      <c r="S50" s="202"/>
      <c r="T50" s="202"/>
      <c r="U50" s="203"/>
      <c r="Z50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364.04374999999999</v>
      </c>
      <c r="AA50" s="17">
        <f t="shared" si="1"/>
        <v>360.03926875000002</v>
      </c>
      <c r="AB50" s="17"/>
      <c r="AC50" s="10">
        <f>AC42</f>
        <v>989</v>
      </c>
      <c r="AD50" s="10">
        <f>Table1[[#This Row],[£/Tonne]]/1000*Table1[[#This Row],[KG/M2]]</f>
        <v>38.818249999999999</v>
      </c>
      <c r="AE50" s="10">
        <f>Table1[[#This Row],[£/Tonne]]/1000*Table1[[#This Row],[Kg/ Sheet]]</f>
        <v>72.00785375000001</v>
      </c>
      <c r="AF50" s="10"/>
      <c r="AG50" s="111">
        <f>Table1[[#This Row],[£Cost / SHEET]]*(1+AG$1)</f>
        <v>93.61020987500001</v>
      </c>
      <c r="AH50" s="111">
        <f>Table1[[#This Row],[£Cost / SHEET]]*(1+AH$1)</f>
        <v>97.210602562500014</v>
      </c>
      <c r="AI50" s="111">
        <f>Table1[[#This Row],[£Cost / SHEET]]*(1+AI$1)</f>
        <v>100.81099525</v>
      </c>
      <c r="AJ50" s="111">
        <f>Table1[[#This Row],[£Cost / SHEET]]*(1+AJ$1)</f>
        <v>108.01178062500001</v>
      </c>
      <c r="AK50" s="222">
        <f>(Table1[[#This Row],[Qty 1]]*IF(Table1[[#This Row],[Dimension L1]]&lt;1,(Table1[[#This Row],[Length]]*Table1[[#This Row],[Width]]),(Table1[[#This Row],[Dimension L1]]*Table1[[#This Row],[Dimension W1]])))/1000000</f>
        <v>9.2750000000000004</v>
      </c>
      <c r="AL50" s="121"/>
    </row>
    <row r="51" spans="2:38" ht="25.15" customHeight="1">
      <c r="B51" s="7" t="s">
        <v>24</v>
      </c>
      <c r="C51" s="7" t="str">
        <f t="shared" si="5"/>
        <v>PL_5_7000_1830</v>
      </c>
      <c r="D51" s="7" t="str">
        <f>_xlfn.CONCAT(Table1[[#This Row],[ProductRecord.AccountReference]]," @ ",Table1[[#This Row],[KG/M2]],$H$2)</f>
        <v>PL_5_7000_1830 @ 39.25Kg/m2</v>
      </c>
      <c r="E51" s="27">
        <v>7000</v>
      </c>
      <c r="F51" s="27">
        <v>1830</v>
      </c>
      <c r="G51" s="32">
        <v>5</v>
      </c>
      <c r="H51" s="109">
        <f>G51*[1]Density!$D$6/1000</f>
        <v>39.25</v>
      </c>
      <c r="I51" s="161">
        <f t="shared" si="6"/>
        <v>502.79250000000002</v>
      </c>
      <c r="J51" s="164">
        <v>7000</v>
      </c>
      <c r="K51" s="165">
        <v>1830</v>
      </c>
      <c r="L51" s="165">
        <v>8</v>
      </c>
      <c r="M51" s="196" t="s">
        <v>239</v>
      </c>
      <c r="N51" s="164"/>
      <c r="O51" s="202"/>
      <c r="P51" s="202"/>
      <c r="Q51" s="203"/>
      <c r="R51" s="201"/>
      <c r="S51" s="202"/>
      <c r="T51" s="202"/>
      <c r="U51" s="203"/>
      <c r="Z51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4022.34</v>
      </c>
      <c r="AA51" s="17">
        <f t="shared" si="1"/>
        <v>4404.4623000000001</v>
      </c>
      <c r="AB51" s="17"/>
      <c r="AC51" s="10">
        <v>1095</v>
      </c>
      <c r="AD51" s="10">
        <f>Table1[[#This Row],[£/Tonne]]/1000*Table1[[#This Row],[KG/M2]]</f>
        <v>42.978749999999998</v>
      </c>
      <c r="AE51" s="10">
        <f>Table1[[#This Row],[£/Tonne]]/1000*Table1[[#This Row],[Kg/ Sheet]]</f>
        <v>550.55778750000002</v>
      </c>
      <c r="AF51" s="10"/>
      <c r="AG51" s="111">
        <f>Table1[[#This Row],[£Cost / SHEET]]*(1+AG$1)</f>
        <v>715.72512375000008</v>
      </c>
      <c r="AH51" s="111">
        <f>Table1[[#This Row],[£Cost / SHEET]]*(1+AH$1)</f>
        <v>743.25301312500005</v>
      </c>
      <c r="AI51" s="111">
        <f>Table1[[#This Row],[£Cost / SHEET]]*(1+AI$1)</f>
        <v>770.78090250000002</v>
      </c>
      <c r="AJ51" s="111">
        <f>Table1[[#This Row],[£Cost / SHEET]]*(1+AJ$1)</f>
        <v>825.83668125000008</v>
      </c>
      <c r="AK51" s="222">
        <f>(Table1[[#This Row],[Qty 1]]*IF(Table1[[#This Row],[Dimension L1]]&lt;1,(Table1[[#This Row],[Length]]*Table1[[#This Row],[Width]]),(Table1[[#This Row],[Dimension L1]]*Table1[[#This Row],[Dimension W1]])))/1000000</f>
        <v>102.48</v>
      </c>
      <c r="AL51" s="121"/>
    </row>
    <row r="52" spans="2:38" ht="25.35" customHeight="1">
      <c r="H52" s="109"/>
      <c r="I52" s="110"/>
      <c r="J52" s="159"/>
      <c r="K52" s="161"/>
      <c r="L52" s="161"/>
      <c r="M52" s="110"/>
      <c r="N52" s="159"/>
      <c r="O52" s="202"/>
      <c r="P52" s="202"/>
      <c r="Q52" s="203"/>
      <c r="R52" s="201"/>
      <c r="S52" s="202"/>
      <c r="T52" s="202"/>
      <c r="U52" s="203"/>
      <c r="Z52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52" s="17">
        <f t="shared" si="1"/>
        <v>0</v>
      </c>
      <c r="AB52" s="17"/>
      <c r="AC52" s="10"/>
      <c r="AD52" s="10">
        <f>Table1[[#This Row],[£/Tonne]]/1000*Table1[[#This Row],[KG/M2]]</f>
        <v>0</v>
      </c>
      <c r="AE52" s="10">
        <f>Table1[[#This Row],[£/Tonne]]/1000*Table1[[#This Row],[Kg/ Sheet]]</f>
        <v>0</v>
      </c>
      <c r="AF52" s="10"/>
      <c r="AG52" s="111">
        <f>Table1[[#This Row],[£Cost / SHEET]]*(1+AG$1)</f>
        <v>0</v>
      </c>
      <c r="AH52" s="111">
        <f>Table1[[#This Row],[£Cost / SHEET]]*(1+AH$1)</f>
        <v>0</v>
      </c>
      <c r="AI52" s="111">
        <f>Table1[[#This Row],[£Cost / SHEET]]*(1+AI$1)</f>
        <v>0</v>
      </c>
      <c r="AJ52" s="111">
        <f>Table1[[#This Row],[£Cost / SHEET]]*(1+AJ$1)</f>
        <v>0</v>
      </c>
      <c r="AK52" s="222">
        <f>(Table1[[#This Row],[Qty 1]]*IF(Table1[[#This Row],[Dimension L1]]&lt;1,(Table1[[#This Row],[Length]]*Table1[[#This Row],[Width]]),(Table1[[#This Row],[Dimension L1]]*Table1[[#This Row],[Dimension W1]])))/1000000</f>
        <v>0</v>
      </c>
      <c r="AL52" s="121"/>
    </row>
    <row r="53" spans="2:38" ht="25.35" customHeight="1">
      <c r="B53" s="7" t="s">
        <v>24</v>
      </c>
      <c r="C53" s="7" t="str">
        <f t="shared" si="2"/>
        <v>PL_6_2500_1250</v>
      </c>
      <c r="D53" s="7" t="str">
        <f>_xlfn.CONCAT(Table1[[#This Row],[ProductRecord.AccountReference]]," @ ",Table1[[#This Row],[KG/M2]],$H$2)</f>
        <v>PL_6_2500_1250 @ 47.1Kg/m2</v>
      </c>
      <c r="E53" s="27">
        <v>2500</v>
      </c>
      <c r="F53" s="27">
        <v>1250</v>
      </c>
      <c r="G53" s="32">
        <v>6</v>
      </c>
      <c r="H53" s="109">
        <f>G53*[1]Density!$D$6/1000</f>
        <v>47.1</v>
      </c>
      <c r="I53" s="161">
        <f t="shared" si="0"/>
        <v>147.1875</v>
      </c>
      <c r="J53" s="164">
        <v>2510</v>
      </c>
      <c r="K53" s="165">
        <v>720</v>
      </c>
      <c r="L53" s="165">
        <v>1</v>
      </c>
      <c r="M53" s="196" t="s">
        <v>239</v>
      </c>
      <c r="N53" s="164">
        <v>2140</v>
      </c>
      <c r="O53" s="202">
        <v>1840</v>
      </c>
      <c r="P53" s="202">
        <v>1</v>
      </c>
      <c r="Q53" s="203" t="s">
        <v>306</v>
      </c>
      <c r="R53" s="201">
        <v>2500</v>
      </c>
      <c r="S53" s="202">
        <v>1250</v>
      </c>
      <c r="T53" s="202">
        <v>4</v>
      </c>
      <c r="U53" s="203" t="s">
        <v>72</v>
      </c>
      <c r="Z53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859.33007999999995</v>
      </c>
      <c r="AA53" s="17">
        <f t="shared" si="1"/>
        <v>833.55017759999998</v>
      </c>
      <c r="AB53" s="17"/>
      <c r="AC53" s="10">
        <v>970</v>
      </c>
      <c r="AD53" s="10">
        <f>Table1[[#This Row],[£/Tonne]]/1000*Table1[[#This Row],[KG/M2]]</f>
        <v>45.686999999999998</v>
      </c>
      <c r="AE53" s="10">
        <f>Table1[[#This Row],[£/Tonne]]/1000*Table1[[#This Row],[Kg/ Sheet]]</f>
        <v>142.77187499999999</v>
      </c>
      <c r="AF53" s="10"/>
      <c r="AG53" s="111">
        <f>Table1[[#This Row],[£Cost / SHEET]]*(1+AG$1)</f>
        <v>185.60343750000001</v>
      </c>
      <c r="AH53" s="111">
        <f>Table1[[#This Row],[£Cost / SHEET]]*(1+AH$1)</f>
        <v>192.74203125</v>
      </c>
      <c r="AI53" s="111">
        <f>Table1[[#This Row],[£Cost / SHEET]]*(1+AI$1)</f>
        <v>199.88062499999998</v>
      </c>
      <c r="AJ53" s="111">
        <f>Table1[[#This Row],[£Cost / SHEET]]*(1+AJ$1)</f>
        <v>214.15781249999998</v>
      </c>
      <c r="AK53" s="222">
        <f>(Table1[[#This Row],[Qty 1]]*IF(Table1[[#This Row],[Dimension L1]]&lt;1,(Table1[[#This Row],[Length]]*Table1[[#This Row],[Width]]),(Table1[[#This Row],[Dimension L1]]*Table1[[#This Row],[Dimension W1]])))/1000000</f>
        <v>1.8071999999999999</v>
      </c>
      <c r="AL53" s="121"/>
    </row>
    <row r="54" spans="2:38" ht="25.35" customHeight="1">
      <c r="B54" s="7" t="s">
        <v>24</v>
      </c>
      <c r="C54" s="7" t="str">
        <f t="shared" si="2"/>
        <v>PL_6_2150_1500</v>
      </c>
      <c r="D54" s="7" t="str">
        <f>_xlfn.CONCAT(Table1[[#This Row],[ProductRecord.AccountReference]]," @ ",Table1[[#This Row],[KG/M2]],$H$2)</f>
        <v>PL_6_2150_1500 @ 47.1Kg/m2</v>
      </c>
      <c r="E54" s="27">
        <v>2150</v>
      </c>
      <c r="F54" s="27">
        <v>1500</v>
      </c>
      <c r="G54" s="32">
        <v>6</v>
      </c>
      <c r="H54" s="109">
        <f>G54*[1]Density!$D$6/1000</f>
        <v>47.1</v>
      </c>
      <c r="I54" s="161">
        <f t="shared" si="0"/>
        <v>151.89750000000001</v>
      </c>
      <c r="J54" s="164">
        <v>2500</v>
      </c>
      <c r="K54" s="165">
        <v>2200</v>
      </c>
      <c r="L54" s="165">
        <v>1</v>
      </c>
      <c r="M54" s="196" t="s">
        <v>239</v>
      </c>
      <c r="N54" s="164">
        <v>1600</v>
      </c>
      <c r="O54" s="202">
        <v>1500</v>
      </c>
      <c r="P54" s="202">
        <v>1</v>
      </c>
      <c r="Q54" s="203" t="s">
        <v>306</v>
      </c>
      <c r="R54" s="201"/>
      <c r="S54" s="202"/>
      <c r="T54" s="202"/>
      <c r="U54" s="203"/>
      <c r="Z54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372.09000000000003</v>
      </c>
      <c r="AA54" s="17">
        <f t="shared" si="1"/>
        <v>446.13591000000002</v>
      </c>
      <c r="AB54" s="17"/>
      <c r="AC54" s="10">
        <f>AC64</f>
        <v>1199</v>
      </c>
      <c r="AD54" s="10">
        <f>Table1[[#This Row],[£/Tonne]]/1000*Table1[[#This Row],[KG/M2]]</f>
        <v>56.472900000000003</v>
      </c>
      <c r="AE54" s="10">
        <f>Table1[[#This Row],[£/Tonne]]/1000*Table1[[#This Row],[Kg/ Sheet]]</f>
        <v>182.12510250000003</v>
      </c>
      <c r="AF54" s="10"/>
      <c r="AG54" s="111">
        <f>Table1[[#This Row],[£Cost / SHEET]]*(1+AG$1)</f>
        <v>236.76263325000005</v>
      </c>
      <c r="AH54" s="111">
        <f>Table1[[#This Row],[£Cost / SHEET]]*(1+AH$1)</f>
        <v>245.86888837500004</v>
      </c>
      <c r="AI54" s="111">
        <f>Table1[[#This Row],[£Cost / SHEET]]*(1+AI$1)</f>
        <v>254.97514350000003</v>
      </c>
      <c r="AJ54" s="111">
        <f>Table1[[#This Row],[£Cost / SHEET]]*(1+AJ$1)</f>
        <v>273.18765375000004</v>
      </c>
      <c r="AK54" s="222">
        <f>(Table1[[#This Row],[Qty 1]]*IF(Table1[[#This Row],[Dimension L1]]&lt;1,(Table1[[#This Row],[Length]]*Table1[[#This Row],[Width]]),(Table1[[#This Row],[Dimension L1]]*Table1[[#This Row],[Dimension W1]])))/1000000</f>
        <v>5.5</v>
      </c>
      <c r="AL54" s="121"/>
    </row>
    <row r="55" spans="2:38" ht="25.35" customHeight="1">
      <c r="B55" s="7" t="s">
        <v>24</v>
      </c>
      <c r="C55" s="7" t="str">
        <f t="shared" si="2"/>
        <v>PL_6_3000_1500</v>
      </c>
      <c r="D55" s="7" t="str">
        <f>_xlfn.CONCAT(Table1[[#This Row],[ProductRecord.AccountReference]]," @ ",Table1[[#This Row],[KG/M2]],$H$2)</f>
        <v>PL_6_3000_1500 @ 47.1Kg/m2</v>
      </c>
      <c r="E55" s="27">
        <v>3000</v>
      </c>
      <c r="F55" s="27">
        <v>1500</v>
      </c>
      <c r="G55" s="32">
        <v>6</v>
      </c>
      <c r="H55" s="109">
        <f>G55*[1]Density!$D$6/1000</f>
        <v>47.1</v>
      </c>
      <c r="I55" s="161">
        <f t="shared" si="0"/>
        <v>211.95</v>
      </c>
      <c r="J55" s="164">
        <v>3000</v>
      </c>
      <c r="K55" s="165">
        <v>1500</v>
      </c>
      <c r="L55" s="165">
        <v>5</v>
      </c>
      <c r="M55" s="196" t="s">
        <v>72</v>
      </c>
      <c r="N55" s="164"/>
      <c r="O55" s="202"/>
      <c r="P55" s="202"/>
      <c r="Q55" s="203"/>
      <c r="R55" s="201"/>
      <c r="S55" s="202"/>
      <c r="T55" s="202"/>
      <c r="U55" s="203"/>
      <c r="Z55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1059.75</v>
      </c>
      <c r="AA55" s="17">
        <f t="shared" si="1"/>
        <v>1112.7375</v>
      </c>
      <c r="AB55" s="17"/>
      <c r="AC55" s="10">
        <v>1050</v>
      </c>
      <c r="AD55" s="10">
        <f>Table1[[#This Row],[£/Tonne]]/1000*Table1[[#This Row],[KG/M2]]</f>
        <v>49.455000000000005</v>
      </c>
      <c r="AE55" s="10">
        <f>Table1[[#This Row],[£/Tonne]]/1000*Table1[[#This Row],[Kg/ Sheet]]</f>
        <v>222.54749999999999</v>
      </c>
      <c r="AF55" s="10"/>
      <c r="AG55" s="111">
        <f>Table1[[#This Row],[£Cost / SHEET]]*(1+AG$1)</f>
        <v>289.31175000000002</v>
      </c>
      <c r="AH55" s="111">
        <f>Table1[[#This Row],[£Cost / SHEET]]*(1+AH$1)</f>
        <v>300.43912499999999</v>
      </c>
      <c r="AI55" s="111">
        <f>Table1[[#This Row],[£Cost / SHEET]]*(1+AI$1)</f>
        <v>311.56649999999996</v>
      </c>
      <c r="AJ55" s="111">
        <f>Table1[[#This Row],[£Cost / SHEET]]*(1+AJ$1)</f>
        <v>333.82124999999996</v>
      </c>
      <c r="AK55" s="222">
        <f>(Table1[[#This Row],[Qty 1]]*IF(Table1[[#This Row],[Dimension L1]]&lt;1,(Table1[[#This Row],[Length]]*Table1[[#This Row],[Width]]),(Table1[[#This Row],[Dimension L1]]*Table1[[#This Row],[Dimension W1]])))/1000000</f>
        <v>22.5</v>
      </c>
      <c r="AL55" s="121"/>
    </row>
    <row r="56" spans="2:38" ht="25.35" customHeight="1">
      <c r="B56" s="7" t="s">
        <v>24</v>
      </c>
      <c r="C56" s="7" t="str">
        <f t="shared" si="2"/>
        <v>PL_6_3200_1500</v>
      </c>
      <c r="D56" s="7" t="str">
        <f>_xlfn.CONCAT(Table1[[#This Row],[ProductRecord.AccountReference]]," @ ",Table1[[#This Row],[KG/M2]],$H$2)</f>
        <v>PL_6_3200_1500 @ 47.1Kg/m2</v>
      </c>
      <c r="E56" s="27">
        <v>3200</v>
      </c>
      <c r="F56" s="27">
        <v>1500</v>
      </c>
      <c r="G56" s="32">
        <v>6</v>
      </c>
      <c r="H56" s="109">
        <f>G56*[1]Density!$D$6/1000</f>
        <v>47.1</v>
      </c>
      <c r="I56" s="161">
        <f t="shared" si="0"/>
        <v>226.08</v>
      </c>
      <c r="J56" s="164">
        <v>3200</v>
      </c>
      <c r="K56" s="165">
        <v>1500</v>
      </c>
      <c r="L56" s="165">
        <v>3</v>
      </c>
      <c r="M56" s="196" t="s">
        <v>239</v>
      </c>
      <c r="N56" s="164">
        <v>3000</v>
      </c>
      <c r="O56" s="202">
        <v>1500</v>
      </c>
      <c r="P56" s="202">
        <v>6</v>
      </c>
      <c r="Q56" s="203" t="s">
        <v>72</v>
      </c>
      <c r="R56" s="201"/>
      <c r="S56" s="202"/>
      <c r="T56" s="202"/>
      <c r="U56" s="203"/>
      <c r="Z56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1949.94</v>
      </c>
      <c r="AA56" s="17">
        <f t="shared" si="1"/>
        <v>963.27035999999998</v>
      </c>
      <c r="AB56" s="17"/>
      <c r="AC56" s="10">
        <v>494</v>
      </c>
      <c r="AD56" s="10">
        <f>Table1[[#This Row],[£/Tonne]]/1000*Table1[[#This Row],[KG/M2]]</f>
        <v>23.267400000000002</v>
      </c>
      <c r="AE56" s="10">
        <f>Table1[[#This Row],[£/Tonne]]/1000*Table1[[#This Row],[Kg/ Sheet]]</f>
        <v>111.68352</v>
      </c>
      <c r="AF56" s="10"/>
      <c r="AG56" s="111">
        <f>Table1[[#This Row],[£Cost / SHEET]]*(1+AG$1)</f>
        <v>145.18857600000001</v>
      </c>
      <c r="AH56" s="111">
        <f>Table1[[#This Row],[£Cost / SHEET]]*(1+AH$1)</f>
        <v>150.77275200000003</v>
      </c>
      <c r="AI56" s="111">
        <f>Table1[[#This Row],[£Cost / SHEET]]*(1+AI$1)</f>
        <v>156.35692799999998</v>
      </c>
      <c r="AJ56" s="111">
        <f>Table1[[#This Row],[£Cost / SHEET]]*(1+AJ$1)</f>
        <v>167.52528000000001</v>
      </c>
      <c r="AK56" s="222">
        <f>(Table1[[#This Row],[Qty 1]]*IF(Table1[[#This Row],[Dimension L1]]&lt;1,(Table1[[#This Row],[Length]]*Table1[[#This Row],[Width]]),(Table1[[#This Row],[Dimension L1]]*Table1[[#This Row],[Dimension W1]])))/1000000</f>
        <v>14.4</v>
      </c>
      <c r="AL56" s="121"/>
    </row>
    <row r="57" spans="2:38" ht="25.35" customHeight="1">
      <c r="B57" s="7" t="s">
        <v>24</v>
      </c>
      <c r="C57" s="7" t="str">
        <f t="shared" si="2"/>
        <v>PL_6_3600_1250</v>
      </c>
      <c r="D57" s="7" t="str">
        <f>_xlfn.CONCAT(Table1[[#This Row],[ProductRecord.AccountReference]]," @ ",Table1[[#This Row],[KG/M2]],$H$2)</f>
        <v>PL_6_3600_1250 @ 47.1Kg/m2</v>
      </c>
      <c r="E57" s="27">
        <v>3600</v>
      </c>
      <c r="F57" s="27">
        <v>1250</v>
      </c>
      <c r="G57" s="32">
        <v>6</v>
      </c>
      <c r="H57" s="109">
        <f>G57*[1]Density!$D$6/1000</f>
        <v>47.1</v>
      </c>
      <c r="I57" s="161">
        <f t="shared" si="0"/>
        <v>211.95</v>
      </c>
      <c r="J57" s="164">
        <v>2500</v>
      </c>
      <c r="K57" s="165">
        <v>1830</v>
      </c>
      <c r="L57" s="165">
        <v>1</v>
      </c>
      <c r="M57" s="196" t="s">
        <v>72</v>
      </c>
      <c r="N57" s="164"/>
      <c r="O57" s="202"/>
      <c r="P57" s="202"/>
      <c r="Q57" s="203"/>
      <c r="R57" s="201"/>
      <c r="S57" s="202"/>
      <c r="T57" s="202"/>
      <c r="U57" s="203"/>
      <c r="Z57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215.48250000000002</v>
      </c>
      <c r="AA57" s="17">
        <f t="shared" si="1"/>
        <v>124.76436750000001</v>
      </c>
      <c r="AB57" s="17"/>
      <c r="AC57" s="10">
        <f>AC58</f>
        <v>579</v>
      </c>
      <c r="AD57" s="10">
        <f>Table1[[#This Row],[£/Tonne]]/1000*Table1[[#This Row],[KG/M2]]</f>
        <v>27.270899999999997</v>
      </c>
      <c r="AE57" s="10">
        <f>Table1[[#This Row],[£/Tonne]]/1000*Table1[[#This Row],[Kg/ Sheet]]</f>
        <v>122.71904999999998</v>
      </c>
      <c r="AF57" s="10"/>
      <c r="AG57" s="111">
        <f>Table1[[#This Row],[£Cost / SHEET]]*(1+AG$1)</f>
        <v>159.53476499999999</v>
      </c>
      <c r="AH57" s="111">
        <f>Table1[[#This Row],[£Cost / SHEET]]*(1+AH$1)</f>
        <v>165.67071749999999</v>
      </c>
      <c r="AI57" s="111">
        <f>Table1[[#This Row],[£Cost / SHEET]]*(1+AI$1)</f>
        <v>171.80666999999997</v>
      </c>
      <c r="AJ57" s="111">
        <f>Table1[[#This Row],[£Cost / SHEET]]*(1+AJ$1)</f>
        <v>184.07857499999997</v>
      </c>
      <c r="AK57" s="222">
        <f>(Table1[[#This Row],[Qty 1]]*IF(Table1[[#This Row],[Dimension L1]]&lt;1,(Table1[[#This Row],[Length]]*Table1[[#This Row],[Width]]),(Table1[[#This Row],[Dimension L1]]*Table1[[#This Row],[Dimension W1]])))/1000000</f>
        <v>4.5750000000000002</v>
      </c>
      <c r="AL57" s="121"/>
    </row>
    <row r="58" spans="2:38" ht="25.35" customHeight="1">
      <c r="B58" s="7" t="s">
        <v>24</v>
      </c>
      <c r="C58" s="7" t="str">
        <f t="shared" si="2"/>
        <v>PL_6_3600_1830</v>
      </c>
      <c r="D58" s="7" t="str">
        <f>_xlfn.CONCAT(Table1[[#This Row],[ProductRecord.AccountReference]]," @ ",Table1[[#This Row],[KG/M2]],$H$2)</f>
        <v>PL_6_3600_1830 @ 47.1Kg/m2</v>
      </c>
      <c r="E58" s="27">
        <v>3600</v>
      </c>
      <c r="F58" s="27">
        <v>1830</v>
      </c>
      <c r="G58" s="32">
        <v>6</v>
      </c>
      <c r="H58" s="109">
        <f>G58*[1]Density!$D$6/1000</f>
        <v>47.1</v>
      </c>
      <c r="I58" s="161">
        <f t="shared" si="0"/>
        <v>310.29480000000001</v>
      </c>
      <c r="J58" s="164">
        <v>4300</v>
      </c>
      <c r="K58" s="165">
        <v>190</v>
      </c>
      <c r="L58" s="165">
        <v>1</v>
      </c>
      <c r="M58" s="196" t="s">
        <v>239</v>
      </c>
      <c r="N58" s="164"/>
      <c r="O58" s="202"/>
      <c r="P58" s="202"/>
      <c r="Q58" s="203"/>
      <c r="R58" s="201"/>
      <c r="S58" s="202"/>
      <c r="T58" s="202"/>
      <c r="U58" s="203"/>
      <c r="Z58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38.480699999999999</v>
      </c>
      <c r="AA58" s="17">
        <f t="shared" si="1"/>
        <v>22.280325300000001</v>
      </c>
      <c r="AB58" s="17"/>
      <c r="AC58" s="10">
        <v>579</v>
      </c>
      <c r="AD58" s="10">
        <f>Table1[[#This Row],[£/Tonne]]/1000*Table1[[#This Row],[KG/M2]]</f>
        <v>27.270899999999997</v>
      </c>
      <c r="AE58" s="10">
        <f>Table1[[#This Row],[£/Tonne]]/1000*Table1[[#This Row],[Kg/ Sheet]]</f>
        <v>179.66068919999998</v>
      </c>
      <c r="AF58" s="10"/>
      <c r="AG58" s="111">
        <f>Table1[[#This Row],[£Cost / SHEET]]*(1+AG$1)</f>
        <v>233.55889595999997</v>
      </c>
      <c r="AH58" s="111">
        <f>Table1[[#This Row],[£Cost / SHEET]]*(1+AH$1)</f>
        <v>242.54193042</v>
      </c>
      <c r="AI58" s="111">
        <f>Table1[[#This Row],[£Cost / SHEET]]*(1+AI$1)</f>
        <v>251.52496487999994</v>
      </c>
      <c r="AJ58" s="111">
        <f>Table1[[#This Row],[£Cost / SHEET]]*(1+AJ$1)</f>
        <v>269.49103379999997</v>
      </c>
      <c r="AK58" s="222">
        <f>(Table1[[#This Row],[Qty 1]]*IF(Table1[[#This Row],[Dimension L1]]&lt;1,(Table1[[#This Row],[Length]]*Table1[[#This Row],[Width]]),(Table1[[#This Row],[Dimension L1]]*Table1[[#This Row],[Dimension W1]])))/1000000</f>
        <v>0.81699999999999995</v>
      </c>
      <c r="AL58" s="121"/>
    </row>
    <row r="59" spans="2:38" ht="25.35" customHeight="1">
      <c r="B59" s="7" t="s">
        <v>24</v>
      </c>
      <c r="C59" s="7" t="str">
        <f t="shared" si="2"/>
        <v>PL_6_4000_2000</v>
      </c>
      <c r="D59" s="7" t="str">
        <f>_xlfn.CONCAT(Table1[[#This Row],[ProductRecord.AccountReference]]," @ ",Table1[[#This Row],[KG/M2]],$H$2)</f>
        <v>PL_6_4000_2000 @ 47.1Kg/m2</v>
      </c>
      <c r="E59" s="27">
        <v>4000</v>
      </c>
      <c r="F59" s="27">
        <v>2000</v>
      </c>
      <c r="G59" s="32">
        <v>6</v>
      </c>
      <c r="H59" s="109">
        <f>G59*[1]Density!$D$6/1000</f>
        <v>47.1</v>
      </c>
      <c r="I59" s="161">
        <f t="shared" si="0"/>
        <v>376.8</v>
      </c>
      <c r="J59" s="164">
        <v>4000</v>
      </c>
      <c r="K59" s="165">
        <v>1830</v>
      </c>
      <c r="L59" s="165">
        <v>1</v>
      </c>
      <c r="M59" s="196" t="s">
        <v>306</v>
      </c>
      <c r="N59" s="164"/>
      <c r="O59" s="202"/>
      <c r="P59" s="202"/>
      <c r="Q59" s="203"/>
      <c r="R59" s="201"/>
      <c r="S59" s="202"/>
      <c r="T59" s="202">
        <v>1</v>
      </c>
      <c r="U59" s="203" t="s">
        <v>305</v>
      </c>
      <c r="X59" s="9">
        <v>1</v>
      </c>
      <c r="Y59" s="9" t="s">
        <v>305</v>
      </c>
      <c r="Z59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1098.3720000000001</v>
      </c>
      <c r="AA59" s="17">
        <f t="shared" si="1"/>
        <v>1262.0294280000001</v>
      </c>
      <c r="AB59" s="17"/>
      <c r="AC59" s="10">
        <f>AC63</f>
        <v>1149</v>
      </c>
      <c r="AD59" s="10">
        <f>Table1[[#This Row],[£/Tonne]]/1000*Table1[[#This Row],[KG/M2]]</f>
        <v>54.117900000000006</v>
      </c>
      <c r="AE59" s="10">
        <f>Table1[[#This Row],[£/Tonne]]/1000*Table1[[#This Row],[Kg/ Sheet]]</f>
        <v>432.94320000000005</v>
      </c>
      <c r="AF59" s="10"/>
      <c r="AG59" s="111">
        <f>Table1[[#This Row],[£Cost / SHEET]]*(1+AG$1)</f>
        <v>562.82616000000007</v>
      </c>
      <c r="AH59" s="111">
        <f>Table1[[#This Row],[£Cost / SHEET]]*(1+AH$1)</f>
        <v>584.47332000000006</v>
      </c>
      <c r="AI59" s="111">
        <f>Table1[[#This Row],[£Cost / SHEET]]*(1+AI$1)</f>
        <v>606.12048000000004</v>
      </c>
      <c r="AJ59" s="111">
        <f>Table1[[#This Row],[£Cost / SHEET]]*(1+AJ$1)</f>
        <v>649.41480000000001</v>
      </c>
      <c r="AK59" s="222">
        <f>(Table1[[#This Row],[Qty 1]]*IF(Table1[[#This Row],[Dimension L1]]&lt;1,(Table1[[#This Row],[Length]]*Table1[[#This Row],[Width]]),(Table1[[#This Row],[Dimension L1]]*Table1[[#This Row],[Dimension W1]])))/1000000</f>
        <v>7.32</v>
      </c>
      <c r="AL59" s="121"/>
    </row>
    <row r="60" spans="2:38" ht="25.35" customHeight="1">
      <c r="B60" s="7" t="s">
        <v>24</v>
      </c>
      <c r="C60" s="7" t="str">
        <f t="shared" si="2"/>
        <v>PL_6_4000_2000</v>
      </c>
      <c r="D60" s="7" t="str">
        <f>_xlfn.CONCAT(Table1[[#This Row],[ProductRecord.AccountReference]]," @ ",Table1[[#This Row],[KG/M2]],$H$2)</f>
        <v>PL_6_4000_2000 @ 47.1Kg/m2</v>
      </c>
      <c r="E60" s="27">
        <v>4000</v>
      </c>
      <c r="F60" s="27">
        <v>2000</v>
      </c>
      <c r="G60" s="32">
        <v>6</v>
      </c>
      <c r="H60" s="109">
        <f>G60*[1]Density!$D$6/1000</f>
        <v>47.1</v>
      </c>
      <c r="I60" s="161">
        <f t="shared" si="0"/>
        <v>376.8</v>
      </c>
      <c r="J60" s="164">
        <v>4000</v>
      </c>
      <c r="K60" s="165">
        <v>1840</v>
      </c>
      <c r="L60" s="165">
        <v>1</v>
      </c>
      <c r="M60" s="196" t="s">
        <v>306</v>
      </c>
      <c r="N60" s="164">
        <v>5000</v>
      </c>
      <c r="O60" s="202">
        <v>390</v>
      </c>
      <c r="P60" s="202">
        <v>1</v>
      </c>
      <c r="Q60" s="203" t="s">
        <v>306</v>
      </c>
      <c r="R60" s="201"/>
      <c r="S60" s="202"/>
      <c r="T60" s="202"/>
      <c r="U60" s="203"/>
      <c r="Z60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438.50100000000003</v>
      </c>
      <c r="AA60" s="17">
        <f t="shared" si="1"/>
        <v>503.83764900000006</v>
      </c>
      <c r="AB60" s="17"/>
      <c r="AC60" s="10">
        <f>AC63</f>
        <v>1149</v>
      </c>
      <c r="AD60" s="10">
        <f>Table1[[#This Row],[£/Tonne]]/1000*Table1[[#This Row],[KG/M2]]</f>
        <v>54.117900000000006</v>
      </c>
      <c r="AE60" s="10">
        <f>Table1[[#This Row],[£/Tonne]]/1000*Table1[[#This Row],[Kg/ Sheet]]</f>
        <v>432.94320000000005</v>
      </c>
      <c r="AF60" s="10"/>
      <c r="AG60" s="111">
        <f>Table1[[#This Row],[£Cost / SHEET]]*(1+AG$1)</f>
        <v>562.82616000000007</v>
      </c>
      <c r="AH60" s="111">
        <f>Table1[[#This Row],[£Cost / SHEET]]*(1+AH$1)</f>
        <v>584.47332000000006</v>
      </c>
      <c r="AI60" s="111">
        <f>Table1[[#This Row],[£Cost / SHEET]]*(1+AI$1)</f>
        <v>606.12048000000004</v>
      </c>
      <c r="AJ60" s="111">
        <f>Table1[[#This Row],[£Cost / SHEET]]*(1+AJ$1)</f>
        <v>649.41480000000001</v>
      </c>
      <c r="AK60" s="222">
        <f>(Table1[[#This Row],[Qty 1]]*IF(Table1[[#This Row],[Dimension L1]]&lt;1,(Table1[[#This Row],[Length]]*Table1[[#This Row],[Width]]),(Table1[[#This Row],[Dimension L1]]*Table1[[#This Row],[Dimension W1]])))/1000000</f>
        <v>7.36</v>
      </c>
      <c r="AL60" s="121"/>
    </row>
    <row r="61" spans="2:38" ht="25.35" customHeight="1">
      <c r="B61" s="7" t="s">
        <v>24</v>
      </c>
      <c r="C61" s="7" t="str">
        <f t="shared" si="2"/>
        <v>PL_6_3630_2390</v>
      </c>
      <c r="D61" s="7" t="str">
        <f>_xlfn.CONCAT(Table1[[#This Row],[ProductRecord.AccountReference]]," @ ",Table1[[#This Row],[KG/M2]],$H$2)</f>
        <v>PL_6_3630_2390 @ 47.1Kg/m2</v>
      </c>
      <c r="E61" s="27">
        <v>3630</v>
      </c>
      <c r="F61" s="27">
        <v>2390</v>
      </c>
      <c r="G61" s="32">
        <v>6</v>
      </c>
      <c r="H61" s="109">
        <f>G61*[1]Density!$D$6/1000</f>
        <v>47.1</v>
      </c>
      <c r="I61" s="161">
        <f t="shared" si="0"/>
        <v>408.62547000000001</v>
      </c>
      <c r="J61" s="164">
        <v>4000</v>
      </c>
      <c r="K61" s="165">
        <v>1810</v>
      </c>
      <c r="L61" s="165">
        <v>1</v>
      </c>
      <c r="M61" s="196" t="s">
        <v>306</v>
      </c>
      <c r="N61" s="164">
        <v>5300</v>
      </c>
      <c r="O61" s="202">
        <v>520</v>
      </c>
      <c r="P61" s="202">
        <v>1</v>
      </c>
      <c r="Q61" s="203" t="s">
        <v>239</v>
      </c>
      <c r="R61" s="201"/>
      <c r="S61" s="202"/>
      <c r="T61" s="202"/>
      <c r="U61" s="203"/>
      <c r="Z61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470.81160000000006</v>
      </c>
      <c r="AA61" s="17">
        <f t="shared" si="1"/>
        <v>540.96252840000011</v>
      </c>
      <c r="AB61" s="17"/>
      <c r="AC61" s="10">
        <f>AC59</f>
        <v>1149</v>
      </c>
      <c r="AD61" s="10">
        <f>Table1[[#This Row],[£/Tonne]]/1000*Table1[[#This Row],[KG/M2]]</f>
        <v>54.117900000000006</v>
      </c>
      <c r="AE61" s="10">
        <f>Table1[[#This Row],[£/Tonne]]/1000*Table1[[#This Row],[Kg/ Sheet]]</f>
        <v>469.51066503000004</v>
      </c>
      <c r="AF61" s="10"/>
      <c r="AG61" s="111">
        <f>Table1[[#This Row],[£Cost / SHEET]]*(1+AG$1)</f>
        <v>610.36386453900002</v>
      </c>
      <c r="AH61" s="111">
        <f>Table1[[#This Row],[£Cost / SHEET]]*(1+AH$1)</f>
        <v>633.83939779050013</v>
      </c>
      <c r="AI61" s="111">
        <f>Table1[[#This Row],[£Cost / SHEET]]*(1+AI$1)</f>
        <v>657.31493104200001</v>
      </c>
      <c r="AJ61" s="111">
        <f>Table1[[#This Row],[£Cost / SHEET]]*(1+AJ$1)</f>
        <v>704.26599754500012</v>
      </c>
      <c r="AK61" s="222">
        <f>(Table1[[#This Row],[Qty 1]]*IF(Table1[[#This Row],[Dimension L1]]&lt;1,(Table1[[#This Row],[Length]]*Table1[[#This Row],[Width]]),(Table1[[#This Row],[Dimension L1]]*Table1[[#This Row],[Dimension W1]])))/1000000</f>
        <v>7.24</v>
      </c>
      <c r="AL61" s="121"/>
    </row>
    <row r="62" spans="2:38" ht="25.35" customHeight="1">
      <c r="B62" s="7" t="s">
        <v>24</v>
      </c>
      <c r="C62" s="7" t="str">
        <f t="shared" ref="C62:C77" si="7">_xlfn.CONCAT(B62,"_",G62,"_",E62,"_",F62,"")</f>
        <v>PL_6_3660_1830</v>
      </c>
      <c r="D62" s="7" t="str">
        <f>_xlfn.CONCAT(Table1[[#This Row],[ProductRecord.AccountReference]]," @ ",Table1[[#This Row],[KG/M2]],$H$2)</f>
        <v>PL_6_3660_1830 @ 47.1Kg/m2</v>
      </c>
      <c r="E62" s="27">
        <v>3660</v>
      </c>
      <c r="F62" s="27">
        <v>1830</v>
      </c>
      <c r="G62" s="32">
        <v>6</v>
      </c>
      <c r="H62" s="109">
        <f>G62*[1]Density!$D$6/1000</f>
        <v>47.1</v>
      </c>
      <c r="I62" s="161">
        <f t="shared" ref="I62:I76" si="8">E62*F62*H62/1000000</f>
        <v>315.46638000000002</v>
      </c>
      <c r="J62" s="164">
        <v>3660</v>
      </c>
      <c r="K62" s="165">
        <v>1830</v>
      </c>
      <c r="L62" s="165">
        <v>3</v>
      </c>
      <c r="M62" s="196" t="s">
        <v>308</v>
      </c>
      <c r="N62" s="164"/>
      <c r="O62" s="202"/>
      <c r="P62" s="202"/>
      <c r="Q62" s="203"/>
      <c r="R62" s="201"/>
      <c r="S62" s="202"/>
      <c r="T62" s="202"/>
      <c r="U62" s="203"/>
      <c r="Z62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946.39913999999999</v>
      </c>
      <c r="AA62" s="17">
        <f t="shared" si="1"/>
        <v>547.96510206000005</v>
      </c>
      <c r="AB62" s="17"/>
      <c r="AC62" s="10">
        <f>AC58</f>
        <v>579</v>
      </c>
      <c r="AD62" s="10">
        <f>Table1[[#This Row],[£/Tonne]]/1000*Table1[[#This Row],[KG/M2]]</f>
        <v>27.270899999999997</v>
      </c>
      <c r="AE62" s="10">
        <f>Table1[[#This Row],[£/Tonne]]/1000*Table1[[#This Row],[Kg/ Sheet]]</f>
        <v>182.65503401999999</v>
      </c>
      <c r="AF62" s="10"/>
      <c r="AG62" s="111">
        <f>Table1[[#This Row],[£Cost / SHEET]]*(1+AG$1)</f>
        <v>237.45154422599998</v>
      </c>
      <c r="AH62" s="111">
        <f>Table1[[#This Row],[£Cost / SHEET]]*(1+AH$1)</f>
        <v>246.584295927</v>
      </c>
      <c r="AI62" s="111">
        <f>Table1[[#This Row],[£Cost / SHEET]]*(1+AI$1)</f>
        <v>255.71704762799996</v>
      </c>
      <c r="AJ62" s="111">
        <f>Table1[[#This Row],[£Cost / SHEET]]*(1+AJ$1)</f>
        <v>273.98255102999997</v>
      </c>
      <c r="AK62" s="222">
        <f>(Table1[[#This Row],[Qty 1]]*IF(Table1[[#This Row],[Dimension L1]]&lt;1,(Table1[[#This Row],[Length]]*Table1[[#This Row],[Width]]),(Table1[[#This Row],[Dimension L1]]*Table1[[#This Row],[Dimension W1]])))/1000000</f>
        <v>20.093399999999999</v>
      </c>
      <c r="AL62" s="121"/>
    </row>
    <row r="63" spans="2:38" ht="25.35" customHeight="1">
      <c r="B63" s="7" t="s">
        <v>24</v>
      </c>
      <c r="C63" s="7" t="str">
        <f t="shared" si="7"/>
        <v>PL_6_4000_2000</v>
      </c>
      <c r="D63" s="7" t="str">
        <f>_xlfn.CONCAT(Table1[[#This Row],[ProductRecord.AccountReference]]," @ ",Table1[[#This Row],[KG/M2]],$H$2)</f>
        <v>PL_6_4000_2000 @ 47.1Kg/m2</v>
      </c>
      <c r="E63" s="27">
        <v>4000</v>
      </c>
      <c r="F63" s="27">
        <v>2000</v>
      </c>
      <c r="G63" s="32">
        <v>6</v>
      </c>
      <c r="H63" s="109">
        <f>G63*[1]Density!$D$6/1000</f>
        <v>47.1</v>
      </c>
      <c r="I63" s="161">
        <f t="shared" si="8"/>
        <v>376.8</v>
      </c>
      <c r="J63" s="164">
        <v>4000</v>
      </c>
      <c r="K63" s="165">
        <v>2000</v>
      </c>
      <c r="L63" s="165">
        <v>3</v>
      </c>
      <c r="M63" s="196" t="s">
        <v>308</v>
      </c>
      <c r="N63" s="164"/>
      <c r="O63" s="202"/>
      <c r="P63" s="202"/>
      <c r="Q63" s="203"/>
      <c r="R63" s="201"/>
      <c r="S63" s="202"/>
      <c r="T63" s="202"/>
      <c r="U63" s="203"/>
      <c r="Z63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1130.4000000000001</v>
      </c>
      <c r="AA63" s="17">
        <f t="shared" si="1"/>
        <v>1298.8296</v>
      </c>
      <c r="AB63" s="17"/>
      <c r="AC63" s="10">
        <v>1149</v>
      </c>
      <c r="AD63" s="10">
        <f>Table1[[#This Row],[£/Tonne]]/1000*Table1[[#This Row],[KG/M2]]</f>
        <v>54.117900000000006</v>
      </c>
      <c r="AE63" s="10">
        <f>Table1[[#This Row],[£/Tonne]]/1000*Table1[[#This Row],[Kg/ Sheet]]</f>
        <v>432.94320000000005</v>
      </c>
      <c r="AF63" s="10"/>
      <c r="AG63" s="111">
        <f>Table1[[#This Row],[£Cost / SHEET]]*(1+AG$1)</f>
        <v>562.82616000000007</v>
      </c>
      <c r="AH63" s="111">
        <f>Table1[[#This Row],[£Cost / SHEET]]*(1+AH$1)</f>
        <v>584.47332000000006</v>
      </c>
      <c r="AI63" s="111">
        <f>Table1[[#This Row],[£Cost / SHEET]]*(1+AI$1)</f>
        <v>606.12048000000004</v>
      </c>
      <c r="AJ63" s="111">
        <f>Table1[[#This Row],[£Cost / SHEET]]*(1+AJ$1)</f>
        <v>649.41480000000001</v>
      </c>
      <c r="AK63" s="222">
        <f>(Table1[[#This Row],[Qty 1]]*IF(Table1[[#This Row],[Dimension L1]]&lt;1,(Table1[[#This Row],[Length]]*Table1[[#This Row],[Width]]),(Table1[[#This Row],[Dimension L1]]*Table1[[#This Row],[Dimension W1]])))/1000000</f>
        <v>24</v>
      </c>
      <c r="AL63" s="121"/>
    </row>
    <row r="64" spans="2:38" ht="25.35" customHeight="1">
      <c r="B64" s="7" t="s">
        <v>24</v>
      </c>
      <c r="C64" s="7" t="str">
        <f t="shared" si="7"/>
        <v>PL_6_5000_2500</v>
      </c>
      <c r="D64" s="7" t="str">
        <f>_xlfn.CONCAT(Table1[[#This Row],[ProductRecord.AccountReference]]," @ ",Table1[[#This Row],[KG/M2]],$H$2)</f>
        <v>PL_6_5000_2500 @ 47.1Kg/m2</v>
      </c>
      <c r="E64" s="27">
        <v>5000</v>
      </c>
      <c r="F64" s="27">
        <v>2500</v>
      </c>
      <c r="G64" s="32">
        <v>6</v>
      </c>
      <c r="H64" s="109">
        <f>G64*[1]Density!$D$6/1000</f>
        <v>47.1</v>
      </c>
      <c r="I64" s="161">
        <f t="shared" si="8"/>
        <v>588.75</v>
      </c>
      <c r="J64" s="164">
        <v>5000</v>
      </c>
      <c r="K64" s="165">
        <v>2500</v>
      </c>
      <c r="L64" s="165">
        <v>6</v>
      </c>
      <c r="M64" s="196" t="s">
        <v>308</v>
      </c>
      <c r="N64" s="164"/>
      <c r="O64" s="202"/>
      <c r="P64" s="202"/>
      <c r="Q64" s="203"/>
      <c r="R64" s="201"/>
      <c r="S64" s="202"/>
      <c r="T64" s="202"/>
      <c r="U64" s="203"/>
      <c r="Z64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3532.5</v>
      </c>
      <c r="AA64" s="17">
        <f t="shared" si="1"/>
        <v>4235.4675000000007</v>
      </c>
      <c r="AB64" s="17"/>
      <c r="AC64" s="10">
        <v>1199</v>
      </c>
      <c r="AD64" s="10">
        <f>Table1[[#This Row],[£/Tonne]]/1000*Table1[[#This Row],[KG/M2]]</f>
        <v>56.472900000000003</v>
      </c>
      <c r="AE64" s="10">
        <f>Table1[[#This Row],[£/Tonne]]/1000*Table1[[#This Row],[Kg/ Sheet]]</f>
        <v>705.91125</v>
      </c>
      <c r="AF64" s="10"/>
      <c r="AG64" s="111">
        <f>Table1[[#This Row],[£Cost / SHEET]]*(1+AG$1)</f>
        <v>917.68462499999998</v>
      </c>
      <c r="AH64" s="111">
        <f>Table1[[#This Row],[£Cost / SHEET]]*(1+AH$1)</f>
        <v>952.98018750000006</v>
      </c>
      <c r="AI64" s="111">
        <f>Table1[[#This Row],[£Cost / SHEET]]*(1+AI$1)</f>
        <v>988.2757499999999</v>
      </c>
      <c r="AJ64" s="111">
        <f>Table1[[#This Row],[£Cost / SHEET]]*(1+AJ$1)</f>
        <v>1058.8668749999999</v>
      </c>
      <c r="AK64" s="222">
        <f>(Table1[[#This Row],[Qty 1]]*IF(Table1[[#This Row],[Dimension L1]]&lt;1,(Table1[[#This Row],[Length]]*Table1[[#This Row],[Width]]),(Table1[[#This Row],[Dimension L1]]*Table1[[#This Row],[Dimension W1]])))/1000000</f>
        <v>75</v>
      </c>
      <c r="AL64" s="121"/>
    </row>
    <row r="65" spans="2:38" ht="25.35" customHeight="1">
      <c r="B65" s="7" t="s">
        <v>24</v>
      </c>
      <c r="C65" s="7" t="str">
        <f t="shared" si="7"/>
        <v>PL_6_1220_590</v>
      </c>
      <c r="D65" s="7" t="str">
        <f>_xlfn.CONCAT(Table1[[#This Row],[ProductRecord.AccountReference]]," @ ",Table1[[#This Row],[KG/M2]],$H$2)</f>
        <v>PL_6_1220_590 @ 47.1Kg/m2</v>
      </c>
      <c r="E65" s="27">
        <v>1220</v>
      </c>
      <c r="F65" s="27">
        <v>590</v>
      </c>
      <c r="G65" s="32">
        <v>6</v>
      </c>
      <c r="H65" s="109">
        <f>G65*[1]Density!$D$6/1000</f>
        <v>47.1</v>
      </c>
      <c r="I65" s="161">
        <f t="shared" si="8"/>
        <v>33.90258</v>
      </c>
      <c r="J65" s="164">
        <v>1220</v>
      </c>
      <c r="K65" s="165">
        <v>590</v>
      </c>
      <c r="L65" s="165">
        <v>1</v>
      </c>
      <c r="M65" s="196" t="s">
        <v>239</v>
      </c>
      <c r="N65" s="164"/>
      <c r="O65" s="202"/>
      <c r="P65" s="202"/>
      <c r="Q65" s="203"/>
      <c r="R65" s="201"/>
      <c r="S65" s="202"/>
      <c r="T65" s="202"/>
      <c r="U65" s="203"/>
      <c r="Z65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33.90258</v>
      </c>
      <c r="AA65" s="17">
        <f t="shared" si="1"/>
        <v>32.885502600000002</v>
      </c>
      <c r="AB65" s="17"/>
      <c r="AC65" s="10">
        <f>AC53</f>
        <v>970</v>
      </c>
      <c r="AD65" s="10">
        <f>Table1[[#This Row],[£/Tonne]]/1000*Table1[[#This Row],[KG/M2]]</f>
        <v>45.686999999999998</v>
      </c>
      <c r="AE65" s="10">
        <f>Table1[[#This Row],[£/Tonne]]/1000*Table1[[#This Row],[Kg/ Sheet]]</f>
        <v>32.885502600000002</v>
      </c>
      <c r="AF65" s="10"/>
      <c r="AG65" s="111">
        <f>Table1[[#This Row],[£Cost / SHEET]]*(1+AG$1)</f>
        <v>42.751153380000005</v>
      </c>
      <c r="AH65" s="111">
        <f>Table1[[#This Row],[£Cost / SHEET]]*(1+AH$1)</f>
        <v>44.395428510000009</v>
      </c>
      <c r="AI65" s="111">
        <f>Table1[[#This Row],[£Cost / SHEET]]*(1+AI$1)</f>
        <v>46.039703639999999</v>
      </c>
      <c r="AJ65" s="111">
        <f>Table1[[#This Row],[£Cost / SHEET]]*(1+AJ$1)</f>
        <v>49.328253900000007</v>
      </c>
      <c r="AK65" s="222">
        <f>(Table1[[#This Row],[Qty 1]]*IF(Table1[[#This Row],[Dimension L1]]&lt;1,(Table1[[#This Row],[Length]]*Table1[[#This Row],[Width]]),(Table1[[#This Row],[Dimension L1]]*Table1[[#This Row],[Dimension W1]])))/1000000</f>
        <v>0.7198</v>
      </c>
      <c r="AL65" s="121"/>
    </row>
    <row r="66" spans="2:38" ht="25.35" customHeight="1">
      <c r="B66" s="7" t="s">
        <v>24</v>
      </c>
      <c r="C66" s="7" t="str">
        <f t="shared" si="7"/>
        <v>PL_6_1250_1050</v>
      </c>
      <c r="D66" s="7" t="str">
        <f>_xlfn.CONCAT(Table1[[#This Row],[ProductRecord.AccountReference]]," @ ",Table1[[#This Row],[KG/M2]],$H$2)</f>
        <v>PL_6_1250_1050 @ 47.1Kg/m2</v>
      </c>
      <c r="E66" s="27">
        <v>1250</v>
      </c>
      <c r="F66" s="27">
        <v>1050</v>
      </c>
      <c r="G66" s="32">
        <v>6</v>
      </c>
      <c r="H66" s="109">
        <f>G66*[1]Density!$D$6/1000</f>
        <v>47.1</v>
      </c>
      <c r="I66" s="161">
        <f t="shared" si="8"/>
        <v>61.818750000000001</v>
      </c>
      <c r="J66" s="164">
        <v>1250</v>
      </c>
      <c r="K66" s="165">
        <v>1050</v>
      </c>
      <c r="L66" s="165">
        <v>1</v>
      </c>
      <c r="M66" s="196" t="s">
        <v>239</v>
      </c>
      <c r="N66" s="164"/>
      <c r="O66" s="202"/>
      <c r="P66" s="202"/>
      <c r="Q66" s="203"/>
      <c r="R66" s="201"/>
      <c r="S66" s="202"/>
      <c r="T66" s="202"/>
      <c r="U66" s="203"/>
      <c r="Z66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61.818750000000001</v>
      </c>
      <c r="AA66" s="17">
        <f t="shared" si="1"/>
        <v>59.964187500000001</v>
      </c>
      <c r="AB66" s="17"/>
      <c r="AC66" s="10">
        <f>AC65</f>
        <v>970</v>
      </c>
      <c r="AD66" s="10">
        <f>Table1[[#This Row],[£/Tonne]]/1000*Table1[[#This Row],[KG/M2]]</f>
        <v>45.686999999999998</v>
      </c>
      <c r="AE66" s="10">
        <f>Table1[[#This Row],[£/Tonne]]/1000*Table1[[#This Row],[Kg/ Sheet]]</f>
        <v>59.964187500000001</v>
      </c>
      <c r="AF66" s="10"/>
      <c r="AG66" s="111">
        <f>Table1[[#This Row],[£Cost / SHEET]]*(1+AG$1)</f>
        <v>77.953443750000005</v>
      </c>
      <c r="AH66" s="111">
        <f>Table1[[#This Row],[£Cost / SHEET]]*(1+AH$1)</f>
        <v>80.951653125000007</v>
      </c>
      <c r="AI66" s="111">
        <f>Table1[[#This Row],[£Cost / SHEET]]*(1+AI$1)</f>
        <v>83.949862499999995</v>
      </c>
      <c r="AJ66" s="111">
        <f>Table1[[#This Row],[£Cost / SHEET]]*(1+AJ$1)</f>
        <v>89.946281249999998</v>
      </c>
      <c r="AK66" s="222">
        <f>(Table1[[#This Row],[Qty 1]]*IF(Table1[[#This Row],[Dimension L1]]&lt;1,(Table1[[#This Row],[Length]]*Table1[[#This Row],[Width]]),(Table1[[#This Row],[Dimension L1]]*Table1[[#This Row],[Dimension W1]])))/1000000</f>
        <v>1.3125</v>
      </c>
      <c r="AL66" s="121"/>
    </row>
    <row r="67" spans="2:38" ht="25.35" customHeight="1">
      <c r="B67" s="7" t="s">
        <v>24</v>
      </c>
      <c r="C67" s="7" t="str">
        <f t="shared" si="7"/>
        <v>PL_6_1830_1670</v>
      </c>
      <c r="D67" s="7" t="str">
        <f>_xlfn.CONCAT(Table1[[#This Row],[ProductRecord.AccountReference]]," @ ",Table1[[#This Row],[KG/M2]],$H$2)</f>
        <v>PL_6_1830_1670 @ 47.1Kg/m2</v>
      </c>
      <c r="E67" s="27">
        <v>1830</v>
      </c>
      <c r="F67" s="27">
        <v>1670</v>
      </c>
      <c r="G67" s="32">
        <v>6</v>
      </c>
      <c r="H67" s="109">
        <f>G67*[1]Density!$D$6/1000</f>
        <v>47.1</v>
      </c>
      <c r="I67" s="161">
        <f t="shared" si="8"/>
        <v>143.94230999999999</v>
      </c>
      <c r="J67" s="164">
        <v>1830</v>
      </c>
      <c r="K67" s="165">
        <v>1670</v>
      </c>
      <c r="L67" s="165">
        <v>1</v>
      </c>
      <c r="M67" s="196" t="s">
        <v>308</v>
      </c>
      <c r="N67" s="164"/>
      <c r="O67" s="202"/>
      <c r="P67" s="202"/>
      <c r="Q67" s="203"/>
      <c r="R67" s="201"/>
      <c r="S67" s="202"/>
      <c r="T67" s="202"/>
      <c r="U67" s="203"/>
      <c r="Z67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143.94230999999999</v>
      </c>
      <c r="AA67" s="17">
        <f t="shared" ref="AA67:AA130" si="9">Z67/1000*AC67</f>
        <v>83.342597489999989</v>
      </c>
      <c r="AB67" s="17"/>
      <c r="AC67" s="10">
        <f>AC62</f>
        <v>579</v>
      </c>
      <c r="AD67" s="10">
        <f>Table1[[#This Row],[£/Tonne]]/1000*Table1[[#This Row],[KG/M2]]</f>
        <v>27.270899999999997</v>
      </c>
      <c r="AE67" s="10">
        <f>Table1[[#This Row],[£/Tonne]]/1000*Table1[[#This Row],[Kg/ Sheet]]</f>
        <v>83.342597489999989</v>
      </c>
      <c r="AF67" s="10"/>
      <c r="AG67" s="111">
        <f>Table1[[#This Row],[£Cost / SHEET]]*(1+AG$1)</f>
        <v>108.345376737</v>
      </c>
      <c r="AH67" s="111">
        <f>Table1[[#This Row],[£Cost / SHEET]]*(1+AH$1)</f>
        <v>112.51250661149999</v>
      </c>
      <c r="AI67" s="111">
        <f>Table1[[#This Row],[£Cost / SHEET]]*(1+AI$1)</f>
        <v>116.67963648599998</v>
      </c>
      <c r="AJ67" s="111">
        <f>Table1[[#This Row],[£Cost / SHEET]]*(1+AJ$1)</f>
        <v>125.01389623499998</v>
      </c>
      <c r="AK67" s="222">
        <f>(Table1[[#This Row],[Qty 1]]*IF(Table1[[#This Row],[Dimension L1]]&lt;1,(Table1[[#This Row],[Length]]*Table1[[#This Row],[Width]]),(Table1[[#This Row],[Dimension L1]]*Table1[[#This Row],[Dimension W1]])))/1000000</f>
        <v>3.0560999999999998</v>
      </c>
      <c r="AL67" s="121"/>
    </row>
    <row r="68" spans="2:38" ht="25.35" customHeight="1">
      <c r="B68" s="7" t="s">
        <v>24</v>
      </c>
      <c r="C68" s="7" t="str">
        <f t="shared" si="7"/>
        <v>PL_6_250_2370</v>
      </c>
      <c r="D68" s="7" t="str">
        <f>_xlfn.CONCAT(Table1[[#This Row],[ProductRecord.AccountReference]]," @ ",Table1[[#This Row],[KG/M2]],$H$2)</f>
        <v>PL_6_250_2370 @ 47.1Kg/m2</v>
      </c>
      <c r="E68" s="27">
        <v>250</v>
      </c>
      <c r="F68" s="27">
        <v>2370</v>
      </c>
      <c r="G68" s="32">
        <v>6</v>
      </c>
      <c r="H68" s="109">
        <f>G68*[1]Density!$D$6/1000</f>
        <v>47.1</v>
      </c>
      <c r="I68" s="161">
        <f t="shared" si="8"/>
        <v>27.906749999999999</v>
      </c>
      <c r="J68" s="164">
        <v>250</v>
      </c>
      <c r="K68" s="165">
        <v>2370</v>
      </c>
      <c r="L68" s="165">
        <v>1</v>
      </c>
      <c r="M68" s="196" t="s">
        <v>308</v>
      </c>
      <c r="N68" s="164"/>
      <c r="O68" s="202"/>
      <c r="P68" s="202"/>
      <c r="Q68" s="203"/>
      <c r="R68" s="201"/>
      <c r="S68" s="202"/>
      <c r="T68" s="202"/>
      <c r="U68" s="203"/>
      <c r="Z68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27.906750000000002</v>
      </c>
      <c r="AA68" s="17">
        <f t="shared" si="9"/>
        <v>29.302087500000003</v>
      </c>
      <c r="AB68" s="17"/>
      <c r="AC68" s="10">
        <f>AC55</f>
        <v>1050</v>
      </c>
      <c r="AD68" s="10">
        <f>Table1[[#This Row],[£/Tonne]]/1000*Table1[[#This Row],[KG/M2]]</f>
        <v>49.455000000000005</v>
      </c>
      <c r="AE68" s="10">
        <f>Table1[[#This Row],[£/Tonne]]/1000*Table1[[#This Row],[Kg/ Sheet]]</f>
        <v>29.302087499999999</v>
      </c>
      <c r="AF68" s="10"/>
      <c r="AG68" s="111">
        <f>Table1[[#This Row],[£Cost / SHEET]]*(1+AG$1)</f>
        <v>38.092713750000001</v>
      </c>
      <c r="AH68" s="111">
        <f>Table1[[#This Row],[£Cost / SHEET]]*(1+AH$1)</f>
        <v>39.557818125000004</v>
      </c>
      <c r="AI68" s="111">
        <f>Table1[[#This Row],[£Cost / SHEET]]*(1+AI$1)</f>
        <v>41.022922499999993</v>
      </c>
      <c r="AJ68" s="111">
        <f>Table1[[#This Row],[£Cost / SHEET]]*(1+AJ$1)</f>
        <v>43.953131249999998</v>
      </c>
      <c r="AK68" s="222">
        <f>(Table1[[#This Row],[Qty 1]]*IF(Table1[[#This Row],[Dimension L1]]&lt;1,(Table1[[#This Row],[Length]]*Table1[[#This Row],[Width]]),(Table1[[#This Row],[Dimension L1]]*Table1[[#This Row],[Dimension W1]])))/1000000</f>
        <v>0.59250000000000003</v>
      </c>
      <c r="AL68" s="121"/>
    </row>
    <row r="69" spans="2:38" ht="25.35" customHeight="1">
      <c r="B69" s="7" t="s">
        <v>24</v>
      </c>
      <c r="C69" s="7" t="str">
        <f t="shared" si="7"/>
        <v>PL_6_2850_2170</v>
      </c>
      <c r="D69" s="7" t="str">
        <f>_xlfn.CONCAT(Table1[[#This Row],[ProductRecord.AccountReference]]," @ ",Table1[[#This Row],[KG/M2]],$H$2)</f>
        <v>PL_6_2850_2170 @ 47.1Kg/m2</v>
      </c>
      <c r="E69" s="27">
        <v>2850</v>
      </c>
      <c r="F69" s="27">
        <v>2170</v>
      </c>
      <c r="G69" s="32">
        <v>6</v>
      </c>
      <c r="H69" s="109">
        <f>G69*[1]Density!$D$6/1000</f>
        <v>47.1</v>
      </c>
      <c r="I69" s="161">
        <f t="shared" si="8"/>
        <v>291.28994999999998</v>
      </c>
      <c r="J69" s="164">
        <v>2850</v>
      </c>
      <c r="K69" s="165">
        <v>2170</v>
      </c>
      <c r="L69" s="165">
        <v>1</v>
      </c>
      <c r="M69" s="196" t="s">
        <v>308</v>
      </c>
      <c r="N69" s="164"/>
      <c r="O69" s="202"/>
      <c r="P69" s="202"/>
      <c r="Q69" s="203"/>
      <c r="R69" s="201"/>
      <c r="S69" s="202"/>
      <c r="T69" s="202"/>
      <c r="U69" s="203"/>
      <c r="Z69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291.28994999999998</v>
      </c>
      <c r="AA69" s="17">
        <f t="shared" si="9"/>
        <v>273.52126304999996</v>
      </c>
      <c r="AB69" s="17"/>
      <c r="AC69" s="10">
        <v>939</v>
      </c>
      <c r="AD69" s="10">
        <f>Table1[[#This Row],[£/Tonne]]/1000*Table1[[#This Row],[KG/M2]]</f>
        <v>44.226900000000001</v>
      </c>
      <c r="AE69" s="10">
        <f>Table1[[#This Row],[£/Tonne]]/1000*Table1[[#This Row],[Kg/ Sheet]]</f>
        <v>273.52126304999996</v>
      </c>
      <c r="AF69" s="10"/>
      <c r="AG69" s="111">
        <f>Table1[[#This Row],[£Cost / SHEET]]*(1+AG$1)</f>
        <v>355.57764196499994</v>
      </c>
      <c r="AH69" s="111">
        <f>Table1[[#This Row],[£Cost / SHEET]]*(1+AH$1)</f>
        <v>369.25370511749998</v>
      </c>
      <c r="AI69" s="111">
        <f>Table1[[#This Row],[£Cost / SHEET]]*(1+AI$1)</f>
        <v>382.9297682699999</v>
      </c>
      <c r="AJ69" s="111">
        <f>Table1[[#This Row],[£Cost / SHEET]]*(1+AJ$1)</f>
        <v>410.28189457499991</v>
      </c>
      <c r="AK69" s="222">
        <f>(Table1[[#This Row],[Qty 1]]*IF(Table1[[#This Row],[Dimension L1]]&lt;1,(Table1[[#This Row],[Length]]*Table1[[#This Row],[Width]]),(Table1[[#This Row],[Dimension L1]]*Table1[[#This Row],[Dimension W1]])))/1000000</f>
        <v>6.1844999999999999</v>
      </c>
      <c r="AL69" s="121"/>
    </row>
    <row r="70" spans="2:38" ht="25.35" customHeight="1">
      <c r="B70" s="7" t="s">
        <v>24</v>
      </c>
      <c r="C70" s="7" t="str">
        <f t="shared" si="7"/>
        <v>PL_6_3000_700</v>
      </c>
      <c r="D70" s="7" t="str">
        <f>_xlfn.CONCAT(Table1[[#This Row],[ProductRecord.AccountReference]]," @ ",Table1[[#This Row],[KG/M2]],$H$2)</f>
        <v>PL_6_3000_700 @ 47.1Kg/m2</v>
      </c>
      <c r="E70" s="27">
        <v>3000</v>
      </c>
      <c r="F70" s="27">
        <v>700</v>
      </c>
      <c r="G70" s="32">
        <v>6</v>
      </c>
      <c r="H70" s="109">
        <f>G70*[1]Density!$D$6/1000</f>
        <v>47.1</v>
      </c>
      <c r="I70" s="161">
        <f t="shared" si="8"/>
        <v>98.91</v>
      </c>
      <c r="J70" s="164">
        <v>3000</v>
      </c>
      <c r="K70" s="165">
        <v>700</v>
      </c>
      <c r="L70" s="165">
        <v>2</v>
      </c>
      <c r="M70" s="196" t="s">
        <v>308</v>
      </c>
      <c r="N70" s="164"/>
      <c r="O70" s="202"/>
      <c r="P70" s="202"/>
      <c r="Q70" s="203"/>
      <c r="R70" s="201"/>
      <c r="S70" s="202"/>
      <c r="T70" s="202"/>
      <c r="U70" s="203"/>
      <c r="Z70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197.82000000000002</v>
      </c>
      <c r="AA70" s="17">
        <f t="shared" si="9"/>
        <v>207.71100000000001</v>
      </c>
      <c r="AB70" s="17"/>
      <c r="AC70" s="10">
        <f>AC55</f>
        <v>1050</v>
      </c>
      <c r="AD70" s="10">
        <f>Table1[[#This Row],[£/Tonne]]/1000*Table1[[#This Row],[KG/M2]]</f>
        <v>49.455000000000005</v>
      </c>
      <c r="AE70" s="10">
        <f>Table1[[#This Row],[£/Tonne]]/1000*Table1[[#This Row],[Kg/ Sheet]]</f>
        <v>103.85550000000001</v>
      </c>
      <c r="AF70" s="10"/>
      <c r="AG70" s="111">
        <f>Table1[[#This Row],[£Cost / SHEET]]*(1+AG$1)</f>
        <v>135.01215000000002</v>
      </c>
      <c r="AH70" s="111">
        <f>Table1[[#This Row],[£Cost / SHEET]]*(1+AH$1)</f>
        <v>140.20492500000003</v>
      </c>
      <c r="AI70" s="111">
        <f>Table1[[#This Row],[£Cost / SHEET]]*(1+AI$1)</f>
        <v>145.39769999999999</v>
      </c>
      <c r="AJ70" s="111">
        <f>Table1[[#This Row],[£Cost / SHEET]]*(1+AJ$1)</f>
        <v>155.78325000000001</v>
      </c>
      <c r="AK70" s="222">
        <f>(Table1[[#This Row],[Qty 1]]*IF(Table1[[#This Row],[Dimension L1]]&lt;1,(Table1[[#This Row],[Length]]*Table1[[#This Row],[Width]]),(Table1[[#This Row],[Dimension L1]]*Table1[[#This Row],[Dimension W1]])))/1000000</f>
        <v>4.2</v>
      </c>
      <c r="AL70" s="121"/>
    </row>
    <row r="71" spans="2:38" ht="25.35" customHeight="1">
      <c r="B71" s="7" t="s">
        <v>24</v>
      </c>
      <c r="C71" s="7" t="str">
        <f t="shared" si="7"/>
        <v>PL_6_4000_1000</v>
      </c>
      <c r="D71" s="7" t="str">
        <f>_xlfn.CONCAT(Table1[[#This Row],[ProductRecord.AccountReference]]," @ ",Table1[[#This Row],[KG/M2]],$H$2)</f>
        <v>PL_6_4000_1000 @ 47.1Kg/m2</v>
      </c>
      <c r="E71" s="27">
        <v>4000</v>
      </c>
      <c r="F71" s="27">
        <v>1000</v>
      </c>
      <c r="G71" s="32">
        <v>6</v>
      </c>
      <c r="H71" s="109">
        <f>G71*[1]Density!$D$6/1000</f>
        <v>47.1</v>
      </c>
      <c r="I71" s="161">
        <f t="shared" si="8"/>
        <v>188.4</v>
      </c>
      <c r="J71" s="164">
        <v>4000</v>
      </c>
      <c r="K71" s="165">
        <v>1000</v>
      </c>
      <c r="L71" s="165">
        <v>1</v>
      </c>
      <c r="M71" s="196" t="s">
        <v>308</v>
      </c>
      <c r="N71" s="164"/>
      <c r="O71" s="202"/>
      <c r="P71" s="202"/>
      <c r="Q71" s="203"/>
      <c r="R71" s="201"/>
      <c r="S71" s="202"/>
      <c r="T71" s="202"/>
      <c r="U71" s="203"/>
      <c r="Z71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188.4</v>
      </c>
      <c r="AA71" s="17">
        <f t="shared" si="9"/>
        <v>216.47160000000002</v>
      </c>
      <c r="AB71" s="17"/>
      <c r="AC71" s="10">
        <f>AC63</f>
        <v>1149</v>
      </c>
      <c r="AD71" s="10">
        <f>Table1[[#This Row],[£/Tonne]]/1000*Table1[[#This Row],[KG/M2]]</f>
        <v>54.117900000000006</v>
      </c>
      <c r="AE71" s="10">
        <f>Table1[[#This Row],[£/Tonne]]/1000*Table1[[#This Row],[Kg/ Sheet]]</f>
        <v>216.47160000000002</v>
      </c>
      <c r="AF71" s="10"/>
      <c r="AG71" s="111">
        <f>Table1[[#This Row],[£Cost / SHEET]]*(1+AG$1)</f>
        <v>281.41308000000004</v>
      </c>
      <c r="AH71" s="111">
        <f>Table1[[#This Row],[£Cost / SHEET]]*(1+AH$1)</f>
        <v>292.23666000000003</v>
      </c>
      <c r="AI71" s="111">
        <f>Table1[[#This Row],[£Cost / SHEET]]*(1+AI$1)</f>
        <v>303.06024000000002</v>
      </c>
      <c r="AJ71" s="111">
        <f>Table1[[#This Row],[£Cost / SHEET]]*(1+AJ$1)</f>
        <v>324.70740000000001</v>
      </c>
      <c r="AK71" s="222">
        <f>(Table1[[#This Row],[Qty 1]]*IF(Table1[[#This Row],[Dimension L1]]&lt;1,(Table1[[#This Row],[Length]]*Table1[[#This Row],[Width]]),(Table1[[#This Row],[Dimension L1]]*Table1[[#This Row],[Dimension W1]])))/1000000</f>
        <v>4</v>
      </c>
      <c r="AL71" s="121"/>
    </row>
    <row r="72" spans="2:38" ht="25.35" customHeight="1">
      <c r="B72" s="7" t="s">
        <v>24</v>
      </c>
      <c r="C72" s="7" t="str">
        <f t="shared" si="7"/>
        <v>PL_6_4000_1370</v>
      </c>
      <c r="D72" s="7" t="str">
        <f>_xlfn.CONCAT(Table1[[#This Row],[ProductRecord.AccountReference]]," @ ",Table1[[#This Row],[KG/M2]],$H$2)</f>
        <v>PL_6_4000_1370 @ 47.1Kg/m2</v>
      </c>
      <c r="E72" s="27">
        <v>4000</v>
      </c>
      <c r="F72" s="27">
        <v>1370</v>
      </c>
      <c r="G72" s="32">
        <v>6</v>
      </c>
      <c r="H72" s="109">
        <f>G72*[1]Density!$D$6/1000</f>
        <v>47.1</v>
      </c>
      <c r="I72" s="161">
        <f t="shared" si="8"/>
        <v>258.108</v>
      </c>
      <c r="J72" s="164">
        <v>4000</v>
      </c>
      <c r="K72" s="165">
        <v>1370</v>
      </c>
      <c r="L72" s="165">
        <v>2</v>
      </c>
      <c r="M72" s="196" t="s">
        <v>308</v>
      </c>
      <c r="N72" s="164"/>
      <c r="O72" s="202"/>
      <c r="P72" s="202"/>
      <c r="Q72" s="203"/>
      <c r="R72" s="201"/>
      <c r="S72" s="202"/>
      <c r="T72" s="202"/>
      <c r="U72" s="203"/>
      <c r="Z72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516.21600000000001</v>
      </c>
      <c r="AA72" s="17">
        <f t="shared" si="9"/>
        <v>593.13218400000005</v>
      </c>
      <c r="AB72" s="17"/>
      <c r="AC72" s="10">
        <f>AC71</f>
        <v>1149</v>
      </c>
      <c r="AD72" s="10">
        <f>Table1[[#This Row],[£/Tonne]]/1000*Table1[[#This Row],[KG/M2]]</f>
        <v>54.117900000000006</v>
      </c>
      <c r="AE72" s="10">
        <f>Table1[[#This Row],[£/Tonne]]/1000*Table1[[#This Row],[Kg/ Sheet]]</f>
        <v>296.56609200000003</v>
      </c>
      <c r="AF72" s="10"/>
      <c r="AG72" s="111">
        <f>Table1[[#This Row],[£Cost / SHEET]]*(1+AG$1)</f>
        <v>385.53591960000006</v>
      </c>
      <c r="AH72" s="111">
        <f>Table1[[#This Row],[£Cost / SHEET]]*(1+AH$1)</f>
        <v>400.36422420000008</v>
      </c>
      <c r="AI72" s="111">
        <f>Table1[[#This Row],[£Cost / SHEET]]*(1+AI$1)</f>
        <v>415.19252879999999</v>
      </c>
      <c r="AJ72" s="111">
        <f>Table1[[#This Row],[£Cost / SHEET]]*(1+AJ$1)</f>
        <v>444.84913800000004</v>
      </c>
      <c r="AK72" s="222">
        <f>(Table1[[#This Row],[Qty 1]]*IF(Table1[[#This Row],[Dimension L1]]&lt;1,(Table1[[#This Row],[Length]]*Table1[[#This Row],[Width]]),(Table1[[#This Row],[Dimension L1]]*Table1[[#This Row],[Dimension W1]])))/1000000</f>
        <v>10.96</v>
      </c>
      <c r="AL72" s="121"/>
    </row>
    <row r="73" spans="2:38" ht="25.35" customHeight="1">
      <c r="B73" s="7" t="s">
        <v>24</v>
      </c>
      <c r="C73" s="7" t="str">
        <f t="shared" si="7"/>
        <v>PL_6_5000_800</v>
      </c>
      <c r="D73" s="7" t="str">
        <f>_xlfn.CONCAT(Table1[[#This Row],[ProductRecord.AccountReference]]," @ ",Table1[[#This Row],[KG/M2]],$H$2)</f>
        <v>PL_6_5000_800 @ 47.1Kg/m2</v>
      </c>
      <c r="E73" s="27">
        <v>5000</v>
      </c>
      <c r="F73" s="27">
        <v>800</v>
      </c>
      <c r="G73" s="32">
        <v>6</v>
      </c>
      <c r="H73" s="109">
        <f>G73*[1]Density!$D$6/1000</f>
        <v>47.1</v>
      </c>
      <c r="I73" s="161">
        <f t="shared" si="8"/>
        <v>188.4</v>
      </c>
      <c r="J73" s="164">
        <v>5000</v>
      </c>
      <c r="K73" s="165">
        <v>800</v>
      </c>
      <c r="L73" s="165">
        <v>1</v>
      </c>
      <c r="M73" s="196" t="s">
        <v>308</v>
      </c>
      <c r="N73" s="164"/>
      <c r="O73" s="202"/>
      <c r="P73" s="202"/>
      <c r="Q73" s="203"/>
      <c r="R73" s="201"/>
      <c r="S73" s="202"/>
      <c r="T73" s="202"/>
      <c r="U73" s="203"/>
      <c r="Z73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188.4</v>
      </c>
      <c r="AA73" s="17">
        <f t="shared" si="9"/>
        <v>225.89160000000001</v>
      </c>
      <c r="AB73" s="17"/>
      <c r="AC73" s="10">
        <f>AC64</f>
        <v>1199</v>
      </c>
      <c r="AD73" s="10">
        <f>Table1[[#This Row],[£/Tonne]]/1000*Table1[[#This Row],[KG/M2]]</f>
        <v>56.472900000000003</v>
      </c>
      <c r="AE73" s="10">
        <f>Table1[[#This Row],[£/Tonne]]/1000*Table1[[#This Row],[Kg/ Sheet]]</f>
        <v>225.89160000000001</v>
      </c>
      <c r="AF73" s="10"/>
      <c r="AG73" s="111">
        <f>Table1[[#This Row],[£Cost / SHEET]]*(1+AG$1)</f>
        <v>293.65908000000002</v>
      </c>
      <c r="AH73" s="111">
        <f>Table1[[#This Row],[£Cost / SHEET]]*(1+AH$1)</f>
        <v>304.95366000000001</v>
      </c>
      <c r="AI73" s="111">
        <f>Table1[[#This Row],[£Cost / SHEET]]*(1+AI$1)</f>
        <v>316.24824000000001</v>
      </c>
      <c r="AJ73" s="111">
        <f>Table1[[#This Row],[£Cost / SHEET]]*(1+AJ$1)</f>
        <v>338.8374</v>
      </c>
      <c r="AK73" s="222">
        <f>(Table1[[#This Row],[Qty 1]]*IF(Table1[[#This Row],[Dimension L1]]&lt;1,(Table1[[#This Row],[Length]]*Table1[[#This Row],[Width]]),(Table1[[#This Row],[Dimension L1]]*Table1[[#This Row],[Dimension W1]])))/1000000</f>
        <v>4</v>
      </c>
      <c r="AL73" s="121"/>
    </row>
    <row r="74" spans="2:38" ht="25.35" customHeight="1">
      <c r="B74" s="7" t="s">
        <v>24</v>
      </c>
      <c r="C74" s="7" t="str">
        <f t="shared" si="7"/>
        <v>PL_6_6000_260</v>
      </c>
      <c r="D74" s="7" t="str">
        <f>_xlfn.CONCAT(Table1[[#This Row],[ProductRecord.AccountReference]]," @ ",Table1[[#This Row],[KG/M2]],$H$2)</f>
        <v>PL_6_6000_260 @ 47.1Kg/m2</v>
      </c>
      <c r="E74" s="27">
        <v>6000</v>
      </c>
      <c r="F74" s="27">
        <v>260</v>
      </c>
      <c r="G74" s="32">
        <v>6</v>
      </c>
      <c r="H74" s="109">
        <f>G74*[1]Density!$D$6/1000</f>
        <v>47.1</v>
      </c>
      <c r="I74" s="161">
        <f t="shared" si="8"/>
        <v>73.475999999999999</v>
      </c>
      <c r="J74" s="164">
        <v>6000</v>
      </c>
      <c r="K74" s="165">
        <v>260</v>
      </c>
      <c r="L74" s="165">
        <v>3</v>
      </c>
      <c r="M74" s="196" t="s">
        <v>308</v>
      </c>
      <c r="N74" s="164"/>
      <c r="O74" s="202"/>
      <c r="P74" s="202"/>
      <c r="Q74" s="203"/>
      <c r="R74" s="201"/>
      <c r="S74" s="202"/>
      <c r="T74" s="202"/>
      <c r="U74" s="203"/>
      <c r="Z74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220.428</v>
      </c>
      <c r="AA74" s="17">
        <f t="shared" si="9"/>
        <v>206.98189199999999</v>
      </c>
      <c r="AB74" s="17"/>
      <c r="AC74" s="10">
        <f>AC69</f>
        <v>939</v>
      </c>
      <c r="AD74" s="10">
        <f>Table1[[#This Row],[£/Tonne]]/1000*Table1[[#This Row],[KG/M2]]</f>
        <v>44.226900000000001</v>
      </c>
      <c r="AE74" s="10">
        <f>Table1[[#This Row],[£/Tonne]]/1000*Table1[[#This Row],[Kg/ Sheet]]</f>
        <v>68.993963999999991</v>
      </c>
      <c r="AF74" s="10"/>
      <c r="AG74" s="111">
        <f>Table1[[#This Row],[£Cost / SHEET]]*(1+AG$1)</f>
        <v>89.692153199999993</v>
      </c>
      <c r="AH74" s="111">
        <f>Table1[[#This Row],[£Cost / SHEET]]*(1+AH$1)</f>
        <v>93.141851399999993</v>
      </c>
      <c r="AI74" s="111">
        <f>Table1[[#This Row],[£Cost / SHEET]]*(1+AI$1)</f>
        <v>96.591549599999979</v>
      </c>
      <c r="AJ74" s="111">
        <f>Table1[[#This Row],[£Cost / SHEET]]*(1+AJ$1)</f>
        <v>103.49094599999998</v>
      </c>
      <c r="AK74" s="222">
        <f>(Table1[[#This Row],[Qty 1]]*IF(Table1[[#This Row],[Dimension L1]]&lt;1,(Table1[[#This Row],[Length]]*Table1[[#This Row],[Width]]),(Table1[[#This Row],[Dimension L1]]*Table1[[#This Row],[Dimension W1]])))/1000000</f>
        <v>4.68</v>
      </c>
      <c r="AL74" s="121"/>
    </row>
    <row r="75" spans="2:38" ht="25.35" customHeight="1">
      <c r="B75" s="7" t="s">
        <v>24</v>
      </c>
      <c r="C75" s="7" t="str">
        <f t="shared" si="7"/>
        <v>PL_6_6000_460</v>
      </c>
      <c r="D75" s="7" t="str">
        <f>_xlfn.CONCAT(Table1[[#This Row],[ProductRecord.AccountReference]]," @ ",Table1[[#This Row],[KG/M2]],$H$2)</f>
        <v>PL_6_6000_460 @ 47.1Kg/m2</v>
      </c>
      <c r="E75" s="27">
        <v>6000</v>
      </c>
      <c r="F75" s="27">
        <v>460</v>
      </c>
      <c r="G75" s="32">
        <v>6</v>
      </c>
      <c r="H75" s="109">
        <f>G75*[1]Density!$D$6/1000</f>
        <v>47.1</v>
      </c>
      <c r="I75" s="161">
        <f t="shared" si="8"/>
        <v>129.99600000000001</v>
      </c>
      <c r="J75" s="164">
        <v>6000</v>
      </c>
      <c r="K75" s="165">
        <v>460</v>
      </c>
      <c r="L75" s="165">
        <v>1</v>
      </c>
      <c r="M75" s="196" t="s">
        <v>308</v>
      </c>
      <c r="N75" s="164"/>
      <c r="O75" s="202"/>
      <c r="P75" s="202"/>
      <c r="Q75" s="203"/>
      <c r="R75" s="201"/>
      <c r="S75" s="202"/>
      <c r="T75" s="202"/>
      <c r="U75" s="203"/>
      <c r="Z75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129.99599999999998</v>
      </c>
      <c r="AA75" s="17">
        <f t="shared" si="9"/>
        <v>122.06624399999997</v>
      </c>
      <c r="AB75" s="17"/>
      <c r="AC75" s="10">
        <f>AC69</f>
        <v>939</v>
      </c>
      <c r="AD75" s="10">
        <f>Table1[[#This Row],[£/Tonne]]/1000*Table1[[#This Row],[KG/M2]]</f>
        <v>44.226900000000001</v>
      </c>
      <c r="AE75" s="10">
        <f>Table1[[#This Row],[£/Tonne]]/1000*Table1[[#This Row],[Kg/ Sheet]]</f>
        <v>122.066244</v>
      </c>
      <c r="AF75" s="10"/>
      <c r="AG75" s="111">
        <f>Table1[[#This Row],[£Cost / SHEET]]*(1+AG$1)</f>
        <v>158.68611720000001</v>
      </c>
      <c r="AH75" s="111">
        <f>Table1[[#This Row],[£Cost / SHEET]]*(1+AH$1)</f>
        <v>164.78942940000002</v>
      </c>
      <c r="AI75" s="111">
        <f>Table1[[#This Row],[£Cost / SHEET]]*(1+AI$1)</f>
        <v>170.89274159999999</v>
      </c>
      <c r="AJ75" s="111">
        <f>Table1[[#This Row],[£Cost / SHEET]]*(1+AJ$1)</f>
        <v>183.099366</v>
      </c>
      <c r="AK75" s="222">
        <f>(Table1[[#This Row],[Qty 1]]*IF(Table1[[#This Row],[Dimension L1]]&lt;1,(Table1[[#This Row],[Length]]*Table1[[#This Row],[Width]]),(Table1[[#This Row],[Dimension L1]]*Table1[[#This Row],[Dimension W1]])))/1000000</f>
        <v>2.76</v>
      </c>
      <c r="AL75" s="121"/>
    </row>
    <row r="76" spans="2:38" ht="25.35" customHeight="1">
      <c r="B76" s="7" t="s">
        <v>24</v>
      </c>
      <c r="C76" s="7" t="str">
        <f t="shared" si="7"/>
        <v>PL_6_6000_1040</v>
      </c>
      <c r="D76" s="7" t="str">
        <f>_xlfn.CONCAT(Table1[[#This Row],[ProductRecord.AccountReference]]," @ ",Table1[[#This Row],[KG/M2]],$H$2)</f>
        <v>PL_6_6000_1040 @ 47.1Kg/m2</v>
      </c>
      <c r="E76" s="27">
        <v>6000</v>
      </c>
      <c r="F76" s="27">
        <v>1040</v>
      </c>
      <c r="G76" s="32">
        <v>6</v>
      </c>
      <c r="H76" s="109">
        <f>G76*[1]Density!$D$6/1000</f>
        <v>47.1</v>
      </c>
      <c r="I76" s="161">
        <f t="shared" si="8"/>
        <v>293.904</v>
      </c>
      <c r="J76" s="164">
        <v>6000</v>
      </c>
      <c r="K76" s="165">
        <v>1040</v>
      </c>
      <c r="L76" s="165">
        <v>1</v>
      </c>
      <c r="M76" s="196" t="s">
        <v>308</v>
      </c>
      <c r="N76" s="164"/>
      <c r="O76" s="202"/>
      <c r="P76" s="202"/>
      <c r="Q76" s="203"/>
      <c r="R76" s="201"/>
      <c r="S76" s="202"/>
      <c r="T76" s="202"/>
      <c r="U76" s="203"/>
      <c r="Z76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293.904</v>
      </c>
      <c r="AA76" s="17">
        <f t="shared" si="9"/>
        <v>275.97585600000002</v>
      </c>
      <c r="AB76" s="17"/>
      <c r="AC76" s="10">
        <f>AC69</f>
        <v>939</v>
      </c>
      <c r="AD76" s="10">
        <f>Table1[[#This Row],[£/Tonne]]/1000*Table1[[#This Row],[KG/M2]]</f>
        <v>44.226900000000001</v>
      </c>
      <c r="AE76" s="10">
        <f>Table1[[#This Row],[£/Tonne]]/1000*Table1[[#This Row],[Kg/ Sheet]]</f>
        <v>275.97585599999996</v>
      </c>
      <c r="AF76" s="10"/>
      <c r="AG76" s="111">
        <f>Table1[[#This Row],[£Cost / SHEET]]*(1+AG$1)</f>
        <v>358.76861279999997</v>
      </c>
      <c r="AH76" s="111">
        <f>Table1[[#This Row],[£Cost / SHEET]]*(1+AH$1)</f>
        <v>372.56740559999997</v>
      </c>
      <c r="AI76" s="111">
        <f>Table1[[#This Row],[£Cost / SHEET]]*(1+AI$1)</f>
        <v>386.36619839999992</v>
      </c>
      <c r="AJ76" s="111">
        <f>Table1[[#This Row],[£Cost / SHEET]]*(1+AJ$1)</f>
        <v>413.96378399999992</v>
      </c>
      <c r="AK76" s="222">
        <f>(Table1[[#This Row],[Qty 1]]*IF(Table1[[#This Row],[Dimension L1]]&lt;1,(Table1[[#This Row],[Length]]*Table1[[#This Row],[Width]]),(Table1[[#This Row],[Dimension L1]]*Table1[[#This Row],[Dimension W1]])))/1000000</f>
        <v>6.24</v>
      </c>
      <c r="AL76" s="121"/>
    </row>
    <row r="77" spans="2:38" ht="25.35" customHeight="1">
      <c r="B77" s="7" t="s">
        <v>24</v>
      </c>
      <c r="C77" s="7" t="str">
        <f t="shared" si="7"/>
        <v>PL___</v>
      </c>
      <c r="D77" s="7" t="str">
        <f>_xlfn.CONCAT(Table1[[#This Row],[ProductRecord.AccountReference]]," @ ",Table1[[#This Row],[KG/M2]],$H$2)</f>
        <v>PL___ @ 0Kg/m2</v>
      </c>
      <c r="H77" s="109">
        <f>G77*[1]Density!$D$6/1000</f>
        <v>0</v>
      </c>
      <c r="I77" s="161">
        <f t="shared" ref="I77" si="10">E77*F77*H77/1000000</f>
        <v>0</v>
      </c>
      <c r="J77" s="159"/>
      <c r="K77" s="161"/>
      <c r="L77" s="161"/>
      <c r="M77" s="110"/>
      <c r="N77" s="159"/>
      <c r="O77" s="202"/>
      <c r="P77" s="202"/>
      <c r="Q77" s="203"/>
      <c r="R77" s="201"/>
      <c r="S77" s="202"/>
      <c r="T77" s="202"/>
      <c r="U77" s="203"/>
      <c r="Z77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77" s="17">
        <f t="shared" si="9"/>
        <v>0</v>
      </c>
      <c r="AB77" s="17"/>
      <c r="AC77" s="10"/>
      <c r="AD77" s="10">
        <f>Table1[[#This Row],[£/Tonne]]/1000*Table1[[#This Row],[KG/M2]]</f>
        <v>0</v>
      </c>
      <c r="AE77" s="10">
        <f>Table1[[#This Row],[£/Tonne]]/1000*Table1[[#This Row],[Kg/ Sheet]]</f>
        <v>0</v>
      </c>
      <c r="AF77" s="10"/>
      <c r="AG77" s="111">
        <f>Table1[[#This Row],[£Cost / SHEET]]*(1+AG$1)</f>
        <v>0</v>
      </c>
      <c r="AH77" s="111">
        <f>Table1[[#This Row],[£Cost / SHEET]]*(1+AH$1)</f>
        <v>0</v>
      </c>
      <c r="AI77" s="111">
        <f>Table1[[#This Row],[£Cost / SHEET]]*(1+AI$1)</f>
        <v>0</v>
      </c>
      <c r="AJ77" s="111">
        <f>Table1[[#This Row],[£Cost / SHEET]]*(1+AJ$1)</f>
        <v>0</v>
      </c>
      <c r="AK77" s="222">
        <f>(Table1[[#This Row],[Qty 1]]*IF(Table1[[#This Row],[Dimension L1]]&lt;1,(Table1[[#This Row],[Length]]*Table1[[#This Row],[Width]]),(Table1[[#This Row],[Dimension L1]]*Table1[[#This Row],[Dimension W1]])))/1000000</f>
        <v>0</v>
      </c>
      <c r="AL77" s="121"/>
    </row>
    <row r="78" spans="2:38" ht="25.35" customHeight="1">
      <c r="H78" s="109"/>
      <c r="I78" s="110"/>
      <c r="J78" s="159"/>
      <c r="K78" s="161"/>
      <c r="L78" s="161"/>
      <c r="M78" s="196"/>
      <c r="N78" s="159"/>
      <c r="O78" s="202"/>
      <c r="P78" s="202"/>
      <c r="Q78" s="203"/>
      <c r="R78" s="201"/>
      <c r="S78" s="202"/>
      <c r="T78" s="202"/>
      <c r="U78" s="203"/>
      <c r="Z78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78" s="17">
        <f t="shared" si="9"/>
        <v>0</v>
      </c>
      <c r="AB78" s="17"/>
      <c r="AC78" s="10"/>
      <c r="AD78" s="10">
        <f>Table1[[#This Row],[£/Tonne]]/1000*Table1[[#This Row],[KG/M2]]</f>
        <v>0</v>
      </c>
      <c r="AE78" s="10">
        <f>Table1[[#This Row],[£/Tonne]]/1000*Table1[[#This Row],[Kg/ Sheet]]</f>
        <v>0</v>
      </c>
      <c r="AF78" s="10"/>
      <c r="AG78" s="111">
        <f>Table1[[#This Row],[£Cost / SHEET]]*(1+AG$1)</f>
        <v>0</v>
      </c>
      <c r="AH78" s="111">
        <f>Table1[[#This Row],[£Cost / SHEET]]*(1+AH$1)</f>
        <v>0</v>
      </c>
      <c r="AI78" s="111">
        <f>Table1[[#This Row],[£Cost / SHEET]]*(1+AI$1)</f>
        <v>0</v>
      </c>
      <c r="AJ78" s="111">
        <f>Table1[[#This Row],[£Cost / SHEET]]*(1+AJ$1)</f>
        <v>0</v>
      </c>
      <c r="AK78" s="222">
        <f>(Table1[[#This Row],[Qty 1]]*IF(Table1[[#This Row],[Dimension L1]]&lt;1,(Table1[[#This Row],[Length]]*Table1[[#This Row],[Width]]),(Table1[[#This Row],[Dimension L1]]*Table1[[#This Row],[Dimension W1]])))/1000000</f>
        <v>0</v>
      </c>
      <c r="AL78" s="121"/>
    </row>
    <row r="79" spans="2:38" ht="25.35" customHeight="1">
      <c r="H79" s="109"/>
      <c r="I79" s="110"/>
      <c r="J79" s="159"/>
      <c r="K79" s="161"/>
      <c r="L79" s="161"/>
      <c r="M79" s="196"/>
      <c r="N79" s="159"/>
      <c r="O79" s="202"/>
      <c r="P79" s="202"/>
      <c r="Q79" s="203"/>
      <c r="R79" s="201"/>
      <c r="S79" s="202"/>
      <c r="T79" s="202"/>
      <c r="U79" s="203"/>
      <c r="Z79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79" s="17">
        <f t="shared" si="9"/>
        <v>0</v>
      </c>
      <c r="AB79" s="17"/>
      <c r="AC79" s="10"/>
      <c r="AD79" s="10">
        <f>Table1[[#This Row],[£/Tonne]]/1000*Table1[[#This Row],[KG/M2]]</f>
        <v>0</v>
      </c>
      <c r="AE79" s="10">
        <f>Table1[[#This Row],[£/Tonne]]/1000*Table1[[#This Row],[Kg/ Sheet]]</f>
        <v>0</v>
      </c>
      <c r="AF79" s="10"/>
      <c r="AG79" s="111">
        <f>Table1[[#This Row],[£Cost / SHEET]]*(1+AG$1)</f>
        <v>0</v>
      </c>
      <c r="AH79" s="111">
        <f>Table1[[#This Row],[£Cost / SHEET]]*(1+AH$1)</f>
        <v>0</v>
      </c>
      <c r="AI79" s="111">
        <f>Table1[[#This Row],[£Cost / SHEET]]*(1+AI$1)</f>
        <v>0</v>
      </c>
      <c r="AJ79" s="111">
        <f>Table1[[#This Row],[£Cost / SHEET]]*(1+AJ$1)</f>
        <v>0</v>
      </c>
      <c r="AK79" s="222">
        <f>(Table1[[#This Row],[Qty 1]]*IF(Table1[[#This Row],[Dimension L1]]&lt;1,(Table1[[#This Row],[Length]]*Table1[[#This Row],[Width]]),(Table1[[#This Row],[Dimension L1]]*Table1[[#This Row],[Dimension W1]])))/1000000</f>
        <v>0</v>
      </c>
      <c r="AL79" s="121"/>
    </row>
    <row r="80" spans="2:38" ht="25.35" customHeight="1">
      <c r="B80" s="7" t="s">
        <v>24</v>
      </c>
      <c r="C80" s="7" t="str">
        <f t="shared" si="2"/>
        <v>PL_7_3900_1530</v>
      </c>
      <c r="D80" s="7" t="str">
        <f>_xlfn.CONCAT(Table1[[#This Row],[ProductRecord.AccountReference]]," @ ",Table1[[#This Row],[KG/M2]],$H$2)</f>
        <v>PL_7_3900_1530 @ 54.95Kg/m2</v>
      </c>
      <c r="E80" s="27">
        <v>3900</v>
      </c>
      <c r="F80" s="27">
        <v>1530</v>
      </c>
      <c r="G80" s="32">
        <v>7</v>
      </c>
      <c r="H80" s="109">
        <f>G80*[1]Density!$D$6/1000</f>
        <v>54.95</v>
      </c>
      <c r="I80" s="161">
        <f t="shared" si="0"/>
        <v>327.88664999999997</v>
      </c>
      <c r="J80" s="164"/>
      <c r="K80" s="165"/>
      <c r="L80" s="165"/>
      <c r="M80" s="196"/>
      <c r="N80" s="164"/>
      <c r="O80" s="202"/>
      <c r="P80" s="202"/>
      <c r="Q80" s="203"/>
      <c r="R80" s="201"/>
      <c r="S80" s="202"/>
      <c r="T80" s="202"/>
      <c r="U80" s="203"/>
      <c r="Z80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80" s="17">
        <f t="shared" si="9"/>
        <v>0</v>
      </c>
      <c r="AB80" s="17"/>
      <c r="AC80" s="10">
        <v>479</v>
      </c>
      <c r="AD80" s="10">
        <f>Table1[[#This Row],[£/Tonne]]/1000*Table1[[#This Row],[KG/M2]]</f>
        <v>26.32105</v>
      </c>
      <c r="AE80" s="10">
        <f>Table1[[#This Row],[£/Tonne]]/1000*Table1[[#This Row],[Kg/ Sheet]]</f>
        <v>157.05770534999999</v>
      </c>
      <c r="AF80" s="10"/>
      <c r="AG80" s="111">
        <f>Table1[[#This Row],[£Cost / SHEET]]*(1+AG$1)</f>
        <v>204.17501695499999</v>
      </c>
      <c r="AH80" s="111">
        <f>Table1[[#This Row],[£Cost / SHEET]]*(1+AH$1)</f>
        <v>212.02790222249999</v>
      </c>
      <c r="AI80" s="111">
        <f>Table1[[#This Row],[£Cost / SHEET]]*(1+AI$1)</f>
        <v>219.88078748999999</v>
      </c>
      <c r="AJ80" s="111">
        <f>Table1[[#This Row],[£Cost / SHEET]]*(1+AJ$1)</f>
        <v>235.58655802499999</v>
      </c>
      <c r="AK80" s="222">
        <f>(Table1[[#This Row],[Qty 1]]*IF(Table1[[#This Row],[Dimension L1]]&lt;1,(Table1[[#This Row],[Length]]*Table1[[#This Row],[Width]]),(Table1[[#This Row],[Dimension L1]]*Table1[[#This Row],[Dimension W1]])))/1000000</f>
        <v>0</v>
      </c>
      <c r="AL80" s="121"/>
    </row>
    <row r="81" spans="2:38" ht="25.35" customHeight="1">
      <c r="B81" s="7" t="s">
        <v>24</v>
      </c>
      <c r="C81" s="7" t="str">
        <f t="shared" si="2"/>
        <v>PL_7_4000_2000</v>
      </c>
      <c r="D81" s="7" t="str">
        <f>_xlfn.CONCAT(Table1[[#This Row],[ProductRecord.AccountReference]]," @ ",Table1[[#This Row],[KG/M2]],$H$2)</f>
        <v>PL_7_4000_2000 @ 54.95Kg/m2</v>
      </c>
      <c r="E81" s="27">
        <v>4000</v>
      </c>
      <c r="F81" s="27">
        <v>2000</v>
      </c>
      <c r="G81" s="32">
        <v>7</v>
      </c>
      <c r="H81" s="109">
        <f>G81*[1]Density!$D$6/1000</f>
        <v>54.95</v>
      </c>
      <c r="I81" s="161">
        <f t="shared" si="0"/>
        <v>439.6</v>
      </c>
      <c r="J81" s="164"/>
      <c r="K81" s="165"/>
      <c r="L81" s="165"/>
      <c r="M81" s="196"/>
      <c r="N81" s="164"/>
      <c r="O81" s="202"/>
      <c r="P81" s="202"/>
      <c r="Q81" s="203"/>
      <c r="R81" s="201"/>
      <c r="S81" s="202"/>
      <c r="T81" s="202">
        <v>1</v>
      </c>
      <c r="U81" s="203" t="s">
        <v>305</v>
      </c>
      <c r="Z81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439.6</v>
      </c>
      <c r="AA81" s="17">
        <f t="shared" si="9"/>
        <v>210.12880000000001</v>
      </c>
      <c r="AB81" s="17"/>
      <c r="AC81" s="10">
        <v>478</v>
      </c>
      <c r="AD81" s="10">
        <f>Table1[[#This Row],[£/Tonne]]/1000*Table1[[#This Row],[KG/M2]]</f>
        <v>26.266100000000002</v>
      </c>
      <c r="AE81" s="10">
        <f>Table1[[#This Row],[£/Tonne]]/1000*Table1[[#This Row],[Kg/ Sheet]]</f>
        <v>210.12880000000001</v>
      </c>
      <c r="AF81" s="10"/>
      <c r="AG81" s="111">
        <f>Table1[[#This Row],[£Cost / SHEET]]*(1+AG$1)</f>
        <v>273.16744</v>
      </c>
      <c r="AH81" s="111">
        <f>Table1[[#This Row],[£Cost / SHEET]]*(1+AH$1)</f>
        <v>283.67388000000005</v>
      </c>
      <c r="AI81" s="111">
        <f>Table1[[#This Row],[£Cost / SHEET]]*(1+AI$1)</f>
        <v>294.18031999999999</v>
      </c>
      <c r="AJ81" s="111">
        <f>Table1[[#This Row],[£Cost / SHEET]]*(1+AJ$1)</f>
        <v>315.19320000000005</v>
      </c>
      <c r="AK81" s="222">
        <f>(Table1[[#This Row],[Qty 1]]*IF(Table1[[#This Row],[Dimension L1]]&lt;1,(Table1[[#This Row],[Length]]*Table1[[#This Row],[Width]]),(Table1[[#This Row],[Dimension L1]]*Table1[[#This Row],[Dimension W1]])))/1000000</f>
        <v>0</v>
      </c>
      <c r="AL81" s="121"/>
    </row>
    <row r="82" spans="2:38" ht="25.35" customHeight="1">
      <c r="B82" s="7" t="s">
        <v>24</v>
      </c>
      <c r="C82" s="7" t="str">
        <f t="shared" si="2"/>
        <v>PL_8_2500_1250</v>
      </c>
      <c r="D82" s="7" t="str">
        <f>_xlfn.CONCAT(Table1[[#This Row],[ProductRecord.AccountReference]]," @ ",Table1[[#This Row],[KG/M2]],$H$2)</f>
        <v>PL_8_2500_1250 @ 62.8Kg/m2</v>
      </c>
      <c r="E82" s="27">
        <v>2500</v>
      </c>
      <c r="F82" s="27">
        <v>1250</v>
      </c>
      <c r="G82" s="32">
        <v>8</v>
      </c>
      <c r="H82" s="109">
        <f>G82*[1]Density!$D$6/1000</f>
        <v>62.8</v>
      </c>
      <c r="I82" s="161">
        <f t="shared" si="0"/>
        <v>196.25</v>
      </c>
      <c r="J82" s="164">
        <v>2500</v>
      </c>
      <c r="K82" s="165">
        <v>1250</v>
      </c>
      <c r="L82" s="165">
        <v>1</v>
      </c>
      <c r="M82" s="196" t="s">
        <v>306</v>
      </c>
      <c r="N82" s="164">
        <v>2500</v>
      </c>
      <c r="O82" s="202">
        <v>1250</v>
      </c>
      <c r="P82" s="202">
        <v>22</v>
      </c>
      <c r="Q82" s="203" t="s">
        <v>72</v>
      </c>
      <c r="R82" s="201"/>
      <c r="S82" s="202"/>
      <c r="T82" s="202">
        <v>2</v>
      </c>
      <c r="U82" s="203" t="s">
        <v>302</v>
      </c>
      <c r="Z82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4906.25</v>
      </c>
      <c r="AA82" s="17">
        <f t="shared" si="9"/>
        <v>3409.84375</v>
      </c>
      <c r="AB82" s="17"/>
      <c r="AC82" s="10">
        <v>695</v>
      </c>
      <c r="AD82" s="10">
        <f>Table1[[#This Row],[£/Tonne]]/1000*Table1[[#This Row],[KG/M2]]</f>
        <v>43.645999999999994</v>
      </c>
      <c r="AE82" s="10">
        <f>Table1[[#This Row],[£/Tonne]]/1000*Table1[[#This Row],[Kg/ Sheet]]</f>
        <v>136.39374999999998</v>
      </c>
      <c r="AF82" s="10"/>
      <c r="AG82" s="111">
        <f>Table1[[#This Row],[£Cost / SHEET]]*(1+AG$1)</f>
        <v>177.31187499999999</v>
      </c>
      <c r="AH82" s="111">
        <f>Table1[[#This Row],[£Cost / SHEET]]*(1+AH$1)</f>
        <v>184.1315625</v>
      </c>
      <c r="AI82" s="111">
        <f>Table1[[#This Row],[£Cost / SHEET]]*(1+AI$1)</f>
        <v>190.95124999999996</v>
      </c>
      <c r="AJ82" s="111">
        <f>Table1[[#This Row],[£Cost / SHEET]]*(1+AJ$1)</f>
        <v>204.59062499999999</v>
      </c>
      <c r="AK82" s="222">
        <f>(Table1[[#This Row],[Qty 1]]*IF(Table1[[#This Row],[Dimension L1]]&lt;1,(Table1[[#This Row],[Length]]*Table1[[#This Row],[Width]]),(Table1[[#This Row],[Dimension L1]]*Table1[[#This Row],[Dimension W1]])))/1000000</f>
        <v>3.125</v>
      </c>
      <c r="AL82" s="121"/>
    </row>
    <row r="83" spans="2:38" ht="25.35" customHeight="1">
      <c r="B83" s="7" t="s">
        <v>24</v>
      </c>
      <c r="C83" s="7" t="str">
        <f t="shared" si="2"/>
        <v>PL_8_3000_1500</v>
      </c>
      <c r="D83" s="7" t="str">
        <f>_xlfn.CONCAT(Table1[[#This Row],[ProductRecord.AccountReference]]," @ ",Table1[[#This Row],[KG/M2]],$H$2)</f>
        <v>PL_8_3000_1500 @ 62.8Kg/m2</v>
      </c>
      <c r="E83" s="27">
        <v>3000</v>
      </c>
      <c r="F83" s="27">
        <v>1500</v>
      </c>
      <c r="G83" s="32">
        <v>8</v>
      </c>
      <c r="H83" s="109">
        <f>G83*[1]Density!$D$6/1000</f>
        <v>62.8</v>
      </c>
      <c r="I83" s="161">
        <f t="shared" si="0"/>
        <v>282.60000000000002</v>
      </c>
      <c r="J83" s="164">
        <v>3000</v>
      </c>
      <c r="K83" s="165">
        <v>1500</v>
      </c>
      <c r="L83" s="165">
        <v>1</v>
      </c>
      <c r="M83" s="196" t="s">
        <v>306</v>
      </c>
      <c r="N83" s="164">
        <v>3000</v>
      </c>
      <c r="O83" s="202">
        <v>1500</v>
      </c>
      <c r="P83" s="202">
        <v>8</v>
      </c>
      <c r="Q83" s="203" t="s">
        <v>72</v>
      </c>
      <c r="R83" s="201"/>
      <c r="S83" s="202"/>
      <c r="T83" s="202">
        <v>10</v>
      </c>
      <c r="U83" s="203" t="s">
        <v>302</v>
      </c>
      <c r="X83" s="9">
        <v>14</v>
      </c>
      <c r="Y83" s="9" t="s">
        <v>302</v>
      </c>
      <c r="Z83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9325.7999999999993</v>
      </c>
      <c r="AA83" s="17">
        <f t="shared" si="9"/>
        <v>8850.1841999999997</v>
      </c>
      <c r="AB83" s="17"/>
      <c r="AC83" s="10">
        <v>949</v>
      </c>
      <c r="AD83" s="10">
        <f>Table1[[#This Row],[£/Tonne]]/1000*Table1[[#This Row],[KG/M2]]</f>
        <v>59.597199999999994</v>
      </c>
      <c r="AE83" s="10">
        <f>Table1[[#This Row],[£/Tonne]]/1000*Table1[[#This Row],[Kg/ Sheet]]</f>
        <v>268.18740000000003</v>
      </c>
      <c r="AF83" s="10"/>
      <c r="AG83" s="111">
        <f>Table1[[#This Row],[£Cost / SHEET]]*(1+AG$1)</f>
        <v>348.64362000000006</v>
      </c>
      <c r="AH83" s="111">
        <f>Table1[[#This Row],[£Cost / SHEET]]*(1+AH$1)</f>
        <v>362.05299000000008</v>
      </c>
      <c r="AI83" s="111">
        <f>Table1[[#This Row],[£Cost / SHEET]]*(1+AI$1)</f>
        <v>375.46235999999999</v>
      </c>
      <c r="AJ83" s="111">
        <f>Table1[[#This Row],[£Cost / SHEET]]*(1+AJ$1)</f>
        <v>402.28110000000004</v>
      </c>
      <c r="AK83" s="222">
        <f>(Table1[[#This Row],[Qty 1]]*IF(Table1[[#This Row],[Dimension L1]]&lt;1,(Table1[[#This Row],[Length]]*Table1[[#This Row],[Width]]),(Table1[[#This Row],[Dimension L1]]*Table1[[#This Row],[Dimension W1]])))/1000000</f>
        <v>4.5</v>
      </c>
      <c r="AL83" s="121"/>
    </row>
    <row r="84" spans="2:38" ht="25.35" customHeight="1">
      <c r="B84" s="7" t="s">
        <v>24</v>
      </c>
      <c r="C84" s="7" t="str">
        <f t="shared" si="2"/>
        <v>PL_8_2900_1450</v>
      </c>
      <c r="D84" s="7" t="str">
        <f>_xlfn.CONCAT(Table1[[#This Row],[ProductRecord.AccountReference]]," @ ",Table1[[#This Row],[KG/M2]],$H$2)</f>
        <v>PL_8_2900_1450 @ 62.8Kg/m2</v>
      </c>
      <c r="E84" s="27">
        <v>2900</v>
      </c>
      <c r="F84" s="27">
        <v>1450</v>
      </c>
      <c r="G84" s="32">
        <v>8</v>
      </c>
      <c r="H84" s="109">
        <f>G84*[1]Density!$D$6/1000</f>
        <v>62.8</v>
      </c>
      <c r="I84" s="161">
        <f t="shared" si="0"/>
        <v>264.07400000000001</v>
      </c>
      <c r="J84" s="164">
        <v>3400</v>
      </c>
      <c r="K84" s="165">
        <v>460</v>
      </c>
      <c r="L84" s="165">
        <v>1</v>
      </c>
      <c r="M84" s="196" t="s">
        <v>239</v>
      </c>
      <c r="N84" s="164"/>
      <c r="O84" s="202"/>
      <c r="P84" s="202"/>
      <c r="Q84" s="203"/>
      <c r="R84" s="201"/>
      <c r="S84" s="202"/>
      <c r="T84" s="202"/>
      <c r="U84" s="203"/>
      <c r="Z84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98.219200000000001</v>
      </c>
      <c r="AA84" s="17">
        <f t="shared" si="9"/>
        <v>96.156596800000003</v>
      </c>
      <c r="AB84" s="17"/>
      <c r="AC84" s="10">
        <f>AC89</f>
        <v>979</v>
      </c>
      <c r="AD84" s="10">
        <f>Table1[[#This Row],[£/Tonne]]/1000*Table1[[#This Row],[KG/M2]]</f>
        <v>61.481199999999994</v>
      </c>
      <c r="AE84" s="10">
        <f>Table1[[#This Row],[£/Tonne]]/1000*Table1[[#This Row],[Kg/ Sheet]]</f>
        <v>258.52844600000003</v>
      </c>
      <c r="AF84" s="10"/>
      <c r="AG84" s="111">
        <f>Table1[[#This Row],[£Cost / SHEET]]*(1+AG$1)</f>
        <v>336.08697980000005</v>
      </c>
      <c r="AH84" s="111">
        <f>Table1[[#This Row],[£Cost / SHEET]]*(1+AH$1)</f>
        <v>349.01340210000006</v>
      </c>
      <c r="AI84" s="111">
        <f>Table1[[#This Row],[£Cost / SHEET]]*(1+AI$1)</f>
        <v>361.93982440000002</v>
      </c>
      <c r="AJ84" s="111">
        <f>Table1[[#This Row],[£Cost / SHEET]]*(1+AJ$1)</f>
        <v>387.79266900000005</v>
      </c>
      <c r="AK84" s="222">
        <f>(Table1[[#This Row],[Qty 1]]*IF(Table1[[#This Row],[Dimension L1]]&lt;1,(Table1[[#This Row],[Length]]*Table1[[#This Row],[Width]]),(Table1[[#This Row],[Dimension L1]]*Table1[[#This Row],[Dimension W1]])))/1000000</f>
        <v>1.5640000000000001</v>
      </c>
      <c r="AL84" s="121"/>
    </row>
    <row r="85" spans="2:38" ht="25.35" customHeight="1">
      <c r="B85" s="7" t="s">
        <v>24</v>
      </c>
      <c r="C85" s="7" t="str">
        <f t="shared" si="2"/>
        <v>PL_8_4000_2000</v>
      </c>
      <c r="D85" s="7" t="str">
        <f>_xlfn.CONCAT(Table1[[#This Row],[ProductRecord.AccountReference]]," @ ",Table1[[#This Row],[KG/M2]],$H$2)</f>
        <v>PL_8_4000_2000 @ 62.8Kg/m2</v>
      </c>
      <c r="E85" s="27">
        <v>4000</v>
      </c>
      <c r="F85" s="27">
        <v>2000</v>
      </c>
      <c r="G85" s="32">
        <v>8</v>
      </c>
      <c r="H85" s="109">
        <f>G85*[1]Density!$D$6/1000</f>
        <v>62.8</v>
      </c>
      <c r="I85" s="161">
        <f t="shared" si="0"/>
        <v>502.4</v>
      </c>
      <c r="J85" s="164">
        <v>2900</v>
      </c>
      <c r="K85" s="165">
        <v>1830</v>
      </c>
      <c r="L85" s="165">
        <v>1</v>
      </c>
      <c r="M85" s="196" t="s">
        <v>239</v>
      </c>
      <c r="N85" s="164"/>
      <c r="O85" s="202"/>
      <c r="P85" s="202"/>
      <c r="Q85" s="203"/>
      <c r="R85" s="201">
        <v>4000</v>
      </c>
      <c r="S85" s="202">
        <v>1850</v>
      </c>
      <c r="T85" s="202">
        <v>3</v>
      </c>
      <c r="U85" s="203" t="s">
        <v>305</v>
      </c>
      <c r="Z85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1727.4395999999997</v>
      </c>
      <c r="AA85" s="17">
        <f t="shared" si="9"/>
        <v>1691.1633683999996</v>
      </c>
      <c r="AB85" s="17"/>
      <c r="AC85" s="10">
        <v>979</v>
      </c>
      <c r="AD85" s="10">
        <f>Table1[[#This Row],[£/Tonne]]/1000*Table1[[#This Row],[KG/M2]]</f>
        <v>61.481199999999994</v>
      </c>
      <c r="AE85" s="10">
        <f>Table1[[#This Row],[£/Tonne]]/1000*Table1[[#This Row],[Kg/ Sheet]]</f>
        <v>491.84959999999995</v>
      </c>
      <c r="AF85" s="10"/>
      <c r="AG85" s="111">
        <f>Table1[[#This Row],[£Cost / SHEET]]*(1+AG$1)</f>
        <v>639.40447999999992</v>
      </c>
      <c r="AH85" s="111">
        <f>Table1[[#This Row],[£Cost / SHEET]]*(1+AH$1)</f>
        <v>663.99695999999994</v>
      </c>
      <c r="AI85" s="111">
        <f>Table1[[#This Row],[£Cost / SHEET]]*(1+AI$1)</f>
        <v>688.58943999999985</v>
      </c>
      <c r="AJ85" s="111">
        <f>Table1[[#This Row],[£Cost / SHEET]]*(1+AJ$1)</f>
        <v>737.7743999999999</v>
      </c>
      <c r="AK85" s="222">
        <f>(Table1[[#This Row],[Qty 1]]*IF(Table1[[#This Row],[Dimension L1]]&lt;1,(Table1[[#This Row],[Length]]*Table1[[#This Row],[Width]]),(Table1[[#This Row],[Dimension L1]]*Table1[[#This Row],[Dimension W1]])))/1000000</f>
        <v>5.3070000000000004</v>
      </c>
      <c r="AL85" s="121"/>
    </row>
    <row r="86" spans="2:38" ht="25.35" customHeight="1">
      <c r="B86" s="7" t="s">
        <v>24</v>
      </c>
      <c r="C86" s="7" t="str">
        <f t="shared" si="2"/>
        <v>PL_8_2900_1500</v>
      </c>
      <c r="D86" s="7" t="str">
        <f>_xlfn.CONCAT(Table1[[#This Row],[ProductRecord.AccountReference]]," @ ",Table1[[#This Row],[KG/M2]],$H$2)</f>
        <v>PL_8_2900_1500 @ 62.8Kg/m2</v>
      </c>
      <c r="E86" s="27">
        <v>2900</v>
      </c>
      <c r="F86" s="27">
        <v>1500</v>
      </c>
      <c r="G86" s="32">
        <v>8</v>
      </c>
      <c r="H86" s="109">
        <f>G86*[1]Density!$D$6/1000</f>
        <v>62.8</v>
      </c>
      <c r="I86" s="161">
        <f t="shared" si="0"/>
        <v>273.18</v>
      </c>
      <c r="J86" s="164">
        <v>2230</v>
      </c>
      <c r="K86" s="165">
        <v>2180</v>
      </c>
      <c r="L86" s="165">
        <v>1</v>
      </c>
      <c r="M86" s="196" t="s">
        <v>306</v>
      </c>
      <c r="N86" s="164">
        <v>2700</v>
      </c>
      <c r="O86" s="202">
        <v>2050</v>
      </c>
      <c r="P86" s="202">
        <v>1</v>
      </c>
      <c r="Q86" s="203" t="s">
        <v>239</v>
      </c>
      <c r="R86" s="201"/>
      <c r="S86" s="202"/>
      <c r="T86" s="202"/>
      <c r="U86" s="203"/>
      <c r="Z86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652.89391999999998</v>
      </c>
      <c r="AA86" s="17">
        <f t="shared" si="9"/>
        <v>339.50483839999998</v>
      </c>
      <c r="AB86" s="17"/>
      <c r="AC86" s="10">
        <v>520</v>
      </c>
      <c r="AD86" s="10">
        <f>Table1[[#This Row],[£/Tonne]]/1000*Table1[[#This Row],[KG/M2]]</f>
        <v>32.655999999999999</v>
      </c>
      <c r="AE86" s="10">
        <f>Table1[[#This Row],[£/Tonne]]/1000*Table1[[#This Row],[Kg/ Sheet]]</f>
        <v>142.05360000000002</v>
      </c>
      <c r="AF86" s="10"/>
      <c r="AG86" s="111">
        <f>Table1[[#This Row],[£Cost / SHEET]]*(1+AG$1)</f>
        <v>184.66968000000003</v>
      </c>
      <c r="AH86" s="111">
        <f>Table1[[#This Row],[£Cost / SHEET]]*(1+AH$1)</f>
        <v>191.77236000000005</v>
      </c>
      <c r="AI86" s="111">
        <f>Table1[[#This Row],[£Cost / SHEET]]*(1+AI$1)</f>
        <v>198.87504000000001</v>
      </c>
      <c r="AJ86" s="111">
        <f>Table1[[#This Row],[£Cost / SHEET]]*(1+AJ$1)</f>
        <v>213.08040000000003</v>
      </c>
      <c r="AK86" s="222">
        <f>(Table1[[#This Row],[Qty 1]]*IF(Table1[[#This Row],[Dimension L1]]&lt;1,(Table1[[#This Row],[Length]]*Table1[[#This Row],[Width]]),(Table1[[#This Row],[Dimension L1]]*Table1[[#This Row],[Dimension W1]])))/1000000</f>
        <v>4.8613999999999997</v>
      </c>
      <c r="AL86" s="121"/>
    </row>
    <row r="87" spans="2:38" ht="25.35" customHeight="1">
      <c r="B87" s="7" t="s">
        <v>24</v>
      </c>
      <c r="C87" s="7" t="str">
        <f t="shared" si="2"/>
        <v>PL_8_6000_2000</v>
      </c>
      <c r="D87" s="7" t="str">
        <f>_xlfn.CONCAT(Table1[[#This Row],[ProductRecord.AccountReference]]," @ ",Table1[[#This Row],[KG/M2]],$H$2)</f>
        <v>PL_8_6000_2000 @ 62.8Kg/m2</v>
      </c>
      <c r="E87" s="27">
        <v>6000</v>
      </c>
      <c r="F87" s="27">
        <v>2000</v>
      </c>
      <c r="G87" s="32">
        <v>8</v>
      </c>
      <c r="H87" s="109">
        <f>G87*[1]Density!$D$6/1000</f>
        <v>62.8</v>
      </c>
      <c r="I87" s="161">
        <f t="shared" si="0"/>
        <v>753.6</v>
      </c>
      <c r="J87" s="164">
        <v>3850</v>
      </c>
      <c r="K87" s="165">
        <v>1600</v>
      </c>
      <c r="L87" s="165">
        <v>6</v>
      </c>
      <c r="M87" s="196" t="s">
        <v>306</v>
      </c>
      <c r="N87" s="164">
        <v>5000</v>
      </c>
      <c r="O87" s="202">
        <v>680</v>
      </c>
      <c r="P87" s="202">
        <v>1</v>
      </c>
      <c r="Q87" s="203" t="s">
        <v>239</v>
      </c>
      <c r="R87" s="201"/>
      <c r="S87" s="202"/>
      <c r="T87" s="202"/>
      <c r="U87" s="203"/>
      <c r="Z87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2534.6079999999997</v>
      </c>
      <c r="AA87" s="17">
        <f t="shared" si="9"/>
        <v>1239.4233119999997</v>
      </c>
      <c r="AB87" s="17"/>
      <c r="AC87" s="10">
        <v>489</v>
      </c>
      <c r="AD87" s="10">
        <f>Table1[[#This Row],[£/Tonne]]/1000*Table1[[#This Row],[KG/M2]]</f>
        <v>30.709199999999999</v>
      </c>
      <c r="AE87" s="10">
        <f>Table1[[#This Row],[£/Tonne]]/1000*Table1[[#This Row],[Kg/ Sheet]]</f>
        <v>368.5104</v>
      </c>
      <c r="AF87" s="10"/>
      <c r="AG87" s="111">
        <f>Table1[[#This Row],[£Cost / SHEET]]*(1+AG$1)</f>
        <v>479.06352000000004</v>
      </c>
      <c r="AH87" s="111">
        <f>Table1[[#This Row],[£Cost / SHEET]]*(1+AH$1)</f>
        <v>497.48904000000005</v>
      </c>
      <c r="AI87" s="111">
        <f>Table1[[#This Row],[£Cost / SHEET]]*(1+AI$1)</f>
        <v>515.91455999999994</v>
      </c>
      <c r="AJ87" s="111">
        <f>Table1[[#This Row],[£Cost / SHEET]]*(1+AJ$1)</f>
        <v>552.76559999999995</v>
      </c>
      <c r="AK87" s="222">
        <f>(Table1[[#This Row],[Qty 1]]*IF(Table1[[#This Row],[Dimension L1]]&lt;1,(Table1[[#This Row],[Length]]*Table1[[#This Row],[Width]]),(Table1[[#This Row],[Dimension L1]]*Table1[[#This Row],[Dimension W1]])))/1000000</f>
        <v>36.96</v>
      </c>
      <c r="AL87" s="121"/>
    </row>
    <row r="88" spans="2:38" ht="25.35" customHeight="1">
      <c r="B88" s="7" t="s">
        <v>24</v>
      </c>
      <c r="C88" s="7" t="str">
        <f t="shared" ref="C88:C108" si="11">_xlfn.CONCAT(B88,"_",G88,"_",E88,"_",F88,"")</f>
        <v>PL_8_3000_1500</v>
      </c>
      <c r="D88" s="7" t="str">
        <f>_xlfn.CONCAT(Table1[[#This Row],[ProductRecord.AccountReference]]," @ ",Table1[[#This Row],[KG/M2]],$H$2)</f>
        <v>PL_8_3000_1500 @ 62.8Kg/m2</v>
      </c>
      <c r="E88">
        <v>3000</v>
      </c>
      <c r="F88">
        <v>1500</v>
      </c>
      <c r="G88">
        <v>8</v>
      </c>
      <c r="H88" s="109">
        <f>G88*[1]Density!$D$6/1000</f>
        <v>62.8</v>
      </c>
      <c r="I88" s="161">
        <f t="shared" ref="I88:I107" si="12">E88*F88*H88/1000000</f>
        <v>282.60000000000002</v>
      </c>
      <c r="J88">
        <v>3000</v>
      </c>
      <c r="K88">
        <v>1500</v>
      </c>
      <c r="L88">
        <v>1</v>
      </c>
      <c r="M88" t="s">
        <v>308</v>
      </c>
      <c r="N88" s="159"/>
      <c r="O88" s="202"/>
      <c r="P88" s="202"/>
      <c r="Q88" s="203"/>
      <c r="R88" s="201"/>
      <c r="S88" s="202"/>
      <c r="T88" s="202"/>
      <c r="U88" s="203"/>
      <c r="Z88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282.59999999999997</v>
      </c>
      <c r="AA88" s="17">
        <f t="shared" si="9"/>
        <v>268.18739999999997</v>
      </c>
      <c r="AB88" s="17"/>
      <c r="AC88" s="10">
        <f>AC83</f>
        <v>949</v>
      </c>
      <c r="AD88" s="10">
        <f>Table1[[#This Row],[£/Tonne]]/1000*Table1[[#This Row],[KG/M2]]</f>
        <v>59.597199999999994</v>
      </c>
      <c r="AE88" s="10">
        <f>Table1[[#This Row],[£/Tonne]]/1000*Table1[[#This Row],[Kg/ Sheet]]</f>
        <v>268.18740000000003</v>
      </c>
      <c r="AF88" s="10"/>
      <c r="AG88" s="111">
        <f>Table1[[#This Row],[£Cost / SHEET]]*(1+AG$1)</f>
        <v>348.64362000000006</v>
      </c>
      <c r="AH88" s="111">
        <f>Table1[[#This Row],[£Cost / SHEET]]*(1+AH$1)</f>
        <v>362.05299000000008</v>
      </c>
      <c r="AI88" s="111">
        <f>Table1[[#This Row],[£Cost / SHEET]]*(1+AI$1)</f>
        <v>375.46235999999999</v>
      </c>
      <c r="AJ88" s="111">
        <f>Table1[[#This Row],[£Cost / SHEET]]*(1+AJ$1)</f>
        <v>402.28110000000004</v>
      </c>
      <c r="AK88" s="222">
        <f>(Table1[[#This Row],[Qty 1]]*IF(Table1[[#This Row],[Dimension L1]]&lt;1,(Table1[[#This Row],[Length]]*Table1[[#This Row],[Width]]),(Table1[[#This Row],[Dimension L1]]*Table1[[#This Row],[Dimension W1]])))/1000000</f>
        <v>4.5</v>
      </c>
      <c r="AL88" s="121"/>
    </row>
    <row r="89" spans="2:38" ht="25.35" customHeight="1">
      <c r="B89" s="7" t="s">
        <v>24</v>
      </c>
      <c r="C89" s="7" t="str">
        <f t="shared" si="11"/>
        <v>PL_8_3660_1830</v>
      </c>
      <c r="D89" s="7" t="str">
        <f>_xlfn.CONCAT(Table1[[#This Row],[ProductRecord.AccountReference]]," @ ",Table1[[#This Row],[KG/M2]],$H$2)</f>
        <v>PL_8_3660_1830 @ 62.8Kg/m2</v>
      </c>
      <c r="E89">
        <v>3660</v>
      </c>
      <c r="F89">
        <v>1830</v>
      </c>
      <c r="G89">
        <v>8</v>
      </c>
      <c r="H89" s="109">
        <f>G89*[1]Density!$D$6/1000</f>
        <v>62.8</v>
      </c>
      <c r="I89" s="161">
        <f t="shared" si="12"/>
        <v>420.62184000000002</v>
      </c>
      <c r="J89">
        <v>3660</v>
      </c>
      <c r="K89">
        <v>1830</v>
      </c>
      <c r="L89">
        <v>1</v>
      </c>
      <c r="M89" t="s">
        <v>308</v>
      </c>
      <c r="N89" s="159"/>
      <c r="O89" s="202"/>
      <c r="P89" s="202"/>
      <c r="Q89" s="203"/>
      <c r="R89" s="201"/>
      <c r="S89" s="202"/>
      <c r="T89" s="202"/>
      <c r="U89" s="203"/>
      <c r="Z89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420.62183999999996</v>
      </c>
      <c r="AA89" s="17">
        <f t="shared" si="9"/>
        <v>411.78878135999997</v>
      </c>
      <c r="AB89" s="17"/>
      <c r="AC89" s="10">
        <f>AC85</f>
        <v>979</v>
      </c>
      <c r="AD89" s="10">
        <f>Table1[[#This Row],[£/Tonne]]/1000*Table1[[#This Row],[KG/M2]]</f>
        <v>61.481199999999994</v>
      </c>
      <c r="AE89" s="10">
        <f>Table1[[#This Row],[£/Tonne]]/1000*Table1[[#This Row],[Kg/ Sheet]]</f>
        <v>411.78878136000003</v>
      </c>
      <c r="AF89" s="10"/>
      <c r="AG89" s="111">
        <f>Table1[[#This Row],[£Cost / SHEET]]*(1+AG$1)</f>
        <v>535.32541576800008</v>
      </c>
      <c r="AH89" s="111">
        <f>Table1[[#This Row],[£Cost / SHEET]]*(1+AH$1)</f>
        <v>555.91485483600013</v>
      </c>
      <c r="AI89" s="111">
        <f>Table1[[#This Row],[£Cost / SHEET]]*(1+AI$1)</f>
        <v>576.50429390399995</v>
      </c>
      <c r="AJ89" s="111">
        <f>Table1[[#This Row],[£Cost / SHEET]]*(1+AJ$1)</f>
        <v>617.68317204000004</v>
      </c>
      <c r="AK89" s="222">
        <f>(Table1[[#This Row],[Qty 1]]*IF(Table1[[#This Row],[Dimension L1]]&lt;1,(Table1[[#This Row],[Length]]*Table1[[#This Row],[Width]]),(Table1[[#This Row],[Dimension L1]]*Table1[[#This Row],[Dimension W1]])))/1000000</f>
        <v>6.6978</v>
      </c>
      <c r="AL89" s="121"/>
    </row>
    <row r="90" spans="2:38" ht="25.35" customHeight="1">
      <c r="B90" s="7" t="s">
        <v>24</v>
      </c>
      <c r="C90" s="7" t="str">
        <f t="shared" si="11"/>
        <v>PL_8_1160_720</v>
      </c>
      <c r="D90" s="7" t="str">
        <f>_xlfn.CONCAT(Table1[[#This Row],[ProductRecord.AccountReference]]," @ ",Table1[[#This Row],[KG/M2]],$H$2)</f>
        <v>PL_8_1160_720 @ 62.8Kg/m2</v>
      </c>
      <c r="E90">
        <v>1160</v>
      </c>
      <c r="F90">
        <v>720</v>
      </c>
      <c r="G90">
        <v>8</v>
      </c>
      <c r="H90" s="109">
        <f>G90*[1]Density!$D$6/1000</f>
        <v>62.8</v>
      </c>
      <c r="I90" s="161">
        <f t="shared" si="12"/>
        <v>52.450560000000003</v>
      </c>
      <c r="J90">
        <v>1160</v>
      </c>
      <c r="K90">
        <v>720</v>
      </c>
      <c r="L90">
        <v>1</v>
      </c>
      <c r="M90" t="s">
        <v>308</v>
      </c>
      <c r="N90" s="159"/>
      <c r="O90" s="202"/>
      <c r="P90" s="202"/>
      <c r="Q90" s="203"/>
      <c r="R90" s="201"/>
      <c r="S90" s="202"/>
      <c r="T90" s="202"/>
      <c r="U90" s="203"/>
      <c r="Z90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52.450560000000003</v>
      </c>
      <c r="AA90" s="17">
        <f t="shared" si="9"/>
        <v>36.453139200000003</v>
      </c>
      <c r="AB90" s="17"/>
      <c r="AC90" s="10">
        <f>AC82</f>
        <v>695</v>
      </c>
      <c r="AD90" s="10">
        <f>Table1[[#This Row],[£/Tonne]]/1000*Table1[[#This Row],[KG/M2]]</f>
        <v>43.645999999999994</v>
      </c>
      <c r="AE90" s="10">
        <f>Table1[[#This Row],[£/Tonne]]/1000*Table1[[#This Row],[Kg/ Sheet]]</f>
        <v>36.453139200000003</v>
      </c>
      <c r="AF90" s="10"/>
      <c r="AG90" s="111">
        <f>Table1[[#This Row],[£Cost / SHEET]]*(1+AG$1)</f>
        <v>47.389080960000008</v>
      </c>
      <c r="AH90" s="111">
        <f>Table1[[#This Row],[£Cost / SHEET]]*(1+AH$1)</f>
        <v>49.211737920000004</v>
      </c>
      <c r="AI90" s="111">
        <f>Table1[[#This Row],[£Cost / SHEET]]*(1+AI$1)</f>
        <v>51.034394880000001</v>
      </c>
      <c r="AJ90" s="111">
        <f>Table1[[#This Row],[£Cost / SHEET]]*(1+AJ$1)</f>
        <v>54.6797088</v>
      </c>
      <c r="AK90" s="222">
        <f>(Table1[[#This Row],[Qty 1]]*IF(Table1[[#This Row],[Dimension L1]]&lt;1,(Table1[[#This Row],[Length]]*Table1[[#This Row],[Width]]),(Table1[[#This Row],[Dimension L1]]*Table1[[#This Row],[Dimension W1]])))/1000000</f>
        <v>0.83520000000000005</v>
      </c>
      <c r="AL90" s="121"/>
    </row>
    <row r="91" spans="2:38" ht="25.35" customHeight="1">
      <c r="B91" s="7" t="s">
        <v>24</v>
      </c>
      <c r="C91" s="7" t="str">
        <f t="shared" si="11"/>
        <v>PL_8_1500_500</v>
      </c>
      <c r="D91" s="7" t="str">
        <f>_xlfn.CONCAT(Table1[[#This Row],[ProductRecord.AccountReference]]," @ ",Table1[[#This Row],[KG/M2]],$H$2)</f>
        <v>PL_8_1500_500 @ 62.8Kg/m2</v>
      </c>
      <c r="E91">
        <v>1500</v>
      </c>
      <c r="F91">
        <v>500</v>
      </c>
      <c r="G91">
        <v>8</v>
      </c>
      <c r="H91" s="109">
        <f>G91*[1]Density!$D$6/1000</f>
        <v>62.8</v>
      </c>
      <c r="I91" s="161">
        <f t="shared" si="12"/>
        <v>47.1</v>
      </c>
      <c r="J91">
        <v>1500</v>
      </c>
      <c r="K91">
        <v>500</v>
      </c>
      <c r="L91">
        <v>1</v>
      </c>
      <c r="M91" t="s">
        <v>308</v>
      </c>
      <c r="N91" s="159"/>
      <c r="O91" s="202"/>
      <c r="P91" s="202"/>
      <c r="Q91" s="203"/>
      <c r="R91" s="201"/>
      <c r="S91" s="202"/>
      <c r="T91" s="202"/>
      <c r="U91" s="203"/>
      <c r="Z91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47.099999999999994</v>
      </c>
      <c r="AA91" s="17">
        <f t="shared" si="9"/>
        <v>44.697899999999997</v>
      </c>
      <c r="AB91" s="17"/>
      <c r="AC91" s="10">
        <f>AC83</f>
        <v>949</v>
      </c>
      <c r="AD91" s="10">
        <f>Table1[[#This Row],[£/Tonne]]/1000*Table1[[#This Row],[KG/M2]]</f>
        <v>59.597199999999994</v>
      </c>
      <c r="AE91" s="10">
        <f>Table1[[#This Row],[£/Tonne]]/1000*Table1[[#This Row],[Kg/ Sheet]]</f>
        <v>44.697899999999997</v>
      </c>
      <c r="AF91" s="10"/>
      <c r="AG91" s="111">
        <f>Table1[[#This Row],[£Cost / SHEET]]*(1+AG$1)</f>
        <v>58.10727</v>
      </c>
      <c r="AH91" s="111">
        <f>Table1[[#This Row],[£Cost / SHEET]]*(1+AH$1)</f>
        <v>60.342165000000001</v>
      </c>
      <c r="AI91" s="111">
        <f>Table1[[#This Row],[£Cost / SHEET]]*(1+AI$1)</f>
        <v>62.577059999999989</v>
      </c>
      <c r="AJ91" s="111">
        <f>Table1[[#This Row],[£Cost / SHEET]]*(1+AJ$1)</f>
        <v>67.046849999999992</v>
      </c>
      <c r="AK91" s="222">
        <f>(Table1[[#This Row],[Qty 1]]*IF(Table1[[#This Row],[Dimension L1]]&lt;1,(Table1[[#This Row],[Length]]*Table1[[#This Row],[Width]]),(Table1[[#This Row],[Dimension L1]]*Table1[[#This Row],[Dimension W1]])))/1000000</f>
        <v>0.75</v>
      </c>
      <c r="AL91" s="121"/>
    </row>
    <row r="92" spans="2:38" ht="25.35" customHeight="1">
      <c r="B92" s="7" t="s">
        <v>24</v>
      </c>
      <c r="C92" s="7" t="str">
        <f t="shared" si="11"/>
        <v>PL_8_1690_1250</v>
      </c>
      <c r="D92" s="7" t="str">
        <f>_xlfn.CONCAT(Table1[[#This Row],[ProductRecord.AccountReference]]," @ ",Table1[[#This Row],[KG/M2]],$H$2)</f>
        <v>PL_8_1690_1250 @ 62.8Kg/m2</v>
      </c>
      <c r="E92">
        <v>1690</v>
      </c>
      <c r="F92">
        <v>1250</v>
      </c>
      <c r="G92">
        <v>8</v>
      </c>
      <c r="H92" s="109">
        <f>G92*[1]Density!$D$6/1000</f>
        <v>62.8</v>
      </c>
      <c r="I92" s="161">
        <f t="shared" si="12"/>
        <v>132.66499999999999</v>
      </c>
      <c r="J92">
        <v>1690</v>
      </c>
      <c r="K92">
        <v>1250</v>
      </c>
      <c r="L92">
        <v>1</v>
      </c>
      <c r="M92" t="s">
        <v>308</v>
      </c>
      <c r="N92" s="159"/>
      <c r="O92" s="202"/>
      <c r="P92" s="202"/>
      <c r="Q92" s="203"/>
      <c r="R92" s="201"/>
      <c r="S92" s="202"/>
      <c r="T92" s="202"/>
      <c r="U92" s="203"/>
      <c r="Z92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132.66499999999999</v>
      </c>
      <c r="AA92" s="17">
        <f t="shared" si="9"/>
        <v>92.202174999999997</v>
      </c>
      <c r="AB92" s="17"/>
      <c r="AC92" s="10">
        <f>AC82</f>
        <v>695</v>
      </c>
      <c r="AD92" s="10">
        <f>Table1[[#This Row],[£/Tonne]]/1000*Table1[[#This Row],[KG/M2]]</f>
        <v>43.645999999999994</v>
      </c>
      <c r="AE92" s="10">
        <f>Table1[[#This Row],[£/Tonne]]/1000*Table1[[#This Row],[Kg/ Sheet]]</f>
        <v>92.202174999999983</v>
      </c>
      <c r="AF92" s="10"/>
      <c r="AG92" s="111">
        <f>Table1[[#This Row],[£Cost / SHEET]]*(1+AG$1)</f>
        <v>119.86282749999998</v>
      </c>
      <c r="AH92" s="111">
        <f>Table1[[#This Row],[£Cost / SHEET]]*(1+AH$1)</f>
        <v>124.47293624999999</v>
      </c>
      <c r="AI92" s="111">
        <f>Table1[[#This Row],[£Cost / SHEET]]*(1+AI$1)</f>
        <v>129.08304499999997</v>
      </c>
      <c r="AJ92" s="111">
        <f>Table1[[#This Row],[£Cost / SHEET]]*(1+AJ$1)</f>
        <v>138.30326249999996</v>
      </c>
      <c r="AK92" s="222">
        <f>(Table1[[#This Row],[Qty 1]]*IF(Table1[[#This Row],[Dimension L1]]&lt;1,(Table1[[#This Row],[Length]]*Table1[[#This Row],[Width]]),(Table1[[#This Row],[Dimension L1]]*Table1[[#This Row],[Dimension W1]])))/1000000</f>
        <v>2.1124999999999998</v>
      </c>
      <c r="AL92" s="121"/>
    </row>
    <row r="93" spans="2:38" ht="25.35" customHeight="1">
      <c r="B93" s="7" t="s">
        <v>24</v>
      </c>
      <c r="C93" s="7" t="str">
        <f t="shared" si="11"/>
        <v>PL_8_1820_1300</v>
      </c>
      <c r="D93" s="7" t="str">
        <f>_xlfn.CONCAT(Table1[[#This Row],[ProductRecord.AccountReference]]," @ ",Table1[[#This Row],[KG/M2]],$H$2)</f>
        <v>PL_8_1820_1300 @ 62.8Kg/m2</v>
      </c>
      <c r="E93">
        <v>1820</v>
      </c>
      <c r="F93">
        <v>1300</v>
      </c>
      <c r="G93">
        <v>8</v>
      </c>
      <c r="H93" s="109">
        <f>G93*[1]Density!$D$6/1000</f>
        <v>62.8</v>
      </c>
      <c r="I93" s="161">
        <f t="shared" si="12"/>
        <v>148.5848</v>
      </c>
      <c r="J93">
        <v>1820</v>
      </c>
      <c r="K93">
        <v>1300</v>
      </c>
      <c r="L93">
        <v>1</v>
      </c>
      <c r="M93" t="s">
        <v>239</v>
      </c>
      <c r="N93" s="159"/>
      <c r="O93" s="202"/>
      <c r="P93" s="202"/>
      <c r="Q93" s="203"/>
      <c r="R93" s="201"/>
      <c r="S93" s="202"/>
      <c r="T93" s="202"/>
      <c r="U93" s="203"/>
      <c r="Z93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148.5848</v>
      </c>
      <c r="AA93" s="17">
        <f t="shared" si="9"/>
        <v>141.0069752</v>
      </c>
      <c r="AB93" s="17"/>
      <c r="AC93" s="10">
        <f>AC83</f>
        <v>949</v>
      </c>
      <c r="AD93" s="10">
        <f>Table1[[#This Row],[£/Tonne]]/1000*Table1[[#This Row],[KG/M2]]</f>
        <v>59.597199999999994</v>
      </c>
      <c r="AE93" s="10">
        <f>Table1[[#This Row],[£/Tonne]]/1000*Table1[[#This Row],[Kg/ Sheet]]</f>
        <v>141.0069752</v>
      </c>
      <c r="AF93" s="10"/>
      <c r="AG93" s="111">
        <f>Table1[[#This Row],[£Cost / SHEET]]*(1+AG$1)</f>
        <v>183.30906776</v>
      </c>
      <c r="AH93" s="111">
        <f>Table1[[#This Row],[£Cost / SHEET]]*(1+AH$1)</f>
        <v>190.35941652000002</v>
      </c>
      <c r="AI93" s="111">
        <f>Table1[[#This Row],[£Cost / SHEET]]*(1+AI$1)</f>
        <v>197.40976527999999</v>
      </c>
      <c r="AJ93" s="111">
        <f>Table1[[#This Row],[£Cost / SHEET]]*(1+AJ$1)</f>
        <v>211.5104628</v>
      </c>
      <c r="AK93" s="222">
        <f>(Table1[[#This Row],[Qty 1]]*IF(Table1[[#This Row],[Dimension L1]]&lt;1,(Table1[[#This Row],[Length]]*Table1[[#This Row],[Width]]),(Table1[[#This Row],[Dimension L1]]*Table1[[#This Row],[Dimension W1]])))/1000000</f>
        <v>2.3660000000000001</v>
      </c>
      <c r="AL93" s="121"/>
    </row>
    <row r="94" spans="2:38" ht="25.35" customHeight="1">
      <c r="B94" s="7" t="s">
        <v>24</v>
      </c>
      <c r="C94" s="7" t="str">
        <f t="shared" si="11"/>
        <v>PL_8_2370_660</v>
      </c>
      <c r="D94" s="7" t="str">
        <f>_xlfn.CONCAT(Table1[[#This Row],[ProductRecord.AccountReference]]," @ ",Table1[[#This Row],[KG/M2]],$H$2)</f>
        <v>PL_8_2370_660 @ 62.8Kg/m2</v>
      </c>
      <c r="E94">
        <v>2370</v>
      </c>
      <c r="F94">
        <v>660</v>
      </c>
      <c r="G94">
        <v>8</v>
      </c>
      <c r="H94" s="109">
        <f>G94*[1]Density!$D$6/1000</f>
        <v>62.8</v>
      </c>
      <c r="I94" s="161">
        <f t="shared" si="12"/>
        <v>98.231759999999994</v>
      </c>
      <c r="J94">
        <v>2370</v>
      </c>
      <c r="K94">
        <v>660</v>
      </c>
      <c r="L94">
        <v>1</v>
      </c>
      <c r="M94" t="s">
        <v>308</v>
      </c>
      <c r="N94" s="159"/>
      <c r="O94" s="202"/>
      <c r="P94" s="202"/>
      <c r="Q94" s="203"/>
      <c r="R94" s="201"/>
      <c r="S94" s="202"/>
      <c r="T94" s="202"/>
      <c r="U94" s="203"/>
      <c r="Z94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98.231759999999994</v>
      </c>
      <c r="AA94" s="17">
        <f t="shared" si="9"/>
        <v>68.271073199999989</v>
      </c>
      <c r="AB94" s="17"/>
      <c r="AC94" s="10">
        <f>AC82</f>
        <v>695</v>
      </c>
      <c r="AD94" s="10">
        <f>Table1[[#This Row],[£/Tonne]]/1000*Table1[[#This Row],[KG/M2]]</f>
        <v>43.645999999999994</v>
      </c>
      <c r="AE94" s="10">
        <f>Table1[[#This Row],[£/Tonne]]/1000*Table1[[#This Row],[Kg/ Sheet]]</f>
        <v>68.271073199999989</v>
      </c>
      <c r="AF94" s="10"/>
      <c r="AG94" s="111">
        <f>Table1[[#This Row],[£Cost / SHEET]]*(1+AG$1)</f>
        <v>88.752395159999992</v>
      </c>
      <c r="AH94" s="111">
        <f>Table1[[#This Row],[£Cost / SHEET]]*(1+AH$1)</f>
        <v>92.165948819999997</v>
      </c>
      <c r="AI94" s="111">
        <f>Table1[[#This Row],[£Cost / SHEET]]*(1+AI$1)</f>
        <v>95.579502479999974</v>
      </c>
      <c r="AJ94" s="111">
        <f>Table1[[#This Row],[£Cost / SHEET]]*(1+AJ$1)</f>
        <v>102.40660979999998</v>
      </c>
      <c r="AK94" s="222">
        <f>(Table1[[#This Row],[Qty 1]]*IF(Table1[[#This Row],[Dimension L1]]&lt;1,(Table1[[#This Row],[Length]]*Table1[[#This Row],[Width]]),(Table1[[#This Row],[Dimension L1]]*Table1[[#This Row],[Dimension W1]])))/1000000</f>
        <v>1.5642</v>
      </c>
      <c r="AL94" s="121"/>
    </row>
    <row r="95" spans="2:38" ht="25.35" customHeight="1">
      <c r="B95" s="7" t="s">
        <v>24</v>
      </c>
      <c r="C95" s="7" t="str">
        <f t="shared" si="11"/>
        <v>PL_8_2500_1380</v>
      </c>
      <c r="D95" s="7" t="str">
        <f>_xlfn.CONCAT(Table1[[#This Row],[ProductRecord.AccountReference]]," @ ",Table1[[#This Row],[KG/M2]],$H$2)</f>
        <v>PL_8_2500_1380 @ 62.8Kg/m2</v>
      </c>
      <c r="E95">
        <v>2500</v>
      </c>
      <c r="F95">
        <v>1380</v>
      </c>
      <c r="G95">
        <v>8</v>
      </c>
      <c r="H95" s="109">
        <f>G95*[1]Density!$D$6/1000</f>
        <v>62.8</v>
      </c>
      <c r="I95" s="161">
        <f t="shared" si="12"/>
        <v>216.66</v>
      </c>
      <c r="J95">
        <v>2500</v>
      </c>
      <c r="K95">
        <v>1380</v>
      </c>
      <c r="L95">
        <v>1</v>
      </c>
      <c r="M95" t="s">
        <v>239</v>
      </c>
      <c r="N95" s="159"/>
      <c r="O95" s="202"/>
      <c r="P95" s="202"/>
      <c r="Q95" s="203"/>
      <c r="R95" s="201"/>
      <c r="S95" s="202"/>
      <c r="T95" s="202"/>
      <c r="U95" s="203"/>
      <c r="Z95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216.66</v>
      </c>
      <c r="AA95" s="17">
        <f t="shared" si="9"/>
        <v>205.61033999999998</v>
      </c>
      <c r="AB95" s="17"/>
      <c r="AC95" s="10">
        <f>AC83</f>
        <v>949</v>
      </c>
      <c r="AD95" s="10">
        <f>Table1[[#This Row],[£/Tonne]]/1000*Table1[[#This Row],[KG/M2]]</f>
        <v>59.597199999999994</v>
      </c>
      <c r="AE95" s="10">
        <f>Table1[[#This Row],[£/Tonne]]/1000*Table1[[#This Row],[Kg/ Sheet]]</f>
        <v>205.61033999999998</v>
      </c>
      <c r="AF95" s="10"/>
      <c r="AG95" s="111">
        <f>Table1[[#This Row],[£Cost / SHEET]]*(1+AG$1)</f>
        <v>267.29344199999997</v>
      </c>
      <c r="AH95" s="111">
        <f>Table1[[#This Row],[£Cost / SHEET]]*(1+AH$1)</f>
        <v>277.573959</v>
      </c>
      <c r="AI95" s="111">
        <f>Table1[[#This Row],[£Cost / SHEET]]*(1+AI$1)</f>
        <v>287.85447599999998</v>
      </c>
      <c r="AJ95" s="111">
        <f>Table1[[#This Row],[£Cost / SHEET]]*(1+AJ$1)</f>
        <v>308.41550999999998</v>
      </c>
      <c r="AK95" s="222">
        <f>(Table1[[#This Row],[Qty 1]]*IF(Table1[[#This Row],[Dimension L1]]&lt;1,(Table1[[#This Row],[Length]]*Table1[[#This Row],[Width]]),(Table1[[#This Row],[Dimension L1]]*Table1[[#This Row],[Dimension W1]])))/1000000</f>
        <v>3.45</v>
      </c>
      <c r="AL95" s="121"/>
    </row>
    <row r="96" spans="2:38" ht="25.35" customHeight="1">
      <c r="B96" s="7" t="s">
        <v>24</v>
      </c>
      <c r="C96" s="7" t="str">
        <f t="shared" si="11"/>
        <v>PL_8_2500_2000</v>
      </c>
      <c r="D96" s="7" t="str">
        <f>_xlfn.CONCAT(Table1[[#This Row],[ProductRecord.AccountReference]]," @ ",Table1[[#This Row],[KG/M2]],$H$2)</f>
        <v>PL_8_2500_2000 @ 62.8Kg/m2</v>
      </c>
      <c r="E96">
        <v>2500</v>
      </c>
      <c r="F96">
        <v>2000</v>
      </c>
      <c r="G96">
        <v>8</v>
      </c>
      <c r="H96" s="109">
        <f>G96*[1]Density!$D$6/1000</f>
        <v>62.8</v>
      </c>
      <c r="I96" s="161">
        <f t="shared" si="12"/>
        <v>314</v>
      </c>
      <c r="J96">
        <v>2500</v>
      </c>
      <c r="K96">
        <v>2000</v>
      </c>
      <c r="L96">
        <v>1</v>
      </c>
      <c r="M96" t="s">
        <v>308</v>
      </c>
      <c r="N96" s="159"/>
      <c r="O96" s="202"/>
      <c r="P96" s="202"/>
      <c r="Q96" s="203"/>
      <c r="R96" s="201"/>
      <c r="S96" s="202"/>
      <c r="T96" s="202"/>
      <c r="U96" s="203"/>
      <c r="Z96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314</v>
      </c>
      <c r="AA96" s="17">
        <f t="shared" si="9"/>
        <v>307.40600000000001</v>
      </c>
      <c r="AB96" s="17"/>
      <c r="AC96" s="10">
        <f>AC85</f>
        <v>979</v>
      </c>
      <c r="AD96" s="10">
        <f>Table1[[#This Row],[£/Tonne]]/1000*Table1[[#This Row],[KG/M2]]</f>
        <v>61.481199999999994</v>
      </c>
      <c r="AE96" s="10">
        <f>Table1[[#This Row],[£/Tonne]]/1000*Table1[[#This Row],[Kg/ Sheet]]</f>
        <v>307.40600000000001</v>
      </c>
      <c r="AF96" s="10"/>
      <c r="AG96" s="111">
        <f>Table1[[#This Row],[£Cost / SHEET]]*(1+AG$1)</f>
        <v>399.62780000000004</v>
      </c>
      <c r="AH96" s="111">
        <f>Table1[[#This Row],[£Cost / SHEET]]*(1+AH$1)</f>
        <v>414.99810000000002</v>
      </c>
      <c r="AI96" s="111">
        <f>Table1[[#This Row],[£Cost / SHEET]]*(1+AI$1)</f>
        <v>430.36840000000001</v>
      </c>
      <c r="AJ96" s="111">
        <f>Table1[[#This Row],[£Cost / SHEET]]*(1+AJ$1)</f>
        <v>461.10900000000004</v>
      </c>
      <c r="AK96" s="222">
        <f>(Table1[[#This Row],[Qty 1]]*IF(Table1[[#This Row],[Dimension L1]]&lt;1,(Table1[[#This Row],[Length]]*Table1[[#This Row],[Width]]),(Table1[[#This Row],[Dimension L1]]*Table1[[#This Row],[Dimension W1]])))/1000000</f>
        <v>5</v>
      </c>
      <c r="AL96" s="121"/>
    </row>
    <row r="97" spans="2:38" ht="25.35" customHeight="1">
      <c r="B97" s="7" t="s">
        <v>24</v>
      </c>
      <c r="C97" s="7" t="str">
        <f t="shared" si="11"/>
        <v>PL_8_2640_960</v>
      </c>
      <c r="D97" s="7" t="str">
        <f>_xlfn.CONCAT(Table1[[#This Row],[ProductRecord.AccountReference]]," @ ",Table1[[#This Row],[KG/M2]],$H$2)</f>
        <v>PL_8_2640_960 @ 62.8Kg/m2</v>
      </c>
      <c r="E97">
        <v>2640</v>
      </c>
      <c r="F97">
        <v>960</v>
      </c>
      <c r="G97">
        <v>8</v>
      </c>
      <c r="H97" s="109">
        <f>G97*[1]Density!$D$6/1000</f>
        <v>62.8</v>
      </c>
      <c r="I97" s="161">
        <f t="shared" si="12"/>
        <v>159.16032000000001</v>
      </c>
      <c r="J97">
        <v>2640</v>
      </c>
      <c r="K97">
        <v>960</v>
      </c>
      <c r="L97">
        <v>1</v>
      </c>
      <c r="M97" t="s">
        <v>308</v>
      </c>
      <c r="N97" s="159"/>
      <c r="O97" s="202"/>
      <c r="P97" s="202"/>
      <c r="Q97" s="203"/>
      <c r="R97" s="201"/>
      <c r="S97" s="202"/>
      <c r="T97" s="202"/>
      <c r="U97" s="203"/>
      <c r="Z97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159.16032000000001</v>
      </c>
      <c r="AA97" s="17">
        <f t="shared" si="9"/>
        <v>110.61642240000002</v>
      </c>
      <c r="AB97" s="17"/>
      <c r="AC97" s="10">
        <f>AC82</f>
        <v>695</v>
      </c>
      <c r="AD97" s="10">
        <f>Table1[[#This Row],[£/Tonne]]/1000*Table1[[#This Row],[KG/M2]]</f>
        <v>43.645999999999994</v>
      </c>
      <c r="AE97" s="10">
        <f>Table1[[#This Row],[£/Tonne]]/1000*Table1[[#This Row],[Kg/ Sheet]]</f>
        <v>110.6164224</v>
      </c>
      <c r="AF97" s="10"/>
      <c r="AG97" s="111">
        <f>Table1[[#This Row],[£Cost / SHEET]]*(1+AG$1)</f>
        <v>143.80134912</v>
      </c>
      <c r="AH97" s="111">
        <f>Table1[[#This Row],[£Cost / SHEET]]*(1+AH$1)</f>
        <v>149.33217024000001</v>
      </c>
      <c r="AI97" s="111">
        <f>Table1[[#This Row],[£Cost / SHEET]]*(1+AI$1)</f>
        <v>154.86299136</v>
      </c>
      <c r="AJ97" s="111">
        <f>Table1[[#This Row],[£Cost / SHEET]]*(1+AJ$1)</f>
        <v>165.92463359999999</v>
      </c>
      <c r="AK97" s="222">
        <f>(Table1[[#This Row],[Qty 1]]*IF(Table1[[#This Row],[Dimension L1]]&lt;1,(Table1[[#This Row],[Length]]*Table1[[#This Row],[Width]]),(Table1[[#This Row],[Dimension L1]]*Table1[[#This Row],[Dimension W1]])))/1000000</f>
        <v>2.5344000000000002</v>
      </c>
      <c r="AL97" s="121"/>
    </row>
    <row r="98" spans="2:38" ht="25.35" customHeight="1">
      <c r="B98" s="7" t="s">
        <v>24</v>
      </c>
      <c r="C98" s="7" t="str">
        <f t="shared" si="11"/>
        <v>PL_8_3210_450</v>
      </c>
      <c r="D98" s="7" t="str">
        <f>_xlfn.CONCAT(Table1[[#This Row],[ProductRecord.AccountReference]]," @ ",Table1[[#This Row],[KG/M2]],$H$2)</f>
        <v>PL_8_3210_450 @ 62.8Kg/m2</v>
      </c>
      <c r="E98">
        <v>3210</v>
      </c>
      <c r="F98">
        <v>450</v>
      </c>
      <c r="G98">
        <v>8</v>
      </c>
      <c r="H98" s="109">
        <f>G98*[1]Density!$D$6/1000</f>
        <v>62.8</v>
      </c>
      <c r="I98" s="161">
        <f t="shared" si="12"/>
        <v>90.714600000000004</v>
      </c>
      <c r="J98">
        <v>3210</v>
      </c>
      <c r="K98">
        <v>450</v>
      </c>
      <c r="L98">
        <v>1</v>
      </c>
      <c r="M98" t="s">
        <v>308</v>
      </c>
      <c r="N98" s="159"/>
      <c r="O98" s="202"/>
      <c r="P98" s="202"/>
      <c r="Q98" s="203"/>
      <c r="R98" s="201"/>
      <c r="S98" s="202"/>
      <c r="T98" s="202"/>
      <c r="U98" s="203"/>
      <c r="Z98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90.71459999999999</v>
      </c>
      <c r="AA98" s="17">
        <f t="shared" si="9"/>
        <v>88.809593399999997</v>
      </c>
      <c r="AB98" s="17"/>
      <c r="AC98" s="10">
        <f>AC85</f>
        <v>979</v>
      </c>
      <c r="AD98" s="10">
        <f>Table1[[#This Row],[£/Tonne]]/1000*Table1[[#This Row],[KG/M2]]</f>
        <v>61.481199999999994</v>
      </c>
      <c r="AE98" s="10">
        <f>Table1[[#This Row],[£/Tonne]]/1000*Table1[[#This Row],[Kg/ Sheet]]</f>
        <v>88.809593399999997</v>
      </c>
      <c r="AF98" s="10"/>
      <c r="AG98" s="111">
        <f>Table1[[#This Row],[£Cost / SHEET]]*(1+AG$1)</f>
        <v>115.45247141999999</v>
      </c>
      <c r="AH98" s="111">
        <f>Table1[[#This Row],[£Cost / SHEET]]*(1+AH$1)</f>
        <v>119.89295109000001</v>
      </c>
      <c r="AI98" s="111">
        <f>Table1[[#This Row],[£Cost / SHEET]]*(1+AI$1)</f>
        <v>124.33343075999998</v>
      </c>
      <c r="AJ98" s="111">
        <f>Table1[[#This Row],[£Cost / SHEET]]*(1+AJ$1)</f>
        <v>133.2143901</v>
      </c>
      <c r="AK98" s="222">
        <f>(Table1[[#This Row],[Qty 1]]*IF(Table1[[#This Row],[Dimension L1]]&lt;1,(Table1[[#This Row],[Length]]*Table1[[#This Row],[Width]]),(Table1[[#This Row],[Dimension L1]]*Table1[[#This Row],[Dimension W1]])))/1000000</f>
        <v>1.4444999999999999</v>
      </c>
      <c r="AL98" s="121"/>
    </row>
    <row r="99" spans="2:38" ht="25.35" customHeight="1">
      <c r="B99" s="7" t="s">
        <v>24</v>
      </c>
      <c r="C99" s="7" t="str">
        <f t="shared" si="11"/>
        <v>PL_8_3550_1310</v>
      </c>
      <c r="D99" s="7" t="str">
        <f>_xlfn.CONCAT(Table1[[#This Row],[ProductRecord.AccountReference]]," @ ",Table1[[#This Row],[KG/M2]],$H$2)</f>
        <v>PL_8_3550_1310 @ 62.8Kg/m2</v>
      </c>
      <c r="E99">
        <v>3550</v>
      </c>
      <c r="F99">
        <v>1310</v>
      </c>
      <c r="G99">
        <v>8</v>
      </c>
      <c r="H99" s="109">
        <f>G99*[1]Density!$D$6/1000</f>
        <v>62.8</v>
      </c>
      <c r="I99" s="161">
        <f t="shared" si="12"/>
        <v>292.0514</v>
      </c>
      <c r="J99">
        <v>3550</v>
      </c>
      <c r="K99">
        <v>1310</v>
      </c>
      <c r="L99">
        <v>1</v>
      </c>
      <c r="M99" t="s">
        <v>308</v>
      </c>
      <c r="N99" s="159"/>
      <c r="O99" s="202"/>
      <c r="P99" s="202"/>
      <c r="Q99" s="203"/>
      <c r="R99" s="201"/>
      <c r="S99" s="202"/>
      <c r="T99" s="202"/>
      <c r="U99" s="203"/>
      <c r="Z99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292.0514</v>
      </c>
      <c r="AA99" s="17">
        <f t="shared" si="9"/>
        <v>285.91832060000002</v>
      </c>
      <c r="AB99" s="17"/>
      <c r="AC99" s="10">
        <f>AC85</f>
        <v>979</v>
      </c>
      <c r="AD99" s="10">
        <f>Table1[[#This Row],[£/Tonne]]/1000*Table1[[#This Row],[KG/M2]]</f>
        <v>61.481199999999994</v>
      </c>
      <c r="AE99" s="10">
        <f>Table1[[#This Row],[£/Tonne]]/1000*Table1[[#This Row],[Kg/ Sheet]]</f>
        <v>285.91832060000002</v>
      </c>
      <c r="AF99" s="10"/>
      <c r="AG99" s="111">
        <f>Table1[[#This Row],[£Cost / SHEET]]*(1+AG$1)</f>
        <v>371.69381678000002</v>
      </c>
      <c r="AH99" s="111">
        <f>Table1[[#This Row],[£Cost / SHEET]]*(1+AH$1)</f>
        <v>385.98973281000002</v>
      </c>
      <c r="AI99" s="111">
        <f>Table1[[#This Row],[£Cost / SHEET]]*(1+AI$1)</f>
        <v>400.28564884000002</v>
      </c>
      <c r="AJ99" s="111">
        <f>Table1[[#This Row],[£Cost / SHEET]]*(1+AJ$1)</f>
        <v>428.87748090000002</v>
      </c>
      <c r="AK99" s="222">
        <f>(Table1[[#This Row],[Qty 1]]*IF(Table1[[#This Row],[Dimension L1]]&lt;1,(Table1[[#This Row],[Length]]*Table1[[#This Row],[Width]]),(Table1[[#This Row],[Dimension L1]]*Table1[[#This Row],[Dimension W1]])))/1000000</f>
        <v>4.6505000000000001</v>
      </c>
      <c r="AL99" s="121"/>
    </row>
    <row r="100" spans="2:38" ht="25.35" customHeight="1">
      <c r="B100" s="7" t="s">
        <v>24</v>
      </c>
      <c r="C100" s="7" t="str">
        <f t="shared" si="11"/>
        <v>PL_8_3650_1320</v>
      </c>
      <c r="D100" s="7" t="str">
        <f>_xlfn.CONCAT(Table1[[#This Row],[ProductRecord.AccountReference]]," @ ",Table1[[#This Row],[KG/M2]],$H$2)</f>
        <v>PL_8_3650_1320 @ 62.8Kg/m2</v>
      </c>
      <c r="E100">
        <v>3650</v>
      </c>
      <c r="F100">
        <v>1320</v>
      </c>
      <c r="G100">
        <v>8</v>
      </c>
      <c r="H100" s="109">
        <f>G100*[1]Density!$D$6/1000</f>
        <v>62.8</v>
      </c>
      <c r="I100" s="161">
        <f t="shared" si="12"/>
        <v>302.57040000000001</v>
      </c>
      <c r="J100">
        <v>3650</v>
      </c>
      <c r="K100">
        <v>1320</v>
      </c>
      <c r="L100">
        <v>1</v>
      </c>
      <c r="M100" t="s">
        <v>308</v>
      </c>
      <c r="N100" s="159"/>
      <c r="O100" s="202"/>
      <c r="P100" s="202"/>
      <c r="Q100" s="203"/>
      <c r="R100" s="201"/>
      <c r="S100" s="202"/>
      <c r="T100" s="202"/>
      <c r="U100" s="203"/>
      <c r="Z100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302.57039999999995</v>
      </c>
      <c r="AA100" s="17">
        <f t="shared" si="9"/>
        <v>296.21642159999999</v>
      </c>
      <c r="AB100" s="17"/>
      <c r="AC100" s="10">
        <f>AC85</f>
        <v>979</v>
      </c>
      <c r="AD100" s="10">
        <f>Table1[[#This Row],[£/Tonne]]/1000*Table1[[#This Row],[KG/M2]]</f>
        <v>61.481199999999994</v>
      </c>
      <c r="AE100" s="10">
        <f>Table1[[#This Row],[£/Tonne]]/1000*Table1[[#This Row],[Kg/ Sheet]]</f>
        <v>296.21642159999999</v>
      </c>
      <c r="AF100" s="10"/>
      <c r="AG100" s="111">
        <f>Table1[[#This Row],[£Cost / SHEET]]*(1+AG$1)</f>
        <v>385.08134808</v>
      </c>
      <c r="AH100" s="111">
        <f>Table1[[#This Row],[£Cost / SHEET]]*(1+AH$1)</f>
        <v>399.89216916000004</v>
      </c>
      <c r="AI100" s="111">
        <f>Table1[[#This Row],[£Cost / SHEET]]*(1+AI$1)</f>
        <v>414.70299023999996</v>
      </c>
      <c r="AJ100" s="111">
        <f>Table1[[#This Row],[£Cost / SHEET]]*(1+AJ$1)</f>
        <v>444.32463239999998</v>
      </c>
      <c r="AK100" s="222">
        <f>(Table1[[#This Row],[Qty 1]]*IF(Table1[[#This Row],[Dimension L1]]&lt;1,(Table1[[#This Row],[Length]]*Table1[[#This Row],[Width]]),(Table1[[#This Row],[Dimension L1]]*Table1[[#This Row],[Dimension W1]])))/1000000</f>
        <v>4.8179999999999996</v>
      </c>
      <c r="AL100" s="121"/>
    </row>
    <row r="101" spans="2:38" ht="25.35" customHeight="1">
      <c r="B101" s="7" t="s">
        <v>24</v>
      </c>
      <c r="C101" s="7" t="str">
        <f t="shared" si="11"/>
        <v>PL_8_3820_2000</v>
      </c>
      <c r="D101" s="7" t="str">
        <f>_xlfn.CONCAT(Table1[[#This Row],[ProductRecord.AccountReference]]," @ ",Table1[[#This Row],[KG/M2]],$H$2)</f>
        <v>PL_8_3820_2000 @ 62.8Kg/m2</v>
      </c>
      <c r="E101">
        <v>3820</v>
      </c>
      <c r="F101">
        <v>2000</v>
      </c>
      <c r="G101">
        <v>8</v>
      </c>
      <c r="H101" s="109">
        <f>G101*[1]Density!$D$6/1000</f>
        <v>62.8</v>
      </c>
      <c r="I101" s="161">
        <f t="shared" si="12"/>
        <v>479.79199999999997</v>
      </c>
      <c r="J101">
        <v>3820</v>
      </c>
      <c r="K101">
        <v>2000</v>
      </c>
      <c r="L101">
        <v>1</v>
      </c>
      <c r="M101" t="s">
        <v>308</v>
      </c>
      <c r="N101" s="159"/>
      <c r="O101" s="202"/>
      <c r="P101" s="202"/>
      <c r="Q101" s="203"/>
      <c r="R101" s="201"/>
      <c r="S101" s="202"/>
      <c r="T101" s="202"/>
      <c r="U101" s="203"/>
      <c r="Z101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479.79199999999997</v>
      </c>
      <c r="AA101" s="17">
        <f t="shared" si="9"/>
        <v>469.71636799999999</v>
      </c>
      <c r="AB101" s="17"/>
      <c r="AC101" s="10">
        <f>AC85</f>
        <v>979</v>
      </c>
      <c r="AD101" s="10">
        <f>Table1[[#This Row],[£/Tonne]]/1000*Table1[[#This Row],[KG/M2]]</f>
        <v>61.481199999999994</v>
      </c>
      <c r="AE101" s="10">
        <f>Table1[[#This Row],[£/Tonne]]/1000*Table1[[#This Row],[Kg/ Sheet]]</f>
        <v>469.71636799999999</v>
      </c>
      <c r="AF101" s="10"/>
      <c r="AG101" s="111">
        <f>Table1[[#This Row],[£Cost / SHEET]]*(1+AG$1)</f>
        <v>610.63127840000004</v>
      </c>
      <c r="AH101" s="111">
        <f>Table1[[#This Row],[£Cost / SHEET]]*(1+AH$1)</f>
        <v>634.11709680000001</v>
      </c>
      <c r="AI101" s="111">
        <f>Table1[[#This Row],[£Cost / SHEET]]*(1+AI$1)</f>
        <v>657.60291519999998</v>
      </c>
      <c r="AJ101" s="111">
        <f>Table1[[#This Row],[£Cost / SHEET]]*(1+AJ$1)</f>
        <v>704.57455200000004</v>
      </c>
      <c r="AK101" s="222">
        <f>(Table1[[#This Row],[Qty 1]]*IF(Table1[[#This Row],[Dimension L1]]&lt;1,(Table1[[#This Row],[Length]]*Table1[[#This Row],[Width]]),(Table1[[#This Row],[Dimension L1]]*Table1[[#This Row],[Dimension W1]])))/1000000</f>
        <v>7.64</v>
      </c>
      <c r="AL101" s="121"/>
    </row>
    <row r="102" spans="2:38" ht="25.35" customHeight="1">
      <c r="B102" s="7" t="s">
        <v>24</v>
      </c>
      <c r="C102" s="7" t="str">
        <f t="shared" si="11"/>
        <v>PL_8_4200_1500</v>
      </c>
      <c r="D102" s="7" t="str">
        <f>_xlfn.CONCAT(Table1[[#This Row],[ProductRecord.AccountReference]]," @ ",Table1[[#This Row],[KG/M2]],$H$2)</f>
        <v>PL_8_4200_1500 @ 62.8Kg/m2</v>
      </c>
      <c r="E102">
        <v>4200</v>
      </c>
      <c r="F102">
        <v>1500</v>
      </c>
      <c r="G102">
        <v>8</v>
      </c>
      <c r="H102" s="109">
        <f>G102*[1]Density!$D$6/1000</f>
        <v>62.8</v>
      </c>
      <c r="I102" s="161">
        <f t="shared" si="12"/>
        <v>395.64</v>
      </c>
      <c r="J102">
        <v>4200</v>
      </c>
      <c r="K102">
        <v>1500</v>
      </c>
      <c r="L102">
        <v>2</v>
      </c>
      <c r="M102" t="s">
        <v>308</v>
      </c>
      <c r="N102" s="159"/>
      <c r="O102" s="202"/>
      <c r="P102" s="202"/>
      <c r="Q102" s="203"/>
      <c r="R102" s="201"/>
      <c r="S102" s="202"/>
      <c r="T102" s="202"/>
      <c r="U102" s="203"/>
      <c r="Z102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791.28</v>
      </c>
      <c r="AA102" s="17">
        <f t="shared" si="9"/>
        <v>545.19191999999998</v>
      </c>
      <c r="AB102" s="17"/>
      <c r="AC102" s="10">
        <v>689</v>
      </c>
      <c r="AD102" s="10">
        <f>Table1[[#This Row],[£/Tonne]]/1000*Table1[[#This Row],[KG/M2]]</f>
        <v>43.269199999999998</v>
      </c>
      <c r="AE102" s="10">
        <f>Table1[[#This Row],[£/Tonne]]/1000*Table1[[#This Row],[Kg/ Sheet]]</f>
        <v>272.59595999999999</v>
      </c>
      <c r="AF102" s="10"/>
      <c r="AG102" s="111">
        <f>Table1[[#This Row],[£Cost / SHEET]]*(1+AG$1)</f>
        <v>354.37474800000001</v>
      </c>
      <c r="AH102" s="111">
        <f>Table1[[#This Row],[£Cost / SHEET]]*(1+AH$1)</f>
        <v>368.004546</v>
      </c>
      <c r="AI102" s="111">
        <f>Table1[[#This Row],[£Cost / SHEET]]*(1+AI$1)</f>
        <v>381.63434399999994</v>
      </c>
      <c r="AJ102" s="111">
        <f>Table1[[#This Row],[£Cost / SHEET]]*(1+AJ$1)</f>
        <v>408.89393999999999</v>
      </c>
      <c r="AK102" s="222">
        <f>(Table1[[#This Row],[Qty 1]]*IF(Table1[[#This Row],[Dimension L1]]&lt;1,(Table1[[#This Row],[Length]]*Table1[[#This Row],[Width]]),(Table1[[#This Row],[Dimension L1]]*Table1[[#This Row],[Dimension W1]])))/1000000</f>
        <v>12.6</v>
      </c>
      <c r="AL102" s="121"/>
    </row>
    <row r="103" spans="2:38" ht="25.35" customHeight="1">
      <c r="B103" s="7" t="s">
        <v>24</v>
      </c>
      <c r="C103" s="7" t="str">
        <f t="shared" si="11"/>
        <v>PL_8_5000_890</v>
      </c>
      <c r="D103" s="7" t="str">
        <f>_xlfn.CONCAT(Table1[[#This Row],[ProductRecord.AccountReference]]," @ ",Table1[[#This Row],[KG/M2]],$H$2)</f>
        <v>PL_8_5000_890 @ 62.8Kg/m2</v>
      </c>
      <c r="E103">
        <v>5000</v>
      </c>
      <c r="F103">
        <v>890</v>
      </c>
      <c r="G103">
        <v>8</v>
      </c>
      <c r="H103" s="109">
        <f>G103*[1]Density!$D$6/1000</f>
        <v>62.8</v>
      </c>
      <c r="I103" s="161">
        <f t="shared" si="12"/>
        <v>279.45999999999998</v>
      </c>
      <c r="J103">
        <v>5000</v>
      </c>
      <c r="K103">
        <v>890</v>
      </c>
      <c r="L103">
        <v>1</v>
      </c>
      <c r="M103" t="s">
        <v>308</v>
      </c>
      <c r="N103" s="159"/>
      <c r="O103" s="202"/>
      <c r="P103" s="202"/>
      <c r="Q103" s="203"/>
      <c r="R103" s="201"/>
      <c r="S103" s="202"/>
      <c r="T103" s="202"/>
      <c r="U103" s="203"/>
      <c r="Z103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279.45999999999998</v>
      </c>
      <c r="AA103" s="17">
        <f t="shared" si="9"/>
        <v>248.43993999999998</v>
      </c>
      <c r="AB103" s="17"/>
      <c r="AC103" s="10">
        <f>AC104</f>
        <v>889</v>
      </c>
      <c r="AD103" s="10">
        <f>Table1[[#This Row],[£/Tonne]]/1000*Table1[[#This Row],[KG/M2]]</f>
        <v>55.8292</v>
      </c>
      <c r="AE103" s="10">
        <f>Table1[[#This Row],[£/Tonne]]/1000*Table1[[#This Row],[Kg/ Sheet]]</f>
        <v>248.43993999999998</v>
      </c>
      <c r="AF103" s="10"/>
      <c r="AG103" s="111">
        <f>Table1[[#This Row],[£Cost / SHEET]]*(1+AG$1)</f>
        <v>322.97192200000001</v>
      </c>
      <c r="AH103" s="111">
        <f>Table1[[#This Row],[£Cost / SHEET]]*(1+AH$1)</f>
        <v>335.39391899999998</v>
      </c>
      <c r="AI103" s="111">
        <f>Table1[[#This Row],[£Cost / SHEET]]*(1+AI$1)</f>
        <v>347.81591599999996</v>
      </c>
      <c r="AJ103" s="111">
        <f>Table1[[#This Row],[£Cost / SHEET]]*(1+AJ$1)</f>
        <v>372.65990999999997</v>
      </c>
      <c r="AK103" s="222">
        <f>(Table1[[#This Row],[Qty 1]]*IF(Table1[[#This Row],[Dimension L1]]&lt;1,(Table1[[#This Row],[Length]]*Table1[[#This Row],[Width]]),(Table1[[#This Row],[Dimension L1]]*Table1[[#This Row],[Dimension W1]])))/1000000</f>
        <v>4.45</v>
      </c>
      <c r="AL103" s="121"/>
    </row>
    <row r="104" spans="2:38" ht="25.35" customHeight="1">
      <c r="B104" s="7" t="s">
        <v>24</v>
      </c>
      <c r="C104" s="7" t="str">
        <f t="shared" si="11"/>
        <v>PL_8_5000_2020</v>
      </c>
      <c r="D104" s="7" t="str">
        <f>_xlfn.CONCAT(Table1[[#This Row],[ProductRecord.AccountReference]]," @ ",Table1[[#This Row],[KG/M2]],$H$2)</f>
        <v>PL_8_5000_2020 @ 62.8Kg/m2</v>
      </c>
      <c r="E104">
        <v>5000</v>
      </c>
      <c r="F104">
        <v>2020</v>
      </c>
      <c r="G104">
        <v>8</v>
      </c>
      <c r="H104" s="109">
        <f>G104*[1]Density!$D$6/1000</f>
        <v>62.8</v>
      </c>
      <c r="I104" s="161">
        <f t="shared" si="12"/>
        <v>634.28</v>
      </c>
      <c r="J104">
        <v>5000</v>
      </c>
      <c r="K104">
        <v>2020</v>
      </c>
      <c r="L104">
        <v>1</v>
      </c>
      <c r="M104" t="s">
        <v>308</v>
      </c>
      <c r="N104" s="159"/>
      <c r="O104" s="202"/>
      <c r="P104" s="202"/>
      <c r="Q104" s="203"/>
      <c r="R104" s="201"/>
      <c r="S104" s="202"/>
      <c r="T104" s="202"/>
      <c r="U104" s="203"/>
      <c r="Z104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634.28</v>
      </c>
      <c r="AA104" s="17">
        <f t="shared" si="9"/>
        <v>563.87491999999997</v>
      </c>
      <c r="AB104" s="17"/>
      <c r="AC104" s="10">
        <v>889</v>
      </c>
      <c r="AD104" s="10">
        <f>Table1[[#This Row],[£/Tonne]]/1000*Table1[[#This Row],[KG/M2]]</f>
        <v>55.8292</v>
      </c>
      <c r="AE104" s="10">
        <f>Table1[[#This Row],[£/Tonne]]/1000*Table1[[#This Row],[Kg/ Sheet]]</f>
        <v>563.87491999999997</v>
      </c>
      <c r="AF104" s="10"/>
      <c r="AG104" s="111">
        <f>Table1[[#This Row],[£Cost / SHEET]]*(1+AG$1)</f>
        <v>733.03739599999994</v>
      </c>
      <c r="AH104" s="111">
        <f>Table1[[#This Row],[£Cost / SHEET]]*(1+AH$1)</f>
        <v>761.23114199999998</v>
      </c>
      <c r="AI104" s="111">
        <f>Table1[[#This Row],[£Cost / SHEET]]*(1+AI$1)</f>
        <v>789.4248879999999</v>
      </c>
      <c r="AJ104" s="111">
        <f>Table1[[#This Row],[£Cost / SHEET]]*(1+AJ$1)</f>
        <v>845.81237999999996</v>
      </c>
      <c r="AK104" s="222">
        <f>(Table1[[#This Row],[Qty 1]]*IF(Table1[[#This Row],[Dimension L1]]&lt;1,(Table1[[#This Row],[Length]]*Table1[[#This Row],[Width]]),(Table1[[#This Row],[Dimension L1]]*Table1[[#This Row],[Dimension W1]])))/1000000</f>
        <v>10.1</v>
      </c>
      <c r="AL104" s="121"/>
    </row>
    <row r="105" spans="2:38" ht="25.35" customHeight="1">
      <c r="B105" s="7" t="s">
        <v>24</v>
      </c>
      <c r="C105" s="7" t="str">
        <f t="shared" si="11"/>
        <v>PL_8_6500_2700</v>
      </c>
      <c r="D105" s="7" t="str">
        <f>_xlfn.CONCAT(Table1[[#This Row],[ProductRecord.AccountReference]]," @ ",Table1[[#This Row],[KG/M2]],$H$2)</f>
        <v>PL_8_6500_2700 @ 62.8Kg/m2</v>
      </c>
      <c r="E105">
        <v>6500</v>
      </c>
      <c r="F105">
        <v>2700</v>
      </c>
      <c r="G105">
        <v>8</v>
      </c>
      <c r="H105" s="109">
        <f>G105*[1]Density!$D$6/1000</f>
        <v>62.8</v>
      </c>
      <c r="I105" s="161">
        <f t="shared" si="12"/>
        <v>1102.1400000000001</v>
      </c>
      <c r="J105">
        <v>6500</v>
      </c>
      <c r="K105">
        <v>2700</v>
      </c>
      <c r="L105">
        <v>1</v>
      </c>
      <c r="M105" t="s">
        <v>239</v>
      </c>
      <c r="N105" s="159"/>
      <c r="O105" s="202"/>
      <c r="P105" s="202"/>
      <c r="Q105" s="203"/>
      <c r="R105" s="201"/>
      <c r="S105" s="202"/>
      <c r="T105" s="202"/>
      <c r="U105" s="203"/>
      <c r="Z105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1102.1400000000001</v>
      </c>
      <c r="AA105" s="17">
        <f t="shared" si="9"/>
        <v>1288.4016600000002</v>
      </c>
      <c r="AB105" s="17"/>
      <c r="AC105" s="10">
        <v>1169</v>
      </c>
      <c r="AD105" s="10">
        <f>Table1[[#This Row],[£/Tonne]]/1000*Table1[[#This Row],[KG/M2]]</f>
        <v>73.413200000000003</v>
      </c>
      <c r="AE105" s="10">
        <f>Table1[[#This Row],[£/Tonne]]/1000*Table1[[#This Row],[Kg/ Sheet]]</f>
        <v>1288.4016600000002</v>
      </c>
      <c r="AF105" s="10"/>
      <c r="AG105" s="111">
        <f>Table1[[#This Row],[£Cost / SHEET]]*(1+AG$1)</f>
        <v>1674.9221580000003</v>
      </c>
      <c r="AH105" s="111">
        <f>Table1[[#This Row],[£Cost / SHEET]]*(1+AH$1)</f>
        <v>1739.3422410000005</v>
      </c>
      <c r="AI105" s="111">
        <f>Table1[[#This Row],[£Cost / SHEET]]*(1+AI$1)</f>
        <v>1803.7623240000003</v>
      </c>
      <c r="AJ105" s="111">
        <f>Table1[[#This Row],[£Cost / SHEET]]*(1+AJ$1)</f>
        <v>1932.6024900000002</v>
      </c>
      <c r="AK105" s="222">
        <f>(Table1[[#This Row],[Qty 1]]*IF(Table1[[#This Row],[Dimension L1]]&lt;1,(Table1[[#This Row],[Length]]*Table1[[#This Row],[Width]]),(Table1[[#This Row],[Dimension L1]]*Table1[[#This Row],[Dimension W1]])))/1000000</f>
        <v>17.55</v>
      </c>
      <c r="AL105" s="121"/>
    </row>
    <row r="106" spans="2:38" ht="25.35" customHeight="1">
      <c r="B106" s="7" t="s">
        <v>24</v>
      </c>
      <c r="C106" s="7" t="str">
        <f t="shared" si="11"/>
        <v>PL_8_7000_1500</v>
      </c>
      <c r="D106" s="7" t="str">
        <f>_xlfn.CONCAT(Table1[[#This Row],[ProductRecord.AccountReference]]," @ ",Table1[[#This Row],[KG/M2]],$H$2)</f>
        <v>PL_8_7000_1500 @ 62.8Kg/m2</v>
      </c>
      <c r="E106">
        <v>7000</v>
      </c>
      <c r="F106">
        <v>1500</v>
      </c>
      <c r="G106">
        <v>8</v>
      </c>
      <c r="H106" s="109">
        <f>G106*[1]Density!$D$6/1000</f>
        <v>62.8</v>
      </c>
      <c r="I106" s="161">
        <f t="shared" si="12"/>
        <v>659.4</v>
      </c>
      <c r="J106">
        <v>7000</v>
      </c>
      <c r="K106">
        <v>1500</v>
      </c>
      <c r="L106">
        <v>3</v>
      </c>
      <c r="M106" t="s">
        <v>239</v>
      </c>
      <c r="N106" s="159"/>
      <c r="O106" s="202"/>
      <c r="P106" s="202"/>
      <c r="Q106" s="203"/>
      <c r="R106" s="201"/>
      <c r="S106" s="202"/>
      <c r="T106" s="202"/>
      <c r="U106" s="203"/>
      <c r="Z106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1978.1999999999998</v>
      </c>
      <c r="AA106" s="17">
        <f t="shared" si="9"/>
        <v>2312.5157999999997</v>
      </c>
      <c r="AB106" s="17"/>
      <c r="AC106" s="10">
        <v>1169</v>
      </c>
      <c r="AD106" s="10">
        <f>Table1[[#This Row],[£/Tonne]]/1000*Table1[[#This Row],[KG/M2]]</f>
        <v>73.413200000000003</v>
      </c>
      <c r="AE106" s="10">
        <f>Table1[[#This Row],[£/Tonne]]/1000*Table1[[#This Row],[Kg/ Sheet]]</f>
        <v>770.83860000000004</v>
      </c>
      <c r="AF106" s="10"/>
      <c r="AG106" s="111">
        <f>Table1[[#This Row],[£Cost / SHEET]]*(1+AG$1)</f>
        <v>1002.0901800000001</v>
      </c>
      <c r="AH106" s="111">
        <f>Table1[[#This Row],[£Cost / SHEET]]*(1+AH$1)</f>
        <v>1040.6321100000002</v>
      </c>
      <c r="AI106" s="111">
        <f>Table1[[#This Row],[£Cost / SHEET]]*(1+AI$1)</f>
        <v>1079.1740399999999</v>
      </c>
      <c r="AJ106" s="111">
        <f>Table1[[#This Row],[£Cost / SHEET]]*(1+AJ$1)</f>
        <v>1156.2579000000001</v>
      </c>
      <c r="AK106" s="222">
        <f>(Table1[[#This Row],[Qty 1]]*IF(Table1[[#This Row],[Dimension L1]]&lt;1,(Table1[[#This Row],[Length]]*Table1[[#This Row],[Width]]),(Table1[[#This Row],[Dimension L1]]*Table1[[#This Row],[Dimension W1]])))/1000000</f>
        <v>31.5</v>
      </c>
      <c r="AL106" s="121"/>
    </row>
    <row r="107" spans="2:38" ht="25.35" customHeight="1">
      <c r="B107" s="7" t="s">
        <v>24</v>
      </c>
      <c r="C107" s="7" t="str">
        <f t="shared" si="11"/>
        <v>PL_8_7550_2370</v>
      </c>
      <c r="D107" s="7" t="str">
        <f>_xlfn.CONCAT(Table1[[#This Row],[ProductRecord.AccountReference]]," @ ",Table1[[#This Row],[KG/M2]],$H$2)</f>
        <v>PL_8_7550_2370 @ 62.8Kg/m2</v>
      </c>
      <c r="E107">
        <v>7550</v>
      </c>
      <c r="F107">
        <v>2370</v>
      </c>
      <c r="G107">
        <v>8</v>
      </c>
      <c r="H107" s="109">
        <f>G107*[1]Density!$D$6/1000</f>
        <v>62.8</v>
      </c>
      <c r="I107" s="161">
        <f t="shared" si="12"/>
        <v>1123.7118</v>
      </c>
      <c r="J107">
        <v>7550</v>
      </c>
      <c r="K107">
        <v>2370</v>
      </c>
      <c r="L107">
        <v>1</v>
      </c>
      <c r="M107" t="s">
        <v>239</v>
      </c>
      <c r="N107" s="159"/>
      <c r="O107" s="202"/>
      <c r="P107" s="202"/>
      <c r="Q107" s="203"/>
      <c r="R107" s="201"/>
      <c r="S107" s="202"/>
      <c r="T107" s="202"/>
      <c r="U107" s="203"/>
      <c r="Z107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1123.7117999999998</v>
      </c>
      <c r="AA107" s="17">
        <f t="shared" si="9"/>
        <v>1313.6190941999996</v>
      </c>
      <c r="AB107" s="17"/>
      <c r="AC107" s="10">
        <v>1169</v>
      </c>
      <c r="AD107" s="10">
        <f>Table1[[#This Row],[£/Tonne]]/1000*Table1[[#This Row],[KG/M2]]</f>
        <v>73.413200000000003</v>
      </c>
      <c r="AE107" s="10">
        <f>Table1[[#This Row],[£/Tonne]]/1000*Table1[[#This Row],[Kg/ Sheet]]</f>
        <v>1313.6190942000001</v>
      </c>
      <c r="AF107" s="10"/>
      <c r="AG107" s="111">
        <f>Table1[[#This Row],[£Cost / SHEET]]*(1+AG$1)</f>
        <v>1707.7048224600001</v>
      </c>
      <c r="AH107" s="111">
        <f>Table1[[#This Row],[£Cost / SHEET]]*(1+AH$1)</f>
        <v>1773.3857771700002</v>
      </c>
      <c r="AI107" s="111">
        <f>Table1[[#This Row],[£Cost / SHEET]]*(1+AI$1)</f>
        <v>1839.0667318799999</v>
      </c>
      <c r="AJ107" s="111">
        <f>Table1[[#This Row],[£Cost / SHEET]]*(1+AJ$1)</f>
        <v>1970.4286413</v>
      </c>
      <c r="AK107" s="222">
        <f>(Table1[[#This Row],[Qty 1]]*IF(Table1[[#This Row],[Dimension L1]]&lt;1,(Table1[[#This Row],[Length]]*Table1[[#This Row],[Width]]),(Table1[[#This Row],[Dimension L1]]*Table1[[#This Row],[Dimension W1]])))/1000000</f>
        <v>17.8935</v>
      </c>
      <c r="AL107" s="121"/>
    </row>
    <row r="108" spans="2:38" ht="25.35" customHeight="1">
      <c r="B108" s="7" t="s">
        <v>24</v>
      </c>
      <c r="C108" s="7" t="str">
        <f t="shared" si="11"/>
        <v>PL___</v>
      </c>
      <c r="D108" s="7" t="str">
        <f>_xlfn.CONCAT(Table1[[#This Row],[ProductRecord.AccountReference]]," @ ",Table1[[#This Row],[KG/M2]],$H$2)</f>
        <v>PL___ @ Kg/m2</v>
      </c>
      <c r="H108" s="109"/>
      <c r="I108" s="110"/>
      <c r="J108" s="159"/>
      <c r="K108" s="161"/>
      <c r="L108" s="161"/>
      <c r="M108" s="110"/>
      <c r="N108" s="159"/>
      <c r="O108" s="202"/>
      <c r="P108" s="202"/>
      <c r="Q108" s="203"/>
      <c r="R108" s="201"/>
      <c r="S108" s="202"/>
      <c r="T108" s="202"/>
      <c r="U108" s="203"/>
      <c r="Z108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108" s="17">
        <f t="shared" si="9"/>
        <v>0</v>
      </c>
      <c r="AB108" s="17"/>
      <c r="AC108" s="10"/>
      <c r="AD108" s="10">
        <f>Table1[[#This Row],[£/Tonne]]/1000*Table1[[#This Row],[KG/M2]]</f>
        <v>0</v>
      </c>
      <c r="AE108" s="10">
        <f>Table1[[#This Row],[£/Tonne]]/1000*Table1[[#This Row],[Kg/ Sheet]]</f>
        <v>0</v>
      </c>
      <c r="AF108" s="10"/>
      <c r="AG108" s="111">
        <f>Table1[[#This Row],[£Cost / SHEET]]*(1+AG$1)</f>
        <v>0</v>
      </c>
      <c r="AH108" s="111">
        <f>Table1[[#This Row],[£Cost / SHEET]]*(1+AH$1)</f>
        <v>0</v>
      </c>
      <c r="AI108" s="111">
        <f>Table1[[#This Row],[£Cost / SHEET]]*(1+AI$1)</f>
        <v>0</v>
      </c>
      <c r="AJ108" s="111">
        <f>Table1[[#This Row],[£Cost / SHEET]]*(1+AJ$1)</f>
        <v>0</v>
      </c>
      <c r="AK108" s="222">
        <f>(Table1[[#This Row],[Qty 1]]*IF(Table1[[#This Row],[Dimension L1]]&lt;1,(Table1[[#This Row],[Length]]*Table1[[#This Row],[Width]]),(Table1[[#This Row],[Dimension L1]]*Table1[[#This Row],[Dimension W1]])))/1000000</f>
        <v>0</v>
      </c>
      <c r="AL108" s="121"/>
    </row>
    <row r="109" spans="2:38" ht="25.35" customHeight="1">
      <c r="H109" s="109"/>
      <c r="I109" s="110"/>
      <c r="J109" s="159"/>
      <c r="K109" s="161"/>
      <c r="L109" s="161"/>
      <c r="M109" s="196"/>
      <c r="N109" s="159"/>
      <c r="O109" s="202"/>
      <c r="P109" s="202"/>
      <c r="Q109" s="203"/>
      <c r="R109" s="201"/>
      <c r="S109" s="202"/>
      <c r="T109" s="202"/>
      <c r="U109" s="203"/>
      <c r="Z109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109" s="17">
        <f t="shared" si="9"/>
        <v>0</v>
      </c>
      <c r="AB109" s="17"/>
      <c r="AC109" s="10"/>
      <c r="AD109" s="10">
        <f>Table1[[#This Row],[£/Tonne]]/1000*Table1[[#This Row],[KG/M2]]</f>
        <v>0</v>
      </c>
      <c r="AE109" s="10">
        <f>Table1[[#This Row],[£/Tonne]]/1000*Table1[[#This Row],[Kg/ Sheet]]</f>
        <v>0</v>
      </c>
      <c r="AF109" s="10"/>
      <c r="AG109" s="111">
        <f>Table1[[#This Row],[£Cost / SHEET]]*(1+AG$1)</f>
        <v>0</v>
      </c>
      <c r="AH109" s="111">
        <f>Table1[[#This Row],[£Cost / SHEET]]*(1+AH$1)</f>
        <v>0</v>
      </c>
      <c r="AI109" s="111">
        <f>Table1[[#This Row],[£Cost / SHEET]]*(1+AI$1)</f>
        <v>0</v>
      </c>
      <c r="AJ109" s="111">
        <f>Table1[[#This Row],[£Cost / SHEET]]*(1+AJ$1)</f>
        <v>0</v>
      </c>
      <c r="AK109" s="222">
        <f>(Table1[[#This Row],[Qty 1]]*IF(Table1[[#This Row],[Dimension L1]]&lt;1,(Table1[[#This Row],[Length]]*Table1[[#This Row],[Width]]),(Table1[[#This Row],[Dimension L1]]*Table1[[#This Row],[Dimension W1]])))/1000000</f>
        <v>0</v>
      </c>
      <c r="AL109" s="121"/>
    </row>
    <row r="110" spans="2:38" ht="25.35" customHeight="1">
      <c r="B110" s="7" t="s">
        <v>24</v>
      </c>
      <c r="C110" s="7" t="str">
        <f t="shared" si="2"/>
        <v>PL_10_2340_1220</v>
      </c>
      <c r="D110" s="7" t="str">
        <f>_xlfn.CONCAT(Table1[[#This Row],[ProductRecord.AccountReference]]," @ ",Table1[[#This Row],[KG/M2]],$H$2)</f>
        <v>PL_10_2340_1220 @ 78.5Kg/m2</v>
      </c>
      <c r="E110" s="27">
        <v>2340</v>
      </c>
      <c r="F110" s="27">
        <v>1220</v>
      </c>
      <c r="G110" s="32">
        <v>10</v>
      </c>
      <c r="H110" s="109">
        <f>G110*[1]Density!$D$6/1000</f>
        <v>78.5</v>
      </c>
      <c r="I110" s="161">
        <f t="shared" si="0"/>
        <v>224.1018</v>
      </c>
      <c r="J110" s="164">
        <v>1700</v>
      </c>
      <c r="K110" s="165">
        <v>1230</v>
      </c>
      <c r="L110" s="165">
        <v>1</v>
      </c>
      <c r="M110" s="196" t="s">
        <v>239</v>
      </c>
      <c r="N110" s="164">
        <v>8500</v>
      </c>
      <c r="O110" s="202">
        <v>580</v>
      </c>
      <c r="P110" s="202">
        <v>1</v>
      </c>
      <c r="Q110" s="203" t="s">
        <v>239</v>
      </c>
      <c r="R110" s="201"/>
      <c r="S110" s="202"/>
      <c r="T110" s="202"/>
      <c r="U110" s="203"/>
      <c r="Z110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551.14850000000001</v>
      </c>
      <c r="AA110" s="17">
        <f t="shared" si="9"/>
        <v>247.46567650000003</v>
      </c>
      <c r="AB110" s="17"/>
      <c r="AC110" s="10">
        <v>449</v>
      </c>
      <c r="AD110" s="10">
        <f>Table1[[#This Row],[£/Tonne]]/1000*Table1[[#This Row],[KG/M2]]</f>
        <v>35.246499999999997</v>
      </c>
      <c r="AE110" s="10">
        <f>Table1[[#This Row],[£/Tonne]]/1000*Table1[[#This Row],[Kg/ Sheet]]</f>
        <v>100.6217082</v>
      </c>
      <c r="AF110" s="10"/>
      <c r="AG110" s="111">
        <f>Table1[[#This Row],[£Cost / SHEET]]*(1+AG$1)</f>
        <v>130.80822066000002</v>
      </c>
      <c r="AH110" s="111">
        <f>Table1[[#This Row],[£Cost / SHEET]]*(1+AH$1)</f>
        <v>135.83930607000002</v>
      </c>
      <c r="AI110" s="111">
        <f>Table1[[#This Row],[£Cost / SHEET]]*(1+AI$1)</f>
        <v>140.87039147999999</v>
      </c>
      <c r="AJ110" s="111">
        <f>Table1[[#This Row],[£Cost / SHEET]]*(1+AJ$1)</f>
        <v>150.9325623</v>
      </c>
      <c r="AK110" s="222">
        <f>(Table1[[#This Row],[Qty 1]]*IF(Table1[[#This Row],[Dimension L1]]&lt;1,(Table1[[#This Row],[Length]]*Table1[[#This Row],[Width]]),(Table1[[#This Row],[Dimension L1]]*Table1[[#This Row],[Dimension W1]])))/1000000</f>
        <v>2.0910000000000002</v>
      </c>
      <c r="AL110" s="121"/>
    </row>
    <row r="111" spans="2:38" ht="25.35" customHeight="1">
      <c r="B111" s="7" t="s">
        <v>24</v>
      </c>
      <c r="C111" s="7" t="str">
        <f t="shared" si="2"/>
        <v>PL_10_2460_1250</v>
      </c>
      <c r="D111" s="7" t="str">
        <f>_xlfn.CONCAT(Table1[[#This Row],[ProductRecord.AccountReference]]," @ ",Table1[[#This Row],[KG/M2]],$H$2)</f>
        <v>PL_10_2460_1250 @ 78.5Kg/m2</v>
      </c>
      <c r="E111" s="27">
        <v>2460</v>
      </c>
      <c r="F111" s="27">
        <v>1250</v>
      </c>
      <c r="G111" s="32">
        <v>10</v>
      </c>
      <c r="H111" s="109">
        <f>G111*[1]Density!$D$6/1000</f>
        <v>78.5</v>
      </c>
      <c r="I111" s="161">
        <f t="shared" si="0"/>
        <v>241.38749999999999</v>
      </c>
      <c r="J111" s="164">
        <v>2440</v>
      </c>
      <c r="K111" s="165">
        <v>1600</v>
      </c>
      <c r="L111" s="165">
        <v>2</v>
      </c>
      <c r="M111" s="196" t="s">
        <v>306</v>
      </c>
      <c r="N111" s="164">
        <v>2500</v>
      </c>
      <c r="O111" s="202">
        <v>2500</v>
      </c>
      <c r="P111" s="202">
        <v>1</v>
      </c>
      <c r="Q111" s="203" t="s">
        <v>306</v>
      </c>
      <c r="R111" s="201"/>
      <c r="S111" s="202"/>
      <c r="T111" s="202"/>
      <c r="U111" s="203"/>
      <c r="Z111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1103.5529999999999</v>
      </c>
      <c r="AA111" s="17">
        <f t="shared" si="9"/>
        <v>518.66990999999985</v>
      </c>
      <c r="AB111" s="17"/>
      <c r="AC111" s="10">
        <v>470</v>
      </c>
      <c r="AD111" s="10">
        <f>Table1[[#This Row],[£/Tonne]]/1000*Table1[[#This Row],[KG/M2]]</f>
        <v>36.894999999999996</v>
      </c>
      <c r="AE111" s="10">
        <f>Table1[[#This Row],[£/Tonne]]/1000*Table1[[#This Row],[Kg/ Sheet]]</f>
        <v>113.452125</v>
      </c>
      <c r="AF111" s="10"/>
      <c r="AG111" s="111">
        <f>Table1[[#This Row],[£Cost / SHEET]]*(1+AG$1)</f>
        <v>147.4877625</v>
      </c>
      <c r="AH111" s="111">
        <f>Table1[[#This Row],[£Cost / SHEET]]*(1+AH$1)</f>
        <v>153.16036875</v>
      </c>
      <c r="AI111" s="111">
        <f>Table1[[#This Row],[£Cost / SHEET]]*(1+AI$1)</f>
        <v>158.83297499999998</v>
      </c>
      <c r="AJ111" s="111">
        <f>Table1[[#This Row],[£Cost / SHEET]]*(1+AJ$1)</f>
        <v>170.17818749999998</v>
      </c>
      <c r="AK111" s="222">
        <f>(Table1[[#This Row],[Qty 1]]*IF(Table1[[#This Row],[Dimension L1]]&lt;1,(Table1[[#This Row],[Length]]*Table1[[#This Row],[Width]]),(Table1[[#This Row],[Dimension L1]]*Table1[[#This Row],[Dimension W1]])))/1000000</f>
        <v>7.8079999999999998</v>
      </c>
      <c r="AL111" s="121"/>
    </row>
    <row r="112" spans="2:38" ht="25.35" customHeight="1">
      <c r="B112" s="7" t="s">
        <v>24</v>
      </c>
      <c r="C112" s="7" t="str">
        <f t="shared" si="2"/>
        <v>PL_10_2500_1250</v>
      </c>
      <c r="D112" s="7" t="str">
        <f>_xlfn.CONCAT(Table1[[#This Row],[ProductRecord.AccountReference]]," @ ",Table1[[#This Row],[KG/M2]],$H$2)</f>
        <v>PL_10_2500_1250 @ 78.5Kg/m2</v>
      </c>
      <c r="E112" s="27">
        <v>2500</v>
      </c>
      <c r="F112" s="27">
        <v>1250</v>
      </c>
      <c r="G112" s="32">
        <v>10</v>
      </c>
      <c r="H112" s="109">
        <f>G112*[1]Density!$D$6/1000</f>
        <v>78.5</v>
      </c>
      <c r="I112" s="161">
        <f t="shared" si="0"/>
        <v>245.3125</v>
      </c>
      <c r="J112" s="164">
        <v>1330</v>
      </c>
      <c r="K112" s="165">
        <v>1230</v>
      </c>
      <c r="L112" s="165">
        <v>1</v>
      </c>
      <c r="M112" s="196" t="s">
        <v>306</v>
      </c>
      <c r="N112" s="164"/>
      <c r="O112" s="202"/>
      <c r="P112" s="202"/>
      <c r="Q112" s="203"/>
      <c r="R112" s="201"/>
      <c r="S112" s="202"/>
      <c r="T112" s="202"/>
      <c r="U112" s="203"/>
      <c r="Z112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128.41815</v>
      </c>
      <c r="AA112" s="17">
        <f t="shared" si="9"/>
        <v>138.04951125000002</v>
      </c>
      <c r="AB112" s="17"/>
      <c r="AC112" s="218">
        <v>1075</v>
      </c>
      <c r="AD112" s="10">
        <f>Table1[[#This Row],[£/Tonne]]/1000*Table1[[#This Row],[KG/M2]]</f>
        <v>84.387500000000003</v>
      </c>
      <c r="AE112" s="10">
        <f>Table1[[#This Row],[£/Tonne]]/1000*Table1[[#This Row],[Kg/ Sheet]]</f>
        <v>263.7109375</v>
      </c>
      <c r="AF112" s="10"/>
      <c r="AG112" s="111">
        <f>Table1[[#This Row],[£Cost / SHEET]]*(1+AG$1)</f>
        <v>342.82421875</v>
      </c>
      <c r="AH112" s="111">
        <f>Table1[[#This Row],[£Cost / SHEET]]*(1+AH$1)</f>
        <v>356.009765625</v>
      </c>
      <c r="AI112" s="111">
        <f>Table1[[#This Row],[£Cost / SHEET]]*(1+AI$1)</f>
        <v>369.1953125</v>
      </c>
      <c r="AJ112" s="111">
        <f>Table1[[#This Row],[£Cost / SHEET]]*(1+AJ$1)</f>
        <v>395.56640625</v>
      </c>
      <c r="AK112" s="222">
        <f>(Table1[[#This Row],[Qty 1]]*IF(Table1[[#This Row],[Dimension L1]]&lt;1,(Table1[[#This Row],[Length]]*Table1[[#This Row],[Width]]),(Table1[[#This Row],[Dimension L1]]*Table1[[#This Row],[Dimension W1]])))/1000000</f>
        <v>1.6358999999999999</v>
      </c>
      <c r="AL112" s="121"/>
    </row>
    <row r="113" spans="2:38" ht="25.35" customHeight="1">
      <c r="B113" s="7" t="s">
        <v>24</v>
      </c>
      <c r="C113" s="7" t="str">
        <f t="shared" si="2"/>
        <v>PL_10_2870_2760</v>
      </c>
      <c r="D113" s="7" t="str">
        <f>_xlfn.CONCAT(Table1[[#This Row],[ProductRecord.AccountReference]]," @ ",Table1[[#This Row],[KG/M2]],$H$2)</f>
        <v>PL_10_2870_2760 @ 78.5Kg/m2</v>
      </c>
      <c r="E113" s="27">
        <v>2870</v>
      </c>
      <c r="F113" s="27">
        <v>2760</v>
      </c>
      <c r="G113" s="32">
        <v>10</v>
      </c>
      <c r="H113" s="109">
        <f>G113*[1]Density!$D$6/1000</f>
        <v>78.5</v>
      </c>
      <c r="I113" s="161">
        <f t="shared" si="0"/>
        <v>621.81420000000003</v>
      </c>
      <c r="J113" s="164">
        <v>1270</v>
      </c>
      <c r="K113" s="165">
        <v>970</v>
      </c>
      <c r="L113" s="165">
        <v>1</v>
      </c>
      <c r="M113" s="196" t="s">
        <v>306</v>
      </c>
      <c r="N113" s="164"/>
      <c r="O113" s="202"/>
      <c r="P113" s="202"/>
      <c r="Q113" s="203"/>
      <c r="R113" s="201"/>
      <c r="S113" s="202"/>
      <c r="T113" s="202"/>
      <c r="U113" s="203"/>
      <c r="Z113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96.704149999999998</v>
      </c>
      <c r="AA113" s="17">
        <f t="shared" si="9"/>
        <v>60.826910349999999</v>
      </c>
      <c r="AB113" s="17"/>
      <c r="AC113" s="10">
        <v>629</v>
      </c>
      <c r="AD113" s="10">
        <f>Table1[[#This Row],[£/Tonne]]/1000*Table1[[#This Row],[KG/M2]]</f>
        <v>49.3765</v>
      </c>
      <c r="AE113" s="10">
        <f>Table1[[#This Row],[£/Tonne]]/1000*Table1[[#This Row],[Kg/ Sheet]]</f>
        <v>391.1211318</v>
      </c>
      <c r="AF113" s="10"/>
      <c r="AG113" s="111">
        <f>Table1[[#This Row],[£Cost / SHEET]]*(1+AG$1)</f>
        <v>508.45747134000004</v>
      </c>
      <c r="AH113" s="111">
        <f>Table1[[#This Row],[£Cost / SHEET]]*(1+AH$1)</f>
        <v>528.01352793000001</v>
      </c>
      <c r="AI113" s="111">
        <f>Table1[[#This Row],[£Cost / SHEET]]*(1+AI$1)</f>
        <v>547.56958451999992</v>
      </c>
      <c r="AJ113" s="111">
        <f>Table1[[#This Row],[£Cost / SHEET]]*(1+AJ$1)</f>
        <v>586.68169769999997</v>
      </c>
      <c r="AK113" s="222">
        <f>(Table1[[#This Row],[Qty 1]]*IF(Table1[[#This Row],[Dimension L1]]&lt;1,(Table1[[#This Row],[Length]]*Table1[[#This Row],[Width]]),(Table1[[#This Row],[Dimension L1]]*Table1[[#This Row],[Dimension W1]])))/1000000</f>
        <v>1.2319</v>
      </c>
      <c r="AL113" s="121"/>
    </row>
    <row r="114" spans="2:38" ht="25.35" customHeight="1">
      <c r="B114" s="7" t="s">
        <v>24</v>
      </c>
      <c r="C114" s="7" t="str">
        <f t="shared" si="2"/>
        <v>PL_10_3000_1890</v>
      </c>
      <c r="D114" s="7" t="str">
        <f>_xlfn.CONCAT(Table1[[#This Row],[ProductRecord.AccountReference]]," @ ",Table1[[#This Row],[KG/M2]],$H$2)</f>
        <v>PL_10_3000_1890 @ 78.5Kg/m2</v>
      </c>
      <c r="E114" s="27">
        <v>3000</v>
      </c>
      <c r="F114" s="27">
        <v>1890</v>
      </c>
      <c r="G114" s="32">
        <v>10</v>
      </c>
      <c r="H114" s="109">
        <f>G114*[1]Density!$D$6/1000</f>
        <v>78.5</v>
      </c>
      <c r="I114" s="161">
        <f t="shared" si="0"/>
        <v>445.09500000000003</v>
      </c>
      <c r="J114" s="164"/>
      <c r="K114" s="165"/>
      <c r="L114" s="165"/>
      <c r="M114" s="196"/>
      <c r="N114" s="164">
        <v>3000</v>
      </c>
      <c r="O114" s="202">
        <v>1500</v>
      </c>
      <c r="P114" s="202">
        <v>8</v>
      </c>
      <c r="Q114" s="203" t="s">
        <v>72</v>
      </c>
      <c r="R114" s="201"/>
      <c r="S114" s="202"/>
      <c r="T114" s="202"/>
      <c r="U114" s="203"/>
      <c r="Z114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2826</v>
      </c>
      <c r="AA114" s="17">
        <f t="shared" si="9"/>
        <v>1353.654</v>
      </c>
      <c r="AB114" s="17"/>
      <c r="AC114" s="10">
        <v>479</v>
      </c>
      <c r="AD114" s="10">
        <f>Table1[[#This Row],[£/Tonne]]/1000*Table1[[#This Row],[KG/M2]]</f>
        <v>37.601500000000001</v>
      </c>
      <c r="AE114" s="10">
        <f>Table1[[#This Row],[£/Tonne]]/1000*Table1[[#This Row],[Kg/ Sheet]]</f>
        <v>213.20050499999999</v>
      </c>
      <c r="AF114" s="10"/>
      <c r="AG114" s="111">
        <f>Table1[[#This Row],[£Cost / SHEET]]*(1+AG$1)</f>
        <v>277.16065650000002</v>
      </c>
      <c r="AH114" s="111">
        <f>Table1[[#This Row],[£Cost / SHEET]]*(1+AH$1)</f>
        <v>287.82068175000001</v>
      </c>
      <c r="AI114" s="111">
        <f>Table1[[#This Row],[£Cost / SHEET]]*(1+AI$1)</f>
        <v>298.480707</v>
      </c>
      <c r="AJ114" s="111">
        <f>Table1[[#This Row],[£Cost / SHEET]]*(1+AJ$1)</f>
        <v>319.80075749999997</v>
      </c>
      <c r="AK114" s="222">
        <f>(Table1[[#This Row],[Qty 1]]*IF(Table1[[#This Row],[Dimension L1]]&lt;1,(Table1[[#This Row],[Length]]*Table1[[#This Row],[Width]]),(Table1[[#This Row],[Dimension L1]]*Table1[[#This Row],[Dimension W1]])))/1000000</f>
        <v>0</v>
      </c>
      <c r="AL114" s="121"/>
    </row>
    <row r="115" spans="2:38" ht="25.35" customHeight="1">
      <c r="B115" s="7" t="s">
        <v>24</v>
      </c>
      <c r="C115" s="7" t="str">
        <f t="shared" si="2"/>
        <v>PL_10_3860_2500</v>
      </c>
      <c r="D115" s="7" t="str">
        <f>_xlfn.CONCAT(Table1[[#This Row],[ProductRecord.AccountReference]]," @ ",Table1[[#This Row],[KG/M2]],$H$2)</f>
        <v>PL_10_3860_2500 @ 78.5Kg/m2</v>
      </c>
      <c r="E115" s="27">
        <v>3860</v>
      </c>
      <c r="F115" s="27">
        <v>2500</v>
      </c>
      <c r="G115" s="32">
        <v>10</v>
      </c>
      <c r="H115" s="109">
        <f>G115*[1]Density!$D$6/1000</f>
        <v>78.5</v>
      </c>
      <c r="I115" s="161">
        <f t="shared" si="0"/>
        <v>757.52499999999998</v>
      </c>
      <c r="J115" s="164">
        <v>3600</v>
      </c>
      <c r="K115" s="165">
        <v>1270</v>
      </c>
      <c r="L115" s="165">
        <v>1</v>
      </c>
      <c r="M115" s="196" t="s">
        <v>239</v>
      </c>
      <c r="N115" s="164">
        <v>1300</v>
      </c>
      <c r="O115" s="202">
        <v>890</v>
      </c>
      <c r="P115" s="202">
        <v>1</v>
      </c>
      <c r="Q115" s="203" t="s">
        <v>239</v>
      </c>
      <c r="R115" s="201"/>
      <c r="S115" s="202"/>
      <c r="T115" s="202"/>
      <c r="U115" s="203"/>
      <c r="Z115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449.72649999999999</v>
      </c>
      <c r="AA115" s="17">
        <f t="shared" si="9"/>
        <v>238.35504499999999</v>
      </c>
      <c r="AB115" s="17"/>
      <c r="AC115" s="10">
        <v>530</v>
      </c>
      <c r="AD115" s="10">
        <f>Table1[[#This Row],[£/Tonne]]/1000*Table1[[#This Row],[KG/M2]]</f>
        <v>41.605000000000004</v>
      </c>
      <c r="AE115" s="10">
        <f>Table1[[#This Row],[£/Tonne]]/1000*Table1[[#This Row],[Kg/ Sheet]]</f>
        <v>401.48824999999999</v>
      </c>
      <c r="AF115" s="10"/>
      <c r="AG115" s="111">
        <f>Table1[[#This Row],[£Cost / SHEET]]*(1+AG$1)</f>
        <v>521.93472499999996</v>
      </c>
      <c r="AH115" s="111">
        <f>Table1[[#This Row],[£Cost / SHEET]]*(1+AH$1)</f>
        <v>542.00913750000007</v>
      </c>
      <c r="AI115" s="111">
        <f>Table1[[#This Row],[£Cost / SHEET]]*(1+AI$1)</f>
        <v>562.08354999999995</v>
      </c>
      <c r="AJ115" s="111">
        <f>Table1[[#This Row],[£Cost / SHEET]]*(1+AJ$1)</f>
        <v>602.23237500000005</v>
      </c>
      <c r="AK115" s="222">
        <f>(Table1[[#This Row],[Qty 1]]*IF(Table1[[#This Row],[Dimension L1]]&lt;1,(Table1[[#This Row],[Length]]*Table1[[#This Row],[Width]]),(Table1[[#This Row],[Dimension L1]]*Table1[[#This Row],[Dimension W1]])))/1000000</f>
        <v>4.5720000000000001</v>
      </c>
      <c r="AL115" s="121"/>
    </row>
    <row r="116" spans="2:38" ht="25.35" customHeight="1">
      <c r="B116" s="7" t="s">
        <v>24</v>
      </c>
      <c r="C116" s="7" t="str">
        <f t="shared" si="2"/>
        <v>PL_10_4000_2000</v>
      </c>
      <c r="D116" s="7" t="str">
        <f>_xlfn.CONCAT(Table1[[#This Row],[ProductRecord.AccountReference]]," @ ",Table1[[#This Row],[KG/M2]],$H$2)</f>
        <v>PL_10_4000_2000 @ 78.5Kg/m2</v>
      </c>
      <c r="E116" s="27">
        <v>4000</v>
      </c>
      <c r="F116" s="27">
        <v>2000</v>
      </c>
      <c r="G116" s="32">
        <v>10</v>
      </c>
      <c r="H116" s="109">
        <f>G116*[1]Density!$D$6/1000</f>
        <v>78.5</v>
      </c>
      <c r="I116" s="161">
        <f t="shared" si="0"/>
        <v>628</v>
      </c>
      <c r="J116" s="164">
        <v>4000</v>
      </c>
      <c r="K116" s="165">
        <v>2020</v>
      </c>
      <c r="L116" s="165">
        <v>1</v>
      </c>
      <c r="M116" s="196" t="s">
        <v>306</v>
      </c>
      <c r="N116" s="164">
        <v>7000</v>
      </c>
      <c r="O116" s="202">
        <v>1300</v>
      </c>
      <c r="P116" s="202">
        <v>1</v>
      </c>
      <c r="Q116" s="203" t="s">
        <v>306</v>
      </c>
      <c r="R116" s="201"/>
      <c r="S116" s="202"/>
      <c r="T116" s="202">
        <v>2</v>
      </c>
      <c r="U116" s="203" t="s">
        <v>302</v>
      </c>
      <c r="X116" s="9">
        <v>1</v>
      </c>
      <c r="Y116" s="9" t="s">
        <v>305</v>
      </c>
      <c r="Z116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3232.63</v>
      </c>
      <c r="AA116" s="17">
        <f t="shared" si="9"/>
        <v>1548.42977</v>
      </c>
      <c r="AB116" s="17"/>
      <c r="AC116" s="10">
        <v>479</v>
      </c>
      <c r="AD116" s="10">
        <f>Table1[[#This Row],[£/Tonne]]/1000*Table1[[#This Row],[KG/M2]]</f>
        <v>37.601500000000001</v>
      </c>
      <c r="AE116" s="10">
        <f>Table1[[#This Row],[£/Tonne]]/1000*Table1[[#This Row],[Kg/ Sheet]]</f>
        <v>300.81200000000001</v>
      </c>
      <c r="AF116" s="10"/>
      <c r="AG116" s="111">
        <f>Table1[[#This Row],[£Cost / SHEET]]*(1+AG$1)</f>
        <v>391.05560000000003</v>
      </c>
      <c r="AH116" s="111">
        <f>Table1[[#This Row],[£Cost / SHEET]]*(1+AH$1)</f>
        <v>406.09620000000007</v>
      </c>
      <c r="AI116" s="111">
        <f>Table1[[#This Row],[£Cost / SHEET]]*(1+AI$1)</f>
        <v>421.13679999999999</v>
      </c>
      <c r="AJ116" s="111">
        <f>Table1[[#This Row],[£Cost / SHEET]]*(1+AJ$1)</f>
        <v>451.21800000000002</v>
      </c>
      <c r="AK116" s="222">
        <f>(Table1[[#This Row],[Qty 1]]*IF(Table1[[#This Row],[Dimension L1]]&lt;1,(Table1[[#This Row],[Length]]*Table1[[#This Row],[Width]]),(Table1[[#This Row],[Dimension L1]]*Table1[[#This Row],[Dimension W1]])))/1000000</f>
        <v>8.08</v>
      </c>
      <c r="AL116" s="121"/>
    </row>
    <row r="117" spans="2:38" ht="25.35" customHeight="1">
      <c r="B117" s="7" t="s">
        <v>24</v>
      </c>
      <c r="C117" s="7" t="str">
        <f t="shared" si="2"/>
        <v>PL_10_4300_1500</v>
      </c>
      <c r="D117" s="7" t="str">
        <f>_xlfn.CONCAT(Table1[[#This Row],[ProductRecord.AccountReference]]," @ ",Table1[[#This Row],[KG/M2]],$H$2)</f>
        <v>PL_10_4300_1500 @ 78.5Kg/m2</v>
      </c>
      <c r="E117" s="27">
        <v>4300</v>
      </c>
      <c r="F117" s="27">
        <v>1500</v>
      </c>
      <c r="G117" s="32">
        <v>10</v>
      </c>
      <c r="H117" s="109">
        <f>G117*[1]Density!$D$6/1000</f>
        <v>78.5</v>
      </c>
      <c r="I117" s="161">
        <f t="shared" si="0"/>
        <v>506.32499999999999</v>
      </c>
      <c r="J117" s="164">
        <v>7020</v>
      </c>
      <c r="K117" s="208">
        <v>490</v>
      </c>
      <c r="L117" s="165">
        <v>1</v>
      </c>
      <c r="M117" s="196" t="s">
        <v>239</v>
      </c>
      <c r="N117" s="164">
        <v>4000</v>
      </c>
      <c r="O117" s="202">
        <v>430</v>
      </c>
      <c r="P117" s="202">
        <v>1</v>
      </c>
      <c r="Q117" s="203" t="s">
        <v>239</v>
      </c>
      <c r="R117" s="201">
        <v>4270</v>
      </c>
      <c r="S117" s="202">
        <v>330</v>
      </c>
      <c r="T117" s="202">
        <v>1</v>
      </c>
      <c r="U117" s="203" t="s">
        <v>239</v>
      </c>
      <c r="Z117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515.65864999999997</v>
      </c>
      <c r="AA117" s="17">
        <f t="shared" si="9"/>
        <v>241.84390685</v>
      </c>
      <c r="AB117" s="17"/>
      <c r="AC117" s="10">
        <v>469</v>
      </c>
      <c r="AD117" s="10">
        <f>Table1[[#This Row],[£/Tonne]]/1000*Table1[[#This Row],[KG/M2]]</f>
        <v>36.816499999999998</v>
      </c>
      <c r="AE117" s="10">
        <f>Table1[[#This Row],[£/Tonne]]/1000*Table1[[#This Row],[Kg/ Sheet]]</f>
        <v>237.46642499999999</v>
      </c>
      <c r="AF117" s="10"/>
      <c r="AG117" s="111">
        <f>Table1[[#This Row],[£Cost / SHEET]]*(1+AG$1)</f>
        <v>308.70635249999998</v>
      </c>
      <c r="AH117" s="111">
        <f>Table1[[#This Row],[£Cost / SHEET]]*(1+AH$1)</f>
        <v>320.57967374999998</v>
      </c>
      <c r="AI117" s="111">
        <f>Table1[[#This Row],[£Cost / SHEET]]*(1+AI$1)</f>
        <v>332.45299499999999</v>
      </c>
      <c r="AJ117" s="111">
        <f>Table1[[#This Row],[£Cost / SHEET]]*(1+AJ$1)</f>
        <v>356.19963749999999</v>
      </c>
      <c r="AK117" s="222">
        <f>(Table1[[#This Row],[Qty 1]]*IF(Table1[[#This Row],[Dimension L1]]&lt;1,(Table1[[#This Row],[Length]]*Table1[[#This Row],[Width]]),(Table1[[#This Row],[Dimension L1]]*Table1[[#This Row],[Dimension W1]])))/1000000</f>
        <v>3.4398</v>
      </c>
      <c r="AL117" s="121"/>
    </row>
    <row r="118" spans="2:38" ht="25.35" customHeight="1">
      <c r="B118" s="7" t="s">
        <v>24</v>
      </c>
      <c r="C118" s="7" t="str">
        <f t="shared" si="2"/>
        <v>PL_10_3000_2860</v>
      </c>
      <c r="D118" s="7" t="str">
        <f>_xlfn.CONCAT(Table1[[#This Row],[ProductRecord.AccountReference]]," @ ",Table1[[#This Row],[KG/M2]],$H$2)</f>
        <v>PL_10_3000_2860 @ 78.5Kg/m2</v>
      </c>
      <c r="E118" s="27">
        <v>3000</v>
      </c>
      <c r="F118" s="27">
        <v>2860</v>
      </c>
      <c r="G118" s="32">
        <v>10</v>
      </c>
      <c r="H118" s="109">
        <f>G118*[1]Density!$D$6/1000</f>
        <v>78.5</v>
      </c>
      <c r="I118" s="161">
        <f t="shared" si="0"/>
        <v>673.53</v>
      </c>
      <c r="J118" s="164">
        <v>2700</v>
      </c>
      <c r="K118" s="165">
        <v>2050</v>
      </c>
      <c r="L118" s="165">
        <v>1</v>
      </c>
      <c r="M118" s="196" t="s">
        <v>239</v>
      </c>
      <c r="N118" s="164">
        <v>6100</v>
      </c>
      <c r="O118" s="202">
        <v>490</v>
      </c>
      <c r="P118" s="202">
        <v>1</v>
      </c>
      <c r="Q118" s="203" t="s">
        <v>239</v>
      </c>
      <c r="R118" s="201"/>
      <c r="S118" s="202"/>
      <c r="T118" s="202"/>
      <c r="U118" s="203"/>
      <c r="Z118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669.13400000000001</v>
      </c>
      <c r="AA118" s="17">
        <f t="shared" si="9"/>
        <v>420.88528600000001</v>
      </c>
      <c r="AB118" s="17"/>
      <c r="AC118" s="10">
        <v>629</v>
      </c>
      <c r="AD118" s="10">
        <f>Table1[[#This Row],[£/Tonne]]/1000*Table1[[#This Row],[KG/M2]]</f>
        <v>49.3765</v>
      </c>
      <c r="AE118" s="10">
        <f>Table1[[#This Row],[£/Tonne]]/1000*Table1[[#This Row],[Kg/ Sheet]]</f>
        <v>423.65037000000001</v>
      </c>
      <c r="AF118" s="10"/>
      <c r="AG118" s="111">
        <f>Table1[[#This Row],[£Cost / SHEET]]*(1+AG$1)</f>
        <v>550.74548100000004</v>
      </c>
      <c r="AH118" s="111">
        <f>Table1[[#This Row],[£Cost / SHEET]]*(1+AH$1)</f>
        <v>571.92799950000006</v>
      </c>
      <c r="AI118" s="111">
        <f>Table1[[#This Row],[£Cost / SHEET]]*(1+AI$1)</f>
        <v>593.11051799999996</v>
      </c>
      <c r="AJ118" s="111">
        <f>Table1[[#This Row],[£Cost / SHEET]]*(1+AJ$1)</f>
        <v>635.47555499999999</v>
      </c>
      <c r="AK118" s="222">
        <f>(Table1[[#This Row],[Qty 1]]*IF(Table1[[#This Row],[Dimension L1]]&lt;1,(Table1[[#This Row],[Length]]*Table1[[#This Row],[Width]]),(Table1[[#This Row],[Dimension L1]]*Table1[[#This Row],[Dimension W1]])))/1000000</f>
        <v>5.5350000000000001</v>
      </c>
      <c r="AL118" s="121"/>
    </row>
    <row r="119" spans="2:38" ht="25.35" customHeight="1">
      <c r="B119" s="7" t="s">
        <v>24</v>
      </c>
      <c r="C119" s="7" t="str">
        <f t="shared" si="2"/>
        <v>PL_10_5000_2500</v>
      </c>
      <c r="D119" s="7" t="str">
        <f>_xlfn.CONCAT(Table1[[#This Row],[ProductRecord.AccountReference]]," @ ",Table1[[#This Row],[KG/M2]],$H$2)</f>
        <v>PL_10_5000_2500 @ 78.5Kg/m2</v>
      </c>
      <c r="E119" s="27">
        <v>5000</v>
      </c>
      <c r="F119" s="27">
        <v>2500</v>
      </c>
      <c r="G119" s="32">
        <v>10</v>
      </c>
      <c r="H119" s="109">
        <f>G119*[1]Density!$D$6/1000</f>
        <v>78.5</v>
      </c>
      <c r="I119" s="161">
        <f t="shared" si="0"/>
        <v>981.25</v>
      </c>
      <c r="J119" s="164">
        <v>5000</v>
      </c>
      <c r="K119" s="165">
        <v>2500</v>
      </c>
      <c r="L119" s="165">
        <v>1</v>
      </c>
      <c r="M119" s="196" t="s">
        <v>239</v>
      </c>
      <c r="N119" s="164">
        <v>7200</v>
      </c>
      <c r="O119" s="202">
        <v>490</v>
      </c>
      <c r="P119" s="202">
        <v>1</v>
      </c>
      <c r="Q119" s="203" t="s">
        <v>239</v>
      </c>
      <c r="R119" s="201"/>
      <c r="S119" s="202"/>
      <c r="T119" s="202"/>
      <c r="U119" s="203"/>
      <c r="Z119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1258.1979999999999</v>
      </c>
      <c r="AA119" s="17">
        <f t="shared" si="9"/>
        <v>741.078622</v>
      </c>
      <c r="AB119" s="17"/>
      <c r="AC119" s="10">
        <v>589</v>
      </c>
      <c r="AD119" s="10">
        <f>Table1[[#This Row],[£/Tonne]]/1000*Table1[[#This Row],[KG/M2]]</f>
        <v>46.236499999999999</v>
      </c>
      <c r="AE119" s="10">
        <f>Table1[[#This Row],[£/Tonne]]/1000*Table1[[#This Row],[Kg/ Sheet]]</f>
        <v>577.95624999999995</v>
      </c>
      <c r="AF119" s="10"/>
      <c r="AG119" s="111">
        <f>Table1[[#This Row],[£Cost / SHEET]]*(1+AG$1)</f>
        <v>751.34312499999999</v>
      </c>
      <c r="AH119" s="111">
        <f>Table1[[#This Row],[£Cost / SHEET]]*(1+AH$1)</f>
        <v>780.24093749999997</v>
      </c>
      <c r="AI119" s="111">
        <f>Table1[[#This Row],[£Cost / SHEET]]*(1+AI$1)</f>
        <v>809.13874999999985</v>
      </c>
      <c r="AJ119" s="111">
        <f>Table1[[#This Row],[£Cost / SHEET]]*(1+AJ$1)</f>
        <v>866.93437499999993</v>
      </c>
      <c r="AK119" s="222">
        <f>(Table1[[#This Row],[Qty 1]]*IF(Table1[[#This Row],[Dimension L1]]&lt;1,(Table1[[#This Row],[Length]]*Table1[[#This Row],[Width]]),(Table1[[#This Row],[Dimension L1]]*Table1[[#This Row],[Dimension W1]])))/1000000</f>
        <v>12.5</v>
      </c>
      <c r="AL119" s="121"/>
    </row>
    <row r="120" spans="2:38" ht="25.35" customHeight="1">
      <c r="B120" s="7" t="s">
        <v>24</v>
      </c>
      <c r="C120" s="7" t="str">
        <f t="shared" si="2"/>
        <v>PL_10_5000_2000</v>
      </c>
      <c r="D120" s="7" t="str">
        <f>_xlfn.CONCAT(Table1[[#This Row],[ProductRecord.AccountReference]]," @ ",Table1[[#This Row],[KG/M2]],$H$2)</f>
        <v>PL_10_5000_2000 @ 78.5Kg/m2</v>
      </c>
      <c r="E120" s="27">
        <v>5000</v>
      </c>
      <c r="F120" s="27">
        <v>2000</v>
      </c>
      <c r="G120" s="32">
        <v>10</v>
      </c>
      <c r="H120" s="109">
        <f>G120*[1]Density!$D$6/1000</f>
        <v>78.5</v>
      </c>
      <c r="I120" s="161">
        <f t="shared" si="0"/>
        <v>785</v>
      </c>
      <c r="J120" s="164">
        <v>9500</v>
      </c>
      <c r="K120" s="165">
        <v>580</v>
      </c>
      <c r="L120" s="165">
        <v>1</v>
      </c>
      <c r="M120" s="196" t="s">
        <v>239</v>
      </c>
      <c r="N120" s="164">
        <v>8000</v>
      </c>
      <c r="O120" s="202">
        <v>660</v>
      </c>
      <c r="P120" s="202">
        <v>1</v>
      </c>
      <c r="Q120" s="203" t="s">
        <v>306</v>
      </c>
      <c r="R120" s="201"/>
      <c r="S120" s="202"/>
      <c r="T120" s="202"/>
      <c r="U120" s="203"/>
      <c r="Z120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847.01499999999999</v>
      </c>
      <c r="AA120" s="17">
        <f t="shared" si="9"/>
        <v>498.89183499999996</v>
      </c>
      <c r="AB120" s="17"/>
      <c r="AC120" s="10">
        <v>589</v>
      </c>
      <c r="AD120" s="10">
        <f>Table1[[#This Row],[£/Tonne]]/1000*Table1[[#This Row],[KG/M2]]</f>
        <v>46.236499999999999</v>
      </c>
      <c r="AE120" s="10">
        <f>Table1[[#This Row],[£/Tonne]]/1000*Table1[[#This Row],[Kg/ Sheet]]</f>
        <v>462.36499999999995</v>
      </c>
      <c r="AF120" s="10"/>
      <c r="AG120" s="111">
        <f>Table1[[#This Row],[£Cost / SHEET]]*(1+AG$1)</f>
        <v>601.07449999999994</v>
      </c>
      <c r="AH120" s="111">
        <f>Table1[[#This Row],[£Cost / SHEET]]*(1+AH$1)</f>
        <v>624.19274999999993</v>
      </c>
      <c r="AI120" s="111">
        <f>Table1[[#This Row],[£Cost / SHEET]]*(1+AI$1)</f>
        <v>647.31099999999992</v>
      </c>
      <c r="AJ120" s="111">
        <f>Table1[[#This Row],[£Cost / SHEET]]*(1+AJ$1)</f>
        <v>693.5474999999999</v>
      </c>
      <c r="AK120" s="222">
        <f>(Table1[[#This Row],[Qty 1]]*IF(Table1[[#This Row],[Dimension L1]]&lt;1,(Table1[[#This Row],[Length]]*Table1[[#This Row],[Width]]),(Table1[[#This Row],[Dimension L1]]*Table1[[#This Row],[Dimension W1]])))/1000000</f>
        <v>5.51</v>
      </c>
      <c r="AL120" s="121"/>
    </row>
    <row r="121" spans="2:38" ht="25.35" customHeight="1">
      <c r="B121" s="7" t="s">
        <v>24</v>
      </c>
      <c r="C121" s="7" t="str">
        <f t="shared" si="2"/>
        <v>PL_10_6000_3000</v>
      </c>
      <c r="D121" s="7" t="str">
        <f>_xlfn.CONCAT(Table1[[#This Row],[ProductRecord.AccountReference]]," @ ",Table1[[#This Row],[KG/M2]],$H$2)</f>
        <v>PL_10_6000_3000 @ 78.5Kg/m2</v>
      </c>
      <c r="E121" s="27">
        <v>6000</v>
      </c>
      <c r="F121" s="27">
        <v>3000</v>
      </c>
      <c r="G121" s="32">
        <v>10</v>
      </c>
      <c r="H121" s="109">
        <f>G121*[1]Density!$D$6/1000</f>
        <v>78.5</v>
      </c>
      <c r="I121" s="161">
        <f t="shared" si="0"/>
        <v>1413</v>
      </c>
      <c r="J121" s="164">
        <v>4500</v>
      </c>
      <c r="K121" s="165">
        <v>600</v>
      </c>
      <c r="L121" s="165">
        <v>2</v>
      </c>
      <c r="M121" s="196" t="s">
        <v>239</v>
      </c>
      <c r="N121" s="164">
        <v>5000</v>
      </c>
      <c r="O121" s="202">
        <v>1200</v>
      </c>
      <c r="P121" s="202">
        <v>1</v>
      </c>
      <c r="Q121" s="203" t="s">
        <v>239</v>
      </c>
      <c r="R121" s="201"/>
      <c r="S121" s="202"/>
      <c r="T121" s="202"/>
      <c r="U121" s="203"/>
      <c r="Z121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894.9</v>
      </c>
      <c r="AA121" s="17">
        <f t="shared" si="9"/>
        <v>562.89210000000003</v>
      </c>
      <c r="AB121" s="17"/>
      <c r="AC121" s="10">
        <f>AC156</f>
        <v>629</v>
      </c>
      <c r="AD121" s="10">
        <f>Table1[[#This Row],[£/Tonne]]/1000*Table1[[#This Row],[KG/M2]]</f>
        <v>49.3765</v>
      </c>
      <c r="AE121" s="10">
        <f>Table1[[#This Row],[£/Tonne]]/1000*Table1[[#This Row],[Kg/ Sheet]]</f>
        <v>888.77700000000004</v>
      </c>
      <c r="AF121" s="10"/>
      <c r="AG121" s="111">
        <f>Table1[[#This Row],[£Cost / SHEET]]*(1+AG$1)</f>
        <v>1155.4101000000001</v>
      </c>
      <c r="AH121" s="111">
        <f>Table1[[#This Row],[£Cost / SHEET]]*(1+AH$1)</f>
        <v>1199.8489500000001</v>
      </c>
      <c r="AI121" s="111">
        <f>Table1[[#This Row],[£Cost / SHEET]]*(1+AI$1)</f>
        <v>1244.2878000000001</v>
      </c>
      <c r="AJ121" s="111">
        <f>Table1[[#This Row],[£Cost / SHEET]]*(1+AJ$1)</f>
        <v>1333.1655000000001</v>
      </c>
      <c r="AK121" s="222">
        <f>(Table1[[#This Row],[Qty 1]]*IF(Table1[[#This Row],[Dimension L1]]&lt;1,(Table1[[#This Row],[Length]]*Table1[[#This Row],[Width]]),(Table1[[#This Row],[Dimension L1]]*Table1[[#This Row],[Dimension W1]])))/1000000</f>
        <v>5.4</v>
      </c>
      <c r="AL121" s="121"/>
    </row>
    <row r="122" spans="2:38" ht="25.35" customHeight="1">
      <c r="B122" s="7" t="s">
        <v>24</v>
      </c>
      <c r="C122" s="7" t="str">
        <f t="shared" si="2"/>
        <v>PL_10_5000_1155</v>
      </c>
      <c r="D122" s="7" t="str">
        <f>_xlfn.CONCAT(Table1[[#This Row],[ProductRecord.AccountReference]]," @ ",Table1[[#This Row],[KG/M2]],$H$2)</f>
        <v>PL_10_5000_1155 @ 78.5Kg/m2</v>
      </c>
      <c r="E122" s="27">
        <v>5000</v>
      </c>
      <c r="F122" s="27">
        <v>1155</v>
      </c>
      <c r="G122" s="32">
        <v>10</v>
      </c>
      <c r="H122" s="109">
        <f>G122*[1]Density!$D$6/1000</f>
        <v>78.5</v>
      </c>
      <c r="I122" s="161">
        <f t="shared" si="0"/>
        <v>453.33749999999998</v>
      </c>
      <c r="J122" s="164">
        <v>2200</v>
      </c>
      <c r="K122" s="165">
        <v>1150</v>
      </c>
      <c r="L122" s="165">
        <v>1</v>
      </c>
      <c r="M122" s="196" t="s">
        <v>239</v>
      </c>
      <c r="N122" s="164">
        <v>8030</v>
      </c>
      <c r="O122" s="202">
        <v>1600</v>
      </c>
      <c r="P122" s="202">
        <v>2</v>
      </c>
      <c r="Q122" s="203" t="s">
        <v>239</v>
      </c>
      <c r="R122" s="201">
        <v>6100</v>
      </c>
      <c r="S122" s="202">
        <v>500</v>
      </c>
      <c r="T122" s="202">
        <v>1</v>
      </c>
      <c r="U122" s="203" t="s">
        <v>239</v>
      </c>
      <c r="Z122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2455.1660000000002</v>
      </c>
      <c r="AA122" s="17">
        <f t="shared" si="9"/>
        <v>1338.06547</v>
      </c>
      <c r="AB122" s="17"/>
      <c r="AC122" s="10">
        <v>545</v>
      </c>
      <c r="AD122" s="10">
        <f>Table1[[#This Row],[£/Tonne]]/1000*Table1[[#This Row],[KG/M2]]</f>
        <v>42.782500000000006</v>
      </c>
      <c r="AE122" s="10">
        <f>Table1[[#This Row],[£/Tonne]]/1000*Table1[[#This Row],[Kg/ Sheet]]</f>
        <v>247.0689375</v>
      </c>
      <c r="AF122" s="10"/>
      <c r="AG122" s="111">
        <f>Table1[[#This Row],[£Cost / SHEET]]*(1+AG$1)</f>
        <v>321.18961875000002</v>
      </c>
      <c r="AH122" s="111">
        <f>Table1[[#This Row],[£Cost / SHEET]]*(1+AH$1)</f>
        <v>333.54306562500005</v>
      </c>
      <c r="AI122" s="111">
        <f>Table1[[#This Row],[£Cost / SHEET]]*(1+AI$1)</f>
        <v>345.89651249999997</v>
      </c>
      <c r="AJ122" s="111">
        <f>Table1[[#This Row],[£Cost / SHEET]]*(1+AJ$1)</f>
        <v>370.60340625000003</v>
      </c>
      <c r="AK122" s="222">
        <f>(Table1[[#This Row],[Qty 1]]*IF(Table1[[#This Row],[Dimension L1]]&lt;1,(Table1[[#This Row],[Length]]*Table1[[#This Row],[Width]]),(Table1[[#This Row],[Dimension L1]]*Table1[[#This Row],[Dimension W1]])))/1000000</f>
        <v>2.5299999999999998</v>
      </c>
      <c r="AL122" s="121"/>
    </row>
    <row r="123" spans="2:38" ht="25.35" customHeight="1">
      <c r="B123" s="7" t="s">
        <v>24</v>
      </c>
      <c r="C123" s="7" t="str">
        <f t="shared" si="2"/>
        <v>PL_10_5000_1135</v>
      </c>
      <c r="D123" s="7" t="str">
        <f>_xlfn.CONCAT(Table1[[#This Row],[ProductRecord.AccountReference]]," @ ",Table1[[#This Row],[KG/M2]],$H$2)</f>
        <v>PL_10_5000_1135 @ 78.5Kg/m2</v>
      </c>
      <c r="E123" s="27">
        <v>5000</v>
      </c>
      <c r="F123" s="27">
        <v>1135</v>
      </c>
      <c r="G123" s="32">
        <v>10</v>
      </c>
      <c r="H123" s="109">
        <f>G123*[1]Density!$D$6/1000</f>
        <v>78.5</v>
      </c>
      <c r="I123" s="161">
        <f t="shared" si="0"/>
        <v>445.48750000000001</v>
      </c>
      <c r="J123" s="164">
        <v>1900</v>
      </c>
      <c r="K123" s="165">
        <v>500</v>
      </c>
      <c r="L123" s="165">
        <v>1</v>
      </c>
      <c r="M123" s="196" t="s">
        <v>239</v>
      </c>
      <c r="N123" s="164"/>
      <c r="O123" s="202"/>
      <c r="P123" s="202">
        <v>1</v>
      </c>
      <c r="Q123" s="203"/>
      <c r="R123" s="201"/>
      <c r="S123" s="202"/>
      <c r="T123" s="202"/>
      <c r="U123" s="203"/>
      <c r="Z123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520.0625</v>
      </c>
      <c r="AA123" s="17">
        <f t="shared" si="9"/>
        <v>283.43406249999998</v>
      </c>
      <c r="AB123" s="17"/>
      <c r="AC123" s="10">
        <v>545</v>
      </c>
      <c r="AD123" s="10">
        <f>Table1[[#This Row],[£/Tonne]]/1000*Table1[[#This Row],[KG/M2]]</f>
        <v>42.782500000000006</v>
      </c>
      <c r="AE123" s="10">
        <f>Table1[[#This Row],[£/Tonne]]/1000*Table1[[#This Row],[Kg/ Sheet]]</f>
        <v>242.79068750000002</v>
      </c>
      <c r="AF123" s="10"/>
      <c r="AG123" s="111">
        <f>Table1[[#This Row],[£Cost / SHEET]]*(1+AG$1)</f>
        <v>315.62789375000006</v>
      </c>
      <c r="AH123" s="111">
        <f>Table1[[#This Row],[£Cost / SHEET]]*(1+AH$1)</f>
        <v>327.76742812500004</v>
      </c>
      <c r="AI123" s="111">
        <f>Table1[[#This Row],[£Cost / SHEET]]*(1+AI$1)</f>
        <v>339.90696250000002</v>
      </c>
      <c r="AJ123" s="111">
        <f>Table1[[#This Row],[£Cost / SHEET]]*(1+AJ$1)</f>
        <v>364.18603125000004</v>
      </c>
      <c r="AK123" s="222">
        <f>(Table1[[#This Row],[Qty 1]]*IF(Table1[[#This Row],[Dimension L1]]&lt;1,(Table1[[#This Row],[Length]]*Table1[[#This Row],[Width]]),(Table1[[#This Row],[Dimension L1]]*Table1[[#This Row],[Dimension W1]])))/1000000</f>
        <v>0.95</v>
      </c>
      <c r="AL123" s="121"/>
    </row>
    <row r="124" spans="2:38" ht="25.35" customHeight="1">
      <c r="B124" s="7" t="s">
        <v>24</v>
      </c>
      <c r="C124" s="7" t="str">
        <f t="shared" si="2"/>
        <v>PL_10_3530_1875</v>
      </c>
      <c r="D124" s="7" t="str">
        <f>_xlfn.CONCAT(Table1[[#This Row],[ProductRecord.AccountReference]]," @ ",Table1[[#This Row],[KG/M2]],$H$2)</f>
        <v>PL_10_3530_1875 @ 78.5Kg/m2</v>
      </c>
      <c r="E124" s="27">
        <v>3530</v>
      </c>
      <c r="F124" s="27">
        <v>1875</v>
      </c>
      <c r="G124" s="32">
        <v>10</v>
      </c>
      <c r="H124" s="109">
        <f>G124*[1]Density!$D$6/1000</f>
        <v>78.5</v>
      </c>
      <c r="I124" s="161">
        <f t="shared" ref="I124:I216" si="13">E124*F124*H124/1000000</f>
        <v>519.57187499999998</v>
      </c>
      <c r="J124" s="164">
        <v>2200</v>
      </c>
      <c r="K124" s="165">
        <v>450</v>
      </c>
      <c r="L124" s="165">
        <v>1</v>
      </c>
      <c r="M124" s="196" t="s">
        <v>239</v>
      </c>
      <c r="N124" s="164"/>
      <c r="O124" s="202"/>
      <c r="P124" s="202"/>
      <c r="Q124" s="203"/>
      <c r="R124" s="201"/>
      <c r="S124" s="202"/>
      <c r="T124" s="202"/>
      <c r="U124" s="203"/>
      <c r="Z124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77.715000000000003</v>
      </c>
      <c r="AA124" s="17">
        <f t="shared" si="9"/>
        <v>37.225485000000006</v>
      </c>
      <c r="AB124" s="17"/>
      <c r="AC124" s="10">
        <v>479</v>
      </c>
      <c r="AD124" s="10">
        <f>Table1[[#This Row],[£/Tonne]]/1000*Table1[[#This Row],[KG/M2]]</f>
        <v>37.601500000000001</v>
      </c>
      <c r="AE124" s="10">
        <f>Table1[[#This Row],[£/Tonne]]/1000*Table1[[#This Row],[Kg/ Sheet]]</f>
        <v>248.87492812499997</v>
      </c>
      <c r="AF124" s="10"/>
      <c r="AG124" s="111">
        <f>Table1[[#This Row],[£Cost / SHEET]]*(1+AG$1)</f>
        <v>323.5374065625</v>
      </c>
      <c r="AH124" s="111">
        <f>Table1[[#This Row],[£Cost / SHEET]]*(1+AH$1)</f>
        <v>335.98115296875</v>
      </c>
      <c r="AI124" s="111">
        <f>Table1[[#This Row],[£Cost / SHEET]]*(1+AI$1)</f>
        <v>348.42489937499994</v>
      </c>
      <c r="AJ124" s="111">
        <f>Table1[[#This Row],[£Cost / SHEET]]*(1+AJ$1)</f>
        <v>373.31239218749994</v>
      </c>
      <c r="AK124" s="222">
        <f>(Table1[[#This Row],[Qty 1]]*IF(Table1[[#This Row],[Dimension L1]]&lt;1,(Table1[[#This Row],[Length]]*Table1[[#This Row],[Width]]),(Table1[[#This Row],[Dimension L1]]*Table1[[#This Row],[Dimension W1]])))/1000000</f>
        <v>0.99</v>
      </c>
      <c r="AL124" s="121"/>
    </row>
    <row r="125" spans="2:38" ht="25.35" customHeight="1">
      <c r="B125" s="7" t="s">
        <v>24</v>
      </c>
      <c r="C125" s="7" t="str">
        <f t="shared" ref="C125:C266" si="14">_xlfn.CONCAT(B125,"_",G125,"_",E125,"_",F125,"")</f>
        <v>PL_10_3000_2100</v>
      </c>
      <c r="D125" s="7" t="str">
        <f>_xlfn.CONCAT(Table1[[#This Row],[ProductRecord.AccountReference]]," @ ",Table1[[#This Row],[KG/M2]],$H$2)</f>
        <v>PL_10_3000_2100 @ 78.5Kg/m2</v>
      </c>
      <c r="E125" s="27">
        <v>3000</v>
      </c>
      <c r="F125" s="27">
        <v>2100</v>
      </c>
      <c r="G125" s="32">
        <v>10</v>
      </c>
      <c r="H125" s="109">
        <f>G125*[1]Density!$D$6/1000</f>
        <v>78.5</v>
      </c>
      <c r="I125" s="161">
        <f t="shared" si="13"/>
        <v>494.55</v>
      </c>
      <c r="J125" s="164">
        <v>2060</v>
      </c>
      <c r="K125" s="165">
        <v>370</v>
      </c>
      <c r="L125" s="165">
        <v>1</v>
      </c>
      <c r="M125" s="196" t="s">
        <v>239</v>
      </c>
      <c r="N125" s="164"/>
      <c r="O125" s="202"/>
      <c r="P125" s="202"/>
      <c r="Q125" s="203"/>
      <c r="R125" s="201"/>
      <c r="S125" s="202"/>
      <c r="T125" s="202"/>
      <c r="U125" s="203"/>
      <c r="Z125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59.832700000000003</v>
      </c>
      <c r="AA125" s="17">
        <f t="shared" si="9"/>
        <v>32.249825300000005</v>
      </c>
      <c r="AB125" s="17"/>
      <c r="AC125" s="10">
        <v>539</v>
      </c>
      <c r="AD125" s="10">
        <f>Table1[[#This Row],[£/Tonne]]/1000*Table1[[#This Row],[KG/M2]]</f>
        <v>42.311500000000002</v>
      </c>
      <c r="AE125" s="10">
        <f>Table1[[#This Row],[£/Tonne]]/1000*Table1[[#This Row],[Kg/ Sheet]]</f>
        <v>266.56245000000001</v>
      </c>
      <c r="AF125" s="10"/>
      <c r="AG125" s="111">
        <f>Table1[[#This Row],[£Cost / SHEET]]*(1+AG$1)</f>
        <v>346.53118500000005</v>
      </c>
      <c r="AH125" s="111">
        <f>Table1[[#This Row],[£Cost / SHEET]]*(1+AH$1)</f>
        <v>359.85930750000006</v>
      </c>
      <c r="AI125" s="111">
        <f>Table1[[#This Row],[£Cost / SHEET]]*(1+AI$1)</f>
        <v>373.18743000000001</v>
      </c>
      <c r="AJ125" s="111">
        <f>Table1[[#This Row],[£Cost / SHEET]]*(1+AJ$1)</f>
        <v>399.84367500000002</v>
      </c>
      <c r="AK125" s="222">
        <f>(Table1[[#This Row],[Qty 1]]*IF(Table1[[#This Row],[Dimension L1]]&lt;1,(Table1[[#This Row],[Length]]*Table1[[#This Row],[Width]]),(Table1[[#This Row],[Dimension L1]]*Table1[[#This Row],[Dimension W1]])))/1000000</f>
        <v>0.76219999999999999</v>
      </c>
      <c r="AL125" s="121"/>
    </row>
    <row r="126" spans="2:38" ht="25.35" customHeight="1">
      <c r="B126" s="7" t="s">
        <v>24</v>
      </c>
      <c r="C126" s="7" t="str">
        <f t="shared" si="14"/>
        <v>PL_10_4010_1765</v>
      </c>
      <c r="D126" s="7" t="str">
        <f>_xlfn.CONCAT(Table1[[#This Row],[ProductRecord.AccountReference]]," @ ",Table1[[#This Row],[KG/M2]],$H$2)</f>
        <v>PL_10_4010_1765 @ 78.5Kg/m2</v>
      </c>
      <c r="E126" s="27">
        <v>4010</v>
      </c>
      <c r="F126" s="27">
        <v>1765</v>
      </c>
      <c r="G126" s="32">
        <v>10</v>
      </c>
      <c r="H126" s="109">
        <f>G126*[1]Density!$D$6/1000</f>
        <v>78.5</v>
      </c>
      <c r="I126" s="161">
        <f t="shared" si="13"/>
        <v>555.59552499999995</v>
      </c>
      <c r="J126" s="164">
        <v>3000</v>
      </c>
      <c r="K126" s="165">
        <v>1900</v>
      </c>
      <c r="L126" s="165">
        <v>1</v>
      </c>
      <c r="M126" s="196" t="s">
        <v>239</v>
      </c>
      <c r="N126" s="164"/>
      <c r="O126" s="202"/>
      <c r="P126" s="202"/>
      <c r="Q126" s="203"/>
      <c r="R126" s="201"/>
      <c r="S126" s="202"/>
      <c r="T126" s="202"/>
      <c r="U126" s="203"/>
      <c r="Z126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447.45</v>
      </c>
      <c r="AA126" s="17">
        <f t="shared" si="9"/>
        <v>214.32855000000001</v>
      </c>
      <c r="AB126" s="17"/>
      <c r="AC126" s="10">
        <v>479</v>
      </c>
      <c r="AD126" s="10">
        <f>Table1[[#This Row],[£/Tonne]]/1000*Table1[[#This Row],[KG/M2]]</f>
        <v>37.601500000000001</v>
      </c>
      <c r="AE126" s="10">
        <f>Table1[[#This Row],[£/Tonne]]/1000*Table1[[#This Row],[Kg/ Sheet]]</f>
        <v>266.13025647499995</v>
      </c>
      <c r="AF126" s="10"/>
      <c r="AG126" s="111">
        <f>Table1[[#This Row],[£Cost / SHEET]]*(1+AG$1)</f>
        <v>345.96933341749997</v>
      </c>
      <c r="AH126" s="111">
        <f>Table1[[#This Row],[£Cost / SHEET]]*(1+AH$1)</f>
        <v>359.27584624124995</v>
      </c>
      <c r="AI126" s="111">
        <f>Table1[[#This Row],[£Cost / SHEET]]*(1+AI$1)</f>
        <v>372.58235906499993</v>
      </c>
      <c r="AJ126" s="111">
        <f>Table1[[#This Row],[£Cost / SHEET]]*(1+AJ$1)</f>
        <v>399.19538471249996</v>
      </c>
      <c r="AK126" s="222">
        <f>(Table1[[#This Row],[Qty 1]]*IF(Table1[[#This Row],[Dimension L1]]&lt;1,(Table1[[#This Row],[Length]]*Table1[[#This Row],[Width]]),(Table1[[#This Row],[Dimension L1]]*Table1[[#This Row],[Dimension W1]])))/1000000</f>
        <v>5.7</v>
      </c>
      <c r="AL126" s="121"/>
    </row>
    <row r="127" spans="2:38" ht="25.35" customHeight="1">
      <c r="B127" s="7" t="s">
        <v>24</v>
      </c>
      <c r="C127" s="7" t="str">
        <f t="shared" ref="C127:C158" si="15">_xlfn.CONCAT(B127,"_",G127,"_",E127,"_",F127,"")</f>
        <v>PL_10_3000_1500</v>
      </c>
      <c r="D127" s="7" t="str">
        <f>_xlfn.CONCAT(Table1[[#This Row],[ProductRecord.AccountReference]]," @ ",Table1[[#This Row],[KG/M2]],$H$2)</f>
        <v>PL_10_3000_1500 @ 78.5Kg/m2</v>
      </c>
      <c r="E127">
        <v>3000</v>
      </c>
      <c r="F127">
        <v>1500</v>
      </c>
      <c r="G127">
        <v>10</v>
      </c>
      <c r="H127" s="109">
        <f>G127*[1]Density!$D$6/1000</f>
        <v>78.5</v>
      </c>
      <c r="I127" s="161">
        <f t="shared" ref="I127:I157" si="16">E127*F127*H127/1000000</f>
        <v>353.25</v>
      </c>
      <c r="J127">
        <v>3000</v>
      </c>
      <c r="K127">
        <v>1500</v>
      </c>
      <c r="L127">
        <v>4</v>
      </c>
      <c r="M127" t="s">
        <v>308</v>
      </c>
      <c r="N127" s="159"/>
      <c r="O127" s="202"/>
      <c r="P127" s="202"/>
      <c r="Q127" s="203"/>
      <c r="R127" s="201"/>
      <c r="S127" s="202"/>
      <c r="T127" s="202"/>
      <c r="U127" s="203"/>
      <c r="Z127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1413</v>
      </c>
      <c r="AA127" s="17">
        <f t="shared" si="9"/>
        <v>1455.39</v>
      </c>
      <c r="AB127" s="17"/>
      <c r="AC127" s="218">
        <v>1030</v>
      </c>
      <c r="AD127" s="10">
        <f>Table1[[#This Row],[£/Tonne]]/1000*Table1[[#This Row],[KG/M2]]</f>
        <v>80.855000000000004</v>
      </c>
      <c r="AE127" s="10">
        <f>Table1[[#This Row],[£/Tonne]]/1000*Table1[[#This Row],[Kg/ Sheet]]</f>
        <v>363.84750000000003</v>
      </c>
      <c r="AF127" s="10"/>
      <c r="AG127" s="111">
        <f>Table1[[#This Row],[£Cost / SHEET]]*(1+AG$1)</f>
        <v>473.00175000000007</v>
      </c>
      <c r="AH127" s="111">
        <f>Table1[[#This Row],[£Cost / SHEET]]*(1+AH$1)</f>
        <v>491.19412500000004</v>
      </c>
      <c r="AI127" s="111">
        <f>Table1[[#This Row],[£Cost / SHEET]]*(1+AI$1)</f>
        <v>509.38650000000001</v>
      </c>
      <c r="AJ127" s="111">
        <f>Table1[[#This Row],[£Cost / SHEET]]*(1+AJ$1)</f>
        <v>545.77125000000001</v>
      </c>
      <c r="AK127" s="222">
        <f>(Table1[[#This Row],[Qty 1]]*IF(Table1[[#This Row],[Dimension L1]]&lt;1,(Table1[[#This Row],[Length]]*Table1[[#This Row],[Width]]),(Table1[[#This Row],[Dimension L1]]*Table1[[#This Row],[Dimension W1]])))/1000000</f>
        <v>18</v>
      </c>
      <c r="AL127" s="121"/>
    </row>
    <row r="128" spans="2:38" ht="25.35" customHeight="1">
      <c r="B128" s="7" t="s">
        <v>24</v>
      </c>
      <c r="C128" s="7" t="str">
        <f t="shared" si="15"/>
        <v>PL_10_1420_1240</v>
      </c>
      <c r="D128" s="7" t="str">
        <f>_xlfn.CONCAT(Table1[[#This Row],[ProductRecord.AccountReference]]," @ ",Table1[[#This Row],[KG/M2]],$H$2)</f>
        <v>PL_10_1420_1240 @ 78.5Kg/m2</v>
      </c>
      <c r="E128">
        <v>1420</v>
      </c>
      <c r="F128">
        <v>1240</v>
      </c>
      <c r="G128">
        <v>10</v>
      </c>
      <c r="H128" s="109">
        <f>G128*[1]Density!$D$6/1000</f>
        <v>78.5</v>
      </c>
      <c r="I128" s="161">
        <f t="shared" si="16"/>
        <v>138.22280000000001</v>
      </c>
      <c r="J128">
        <v>1420</v>
      </c>
      <c r="K128">
        <v>1240</v>
      </c>
      <c r="L128">
        <v>2</v>
      </c>
      <c r="M128" t="s">
        <v>308</v>
      </c>
      <c r="N128" s="159"/>
      <c r="O128" s="202"/>
      <c r="P128" s="202"/>
      <c r="Q128" s="203"/>
      <c r="R128" s="201"/>
      <c r="S128" s="202"/>
      <c r="T128" s="202"/>
      <c r="U128" s="203"/>
      <c r="Z128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276.44560000000001</v>
      </c>
      <c r="AA128" s="17">
        <f t="shared" si="9"/>
        <v>297.17902000000004</v>
      </c>
      <c r="AB128" s="17"/>
      <c r="AC128" s="10">
        <f>AC112</f>
        <v>1075</v>
      </c>
      <c r="AD128" s="10">
        <f>Table1[[#This Row],[£/Tonne]]/1000*Table1[[#This Row],[KG/M2]]</f>
        <v>84.387500000000003</v>
      </c>
      <c r="AE128" s="10">
        <f>Table1[[#This Row],[£/Tonne]]/1000*Table1[[#This Row],[Kg/ Sheet]]</f>
        <v>148.58950999999999</v>
      </c>
      <c r="AF128" s="10"/>
      <c r="AG128" s="111">
        <f>Table1[[#This Row],[£Cost / SHEET]]*(1+AG$1)</f>
        <v>193.16636299999999</v>
      </c>
      <c r="AH128" s="111">
        <f>Table1[[#This Row],[£Cost / SHEET]]*(1+AH$1)</f>
        <v>200.59583850000001</v>
      </c>
      <c r="AI128" s="111">
        <f>Table1[[#This Row],[£Cost / SHEET]]*(1+AI$1)</f>
        <v>208.02531399999998</v>
      </c>
      <c r="AJ128" s="111">
        <f>Table1[[#This Row],[£Cost / SHEET]]*(1+AJ$1)</f>
        <v>222.88426499999997</v>
      </c>
      <c r="AK128" s="222">
        <f>(Table1[[#This Row],[Qty 1]]*IF(Table1[[#This Row],[Dimension L1]]&lt;1,(Table1[[#This Row],[Length]]*Table1[[#This Row],[Width]]),(Table1[[#This Row],[Dimension L1]]*Table1[[#This Row],[Dimension W1]])))/1000000</f>
        <v>3.5215999999999998</v>
      </c>
      <c r="AL128" s="121"/>
    </row>
    <row r="129" spans="2:38" ht="25.35" customHeight="1">
      <c r="B129" s="7" t="s">
        <v>24</v>
      </c>
      <c r="C129" s="7" t="str">
        <f t="shared" si="15"/>
        <v>PL_10_1470_1000</v>
      </c>
      <c r="D129" s="7" t="str">
        <f>_xlfn.CONCAT(Table1[[#This Row],[ProductRecord.AccountReference]]," @ ",Table1[[#This Row],[KG/M2]],$H$2)</f>
        <v>PL_10_1470_1000 @ 78.5Kg/m2</v>
      </c>
      <c r="E129">
        <v>1470</v>
      </c>
      <c r="F129">
        <v>1000</v>
      </c>
      <c r="G129">
        <v>10</v>
      </c>
      <c r="H129" s="109">
        <f>G129*[1]Density!$D$6/1000</f>
        <v>78.5</v>
      </c>
      <c r="I129" s="161">
        <f t="shared" si="16"/>
        <v>115.395</v>
      </c>
      <c r="J129">
        <v>1470</v>
      </c>
      <c r="K129">
        <v>1000</v>
      </c>
      <c r="L129">
        <v>1</v>
      </c>
      <c r="M129" t="s">
        <v>239</v>
      </c>
      <c r="N129" s="159"/>
      <c r="O129" s="202"/>
      <c r="P129" s="202"/>
      <c r="Q129" s="203"/>
      <c r="R129" s="201"/>
      <c r="S129" s="202"/>
      <c r="T129" s="202"/>
      <c r="U129" s="203"/>
      <c r="Z129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115.395</v>
      </c>
      <c r="AA129" s="17">
        <f t="shared" si="9"/>
        <v>124.04962499999999</v>
      </c>
      <c r="AB129" s="17"/>
      <c r="AC129" s="10">
        <f>AC112</f>
        <v>1075</v>
      </c>
      <c r="AD129" s="10">
        <f>Table1[[#This Row],[£/Tonne]]/1000*Table1[[#This Row],[KG/M2]]</f>
        <v>84.387500000000003</v>
      </c>
      <c r="AE129" s="10">
        <f>Table1[[#This Row],[£/Tonne]]/1000*Table1[[#This Row],[Kg/ Sheet]]</f>
        <v>124.04962499999999</v>
      </c>
      <c r="AF129" s="10"/>
      <c r="AG129" s="111">
        <f>Table1[[#This Row],[£Cost / SHEET]]*(1+AG$1)</f>
        <v>161.2645125</v>
      </c>
      <c r="AH129" s="111">
        <f>Table1[[#This Row],[£Cost / SHEET]]*(1+AH$1)</f>
        <v>167.46699375</v>
      </c>
      <c r="AI129" s="111">
        <f>Table1[[#This Row],[£Cost / SHEET]]*(1+AI$1)</f>
        <v>173.66947499999998</v>
      </c>
      <c r="AJ129" s="111">
        <f>Table1[[#This Row],[£Cost / SHEET]]*(1+AJ$1)</f>
        <v>186.07443749999999</v>
      </c>
      <c r="AK129" s="222">
        <f>(Table1[[#This Row],[Qty 1]]*IF(Table1[[#This Row],[Dimension L1]]&lt;1,(Table1[[#This Row],[Length]]*Table1[[#This Row],[Width]]),(Table1[[#This Row],[Dimension L1]]*Table1[[#This Row],[Dimension W1]])))/1000000</f>
        <v>1.47</v>
      </c>
      <c r="AL129" s="121"/>
    </row>
    <row r="130" spans="2:38" ht="25.35" customHeight="1">
      <c r="B130" s="7" t="s">
        <v>24</v>
      </c>
      <c r="C130" s="7" t="str">
        <f t="shared" si="15"/>
        <v>PL_10_1630_400</v>
      </c>
      <c r="D130" s="7" t="str">
        <f>_xlfn.CONCAT(Table1[[#This Row],[ProductRecord.AccountReference]]," @ ",Table1[[#This Row],[KG/M2]],$H$2)</f>
        <v>PL_10_1630_400 @ 78.5Kg/m2</v>
      </c>
      <c r="E130">
        <v>1630</v>
      </c>
      <c r="F130">
        <v>400</v>
      </c>
      <c r="G130">
        <v>10</v>
      </c>
      <c r="H130" s="109">
        <f>G130*[1]Density!$D$6/1000</f>
        <v>78.5</v>
      </c>
      <c r="I130" s="161">
        <f t="shared" si="16"/>
        <v>51.182000000000002</v>
      </c>
      <c r="J130">
        <v>1630</v>
      </c>
      <c r="K130">
        <v>400</v>
      </c>
      <c r="L130">
        <v>1</v>
      </c>
      <c r="M130" t="s">
        <v>239</v>
      </c>
      <c r="N130" s="159"/>
      <c r="O130" s="202"/>
      <c r="P130" s="202"/>
      <c r="Q130" s="203"/>
      <c r="R130" s="201"/>
      <c r="S130" s="202"/>
      <c r="T130" s="202"/>
      <c r="U130" s="203"/>
      <c r="Z130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51.182000000000002</v>
      </c>
      <c r="AA130" s="17">
        <f t="shared" si="9"/>
        <v>55.020650000000003</v>
      </c>
      <c r="AB130" s="17"/>
      <c r="AC130" s="10">
        <f>AC112</f>
        <v>1075</v>
      </c>
      <c r="AD130" s="10">
        <f>Table1[[#This Row],[£/Tonne]]/1000*Table1[[#This Row],[KG/M2]]</f>
        <v>84.387500000000003</v>
      </c>
      <c r="AE130" s="10">
        <f>Table1[[#This Row],[£/Tonne]]/1000*Table1[[#This Row],[Kg/ Sheet]]</f>
        <v>55.020650000000003</v>
      </c>
      <c r="AF130" s="10"/>
      <c r="AG130" s="111">
        <f>Table1[[#This Row],[£Cost / SHEET]]*(1+AG$1)</f>
        <v>71.526845000000009</v>
      </c>
      <c r="AH130" s="111">
        <f>Table1[[#This Row],[£Cost / SHEET]]*(1+AH$1)</f>
        <v>74.277877500000002</v>
      </c>
      <c r="AI130" s="111">
        <f>Table1[[#This Row],[£Cost / SHEET]]*(1+AI$1)</f>
        <v>77.028909999999996</v>
      </c>
      <c r="AJ130" s="111">
        <f>Table1[[#This Row],[£Cost / SHEET]]*(1+AJ$1)</f>
        <v>82.530975000000012</v>
      </c>
      <c r="AK130" s="222">
        <f>(Table1[[#This Row],[Qty 1]]*IF(Table1[[#This Row],[Dimension L1]]&lt;1,(Table1[[#This Row],[Length]]*Table1[[#This Row],[Width]]),(Table1[[#This Row],[Dimension L1]]*Table1[[#This Row],[Dimension W1]])))/1000000</f>
        <v>0.65200000000000002</v>
      </c>
      <c r="AL130" s="121"/>
    </row>
    <row r="131" spans="2:38" ht="25.35" customHeight="1">
      <c r="B131" s="7" t="s">
        <v>24</v>
      </c>
      <c r="C131" s="7" t="str">
        <f t="shared" si="15"/>
        <v>PL_10_2000_500</v>
      </c>
      <c r="D131" s="7" t="str">
        <f>_xlfn.CONCAT(Table1[[#This Row],[ProductRecord.AccountReference]]," @ ",Table1[[#This Row],[KG/M2]],$H$2)</f>
        <v>PL_10_2000_500 @ 78.5Kg/m2</v>
      </c>
      <c r="E131">
        <v>2000</v>
      </c>
      <c r="F131">
        <v>500</v>
      </c>
      <c r="G131">
        <v>10</v>
      </c>
      <c r="H131" s="109">
        <f>G131*[1]Density!$D$6/1000</f>
        <v>78.5</v>
      </c>
      <c r="I131" s="161">
        <f t="shared" si="16"/>
        <v>78.5</v>
      </c>
      <c r="J131">
        <v>2000</v>
      </c>
      <c r="K131">
        <v>500</v>
      </c>
      <c r="L131">
        <v>1</v>
      </c>
      <c r="M131" t="s">
        <v>239</v>
      </c>
      <c r="N131" s="159"/>
      <c r="O131" s="202"/>
      <c r="P131" s="202"/>
      <c r="Q131" s="203"/>
      <c r="R131" s="201"/>
      <c r="S131" s="202"/>
      <c r="T131" s="202"/>
      <c r="U131" s="203"/>
      <c r="Z131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78.5</v>
      </c>
      <c r="AA131" s="17">
        <f t="shared" ref="AA131:AA194" si="17">Z131/1000*AC131</f>
        <v>84.387500000000003</v>
      </c>
      <c r="AB131" s="17"/>
      <c r="AC131" s="10">
        <f>AC112</f>
        <v>1075</v>
      </c>
      <c r="AD131" s="10">
        <f>Table1[[#This Row],[£/Tonne]]/1000*Table1[[#This Row],[KG/M2]]</f>
        <v>84.387500000000003</v>
      </c>
      <c r="AE131" s="10">
        <f>Table1[[#This Row],[£/Tonne]]/1000*Table1[[#This Row],[Kg/ Sheet]]</f>
        <v>84.387500000000003</v>
      </c>
      <c r="AF131" s="10"/>
      <c r="AG131" s="111">
        <f>Table1[[#This Row],[£Cost / SHEET]]*(1+AG$1)</f>
        <v>109.70375000000001</v>
      </c>
      <c r="AH131" s="111">
        <f>Table1[[#This Row],[£Cost / SHEET]]*(1+AH$1)</f>
        <v>113.92312500000001</v>
      </c>
      <c r="AI131" s="111">
        <f>Table1[[#This Row],[£Cost / SHEET]]*(1+AI$1)</f>
        <v>118.1425</v>
      </c>
      <c r="AJ131" s="111">
        <f>Table1[[#This Row],[£Cost / SHEET]]*(1+AJ$1)</f>
        <v>126.58125000000001</v>
      </c>
      <c r="AK131" s="222">
        <f>(Table1[[#This Row],[Qty 1]]*IF(Table1[[#This Row],[Dimension L1]]&lt;1,(Table1[[#This Row],[Length]]*Table1[[#This Row],[Width]]),(Table1[[#This Row],[Dimension L1]]*Table1[[#This Row],[Dimension W1]])))/1000000</f>
        <v>1</v>
      </c>
      <c r="AL131" s="121"/>
    </row>
    <row r="132" spans="2:38" ht="25.35" customHeight="1">
      <c r="B132" s="7" t="s">
        <v>24</v>
      </c>
      <c r="C132" s="7" t="str">
        <f t="shared" si="15"/>
        <v>PL_10_2200_500</v>
      </c>
      <c r="D132" s="7" t="str">
        <f>_xlfn.CONCAT(Table1[[#This Row],[ProductRecord.AccountReference]]," @ ",Table1[[#This Row],[KG/M2]],$H$2)</f>
        <v>PL_10_2200_500 @ 78.5Kg/m2</v>
      </c>
      <c r="E132">
        <v>2200</v>
      </c>
      <c r="F132">
        <v>500</v>
      </c>
      <c r="G132">
        <v>10</v>
      </c>
      <c r="H132" s="109">
        <f>G132*[1]Density!$D$6/1000</f>
        <v>78.5</v>
      </c>
      <c r="I132" s="161">
        <f t="shared" si="16"/>
        <v>86.35</v>
      </c>
      <c r="J132">
        <v>2200</v>
      </c>
      <c r="K132">
        <v>500</v>
      </c>
      <c r="L132">
        <v>1</v>
      </c>
      <c r="M132" t="s">
        <v>308</v>
      </c>
      <c r="N132" s="159"/>
      <c r="O132" s="202"/>
      <c r="P132" s="202"/>
      <c r="Q132" s="203"/>
      <c r="R132" s="201"/>
      <c r="S132" s="202"/>
      <c r="T132" s="202"/>
      <c r="U132" s="203"/>
      <c r="Z132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86.350000000000009</v>
      </c>
      <c r="AA132" s="17">
        <f t="shared" si="17"/>
        <v>92.826250000000016</v>
      </c>
      <c r="AB132" s="17"/>
      <c r="AC132" s="10">
        <f>AC112</f>
        <v>1075</v>
      </c>
      <c r="AD132" s="10">
        <f>Table1[[#This Row],[£/Tonne]]/1000*Table1[[#This Row],[KG/M2]]</f>
        <v>84.387500000000003</v>
      </c>
      <c r="AE132" s="10">
        <f>Table1[[#This Row],[£/Tonne]]/1000*Table1[[#This Row],[Kg/ Sheet]]</f>
        <v>92.826249999999987</v>
      </c>
      <c r="AF132" s="10"/>
      <c r="AG132" s="111">
        <f>Table1[[#This Row],[£Cost / SHEET]]*(1+AG$1)</f>
        <v>120.67412499999999</v>
      </c>
      <c r="AH132" s="111">
        <f>Table1[[#This Row],[£Cost / SHEET]]*(1+AH$1)</f>
        <v>125.31543749999999</v>
      </c>
      <c r="AI132" s="111">
        <f>Table1[[#This Row],[£Cost / SHEET]]*(1+AI$1)</f>
        <v>129.95674999999997</v>
      </c>
      <c r="AJ132" s="111">
        <f>Table1[[#This Row],[£Cost / SHEET]]*(1+AJ$1)</f>
        <v>139.239375</v>
      </c>
      <c r="AK132" s="222">
        <f>(Table1[[#This Row],[Qty 1]]*IF(Table1[[#This Row],[Dimension L1]]&lt;1,(Table1[[#This Row],[Length]]*Table1[[#This Row],[Width]]),(Table1[[#This Row],[Dimension L1]]*Table1[[#This Row],[Dimension W1]])))/1000000</f>
        <v>1.1000000000000001</v>
      </c>
      <c r="AL132" s="121"/>
    </row>
    <row r="133" spans="2:38" ht="25.35" customHeight="1">
      <c r="B133" s="7" t="s">
        <v>24</v>
      </c>
      <c r="C133" s="7" t="str">
        <f t="shared" si="15"/>
        <v>PL_10_2500_980</v>
      </c>
      <c r="D133" s="7" t="str">
        <f>_xlfn.CONCAT(Table1[[#This Row],[ProductRecord.AccountReference]]," @ ",Table1[[#This Row],[KG/M2]],$H$2)</f>
        <v>PL_10_2500_980 @ 78.5Kg/m2</v>
      </c>
      <c r="E133">
        <v>2500</v>
      </c>
      <c r="F133">
        <v>980</v>
      </c>
      <c r="G133">
        <v>10</v>
      </c>
      <c r="H133" s="109">
        <f>G133*[1]Density!$D$6/1000</f>
        <v>78.5</v>
      </c>
      <c r="I133" s="161">
        <f t="shared" si="16"/>
        <v>192.32499999999999</v>
      </c>
      <c r="J133">
        <v>2500</v>
      </c>
      <c r="K133">
        <v>980</v>
      </c>
      <c r="L133">
        <v>1</v>
      </c>
      <c r="M133" t="s">
        <v>239</v>
      </c>
      <c r="N133" s="159"/>
      <c r="O133" s="202"/>
      <c r="P133" s="202"/>
      <c r="Q133" s="203"/>
      <c r="R133" s="201"/>
      <c r="S133" s="202"/>
      <c r="T133" s="202"/>
      <c r="U133" s="203"/>
      <c r="Z133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192.32500000000002</v>
      </c>
      <c r="AA133" s="17">
        <f t="shared" si="17"/>
        <v>206.74937500000001</v>
      </c>
      <c r="AB133" s="17"/>
      <c r="AC133" s="10">
        <f>AC112</f>
        <v>1075</v>
      </c>
      <c r="AD133" s="10">
        <f>Table1[[#This Row],[£/Tonne]]/1000*Table1[[#This Row],[KG/M2]]</f>
        <v>84.387500000000003</v>
      </c>
      <c r="AE133" s="10">
        <f>Table1[[#This Row],[£/Tonne]]/1000*Table1[[#This Row],[Kg/ Sheet]]</f>
        <v>206.74937499999999</v>
      </c>
      <c r="AF133" s="10"/>
      <c r="AG133" s="111">
        <f>Table1[[#This Row],[£Cost / SHEET]]*(1+AG$1)</f>
        <v>268.77418749999998</v>
      </c>
      <c r="AH133" s="111">
        <f>Table1[[#This Row],[£Cost / SHEET]]*(1+AH$1)</f>
        <v>279.11165625000001</v>
      </c>
      <c r="AI133" s="111">
        <f>Table1[[#This Row],[£Cost / SHEET]]*(1+AI$1)</f>
        <v>289.44912499999998</v>
      </c>
      <c r="AJ133" s="111">
        <f>Table1[[#This Row],[£Cost / SHEET]]*(1+AJ$1)</f>
        <v>310.12406249999998</v>
      </c>
      <c r="AK133" s="222">
        <f>(Table1[[#This Row],[Qty 1]]*IF(Table1[[#This Row],[Dimension L1]]&lt;1,(Table1[[#This Row],[Length]]*Table1[[#This Row],[Width]]),(Table1[[#This Row],[Dimension L1]]*Table1[[#This Row],[Dimension W1]])))/1000000</f>
        <v>2.4500000000000002</v>
      </c>
      <c r="AL133" s="121"/>
    </row>
    <row r="134" spans="2:38" ht="25.35" customHeight="1">
      <c r="B134" s="7" t="s">
        <v>24</v>
      </c>
      <c r="C134" s="7" t="str">
        <f t="shared" si="15"/>
        <v>PL_10_2500_1550</v>
      </c>
      <c r="D134" s="7" t="str">
        <f>_xlfn.CONCAT(Table1[[#This Row],[ProductRecord.AccountReference]]," @ ",Table1[[#This Row],[KG/M2]],$H$2)</f>
        <v>PL_10_2500_1550 @ 78.5Kg/m2</v>
      </c>
      <c r="E134">
        <v>2500</v>
      </c>
      <c r="F134">
        <v>1550</v>
      </c>
      <c r="G134">
        <v>10</v>
      </c>
      <c r="H134" s="109">
        <f>G134*[1]Density!$D$6/1000</f>
        <v>78.5</v>
      </c>
      <c r="I134" s="161">
        <f t="shared" si="16"/>
        <v>304.1875</v>
      </c>
      <c r="J134">
        <v>2500</v>
      </c>
      <c r="K134">
        <v>1550</v>
      </c>
      <c r="L134">
        <v>1</v>
      </c>
      <c r="M134" t="s">
        <v>308</v>
      </c>
      <c r="N134" s="159"/>
      <c r="O134" s="202"/>
      <c r="P134" s="202"/>
      <c r="Q134" s="203"/>
      <c r="R134" s="201"/>
      <c r="S134" s="202"/>
      <c r="T134" s="202"/>
      <c r="U134" s="203"/>
      <c r="Z134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304.1875</v>
      </c>
      <c r="AA134" s="17">
        <f t="shared" si="17"/>
        <v>313.31312500000001</v>
      </c>
      <c r="AB134" s="17"/>
      <c r="AC134" s="10">
        <f>AC127</f>
        <v>1030</v>
      </c>
      <c r="AD134" s="10">
        <f>Table1[[#This Row],[£/Tonne]]/1000*Table1[[#This Row],[KG/M2]]</f>
        <v>80.855000000000004</v>
      </c>
      <c r="AE134" s="10">
        <f>Table1[[#This Row],[£/Tonne]]/1000*Table1[[#This Row],[Kg/ Sheet]]</f>
        <v>313.31312500000001</v>
      </c>
      <c r="AF134" s="10"/>
      <c r="AG134" s="111">
        <f>Table1[[#This Row],[£Cost / SHEET]]*(1+AG$1)</f>
        <v>407.30706250000003</v>
      </c>
      <c r="AH134" s="111">
        <f>Table1[[#This Row],[£Cost / SHEET]]*(1+AH$1)</f>
        <v>422.97271875000007</v>
      </c>
      <c r="AI134" s="111">
        <f>Table1[[#This Row],[£Cost / SHEET]]*(1+AI$1)</f>
        <v>438.638375</v>
      </c>
      <c r="AJ134" s="111">
        <f>Table1[[#This Row],[£Cost / SHEET]]*(1+AJ$1)</f>
        <v>469.96968750000002</v>
      </c>
      <c r="AK134" s="222">
        <f>(Table1[[#This Row],[Qty 1]]*IF(Table1[[#This Row],[Dimension L1]]&lt;1,(Table1[[#This Row],[Length]]*Table1[[#This Row],[Width]]),(Table1[[#This Row],[Dimension L1]]*Table1[[#This Row],[Dimension W1]])))/1000000</f>
        <v>3.875</v>
      </c>
      <c r="AL134" s="121"/>
    </row>
    <row r="135" spans="2:38" ht="25.35" customHeight="1">
      <c r="B135" s="7" t="s">
        <v>24</v>
      </c>
      <c r="C135" s="7" t="str">
        <f t="shared" si="15"/>
        <v>PL_10_2510_290</v>
      </c>
      <c r="D135" s="7" t="str">
        <f>_xlfn.CONCAT(Table1[[#This Row],[ProductRecord.AccountReference]]," @ ",Table1[[#This Row],[KG/M2]],$H$2)</f>
        <v>PL_10_2510_290 @ 78.5Kg/m2</v>
      </c>
      <c r="E135">
        <v>2510</v>
      </c>
      <c r="F135">
        <v>290</v>
      </c>
      <c r="G135">
        <v>10</v>
      </c>
      <c r="H135" s="109">
        <f>G135*[1]Density!$D$6/1000</f>
        <v>78.5</v>
      </c>
      <c r="I135" s="161">
        <f t="shared" si="16"/>
        <v>57.140149999999998</v>
      </c>
      <c r="J135">
        <v>2510</v>
      </c>
      <c r="K135">
        <v>290</v>
      </c>
      <c r="L135">
        <v>1</v>
      </c>
      <c r="M135" t="s">
        <v>308</v>
      </c>
      <c r="N135" s="159"/>
      <c r="O135" s="202"/>
      <c r="P135" s="202"/>
      <c r="Q135" s="203"/>
      <c r="R135" s="201"/>
      <c r="S135" s="202"/>
      <c r="T135" s="202"/>
      <c r="U135" s="203"/>
      <c r="Z135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57.140149999999998</v>
      </c>
      <c r="AA135" s="17">
        <f t="shared" si="17"/>
        <v>61.425661249999997</v>
      </c>
      <c r="AB135" s="17"/>
      <c r="AC135" s="10">
        <f>AC112</f>
        <v>1075</v>
      </c>
      <c r="AD135" s="10">
        <f>Table1[[#This Row],[£/Tonne]]/1000*Table1[[#This Row],[KG/M2]]</f>
        <v>84.387500000000003</v>
      </c>
      <c r="AE135" s="10">
        <f>Table1[[#This Row],[£/Tonne]]/1000*Table1[[#This Row],[Kg/ Sheet]]</f>
        <v>61.425661249999997</v>
      </c>
      <c r="AF135" s="10"/>
      <c r="AG135" s="111">
        <f>Table1[[#This Row],[£Cost / SHEET]]*(1+AG$1)</f>
        <v>79.853359624999996</v>
      </c>
      <c r="AH135" s="111">
        <f>Table1[[#This Row],[£Cost / SHEET]]*(1+AH$1)</f>
        <v>82.924642687499997</v>
      </c>
      <c r="AI135" s="111">
        <f>Table1[[#This Row],[£Cost / SHEET]]*(1+AI$1)</f>
        <v>85.995925749999998</v>
      </c>
      <c r="AJ135" s="111">
        <f>Table1[[#This Row],[£Cost / SHEET]]*(1+AJ$1)</f>
        <v>92.138491875</v>
      </c>
      <c r="AK135" s="222">
        <f>(Table1[[#This Row],[Qty 1]]*IF(Table1[[#This Row],[Dimension L1]]&lt;1,(Table1[[#This Row],[Length]]*Table1[[#This Row],[Width]]),(Table1[[#This Row],[Dimension L1]]*Table1[[#This Row],[Dimension W1]])))/1000000</f>
        <v>0.72789999999999999</v>
      </c>
      <c r="AL135" s="121"/>
    </row>
    <row r="136" spans="2:38" ht="25.35" customHeight="1">
      <c r="B136" s="7" t="s">
        <v>24</v>
      </c>
      <c r="C136" s="7" t="str">
        <f t="shared" si="15"/>
        <v>PL_10_2900_1500</v>
      </c>
      <c r="D136" s="7" t="str">
        <f>_xlfn.CONCAT(Table1[[#This Row],[ProductRecord.AccountReference]]," @ ",Table1[[#This Row],[KG/M2]],$H$2)</f>
        <v>PL_10_2900_1500 @ 78.5Kg/m2</v>
      </c>
      <c r="E136">
        <v>2900</v>
      </c>
      <c r="F136">
        <v>1500</v>
      </c>
      <c r="G136">
        <v>10</v>
      </c>
      <c r="H136" s="109">
        <f>G136*[1]Density!$D$6/1000</f>
        <v>78.5</v>
      </c>
      <c r="I136" s="161">
        <f t="shared" si="16"/>
        <v>341.47500000000002</v>
      </c>
      <c r="J136">
        <v>2900</v>
      </c>
      <c r="K136">
        <v>1500</v>
      </c>
      <c r="L136">
        <v>1</v>
      </c>
      <c r="M136" t="s">
        <v>239</v>
      </c>
      <c r="N136" s="159"/>
      <c r="O136" s="202"/>
      <c r="P136" s="202"/>
      <c r="Q136" s="203"/>
      <c r="R136" s="201"/>
      <c r="S136" s="202"/>
      <c r="T136" s="202"/>
      <c r="U136" s="203"/>
      <c r="Z136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341.47499999999997</v>
      </c>
      <c r="AA136" s="17">
        <f t="shared" si="17"/>
        <v>351.71924999999999</v>
      </c>
      <c r="AB136" s="17"/>
      <c r="AC136" s="10">
        <f>AC127</f>
        <v>1030</v>
      </c>
      <c r="AD136" s="10">
        <f>Table1[[#This Row],[£/Tonne]]/1000*Table1[[#This Row],[KG/M2]]</f>
        <v>80.855000000000004</v>
      </c>
      <c r="AE136" s="10">
        <f>Table1[[#This Row],[£/Tonne]]/1000*Table1[[#This Row],[Kg/ Sheet]]</f>
        <v>351.71925000000005</v>
      </c>
      <c r="AF136" s="10"/>
      <c r="AG136" s="111">
        <f>Table1[[#This Row],[£Cost / SHEET]]*(1+AG$1)</f>
        <v>457.23502500000006</v>
      </c>
      <c r="AH136" s="111">
        <f>Table1[[#This Row],[£Cost / SHEET]]*(1+AH$1)</f>
        <v>474.82098750000011</v>
      </c>
      <c r="AI136" s="111">
        <f>Table1[[#This Row],[£Cost / SHEET]]*(1+AI$1)</f>
        <v>492.40695000000005</v>
      </c>
      <c r="AJ136" s="111">
        <f>Table1[[#This Row],[£Cost / SHEET]]*(1+AJ$1)</f>
        <v>527.57887500000004</v>
      </c>
      <c r="AK136" s="222">
        <f>(Table1[[#This Row],[Qty 1]]*IF(Table1[[#This Row],[Dimension L1]]&lt;1,(Table1[[#This Row],[Length]]*Table1[[#This Row],[Width]]),(Table1[[#This Row],[Dimension L1]]*Table1[[#This Row],[Dimension W1]])))/1000000</f>
        <v>4.3499999999999996</v>
      </c>
      <c r="AL136" s="121"/>
    </row>
    <row r="137" spans="2:38" ht="25.35" customHeight="1">
      <c r="B137" s="7" t="s">
        <v>24</v>
      </c>
      <c r="C137" s="7" t="str">
        <f t="shared" si="15"/>
        <v>PL_10_3190_1860</v>
      </c>
      <c r="D137" s="7" t="str">
        <f>_xlfn.CONCAT(Table1[[#This Row],[ProductRecord.AccountReference]]," @ ",Table1[[#This Row],[KG/M2]],$H$2)</f>
        <v>PL_10_3190_1860 @ 78.5Kg/m2</v>
      </c>
      <c r="E137">
        <v>3190</v>
      </c>
      <c r="F137">
        <v>1860</v>
      </c>
      <c r="G137">
        <v>10</v>
      </c>
      <c r="H137" s="109">
        <f>G137*[1]Density!$D$6/1000</f>
        <v>78.5</v>
      </c>
      <c r="I137" s="161">
        <f t="shared" si="16"/>
        <v>465.77190000000002</v>
      </c>
      <c r="J137">
        <v>3190</v>
      </c>
      <c r="K137">
        <v>1860</v>
      </c>
      <c r="L137">
        <v>2</v>
      </c>
      <c r="M137" t="s">
        <v>308</v>
      </c>
      <c r="N137" s="159"/>
      <c r="O137" s="202"/>
      <c r="P137" s="202"/>
      <c r="Q137" s="203"/>
      <c r="R137" s="201"/>
      <c r="S137" s="202"/>
      <c r="T137" s="202"/>
      <c r="U137" s="203"/>
      <c r="Z137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931.54379999999992</v>
      </c>
      <c r="AA137" s="17">
        <f t="shared" si="17"/>
        <v>1061.0283881999999</v>
      </c>
      <c r="AB137" s="17"/>
      <c r="AC137" s="10">
        <f>AC144</f>
        <v>1139</v>
      </c>
      <c r="AD137" s="10">
        <f>Table1[[#This Row],[£/Tonne]]/1000*Table1[[#This Row],[KG/M2]]</f>
        <v>89.411500000000004</v>
      </c>
      <c r="AE137" s="10">
        <f>Table1[[#This Row],[£/Tonne]]/1000*Table1[[#This Row],[Kg/ Sheet]]</f>
        <v>530.51419410000005</v>
      </c>
      <c r="AF137" s="10"/>
      <c r="AG137" s="111">
        <f>Table1[[#This Row],[£Cost / SHEET]]*(1+AG$1)</f>
        <v>689.66845233000015</v>
      </c>
      <c r="AH137" s="111">
        <f>Table1[[#This Row],[£Cost / SHEET]]*(1+AH$1)</f>
        <v>716.19416203500009</v>
      </c>
      <c r="AI137" s="111">
        <f>Table1[[#This Row],[£Cost / SHEET]]*(1+AI$1)</f>
        <v>742.71987174000003</v>
      </c>
      <c r="AJ137" s="111">
        <f>Table1[[#This Row],[£Cost / SHEET]]*(1+AJ$1)</f>
        <v>795.77129115000002</v>
      </c>
      <c r="AK137" s="222">
        <f>(Table1[[#This Row],[Qty 1]]*IF(Table1[[#This Row],[Dimension L1]]&lt;1,(Table1[[#This Row],[Length]]*Table1[[#This Row],[Width]]),(Table1[[#This Row],[Dimension L1]]*Table1[[#This Row],[Dimension W1]])))/1000000</f>
        <v>11.8668</v>
      </c>
      <c r="AL137" s="121"/>
    </row>
    <row r="138" spans="2:38" ht="25.35" customHeight="1">
      <c r="B138" s="7" t="s">
        <v>24</v>
      </c>
      <c r="C138" s="7" t="str">
        <f t="shared" si="15"/>
        <v>PL_10_3230_3000</v>
      </c>
      <c r="D138" s="7" t="str">
        <f>_xlfn.CONCAT(Table1[[#This Row],[ProductRecord.AccountReference]]," @ ",Table1[[#This Row],[KG/M2]],$H$2)</f>
        <v>PL_10_3230_3000 @ 78.5Kg/m2</v>
      </c>
      <c r="E138">
        <v>3230</v>
      </c>
      <c r="F138">
        <v>3000</v>
      </c>
      <c r="G138">
        <v>10</v>
      </c>
      <c r="H138" s="109">
        <f>G138*[1]Density!$D$6/1000</f>
        <v>78.5</v>
      </c>
      <c r="I138" s="161">
        <f t="shared" si="16"/>
        <v>760.66499999999996</v>
      </c>
      <c r="J138">
        <v>3230</v>
      </c>
      <c r="K138">
        <v>3000</v>
      </c>
      <c r="L138">
        <v>1</v>
      </c>
      <c r="M138" t="s">
        <v>239</v>
      </c>
      <c r="N138" s="159"/>
      <c r="O138" s="202"/>
      <c r="P138" s="202"/>
      <c r="Q138" s="203"/>
      <c r="R138" s="201"/>
      <c r="S138" s="202"/>
      <c r="T138" s="202"/>
      <c r="U138" s="203"/>
      <c r="Z138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760.66499999999996</v>
      </c>
      <c r="AA138" s="17">
        <f t="shared" si="17"/>
        <v>478.45828499999993</v>
      </c>
      <c r="AB138" s="17"/>
      <c r="AC138" s="10">
        <f>AC146</f>
        <v>629</v>
      </c>
      <c r="AD138" s="10">
        <f>Table1[[#This Row],[£/Tonne]]/1000*Table1[[#This Row],[KG/M2]]</f>
        <v>49.3765</v>
      </c>
      <c r="AE138" s="10">
        <f>Table1[[#This Row],[£/Tonne]]/1000*Table1[[#This Row],[Kg/ Sheet]]</f>
        <v>478.45828499999999</v>
      </c>
      <c r="AF138" s="10"/>
      <c r="AG138" s="111">
        <f>Table1[[#This Row],[£Cost / SHEET]]*(1+AG$1)</f>
        <v>621.99577050000005</v>
      </c>
      <c r="AH138" s="111">
        <f>Table1[[#This Row],[£Cost / SHEET]]*(1+AH$1)</f>
        <v>645.91868475000001</v>
      </c>
      <c r="AI138" s="111">
        <f>Table1[[#This Row],[£Cost / SHEET]]*(1+AI$1)</f>
        <v>669.84159899999997</v>
      </c>
      <c r="AJ138" s="111">
        <f>Table1[[#This Row],[£Cost / SHEET]]*(1+AJ$1)</f>
        <v>717.68742750000001</v>
      </c>
      <c r="AK138" s="222">
        <f>(Table1[[#This Row],[Qty 1]]*IF(Table1[[#This Row],[Dimension L1]]&lt;1,(Table1[[#This Row],[Length]]*Table1[[#This Row],[Width]]),(Table1[[#This Row],[Dimension L1]]*Table1[[#This Row],[Dimension W1]])))/1000000</f>
        <v>9.69</v>
      </c>
      <c r="AL138" s="121"/>
    </row>
    <row r="139" spans="2:38" ht="25.35" customHeight="1">
      <c r="B139" s="7" t="s">
        <v>24</v>
      </c>
      <c r="C139" s="7" t="str">
        <f t="shared" si="15"/>
        <v>PL_10_3400_1260</v>
      </c>
      <c r="D139" s="7" t="str">
        <f>_xlfn.CONCAT(Table1[[#This Row],[ProductRecord.AccountReference]]," @ ",Table1[[#This Row],[KG/M2]],$H$2)</f>
        <v>PL_10_3400_1260 @ 78.5Kg/m2</v>
      </c>
      <c r="E139">
        <v>3400</v>
      </c>
      <c r="F139">
        <v>1260</v>
      </c>
      <c r="G139">
        <v>10</v>
      </c>
      <c r="H139" s="109">
        <f>G139*[1]Density!$D$6/1000</f>
        <v>78.5</v>
      </c>
      <c r="I139" s="161">
        <f t="shared" si="16"/>
        <v>336.29399999999998</v>
      </c>
      <c r="J139">
        <v>3400</v>
      </c>
      <c r="K139">
        <v>1260</v>
      </c>
      <c r="L139">
        <v>1</v>
      </c>
      <c r="M139" t="s">
        <v>308</v>
      </c>
      <c r="N139" s="159"/>
      <c r="O139" s="202"/>
      <c r="P139" s="202"/>
      <c r="Q139" s="203"/>
      <c r="R139" s="201"/>
      <c r="S139" s="202"/>
      <c r="T139" s="202"/>
      <c r="U139" s="203"/>
      <c r="Z139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336.29399999999998</v>
      </c>
      <c r="AA139" s="17">
        <f t="shared" si="17"/>
        <v>211.52892599999998</v>
      </c>
      <c r="AB139" s="17"/>
      <c r="AC139" s="10">
        <f>AC156</f>
        <v>629</v>
      </c>
      <c r="AD139" s="10">
        <f>Table1[[#This Row],[£/Tonne]]/1000*Table1[[#This Row],[KG/M2]]</f>
        <v>49.3765</v>
      </c>
      <c r="AE139" s="10">
        <f>Table1[[#This Row],[£/Tonne]]/1000*Table1[[#This Row],[Kg/ Sheet]]</f>
        <v>211.52892599999998</v>
      </c>
      <c r="AF139" s="10"/>
      <c r="AG139" s="111">
        <f>Table1[[#This Row],[£Cost / SHEET]]*(1+AG$1)</f>
        <v>274.98760379999999</v>
      </c>
      <c r="AH139" s="111">
        <f>Table1[[#This Row],[£Cost / SHEET]]*(1+AH$1)</f>
        <v>285.56405009999997</v>
      </c>
      <c r="AI139" s="111">
        <f>Table1[[#This Row],[£Cost / SHEET]]*(1+AI$1)</f>
        <v>296.14049639999996</v>
      </c>
      <c r="AJ139" s="111">
        <f>Table1[[#This Row],[£Cost / SHEET]]*(1+AJ$1)</f>
        <v>317.29338899999999</v>
      </c>
      <c r="AK139" s="222">
        <f>(Table1[[#This Row],[Qty 1]]*IF(Table1[[#This Row],[Dimension L1]]&lt;1,(Table1[[#This Row],[Length]]*Table1[[#This Row],[Width]]),(Table1[[#This Row],[Dimension L1]]*Table1[[#This Row],[Dimension W1]])))/1000000</f>
        <v>4.2839999999999998</v>
      </c>
      <c r="AL139" s="121"/>
    </row>
    <row r="140" spans="2:38" ht="25.35" customHeight="1">
      <c r="B140" s="7" t="s">
        <v>24</v>
      </c>
      <c r="C140" s="7" t="str">
        <f t="shared" si="15"/>
        <v>PL_10_3520_1880</v>
      </c>
      <c r="D140" s="7" t="str">
        <f>_xlfn.CONCAT(Table1[[#This Row],[ProductRecord.AccountReference]]," @ ",Table1[[#This Row],[KG/M2]],$H$2)</f>
        <v>PL_10_3520_1880 @ 78.5Kg/m2</v>
      </c>
      <c r="E140">
        <v>3520</v>
      </c>
      <c r="F140">
        <v>1880</v>
      </c>
      <c r="G140">
        <v>10</v>
      </c>
      <c r="H140" s="109">
        <f>G140*[1]Density!$D$6/1000</f>
        <v>78.5</v>
      </c>
      <c r="I140" s="161">
        <f t="shared" si="16"/>
        <v>519.48159999999996</v>
      </c>
      <c r="J140">
        <v>3520</v>
      </c>
      <c r="K140">
        <v>1880</v>
      </c>
      <c r="L140">
        <v>1</v>
      </c>
      <c r="M140" t="s">
        <v>308</v>
      </c>
      <c r="N140" s="159"/>
      <c r="O140" s="202"/>
      <c r="P140" s="202"/>
      <c r="Q140" s="203"/>
      <c r="R140" s="201"/>
      <c r="S140" s="202"/>
      <c r="T140" s="202"/>
      <c r="U140" s="203"/>
      <c r="Z140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519.48160000000007</v>
      </c>
      <c r="AA140" s="17">
        <f t="shared" si="17"/>
        <v>436.36454400000008</v>
      </c>
      <c r="AB140" s="17"/>
      <c r="AC140" s="218">
        <v>840</v>
      </c>
      <c r="AD140" s="10">
        <f>Table1[[#This Row],[£/Tonne]]/1000*Table1[[#This Row],[KG/M2]]</f>
        <v>65.94</v>
      </c>
      <c r="AE140" s="10">
        <f>Table1[[#This Row],[£/Tonne]]/1000*Table1[[#This Row],[Kg/ Sheet]]</f>
        <v>436.36454399999997</v>
      </c>
      <c r="AF140" s="10"/>
      <c r="AG140" s="111">
        <f>Table1[[#This Row],[£Cost / SHEET]]*(1+AG$1)</f>
        <v>567.27390719999994</v>
      </c>
      <c r="AH140" s="111">
        <f>Table1[[#This Row],[£Cost / SHEET]]*(1+AH$1)</f>
        <v>589.09213439999996</v>
      </c>
      <c r="AI140" s="111">
        <f>Table1[[#This Row],[£Cost / SHEET]]*(1+AI$1)</f>
        <v>610.91036159999987</v>
      </c>
      <c r="AJ140" s="111">
        <f>Table1[[#This Row],[£Cost / SHEET]]*(1+AJ$1)</f>
        <v>654.54681599999992</v>
      </c>
      <c r="AK140" s="222">
        <f>(Table1[[#This Row],[Qty 1]]*IF(Table1[[#This Row],[Dimension L1]]&lt;1,(Table1[[#This Row],[Length]]*Table1[[#This Row],[Width]]),(Table1[[#This Row],[Dimension L1]]*Table1[[#This Row],[Dimension W1]])))/1000000</f>
        <v>6.6176000000000004</v>
      </c>
      <c r="AL140" s="121"/>
    </row>
    <row r="141" spans="2:38" ht="25.35" customHeight="1">
      <c r="B141" s="7" t="s">
        <v>24</v>
      </c>
      <c r="C141" s="7" t="str">
        <f t="shared" si="15"/>
        <v>PL_10_3620_2160</v>
      </c>
      <c r="D141" s="7" t="str">
        <f>_xlfn.CONCAT(Table1[[#This Row],[ProductRecord.AccountReference]]," @ ",Table1[[#This Row],[KG/M2]],$H$2)</f>
        <v>PL_10_3620_2160 @ 78.5Kg/m2</v>
      </c>
      <c r="E141">
        <v>3620</v>
      </c>
      <c r="F141">
        <v>2160</v>
      </c>
      <c r="G141">
        <v>10</v>
      </c>
      <c r="H141" s="109">
        <f>G141*[1]Density!$D$6/1000</f>
        <v>78.5</v>
      </c>
      <c r="I141" s="161">
        <f t="shared" si="16"/>
        <v>613.80719999999997</v>
      </c>
      <c r="J141">
        <v>3620</v>
      </c>
      <c r="K141">
        <v>2160</v>
      </c>
      <c r="L141">
        <v>1</v>
      </c>
      <c r="M141" t="s">
        <v>308</v>
      </c>
      <c r="N141" s="159"/>
      <c r="O141" s="202"/>
      <c r="P141" s="202"/>
      <c r="Q141" s="203"/>
      <c r="R141" s="201"/>
      <c r="S141" s="202"/>
      <c r="T141" s="202"/>
      <c r="U141" s="203"/>
      <c r="Z141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613.80720000000008</v>
      </c>
      <c r="AA141" s="17">
        <f t="shared" si="17"/>
        <v>521.12231280000015</v>
      </c>
      <c r="AB141" s="17"/>
      <c r="AC141" s="218">
        <v>849</v>
      </c>
      <c r="AD141" s="10">
        <f>Table1[[#This Row],[£/Tonne]]/1000*Table1[[#This Row],[KG/M2]]</f>
        <v>66.646500000000003</v>
      </c>
      <c r="AE141" s="10">
        <f>Table1[[#This Row],[£/Tonne]]/1000*Table1[[#This Row],[Kg/ Sheet]]</f>
        <v>521.12231279999992</v>
      </c>
      <c r="AF141" s="10"/>
      <c r="AG141" s="111">
        <f>Table1[[#This Row],[£Cost / SHEET]]*(1+AG$1)</f>
        <v>677.45900663999987</v>
      </c>
      <c r="AH141" s="111">
        <f>Table1[[#This Row],[£Cost / SHEET]]*(1+AH$1)</f>
        <v>703.5151222799999</v>
      </c>
      <c r="AI141" s="111">
        <f>Table1[[#This Row],[£Cost / SHEET]]*(1+AI$1)</f>
        <v>729.57123791999982</v>
      </c>
      <c r="AJ141" s="111">
        <f>Table1[[#This Row],[£Cost / SHEET]]*(1+AJ$1)</f>
        <v>781.68346919999988</v>
      </c>
      <c r="AK141" s="222">
        <f>(Table1[[#This Row],[Qty 1]]*IF(Table1[[#This Row],[Dimension L1]]&lt;1,(Table1[[#This Row],[Length]]*Table1[[#This Row],[Width]]),(Table1[[#This Row],[Dimension L1]]*Table1[[#This Row],[Dimension W1]])))/1000000</f>
        <v>7.8192000000000004</v>
      </c>
      <c r="AL141" s="121"/>
    </row>
    <row r="142" spans="2:38" ht="25.35" customHeight="1">
      <c r="B142" s="7" t="s">
        <v>24</v>
      </c>
      <c r="C142" s="7" t="str">
        <f t="shared" si="15"/>
        <v>PL_10_3860_2500</v>
      </c>
      <c r="D142" s="7" t="str">
        <f>_xlfn.CONCAT(Table1[[#This Row],[ProductRecord.AccountReference]]," @ ",Table1[[#This Row],[KG/M2]],$H$2)</f>
        <v>PL_10_3860_2500 @ 78.5Kg/m2</v>
      </c>
      <c r="E142">
        <v>3860</v>
      </c>
      <c r="F142">
        <v>2500</v>
      </c>
      <c r="G142">
        <v>10</v>
      </c>
      <c r="H142" s="109">
        <f>G142*[1]Density!$D$6/1000</f>
        <v>78.5</v>
      </c>
      <c r="I142" s="161">
        <f t="shared" si="16"/>
        <v>757.52499999999998</v>
      </c>
      <c r="J142">
        <v>3860</v>
      </c>
      <c r="K142">
        <v>2500</v>
      </c>
      <c r="L142">
        <v>2</v>
      </c>
      <c r="M142" t="s">
        <v>239</v>
      </c>
      <c r="N142" s="159"/>
      <c r="O142" s="202"/>
      <c r="P142" s="202"/>
      <c r="Q142" s="203"/>
      <c r="R142" s="201"/>
      <c r="S142" s="202"/>
      <c r="T142" s="202"/>
      <c r="U142" s="203"/>
      <c r="Z142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1515.05</v>
      </c>
      <c r="AA142" s="17">
        <f t="shared" si="17"/>
        <v>1513.53495</v>
      </c>
      <c r="AB142" s="17"/>
      <c r="AC142" s="10">
        <f>AC154</f>
        <v>999</v>
      </c>
      <c r="AD142" s="10">
        <f>Table1[[#This Row],[£/Tonne]]/1000*Table1[[#This Row],[KG/M2]]</f>
        <v>78.421499999999995</v>
      </c>
      <c r="AE142" s="10">
        <f>Table1[[#This Row],[£/Tonne]]/1000*Table1[[#This Row],[Kg/ Sheet]]</f>
        <v>756.76747499999999</v>
      </c>
      <c r="AF142" s="10"/>
      <c r="AG142" s="111">
        <f>Table1[[#This Row],[£Cost / SHEET]]*(1+AG$1)</f>
        <v>983.79771749999998</v>
      </c>
      <c r="AH142" s="111">
        <f>Table1[[#This Row],[£Cost / SHEET]]*(1+AH$1)</f>
        <v>1021.63609125</v>
      </c>
      <c r="AI142" s="111">
        <f>Table1[[#This Row],[£Cost / SHEET]]*(1+AI$1)</f>
        <v>1059.474465</v>
      </c>
      <c r="AJ142" s="111">
        <f>Table1[[#This Row],[£Cost / SHEET]]*(1+AJ$1)</f>
        <v>1135.1512124999999</v>
      </c>
      <c r="AK142" s="222">
        <f>(Table1[[#This Row],[Qty 1]]*IF(Table1[[#This Row],[Dimension L1]]&lt;1,(Table1[[#This Row],[Length]]*Table1[[#This Row],[Width]]),(Table1[[#This Row],[Dimension L1]]*Table1[[#This Row],[Dimension W1]])))/1000000</f>
        <v>19.3</v>
      </c>
      <c r="AL142" s="121"/>
    </row>
    <row r="143" spans="2:38" ht="25.35" customHeight="1">
      <c r="B143" s="7" t="s">
        <v>24</v>
      </c>
      <c r="C143" s="7" t="str">
        <f t="shared" si="15"/>
        <v>PL_10_4000_1050</v>
      </c>
      <c r="D143" s="7" t="str">
        <f>_xlfn.CONCAT(Table1[[#This Row],[ProductRecord.AccountReference]]," @ ",Table1[[#This Row],[KG/M2]],$H$2)</f>
        <v>PL_10_4000_1050 @ 78.5Kg/m2</v>
      </c>
      <c r="E143">
        <v>4000</v>
      </c>
      <c r="F143">
        <v>1050</v>
      </c>
      <c r="G143">
        <v>10</v>
      </c>
      <c r="H143" s="109">
        <f>G143*[1]Density!$D$6/1000</f>
        <v>78.5</v>
      </c>
      <c r="I143" s="161">
        <f t="shared" si="16"/>
        <v>329.7</v>
      </c>
      <c r="J143">
        <v>4000</v>
      </c>
      <c r="K143">
        <v>1050</v>
      </c>
      <c r="L143">
        <v>1</v>
      </c>
      <c r="M143" t="s">
        <v>308</v>
      </c>
      <c r="N143" s="159"/>
      <c r="O143" s="202"/>
      <c r="P143" s="202"/>
      <c r="Q143" s="203"/>
      <c r="R143" s="201"/>
      <c r="S143" s="202"/>
      <c r="T143" s="202"/>
      <c r="U143" s="203"/>
      <c r="Z143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329.7</v>
      </c>
      <c r="AA143" s="17">
        <f t="shared" si="17"/>
        <v>375.5283</v>
      </c>
      <c r="AB143" s="17"/>
      <c r="AC143" s="10">
        <f>AC144</f>
        <v>1139</v>
      </c>
      <c r="AD143" s="10">
        <f>Table1[[#This Row],[£/Tonne]]/1000*Table1[[#This Row],[KG/M2]]</f>
        <v>89.411500000000004</v>
      </c>
      <c r="AE143" s="10">
        <f>Table1[[#This Row],[£/Tonne]]/1000*Table1[[#This Row],[Kg/ Sheet]]</f>
        <v>375.5283</v>
      </c>
      <c r="AF143" s="10"/>
      <c r="AG143" s="111">
        <f>Table1[[#This Row],[£Cost / SHEET]]*(1+AG$1)</f>
        <v>488.18679000000003</v>
      </c>
      <c r="AH143" s="111">
        <f>Table1[[#This Row],[£Cost / SHEET]]*(1+AH$1)</f>
        <v>506.96320500000002</v>
      </c>
      <c r="AI143" s="111">
        <f>Table1[[#This Row],[£Cost / SHEET]]*(1+AI$1)</f>
        <v>525.73961999999995</v>
      </c>
      <c r="AJ143" s="111">
        <f>Table1[[#This Row],[£Cost / SHEET]]*(1+AJ$1)</f>
        <v>563.29245000000003</v>
      </c>
      <c r="AK143" s="222">
        <f>(Table1[[#This Row],[Qty 1]]*IF(Table1[[#This Row],[Dimension L1]]&lt;1,(Table1[[#This Row],[Length]]*Table1[[#This Row],[Width]]),(Table1[[#This Row],[Dimension L1]]*Table1[[#This Row],[Dimension W1]])))/1000000</f>
        <v>4.2</v>
      </c>
      <c r="AL143" s="121"/>
    </row>
    <row r="144" spans="2:38" ht="25.35" customHeight="1">
      <c r="B144" s="7" t="s">
        <v>24</v>
      </c>
      <c r="C144" s="7" t="str">
        <f t="shared" si="15"/>
        <v>PL_10_4000_1830</v>
      </c>
      <c r="D144" s="7" t="str">
        <f>_xlfn.CONCAT(Table1[[#This Row],[ProductRecord.AccountReference]]," @ ",Table1[[#This Row],[KG/M2]],$H$2)</f>
        <v>PL_10_4000_1830 @ 78.5Kg/m2</v>
      </c>
      <c r="E144">
        <v>4000</v>
      </c>
      <c r="F144">
        <v>1830</v>
      </c>
      <c r="G144">
        <v>10</v>
      </c>
      <c r="H144" s="109">
        <f>G144*[1]Density!$D$6/1000</f>
        <v>78.5</v>
      </c>
      <c r="I144" s="161">
        <f t="shared" si="16"/>
        <v>574.62</v>
      </c>
      <c r="J144">
        <v>4000</v>
      </c>
      <c r="K144">
        <v>1830</v>
      </c>
      <c r="L144">
        <v>4</v>
      </c>
      <c r="M144" t="s">
        <v>308</v>
      </c>
      <c r="N144" s="159"/>
      <c r="O144" s="202"/>
      <c r="P144" s="202"/>
      <c r="Q144" s="203"/>
      <c r="R144" s="201"/>
      <c r="S144" s="202"/>
      <c r="T144" s="202"/>
      <c r="U144" s="203"/>
      <c r="Z144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2298.48</v>
      </c>
      <c r="AA144" s="17">
        <f t="shared" si="17"/>
        <v>2617.9687200000003</v>
      </c>
      <c r="AB144" s="17"/>
      <c r="AC144" s="218">
        <v>1139</v>
      </c>
      <c r="AD144" s="10">
        <f>Table1[[#This Row],[£/Tonne]]/1000*Table1[[#This Row],[KG/M2]]</f>
        <v>89.411500000000004</v>
      </c>
      <c r="AE144" s="10">
        <f>Table1[[#This Row],[£/Tonne]]/1000*Table1[[#This Row],[Kg/ Sheet]]</f>
        <v>654.49217999999996</v>
      </c>
      <c r="AF144" s="10"/>
      <c r="AG144" s="111">
        <f>Table1[[#This Row],[£Cost / SHEET]]*(1+AG$1)</f>
        <v>850.839834</v>
      </c>
      <c r="AH144" s="111">
        <f>Table1[[#This Row],[£Cost / SHEET]]*(1+AH$1)</f>
        <v>883.56444299999998</v>
      </c>
      <c r="AI144" s="111">
        <f>Table1[[#This Row],[£Cost / SHEET]]*(1+AI$1)</f>
        <v>916.28905199999986</v>
      </c>
      <c r="AJ144" s="111">
        <f>Table1[[#This Row],[£Cost / SHEET]]*(1+AJ$1)</f>
        <v>981.73826999999994</v>
      </c>
      <c r="AK144" s="222">
        <f>(Table1[[#This Row],[Qty 1]]*IF(Table1[[#This Row],[Dimension L1]]&lt;1,(Table1[[#This Row],[Length]]*Table1[[#This Row],[Width]]),(Table1[[#This Row],[Dimension L1]]*Table1[[#This Row],[Dimension W1]])))/1000000</f>
        <v>29.28</v>
      </c>
      <c r="AL144" s="121"/>
    </row>
    <row r="145" spans="2:38" ht="25.35" customHeight="1">
      <c r="B145" s="7" t="s">
        <v>24</v>
      </c>
      <c r="C145" s="7" t="str">
        <f t="shared" si="15"/>
        <v>PL_10_4100_900</v>
      </c>
      <c r="D145" s="7" t="str">
        <f>_xlfn.CONCAT(Table1[[#This Row],[ProductRecord.AccountReference]]," @ ",Table1[[#This Row],[KG/M2]],$H$2)</f>
        <v>PL_10_4100_900 @ 78.5Kg/m2</v>
      </c>
      <c r="E145">
        <v>4100</v>
      </c>
      <c r="F145">
        <v>900</v>
      </c>
      <c r="G145">
        <v>10</v>
      </c>
      <c r="H145" s="109">
        <f>G145*[1]Density!$D$6/1000</f>
        <v>78.5</v>
      </c>
      <c r="I145" s="161">
        <f t="shared" si="16"/>
        <v>289.66500000000002</v>
      </c>
      <c r="J145">
        <v>4100</v>
      </c>
      <c r="K145">
        <v>900</v>
      </c>
      <c r="L145">
        <v>1</v>
      </c>
      <c r="M145" t="s">
        <v>308</v>
      </c>
      <c r="N145" s="159"/>
      <c r="O145" s="202"/>
      <c r="P145" s="202"/>
      <c r="Q145" s="203"/>
      <c r="R145" s="201"/>
      <c r="S145" s="202"/>
      <c r="T145" s="202"/>
      <c r="U145" s="203"/>
      <c r="Z145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289.66500000000002</v>
      </c>
      <c r="AA145" s="17">
        <f t="shared" si="17"/>
        <v>228.54568499999999</v>
      </c>
      <c r="AB145" s="17"/>
      <c r="AC145" s="10">
        <f>AC147</f>
        <v>789</v>
      </c>
      <c r="AD145" s="10">
        <f>Table1[[#This Row],[£/Tonne]]/1000*Table1[[#This Row],[KG/M2]]</f>
        <v>61.936500000000002</v>
      </c>
      <c r="AE145" s="10">
        <f>Table1[[#This Row],[£/Tonne]]/1000*Table1[[#This Row],[Kg/ Sheet]]</f>
        <v>228.54568500000002</v>
      </c>
      <c r="AF145" s="10"/>
      <c r="AG145" s="111">
        <f>Table1[[#This Row],[£Cost / SHEET]]*(1+AG$1)</f>
        <v>297.10939050000002</v>
      </c>
      <c r="AH145" s="111">
        <f>Table1[[#This Row],[£Cost / SHEET]]*(1+AH$1)</f>
        <v>308.53667475000003</v>
      </c>
      <c r="AI145" s="111">
        <f>Table1[[#This Row],[£Cost / SHEET]]*(1+AI$1)</f>
        <v>319.96395899999999</v>
      </c>
      <c r="AJ145" s="111">
        <f>Table1[[#This Row],[£Cost / SHEET]]*(1+AJ$1)</f>
        <v>342.81852750000002</v>
      </c>
      <c r="AK145" s="222">
        <f>(Table1[[#This Row],[Qty 1]]*IF(Table1[[#This Row],[Dimension L1]]&lt;1,(Table1[[#This Row],[Length]]*Table1[[#This Row],[Width]]),(Table1[[#This Row],[Dimension L1]]*Table1[[#This Row],[Dimension W1]])))/1000000</f>
        <v>3.69</v>
      </c>
      <c r="AL145" s="121"/>
    </row>
    <row r="146" spans="2:38" ht="25.35" customHeight="1">
      <c r="B146" s="7" t="s">
        <v>24</v>
      </c>
      <c r="C146" s="7" t="str">
        <f t="shared" si="15"/>
        <v>PL_10_4300_3000</v>
      </c>
      <c r="D146" s="7" t="str">
        <f>_xlfn.CONCAT(Table1[[#This Row],[ProductRecord.AccountReference]]," @ ",Table1[[#This Row],[KG/M2]],$H$2)</f>
        <v>PL_10_4300_3000 @ 78.5Kg/m2</v>
      </c>
      <c r="E146">
        <v>4300</v>
      </c>
      <c r="F146">
        <v>3000</v>
      </c>
      <c r="G146">
        <v>10</v>
      </c>
      <c r="H146" s="109">
        <f>G146*[1]Density!$D$6/1000</f>
        <v>78.5</v>
      </c>
      <c r="I146" s="161">
        <f t="shared" si="16"/>
        <v>1012.65</v>
      </c>
      <c r="J146">
        <v>4300</v>
      </c>
      <c r="K146">
        <v>3000</v>
      </c>
      <c r="L146">
        <v>1</v>
      </c>
      <c r="M146" t="s">
        <v>308</v>
      </c>
      <c r="N146" s="159"/>
      <c r="O146" s="202"/>
      <c r="P146" s="202"/>
      <c r="Q146" s="203"/>
      <c r="R146" s="201"/>
      <c r="S146" s="202"/>
      <c r="T146" s="202"/>
      <c r="U146" s="203"/>
      <c r="Z146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1012.65</v>
      </c>
      <c r="AA146" s="17">
        <f t="shared" si="17"/>
        <v>636.95685000000003</v>
      </c>
      <c r="AB146" s="17"/>
      <c r="AC146" s="10">
        <v>629</v>
      </c>
      <c r="AD146" s="10">
        <f>Table1[[#This Row],[£/Tonne]]/1000*Table1[[#This Row],[KG/M2]]</f>
        <v>49.3765</v>
      </c>
      <c r="AE146" s="10">
        <f>Table1[[#This Row],[£/Tonne]]/1000*Table1[[#This Row],[Kg/ Sheet]]</f>
        <v>636.95685000000003</v>
      </c>
      <c r="AF146" s="10"/>
      <c r="AG146" s="111">
        <f>Table1[[#This Row],[£Cost / SHEET]]*(1+AG$1)</f>
        <v>828.04390500000011</v>
      </c>
      <c r="AH146" s="111">
        <f>Table1[[#This Row],[£Cost / SHEET]]*(1+AH$1)</f>
        <v>859.89174750000006</v>
      </c>
      <c r="AI146" s="111">
        <f>Table1[[#This Row],[£Cost / SHEET]]*(1+AI$1)</f>
        <v>891.73959000000002</v>
      </c>
      <c r="AJ146" s="111">
        <f>Table1[[#This Row],[£Cost / SHEET]]*(1+AJ$1)</f>
        <v>955.43527500000005</v>
      </c>
      <c r="AK146" s="222">
        <f>(Table1[[#This Row],[Qty 1]]*IF(Table1[[#This Row],[Dimension L1]]&lt;1,(Table1[[#This Row],[Length]]*Table1[[#This Row],[Width]]),(Table1[[#This Row],[Dimension L1]]*Table1[[#This Row],[Dimension W1]])))/1000000</f>
        <v>12.9</v>
      </c>
      <c r="AL146" s="121"/>
    </row>
    <row r="147" spans="2:38" ht="25.35" customHeight="1">
      <c r="B147" s="7" t="s">
        <v>24</v>
      </c>
      <c r="C147" s="7" t="str">
        <f t="shared" si="15"/>
        <v>PL_10_4500_1550</v>
      </c>
      <c r="D147" s="7" t="str">
        <f>_xlfn.CONCAT(Table1[[#This Row],[ProductRecord.AccountReference]]," @ ",Table1[[#This Row],[KG/M2]],$H$2)</f>
        <v>PL_10_4500_1550 @ 78.5Kg/m2</v>
      </c>
      <c r="E147">
        <v>4500</v>
      </c>
      <c r="F147">
        <v>1550</v>
      </c>
      <c r="G147">
        <v>10</v>
      </c>
      <c r="H147" s="109">
        <f>G147*[1]Density!$D$6/1000</f>
        <v>78.5</v>
      </c>
      <c r="I147" s="161">
        <f t="shared" si="16"/>
        <v>547.53750000000002</v>
      </c>
      <c r="J147">
        <v>4500</v>
      </c>
      <c r="K147">
        <v>1550</v>
      </c>
      <c r="L147">
        <v>3</v>
      </c>
      <c r="M147" t="s">
        <v>308</v>
      </c>
      <c r="N147" s="159"/>
      <c r="O147" s="202"/>
      <c r="P147" s="202"/>
      <c r="Q147" s="203"/>
      <c r="R147" s="201"/>
      <c r="S147" s="202"/>
      <c r="T147" s="202"/>
      <c r="U147" s="203"/>
      <c r="Z147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1642.6125</v>
      </c>
      <c r="AA147" s="17">
        <f t="shared" si="17"/>
        <v>1296.0212624999999</v>
      </c>
      <c r="AB147" s="17"/>
      <c r="AC147" s="218">
        <v>789</v>
      </c>
      <c r="AD147" s="10">
        <f>Table1[[#This Row],[£/Tonne]]/1000*Table1[[#This Row],[KG/M2]]</f>
        <v>61.936500000000002</v>
      </c>
      <c r="AE147" s="10">
        <f>Table1[[#This Row],[£/Tonne]]/1000*Table1[[#This Row],[Kg/ Sheet]]</f>
        <v>432.00708750000001</v>
      </c>
      <c r="AF147" s="10"/>
      <c r="AG147" s="111">
        <f>Table1[[#This Row],[£Cost / SHEET]]*(1+AG$1)</f>
        <v>561.60921374999998</v>
      </c>
      <c r="AH147" s="111">
        <f>Table1[[#This Row],[£Cost / SHEET]]*(1+AH$1)</f>
        <v>583.20956812500003</v>
      </c>
      <c r="AI147" s="111">
        <f>Table1[[#This Row],[£Cost / SHEET]]*(1+AI$1)</f>
        <v>604.80992249999997</v>
      </c>
      <c r="AJ147" s="111">
        <f>Table1[[#This Row],[£Cost / SHEET]]*(1+AJ$1)</f>
        <v>648.01063124999996</v>
      </c>
      <c r="AK147" s="222">
        <f>(Table1[[#This Row],[Qty 1]]*IF(Table1[[#This Row],[Dimension L1]]&lt;1,(Table1[[#This Row],[Length]]*Table1[[#This Row],[Width]]),(Table1[[#This Row],[Dimension L1]]*Table1[[#This Row],[Dimension W1]])))/1000000</f>
        <v>20.925000000000001</v>
      </c>
      <c r="AL147" s="121"/>
    </row>
    <row r="148" spans="2:38" ht="25.35" customHeight="1">
      <c r="B148" s="7" t="s">
        <v>24</v>
      </c>
      <c r="C148" s="7" t="str">
        <f t="shared" si="15"/>
        <v>PL_10_5000_270</v>
      </c>
      <c r="D148" s="7" t="str">
        <f>_xlfn.CONCAT(Table1[[#This Row],[ProductRecord.AccountReference]]," @ ",Table1[[#This Row],[KG/M2]],$H$2)</f>
        <v>PL_10_5000_270 @ 78.5Kg/m2</v>
      </c>
      <c r="E148">
        <v>5000</v>
      </c>
      <c r="F148">
        <v>270</v>
      </c>
      <c r="G148">
        <v>10</v>
      </c>
      <c r="H148" s="109">
        <f>G148*[1]Density!$D$6/1000</f>
        <v>78.5</v>
      </c>
      <c r="I148" s="161">
        <f t="shared" si="16"/>
        <v>105.97499999999999</v>
      </c>
      <c r="J148">
        <v>5000</v>
      </c>
      <c r="K148">
        <v>270</v>
      </c>
      <c r="L148">
        <v>1</v>
      </c>
      <c r="M148" t="s">
        <v>239</v>
      </c>
      <c r="N148" s="159"/>
      <c r="O148" s="202"/>
      <c r="P148" s="202"/>
      <c r="Q148" s="203"/>
      <c r="R148" s="201"/>
      <c r="S148" s="202"/>
      <c r="T148" s="202"/>
      <c r="U148" s="203"/>
      <c r="Z148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105.97500000000001</v>
      </c>
      <c r="AA148" s="17">
        <f t="shared" si="17"/>
        <v>66.658275000000003</v>
      </c>
      <c r="AB148" s="17"/>
      <c r="AC148" s="10">
        <f>AC149</f>
        <v>629</v>
      </c>
      <c r="AD148" s="10">
        <f>Table1[[#This Row],[£/Tonne]]/1000*Table1[[#This Row],[KG/M2]]</f>
        <v>49.3765</v>
      </c>
      <c r="AE148" s="10">
        <f>Table1[[#This Row],[£/Tonne]]/1000*Table1[[#This Row],[Kg/ Sheet]]</f>
        <v>66.658275000000003</v>
      </c>
      <c r="AF148" s="10"/>
      <c r="AG148" s="111">
        <f>Table1[[#This Row],[£Cost / SHEET]]*(1+AG$1)</f>
        <v>86.655757500000007</v>
      </c>
      <c r="AH148" s="111">
        <f>Table1[[#This Row],[£Cost / SHEET]]*(1+AH$1)</f>
        <v>89.98867125000001</v>
      </c>
      <c r="AI148" s="111">
        <f>Table1[[#This Row],[£Cost / SHEET]]*(1+AI$1)</f>
        <v>93.321584999999999</v>
      </c>
      <c r="AJ148" s="111">
        <f>Table1[[#This Row],[£Cost / SHEET]]*(1+AJ$1)</f>
        <v>99.987412500000005</v>
      </c>
      <c r="AK148" s="222">
        <f>(Table1[[#This Row],[Qty 1]]*IF(Table1[[#This Row],[Dimension L1]]&lt;1,(Table1[[#This Row],[Length]]*Table1[[#This Row],[Width]]),(Table1[[#This Row],[Dimension L1]]*Table1[[#This Row],[Dimension W1]])))/1000000</f>
        <v>1.35</v>
      </c>
      <c r="AL148" s="121"/>
    </row>
    <row r="149" spans="2:38" ht="25.35" customHeight="1">
      <c r="B149" s="7" t="s">
        <v>24</v>
      </c>
      <c r="C149" s="7" t="str">
        <f t="shared" si="15"/>
        <v>PL_10_5000_480</v>
      </c>
      <c r="D149" s="7" t="str">
        <f>_xlfn.CONCAT(Table1[[#This Row],[ProductRecord.AccountReference]]," @ ",Table1[[#This Row],[KG/M2]],$H$2)</f>
        <v>PL_10_5000_480 @ 78.5Kg/m2</v>
      </c>
      <c r="E149">
        <v>5000</v>
      </c>
      <c r="F149">
        <v>480</v>
      </c>
      <c r="G149">
        <v>10</v>
      </c>
      <c r="H149" s="109">
        <f>G149*[1]Density!$D$6/1000</f>
        <v>78.5</v>
      </c>
      <c r="I149" s="161">
        <f t="shared" si="16"/>
        <v>188.4</v>
      </c>
      <c r="J149">
        <v>5000</v>
      </c>
      <c r="K149">
        <v>480</v>
      </c>
      <c r="L149">
        <v>1</v>
      </c>
      <c r="M149" t="s">
        <v>308</v>
      </c>
      <c r="N149" s="159"/>
      <c r="O149" s="202"/>
      <c r="P149" s="202"/>
      <c r="Q149" s="203"/>
      <c r="R149" s="201"/>
      <c r="S149" s="202"/>
      <c r="T149" s="202"/>
      <c r="U149" s="203"/>
      <c r="Z149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188.4</v>
      </c>
      <c r="AA149" s="17">
        <f t="shared" si="17"/>
        <v>118.50360000000001</v>
      </c>
      <c r="AB149" s="17"/>
      <c r="AC149" s="10">
        <f>AC150</f>
        <v>629</v>
      </c>
      <c r="AD149" s="10">
        <f>Table1[[#This Row],[£/Tonne]]/1000*Table1[[#This Row],[KG/M2]]</f>
        <v>49.3765</v>
      </c>
      <c r="AE149" s="10">
        <f>Table1[[#This Row],[£/Tonne]]/1000*Table1[[#This Row],[Kg/ Sheet]]</f>
        <v>118.50360000000001</v>
      </c>
      <c r="AF149" s="10"/>
      <c r="AG149" s="111">
        <f>Table1[[#This Row],[£Cost / SHEET]]*(1+AG$1)</f>
        <v>154.05468000000002</v>
      </c>
      <c r="AH149" s="111">
        <f>Table1[[#This Row],[£Cost / SHEET]]*(1+AH$1)</f>
        <v>159.97986000000003</v>
      </c>
      <c r="AI149" s="111">
        <f>Table1[[#This Row],[£Cost / SHEET]]*(1+AI$1)</f>
        <v>165.90503999999999</v>
      </c>
      <c r="AJ149" s="111">
        <f>Table1[[#This Row],[£Cost / SHEET]]*(1+AJ$1)</f>
        <v>177.75540000000001</v>
      </c>
      <c r="AK149" s="222">
        <f>(Table1[[#This Row],[Qty 1]]*IF(Table1[[#This Row],[Dimension L1]]&lt;1,(Table1[[#This Row],[Length]]*Table1[[#This Row],[Width]]),(Table1[[#This Row],[Dimension L1]]*Table1[[#This Row],[Dimension W1]])))/1000000</f>
        <v>2.4</v>
      </c>
      <c r="AL149" s="121"/>
    </row>
    <row r="150" spans="2:38" ht="25.35" customHeight="1">
      <c r="B150" s="7" t="s">
        <v>24</v>
      </c>
      <c r="C150" s="7" t="str">
        <f t="shared" si="15"/>
        <v>PL_10_5000_1130</v>
      </c>
      <c r="D150" s="7" t="str">
        <f>_xlfn.CONCAT(Table1[[#This Row],[ProductRecord.AccountReference]]," @ ",Table1[[#This Row],[KG/M2]],$H$2)</f>
        <v>PL_10_5000_1130 @ 78.5Kg/m2</v>
      </c>
      <c r="E150">
        <v>5000</v>
      </c>
      <c r="F150">
        <v>1130</v>
      </c>
      <c r="G150">
        <v>10</v>
      </c>
      <c r="H150" s="109">
        <f>G150*[1]Density!$D$6/1000</f>
        <v>78.5</v>
      </c>
      <c r="I150" s="161">
        <f t="shared" si="16"/>
        <v>443.52499999999998</v>
      </c>
      <c r="J150">
        <v>5000</v>
      </c>
      <c r="K150">
        <v>1130</v>
      </c>
      <c r="L150">
        <v>1</v>
      </c>
      <c r="M150" t="s">
        <v>239</v>
      </c>
      <c r="N150" s="159"/>
      <c r="O150" s="202"/>
      <c r="P150" s="202"/>
      <c r="Q150" s="203"/>
      <c r="R150" s="201"/>
      <c r="S150" s="202"/>
      <c r="T150" s="202"/>
      <c r="U150" s="203"/>
      <c r="Z150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443.52500000000003</v>
      </c>
      <c r="AA150" s="17">
        <f t="shared" si="17"/>
        <v>278.97722500000003</v>
      </c>
      <c r="AB150" s="17"/>
      <c r="AC150" s="10">
        <f>AC156</f>
        <v>629</v>
      </c>
      <c r="AD150" s="10">
        <f>Table1[[#This Row],[£/Tonne]]/1000*Table1[[#This Row],[KG/M2]]</f>
        <v>49.3765</v>
      </c>
      <c r="AE150" s="10">
        <f>Table1[[#This Row],[£/Tonne]]/1000*Table1[[#This Row],[Kg/ Sheet]]</f>
        <v>278.97722499999998</v>
      </c>
      <c r="AF150" s="10"/>
      <c r="AG150" s="111">
        <f>Table1[[#This Row],[£Cost / SHEET]]*(1+AG$1)</f>
        <v>362.67039249999999</v>
      </c>
      <c r="AH150" s="111">
        <f>Table1[[#This Row],[£Cost / SHEET]]*(1+AH$1)</f>
        <v>376.61925374999998</v>
      </c>
      <c r="AI150" s="111">
        <f>Table1[[#This Row],[£Cost / SHEET]]*(1+AI$1)</f>
        <v>390.56811499999992</v>
      </c>
      <c r="AJ150" s="111">
        <f>Table1[[#This Row],[£Cost / SHEET]]*(1+AJ$1)</f>
        <v>418.46583749999996</v>
      </c>
      <c r="AK150" s="222">
        <f>(Table1[[#This Row],[Qty 1]]*IF(Table1[[#This Row],[Dimension L1]]&lt;1,(Table1[[#This Row],[Length]]*Table1[[#This Row],[Width]]),(Table1[[#This Row],[Dimension L1]]*Table1[[#This Row],[Dimension W1]])))/1000000</f>
        <v>5.65</v>
      </c>
      <c r="AL150" s="121"/>
    </row>
    <row r="151" spans="2:38" ht="25.35" customHeight="1">
      <c r="B151" s="7" t="s">
        <v>24</v>
      </c>
      <c r="C151" s="7" t="str">
        <f t="shared" si="15"/>
        <v>PL_10_6000_1230</v>
      </c>
      <c r="D151" s="7" t="str">
        <f>_xlfn.CONCAT(Table1[[#This Row],[ProductRecord.AccountReference]]," @ ",Table1[[#This Row],[KG/M2]],$H$2)</f>
        <v>PL_10_6000_1230 @ 78.5Kg/m2</v>
      </c>
      <c r="E151">
        <v>6000</v>
      </c>
      <c r="F151">
        <v>1230</v>
      </c>
      <c r="G151">
        <v>10</v>
      </c>
      <c r="H151" s="109">
        <f>G151*[1]Density!$D$6/1000</f>
        <v>78.5</v>
      </c>
      <c r="I151" s="161">
        <f t="shared" si="16"/>
        <v>579.33000000000004</v>
      </c>
      <c r="J151">
        <v>6000</v>
      </c>
      <c r="K151">
        <v>1230</v>
      </c>
      <c r="L151">
        <v>1</v>
      </c>
      <c r="M151" t="s">
        <v>308</v>
      </c>
      <c r="N151" s="159"/>
      <c r="O151" s="202"/>
      <c r="P151" s="202"/>
      <c r="Q151" s="203"/>
      <c r="R151" s="201"/>
      <c r="S151" s="202"/>
      <c r="T151" s="202"/>
      <c r="U151" s="203"/>
      <c r="Z151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579.33000000000004</v>
      </c>
      <c r="AA151" s="17">
        <f t="shared" si="17"/>
        <v>364.39857000000001</v>
      </c>
      <c r="AB151" s="17"/>
      <c r="AC151" s="10">
        <f>AC156</f>
        <v>629</v>
      </c>
      <c r="AD151" s="10">
        <f>Table1[[#This Row],[£/Tonne]]/1000*Table1[[#This Row],[KG/M2]]</f>
        <v>49.3765</v>
      </c>
      <c r="AE151" s="10">
        <f>Table1[[#This Row],[£/Tonne]]/1000*Table1[[#This Row],[Kg/ Sheet]]</f>
        <v>364.39857000000001</v>
      </c>
      <c r="AF151" s="10"/>
      <c r="AG151" s="111">
        <f>Table1[[#This Row],[£Cost / SHEET]]*(1+AG$1)</f>
        <v>473.718141</v>
      </c>
      <c r="AH151" s="111">
        <f>Table1[[#This Row],[£Cost / SHEET]]*(1+AH$1)</f>
        <v>491.93806950000004</v>
      </c>
      <c r="AI151" s="111">
        <f>Table1[[#This Row],[£Cost / SHEET]]*(1+AI$1)</f>
        <v>510.15799799999996</v>
      </c>
      <c r="AJ151" s="111">
        <f>Table1[[#This Row],[£Cost / SHEET]]*(1+AJ$1)</f>
        <v>546.59785499999998</v>
      </c>
      <c r="AK151" s="222">
        <f>(Table1[[#This Row],[Qty 1]]*IF(Table1[[#This Row],[Dimension L1]]&lt;1,(Table1[[#This Row],[Length]]*Table1[[#This Row],[Width]]),(Table1[[#This Row],[Dimension L1]]*Table1[[#This Row],[Dimension W1]])))/1000000</f>
        <v>7.38</v>
      </c>
      <c r="AL151" s="121"/>
    </row>
    <row r="152" spans="2:38" ht="25.35" customHeight="1">
      <c r="B152" s="7" t="s">
        <v>24</v>
      </c>
      <c r="C152" s="7" t="str">
        <f t="shared" si="15"/>
        <v>PL_10_6000_2000</v>
      </c>
      <c r="D152" s="7" t="str">
        <f>_xlfn.CONCAT(Table1[[#This Row],[ProductRecord.AccountReference]]," @ ",Table1[[#This Row],[KG/M2]],$H$2)</f>
        <v>PL_10_6000_2000 @ 78.5Kg/m2</v>
      </c>
      <c r="E152">
        <v>6000</v>
      </c>
      <c r="F152">
        <v>2000</v>
      </c>
      <c r="G152">
        <v>10</v>
      </c>
      <c r="H152" s="109">
        <f>G152*[1]Density!$D$6/1000</f>
        <v>78.5</v>
      </c>
      <c r="I152" s="161">
        <f t="shared" si="16"/>
        <v>942</v>
      </c>
      <c r="J152">
        <v>6000</v>
      </c>
      <c r="K152">
        <v>2000</v>
      </c>
      <c r="L152">
        <v>2</v>
      </c>
      <c r="M152" t="s">
        <v>239</v>
      </c>
      <c r="N152" s="159"/>
      <c r="O152" s="202"/>
      <c r="P152" s="202"/>
      <c r="Q152" s="203"/>
      <c r="R152" s="201"/>
      <c r="S152" s="202"/>
      <c r="T152" s="202"/>
      <c r="U152" s="203"/>
      <c r="Z152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1884</v>
      </c>
      <c r="AA152" s="17">
        <f t="shared" si="17"/>
        <v>1882.116</v>
      </c>
      <c r="AB152" s="17"/>
      <c r="AC152" s="10">
        <f>AC154</f>
        <v>999</v>
      </c>
      <c r="AD152" s="10">
        <f>Table1[[#This Row],[£/Tonne]]/1000*Table1[[#This Row],[KG/M2]]</f>
        <v>78.421499999999995</v>
      </c>
      <c r="AE152" s="10">
        <f>Table1[[#This Row],[£/Tonne]]/1000*Table1[[#This Row],[Kg/ Sheet]]</f>
        <v>941.05799999999999</v>
      </c>
      <c r="AF152" s="10"/>
      <c r="AG152" s="111">
        <f>Table1[[#This Row],[£Cost / SHEET]]*(1+AG$1)</f>
        <v>1223.3754000000001</v>
      </c>
      <c r="AH152" s="111">
        <f>Table1[[#This Row],[£Cost / SHEET]]*(1+AH$1)</f>
        <v>1270.4283</v>
      </c>
      <c r="AI152" s="111">
        <f>Table1[[#This Row],[£Cost / SHEET]]*(1+AI$1)</f>
        <v>1317.4811999999999</v>
      </c>
      <c r="AJ152" s="111">
        <f>Table1[[#This Row],[£Cost / SHEET]]*(1+AJ$1)</f>
        <v>1411.587</v>
      </c>
      <c r="AK152" s="222">
        <f>(Table1[[#This Row],[Qty 1]]*IF(Table1[[#This Row],[Dimension L1]]&lt;1,(Table1[[#This Row],[Length]]*Table1[[#This Row],[Width]]),(Table1[[#This Row],[Dimension L1]]*Table1[[#This Row],[Dimension W1]])))/1000000</f>
        <v>24</v>
      </c>
      <c r="AL152" s="121"/>
    </row>
    <row r="153" spans="2:38" ht="25.35" customHeight="1">
      <c r="B153" s="7" t="s">
        <v>24</v>
      </c>
      <c r="C153" s="7" t="str">
        <f t="shared" si="15"/>
        <v>PL_10_6000_2200</v>
      </c>
      <c r="D153" s="7" t="str">
        <f>_xlfn.CONCAT(Table1[[#This Row],[ProductRecord.AccountReference]]," @ ",Table1[[#This Row],[KG/M2]],$H$2)</f>
        <v>PL_10_6000_2200 @ 78.5Kg/m2</v>
      </c>
      <c r="E153">
        <v>6000</v>
      </c>
      <c r="F153">
        <v>2200</v>
      </c>
      <c r="G153">
        <v>10</v>
      </c>
      <c r="H153" s="109">
        <f>G153*[1]Density!$D$6/1000</f>
        <v>78.5</v>
      </c>
      <c r="I153" s="161">
        <f t="shared" si="16"/>
        <v>1036.2</v>
      </c>
      <c r="J153">
        <v>6000</v>
      </c>
      <c r="K153">
        <v>2200</v>
      </c>
      <c r="L153">
        <v>1</v>
      </c>
      <c r="M153" t="s">
        <v>239</v>
      </c>
      <c r="N153" s="159"/>
      <c r="O153" s="202"/>
      <c r="P153" s="202"/>
      <c r="Q153" s="203"/>
      <c r="R153" s="201"/>
      <c r="S153" s="202"/>
      <c r="T153" s="202"/>
      <c r="U153" s="203"/>
      <c r="Z153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1036.2</v>
      </c>
      <c r="AA153" s="17">
        <f t="shared" si="17"/>
        <v>1035.1638</v>
      </c>
      <c r="AB153" s="17"/>
      <c r="AC153" s="10">
        <f>AC154</f>
        <v>999</v>
      </c>
      <c r="AD153" s="10">
        <f>Table1[[#This Row],[£/Tonne]]/1000*Table1[[#This Row],[KG/M2]]</f>
        <v>78.421499999999995</v>
      </c>
      <c r="AE153" s="10">
        <f>Table1[[#This Row],[£/Tonne]]/1000*Table1[[#This Row],[Kg/ Sheet]]</f>
        <v>1035.1638</v>
      </c>
      <c r="AF153" s="10"/>
      <c r="AG153" s="111">
        <f>Table1[[#This Row],[£Cost / SHEET]]*(1+AG$1)</f>
        <v>1345.7129400000001</v>
      </c>
      <c r="AH153" s="111">
        <f>Table1[[#This Row],[£Cost / SHEET]]*(1+AH$1)</f>
        <v>1397.4711300000001</v>
      </c>
      <c r="AI153" s="111">
        <f>Table1[[#This Row],[£Cost / SHEET]]*(1+AI$1)</f>
        <v>1449.2293199999999</v>
      </c>
      <c r="AJ153" s="111">
        <f>Table1[[#This Row],[£Cost / SHEET]]*(1+AJ$1)</f>
        <v>1552.7456999999999</v>
      </c>
      <c r="AK153" s="222">
        <f>(Table1[[#This Row],[Qty 1]]*IF(Table1[[#This Row],[Dimension L1]]&lt;1,(Table1[[#This Row],[Length]]*Table1[[#This Row],[Width]]),(Table1[[#This Row],[Dimension L1]]*Table1[[#This Row],[Dimension W1]])))/1000000</f>
        <v>13.2</v>
      </c>
      <c r="AL153" s="121"/>
    </row>
    <row r="154" spans="2:38" ht="25.35" customHeight="1">
      <c r="B154" s="7" t="s">
        <v>24</v>
      </c>
      <c r="C154" s="7" t="str">
        <f t="shared" si="15"/>
        <v>PL_10_6000_2500</v>
      </c>
      <c r="D154" s="7" t="str">
        <f>_xlfn.CONCAT(Table1[[#This Row],[ProductRecord.AccountReference]]," @ ",Table1[[#This Row],[KG/M2]],$H$2)</f>
        <v>PL_10_6000_2500 @ 78.5Kg/m2</v>
      </c>
      <c r="E154">
        <v>6000</v>
      </c>
      <c r="F154">
        <v>2500</v>
      </c>
      <c r="G154">
        <v>10</v>
      </c>
      <c r="H154" s="109">
        <f>G154*[1]Density!$D$6/1000</f>
        <v>78.5</v>
      </c>
      <c r="I154" s="161">
        <f t="shared" si="16"/>
        <v>1177.5</v>
      </c>
      <c r="J154">
        <v>6000</v>
      </c>
      <c r="K154">
        <v>2500</v>
      </c>
      <c r="L154">
        <v>1</v>
      </c>
      <c r="M154" t="s">
        <v>308</v>
      </c>
      <c r="N154" s="159"/>
      <c r="O154" s="202"/>
      <c r="P154" s="202"/>
      <c r="Q154" s="203"/>
      <c r="R154" s="201"/>
      <c r="S154" s="202"/>
      <c r="T154" s="202"/>
      <c r="U154" s="203"/>
      <c r="Z154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1177.5</v>
      </c>
      <c r="AA154" s="17">
        <f t="shared" si="17"/>
        <v>1176.3225</v>
      </c>
      <c r="AB154" s="17"/>
      <c r="AC154" s="218">
        <v>999</v>
      </c>
      <c r="AD154" s="10">
        <f>Table1[[#This Row],[£/Tonne]]/1000*Table1[[#This Row],[KG/M2]]</f>
        <v>78.421499999999995</v>
      </c>
      <c r="AE154" s="10">
        <f>Table1[[#This Row],[£/Tonne]]/1000*Table1[[#This Row],[Kg/ Sheet]]</f>
        <v>1176.3225</v>
      </c>
      <c r="AF154" s="10"/>
      <c r="AG154" s="111">
        <f>Table1[[#This Row],[£Cost / SHEET]]*(1+AG$1)</f>
        <v>1529.2192500000001</v>
      </c>
      <c r="AH154" s="111">
        <f>Table1[[#This Row],[£Cost / SHEET]]*(1+AH$1)</f>
        <v>1588.0353750000002</v>
      </c>
      <c r="AI154" s="111">
        <f>Table1[[#This Row],[£Cost / SHEET]]*(1+AI$1)</f>
        <v>1646.8515</v>
      </c>
      <c r="AJ154" s="111">
        <f>Table1[[#This Row],[£Cost / SHEET]]*(1+AJ$1)</f>
        <v>1764.4837499999999</v>
      </c>
      <c r="AK154" s="222">
        <f>(Table1[[#This Row],[Qty 1]]*IF(Table1[[#This Row],[Dimension L1]]&lt;1,(Table1[[#This Row],[Length]]*Table1[[#This Row],[Width]]),(Table1[[#This Row],[Dimension L1]]*Table1[[#This Row],[Dimension W1]])))/1000000</f>
        <v>15</v>
      </c>
      <c r="AL154" s="121"/>
    </row>
    <row r="155" spans="2:38" ht="25.35" customHeight="1">
      <c r="B155" s="7" t="s">
        <v>24</v>
      </c>
      <c r="C155" s="7" t="str">
        <f t="shared" si="15"/>
        <v>PL_10_6030_3000</v>
      </c>
      <c r="D155" s="7" t="str">
        <f>_xlfn.CONCAT(Table1[[#This Row],[ProductRecord.AccountReference]]," @ ",Table1[[#This Row],[KG/M2]],$H$2)</f>
        <v>PL_10_6030_3000 @ 78.5Kg/m2</v>
      </c>
      <c r="E155">
        <v>6030</v>
      </c>
      <c r="F155">
        <v>3000</v>
      </c>
      <c r="G155">
        <v>10</v>
      </c>
      <c r="H155" s="109">
        <f>G155*[1]Density!$D$6/1000</f>
        <v>78.5</v>
      </c>
      <c r="I155" s="161">
        <f t="shared" si="16"/>
        <v>1420.0650000000001</v>
      </c>
      <c r="J155">
        <v>6030</v>
      </c>
      <c r="K155">
        <v>3000</v>
      </c>
      <c r="L155">
        <v>1</v>
      </c>
      <c r="M155" t="s">
        <v>308</v>
      </c>
      <c r="N155" s="159"/>
      <c r="O155" s="202"/>
      <c r="P155" s="202"/>
      <c r="Q155" s="203"/>
      <c r="R155" s="201"/>
      <c r="S155" s="202"/>
      <c r="T155" s="202"/>
      <c r="U155" s="203"/>
      <c r="Z155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1420.0650000000001</v>
      </c>
      <c r="AA155" s="17">
        <f t="shared" si="17"/>
        <v>1418.644935</v>
      </c>
      <c r="AB155" s="17"/>
      <c r="AC155" s="10">
        <f>AC154</f>
        <v>999</v>
      </c>
      <c r="AD155" s="10">
        <f>Table1[[#This Row],[£/Tonne]]/1000*Table1[[#This Row],[KG/M2]]</f>
        <v>78.421499999999995</v>
      </c>
      <c r="AE155" s="10">
        <f>Table1[[#This Row],[£/Tonne]]/1000*Table1[[#This Row],[Kg/ Sheet]]</f>
        <v>1418.644935</v>
      </c>
      <c r="AF155" s="10"/>
      <c r="AG155" s="111">
        <f>Table1[[#This Row],[£Cost / SHEET]]*(1+AG$1)</f>
        <v>1844.2384155000002</v>
      </c>
      <c r="AH155" s="111">
        <f>Table1[[#This Row],[£Cost / SHEET]]*(1+AH$1)</f>
        <v>1915.1706622500001</v>
      </c>
      <c r="AI155" s="111">
        <f>Table1[[#This Row],[£Cost / SHEET]]*(1+AI$1)</f>
        <v>1986.102909</v>
      </c>
      <c r="AJ155" s="111">
        <f>Table1[[#This Row],[£Cost / SHEET]]*(1+AJ$1)</f>
        <v>2127.9674024999999</v>
      </c>
      <c r="AK155" s="222">
        <f>(Table1[[#This Row],[Qty 1]]*IF(Table1[[#This Row],[Dimension L1]]&lt;1,(Table1[[#This Row],[Length]]*Table1[[#This Row],[Width]]),(Table1[[#This Row],[Dimension L1]]*Table1[[#This Row],[Dimension W1]])))/1000000</f>
        <v>18.09</v>
      </c>
      <c r="AL155" s="121"/>
    </row>
    <row r="156" spans="2:38" ht="25.35" customHeight="1">
      <c r="B156" s="7" t="s">
        <v>24</v>
      </c>
      <c r="C156" s="7" t="str">
        <f t="shared" si="15"/>
        <v>PL_10_6060_1250</v>
      </c>
      <c r="D156" s="7" t="str">
        <f>_xlfn.CONCAT(Table1[[#This Row],[ProductRecord.AccountReference]]," @ ",Table1[[#This Row],[KG/M2]],$H$2)</f>
        <v>PL_10_6060_1250 @ 78.5Kg/m2</v>
      </c>
      <c r="E156">
        <v>6060</v>
      </c>
      <c r="F156">
        <v>1250</v>
      </c>
      <c r="G156">
        <v>10</v>
      </c>
      <c r="H156" s="109">
        <f>G156*[1]Density!$D$6/1000</f>
        <v>78.5</v>
      </c>
      <c r="I156" s="161">
        <f t="shared" si="16"/>
        <v>594.63750000000005</v>
      </c>
      <c r="J156">
        <v>6060</v>
      </c>
      <c r="K156">
        <v>1250</v>
      </c>
      <c r="L156">
        <v>3</v>
      </c>
      <c r="M156" t="s">
        <v>308</v>
      </c>
      <c r="N156" s="159"/>
      <c r="O156" s="202"/>
      <c r="P156" s="202"/>
      <c r="Q156" s="203"/>
      <c r="R156" s="201"/>
      <c r="S156" s="202"/>
      <c r="T156" s="202"/>
      <c r="U156" s="203"/>
      <c r="Z156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1783.9125000000001</v>
      </c>
      <c r="AA156" s="17">
        <f t="shared" si="17"/>
        <v>1122.0809625000002</v>
      </c>
      <c r="AB156" s="17"/>
      <c r="AC156" s="218">
        <v>629</v>
      </c>
      <c r="AD156" s="10">
        <f>Table1[[#This Row],[£/Tonne]]/1000*Table1[[#This Row],[KG/M2]]</f>
        <v>49.3765</v>
      </c>
      <c r="AE156" s="10">
        <f>Table1[[#This Row],[£/Tonne]]/1000*Table1[[#This Row],[Kg/ Sheet]]</f>
        <v>374.02698750000002</v>
      </c>
      <c r="AF156" s="10"/>
      <c r="AG156" s="111">
        <f>Table1[[#This Row],[£Cost / SHEET]]*(1+AG$1)</f>
        <v>486.23508375000006</v>
      </c>
      <c r="AH156" s="111">
        <f>Table1[[#This Row],[£Cost / SHEET]]*(1+AH$1)</f>
        <v>504.93643312500006</v>
      </c>
      <c r="AI156" s="111">
        <f>Table1[[#This Row],[£Cost / SHEET]]*(1+AI$1)</f>
        <v>523.63778249999996</v>
      </c>
      <c r="AJ156" s="111">
        <f>Table1[[#This Row],[£Cost / SHEET]]*(1+AJ$1)</f>
        <v>561.04048125000008</v>
      </c>
      <c r="AK156" s="222">
        <f>(Table1[[#This Row],[Qty 1]]*IF(Table1[[#This Row],[Dimension L1]]&lt;1,(Table1[[#This Row],[Length]]*Table1[[#This Row],[Width]]),(Table1[[#This Row],[Dimension L1]]*Table1[[#This Row],[Dimension W1]])))/1000000</f>
        <v>22.725000000000001</v>
      </c>
      <c r="AL156" s="121"/>
    </row>
    <row r="157" spans="2:38" ht="25.35" customHeight="1">
      <c r="B157" s="7" t="s">
        <v>24</v>
      </c>
      <c r="C157" s="7" t="str">
        <f t="shared" si="15"/>
        <v>PL_10_6500_2470</v>
      </c>
      <c r="D157" s="7" t="str">
        <f>_xlfn.CONCAT(Table1[[#This Row],[ProductRecord.AccountReference]]," @ ",Table1[[#This Row],[KG/M2]],$H$2)</f>
        <v>PL_10_6500_2470 @ 78.5Kg/m2</v>
      </c>
      <c r="E157">
        <v>6500</v>
      </c>
      <c r="F157">
        <v>2470</v>
      </c>
      <c r="G157">
        <v>10</v>
      </c>
      <c r="H157" s="109">
        <f>G157*[1]Density!$D$6/1000</f>
        <v>78.5</v>
      </c>
      <c r="I157" s="161">
        <f t="shared" si="16"/>
        <v>1260.3175000000001</v>
      </c>
      <c r="J157">
        <v>6500</v>
      </c>
      <c r="K157">
        <v>2470</v>
      </c>
      <c r="L157">
        <v>1</v>
      </c>
      <c r="M157" t="s">
        <v>308</v>
      </c>
      <c r="N157" s="159"/>
      <c r="O157" s="202"/>
      <c r="P157" s="202"/>
      <c r="Q157" s="203"/>
      <c r="R157" s="201"/>
      <c r="S157" s="202"/>
      <c r="T157" s="202"/>
      <c r="U157" s="203"/>
      <c r="Z157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1260.3174999999999</v>
      </c>
      <c r="AA157" s="17">
        <f t="shared" si="17"/>
        <v>1259.0571825</v>
      </c>
      <c r="AB157" s="17"/>
      <c r="AC157" s="10">
        <f>AC154</f>
        <v>999</v>
      </c>
      <c r="AD157" s="10">
        <f>Table1[[#This Row],[£/Tonne]]/1000*Table1[[#This Row],[KG/M2]]</f>
        <v>78.421499999999995</v>
      </c>
      <c r="AE157" s="10">
        <f>Table1[[#This Row],[£/Tonne]]/1000*Table1[[#This Row],[Kg/ Sheet]]</f>
        <v>1259.0571825000002</v>
      </c>
      <c r="AF157" s="10"/>
      <c r="AG157" s="111">
        <f>Table1[[#This Row],[£Cost / SHEET]]*(1+AG$1)</f>
        <v>1636.7743372500004</v>
      </c>
      <c r="AH157" s="111">
        <f>Table1[[#This Row],[£Cost / SHEET]]*(1+AH$1)</f>
        <v>1699.7271963750004</v>
      </c>
      <c r="AI157" s="111">
        <f>Table1[[#This Row],[£Cost / SHEET]]*(1+AI$1)</f>
        <v>1762.6800555000002</v>
      </c>
      <c r="AJ157" s="111">
        <f>Table1[[#This Row],[£Cost / SHEET]]*(1+AJ$1)</f>
        <v>1888.5857737500003</v>
      </c>
      <c r="AK157" s="222">
        <f>(Table1[[#This Row],[Qty 1]]*IF(Table1[[#This Row],[Dimension L1]]&lt;1,(Table1[[#This Row],[Length]]*Table1[[#This Row],[Width]]),(Table1[[#This Row],[Dimension L1]]*Table1[[#This Row],[Dimension W1]])))/1000000</f>
        <v>16.055</v>
      </c>
      <c r="AL157" s="121"/>
    </row>
    <row r="158" spans="2:38" ht="25.35" customHeight="1">
      <c r="B158" s="7" t="s">
        <v>24</v>
      </c>
      <c r="C158" s="7" t="str">
        <f t="shared" si="15"/>
        <v>PL___</v>
      </c>
      <c r="D158" s="7" t="str">
        <f>_xlfn.CONCAT(Table1[[#This Row],[ProductRecord.AccountReference]]," @ ",Table1[[#This Row],[KG/M2]],$H$2)</f>
        <v>PL___ @ Kg/m2</v>
      </c>
      <c r="H158" s="109"/>
      <c r="I158" s="110"/>
      <c r="J158" s="159"/>
      <c r="K158" s="161"/>
      <c r="L158" s="161"/>
      <c r="M158" s="196"/>
      <c r="N158" s="159"/>
      <c r="O158" s="202"/>
      <c r="P158" s="202"/>
      <c r="Q158" s="203"/>
      <c r="R158" s="201"/>
      <c r="S158" s="202"/>
      <c r="T158" s="202"/>
      <c r="U158" s="203"/>
      <c r="Z158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158" s="17">
        <f t="shared" si="17"/>
        <v>0</v>
      </c>
      <c r="AB158" s="17"/>
      <c r="AC158" s="10"/>
      <c r="AD158" s="10">
        <f>Table1[[#This Row],[£/Tonne]]/1000*Table1[[#This Row],[KG/M2]]</f>
        <v>0</v>
      </c>
      <c r="AE158" s="10">
        <f>Table1[[#This Row],[£/Tonne]]/1000*Table1[[#This Row],[Kg/ Sheet]]</f>
        <v>0</v>
      </c>
      <c r="AF158" s="10"/>
      <c r="AG158" s="111">
        <f>Table1[[#This Row],[£Cost / SHEET]]*(1+AG$1)</f>
        <v>0</v>
      </c>
      <c r="AH158" s="111">
        <f>Table1[[#This Row],[£Cost / SHEET]]*(1+AH$1)</f>
        <v>0</v>
      </c>
      <c r="AI158" s="111">
        <f>Table1[[#This Row],[£Cost / SHEET]]*(1+AI$1)</f>
        <v>0</v>
      </c>
      <c r="AJ158" s="111">
        <f>Table1[[#This Row],[£Cost / SHEET]]*(1+AJ$1)</f>
        <v>0</v>
      </c>
      <c r="AK158" s="222">
        <f>(Table1[[#This Row],[Qty 1]]*IF(Table1[[#This Row],[Dimension L1]]&lt;1,(Table1[[#This Row],[Length]]*Table1[[#This Row],[Width]]),(Table1[[#This Row],[Dimension L1]]*Table1[[#This Row],[Dimension W1]])))/1000000</f>
        <v>0</v>
      </c>
      <c r="AL158" s="121"/>
    </row>
    <row r="159" spans="2:38" ht="25.35" customHeight="1">
      <c r="H159" s="109"/>
      <c r="I159" s="110"/>
      <c r="J159" s="159"/>
      <c r="K159" s="161"/>
      <c r="L159" s="161"/>
      <c r="M159" s="196"/>
      <c r="N159" s="159"/>
      <c r="O159" s="202"/>
      <c r="P159" s="202"/>
      <c r="Q159" s="203"/>
      <c r="R159" s="201"/>
      <c r="S159" s="202"/>
      <c r="T159" s="202"/>
      <c r="U159" s="203"/>
      <c r="Z159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159" s="17">
        <f t="shared" si="17"/>
        <v>0</v>
      </c>
      <c r="AB159" s="17"/>
      <c r="AC159" s="10"/>
      <c r="AD159" s="10">
        <f>Table1[[#This Row],[£/Tonne]]/1000*Table1[[#This Row],[KG/M2]]</f>
        <v>0</v>
      </c>
      <c r="AE159" s="10">
        <f>Table1[[#This Row],[£/Tonne]]/1000*Table1[[#This Row],[Kg/ Sheet]]</f>
        <v>0</v>
      </c>
      <c r="AF159" s="10"/>
      <c r="AG159" s="111">
        <f>Table1[[#This Row],[£Cost / SHEET]]*(1+AG$1)</f>
        <v>0</v>
      </c>
      <c r="AH159" s="111">
        <f>Table1[[#This Row],[£Cost / SHEET]]*(1+AH$1)</f>
        <v>0</v>
      </c>
      <c r="AI159" s="111">
        <f>Table1[[#This Row],[£Cost / SHEET]]*(1+AI$1)</f>
        <v>0</v>
      </c>
      <c r="AJ159" s="111">
        <f>Table1[[#This Row],[£Cost / SHEET]]*(1+AJ$1)</f>
        <v>0</v>
      </c>
      <c r="AK159" s="222">
        <f>(Table1[[#This Row],[Qty 1]]*IF(Table1[[#This Row],[Dimension L1]]&lt;1,(Table1[[#This Row],[Length]]*Table1[[#This Row],[Width]]),(Table1[[#This Row],[Dimension L1]]*Table1[[#This Row],[Dimension W1]])))/1000000</f>
        <v>0</v>
      </c>
      <c r="AL159" s="121"/>
    </row>
    <row r="160" spans="2:38" ht="25.35" customHeight="1">
      <c r="H160" s="109"/>
      <c r="I160" s="110"/>
      <c r="J160" s="159"/>
      <c r="K160" s="161"/>
      <c r="L160" s="161"/>
      <c r="M160" s="196"/>
      <c r="N160" s="159"/>
      <c r="O160" s="202"/>
      <c r="P160" s="202"/>
      <c r="Q160" s="203"/>
      <c r="R160" s="201"/>
      <c r="S160" s="202"/>
      <c r="T160" s="202"/>
      <c r="U160" s="203"/>
      <c r="Z160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160" s="17">
        <f t="shared" si="17"/>
        <v>0</v>
      </c>
      <c r="AB160" s="17"/>
      <c r="AC160" s="10"/>
      <c r="AD160" s="10">
        <f>Table1[[#This Row],[£/Tonne]]/1000*Table1[[#This Row],[KG/M2]]</f>
        <v>0</v>
      </c>
      <c r="AE160" s="10">
        <f>Table1[[#This Row],[£/Tonne]]/1000*Table1[[#This Row],[Kg/ Sheet]]</f>
        <v>0</v>
      </c>
      <c r="AF160" s="10"/>
      <c r="AG160" s="111">
        <f>Table1[[#This Row],[£Cost / SHEET]]*(1+AG$1)</f>
        <v>0</v>
      </c>
      <c r="AH160" s="111">
        <f>Table1[[#This Row],[£Cost / SHEET]]*(1+AH$1)</f>
        <v>0</v>
      </c>
      <c r="AI160" s="111">
        <f>Table1[[#This Row],[£Cost / SHEET]]*(1+AI$1)</f>
        <v>0</v>
      </c>
      <c r="AJ160" s="111">
        <f>Table1[[#This Row],[£Cost / SHEET]]*(1+AJ$1)</f>
        <v>0</v>
      </c>
      <c r="AK160" s="222">
        <f>(Table1[[#This Row],[Qty 1]]*IF(Table1[[#This Row],[Dimension L1]]&lt;1,(Table1[[#This Row],[Length]]*Table1[[#This Row],[Width]]),(Table1[[#This Row],[Dimension L1]]*Table1[[#This Row],[Dimension W1]])))/1000000</f>
        <v>0</v>
      </c>
      <c r="AL160" s="121"/>
    </row>
    <row r="161" spans="2:38" ht="25.35" customHeight="1">
      <c r="H161" s="109"/>
      <c r="I161" s="110"/>
      <c r="J161" s="159"/>
      <c r="K161" s="161"/>
      <c r="L161" s="161"/>
      <c r="M161" s="196"/>
      <c r="N161" s="159"/>
      <c r="O161" s="202"/>
      <c r="P161" s="202"/>
      <c r="Q161" s="203"/>
      <c r="R161" s="201"/>
      <c r="S161" s="202"/>
      <c r="T161" s="202"/>
      <c r="U161" s="203"/>
      <c r="Z161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161" s="17">
        <f t="shared" si="17"/>
        <v>0</v>
      </c>
      <c r="AB161" s="17"/>
      <c r="AC161" s="10"/>
      <c r="AD161" s="10">
        <f>Table1[[#This Row],[£/Tonne]]/1000*Table1[[#This Row],[KG/M2]]</f>
        <v>0</v>
      </c>
      <c r="AE161" s="10">
        <f>Table1[[#This Row],[£/Tonne]]/1000*Table1[[#This Row],[Kg/ Sheet]]</f>
        <v>0</v>
      </c>
      <c r="AF161" s="10"/>
      <c r="AG161" s="111">
        <f>Table1[[#This Row],[£Cost / SHEET]]*(1+AG$1)</f>
        <v>0</v>
      </c>
      <c r="AH161" s="111">
        <f>Table1[[#This Row],[£Cost / SHEET]]*(1+AH$1)</f>
        <v>0</v>
      </c>
      <c r="AI161" s="111">
        <f>Table1[[#This Row],[£Cost / SHEET]]*(1+AI$1)</f>
        <v>0</v>
      </c>
      <c r="AJ161" s="111">
        <f>Table1[[#This Row],[£Cost / SHEET]]*(1+AJ$1)</f>
        <v>0</v>
      </c>
      <c r="AK161" s="222">
        <f>(Table1[[#This Row],[Qty 1]]*IF(Table1[[#This Row],[Dimension L1]]&lt;1,(Table1[[#This Row],[Length]]*Table1[[#This Row],[Width]]),(Table1[[#This Row],[Dimension L1]]*Table1[[#This Row],[Dimension W1]])))/1000000</f>
        <v>0</v>
      </c>
      <c r="AL161" s="121"/>
    </row>
    <row r="162" spans="2:38" ht="25.35" customHeight="1">
      <c r="H162" s="109"/>
      <c r="I162" s="110"/>
      <c r="J162" s="159"/>
      <c r="K162" s="161"/>
      <c r="L162" s="161"/>
      <c r="M162" s="196"/>
      <c r="N162" s="159"/>
      <c r="O162" s="202"/>
      <c r="P162" s="202"/>
      <c r="Q162" s="203"/>
      <c r="R162" s="201"/>
      <c r="S162" s="202"/>
      <c r="T162" s="202"/>
      <c r="U162" s="203"/>
      <c r="Z162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162" s="17">
        <f t="shared" si="17"/>
        <v>0</v>
      </c>
      <c r="AB162" s="17"/>
      <c r="AC162" s="10"/>
      <c r="AD162" s="10">
        <f>Table1[[#This Row],[£/Tonne]]/1000*Table1[[#This Row],[KG/M2]]</f>
        <v>0</v>
      </c>
      <c r="AE162" s="10">
        <f>Table1[[#This Row],[£/Tonne]]/1000*Table1[[#This Row],[Kg/ Sheet]]</f>
        <v>0</v>
      </c>
      <c r="AF162" s="10"/>
      <c r="AG162" s="111">
        <f>Table1[[#This Row],[£Cost / SHEET]]*(1+AG$1)</f>
        <v>0</v>
      </c>
      <c r="AH162" s="111">
        <f>Table1[[#This Row],[£Cost / SHEET]]*(1+AH$1)</f>
        <v>0</v>
      </c>
      <c r="AI162" s="111">
        <f>Table1[[#This Row],[£Cost / SHEET]]*(1+AI$1)</f>
        <v>0</v>
      </c>
      <c r="AJ162" s="111">
        <f>Table1[[#This Row],[£Cost / SHEET]]*(1+AJ$1)</f>
        <v>0</v>
      </c>
      <c r="AK162" s="222">
        <f>(Table1[[#This Row],[Qty 1]]*IF(Table1[[#This Row],[Dimension L1]]&lt;1,(Table1[[#This Row],[Length]]*Table1[[#This Row],[Width]]),(Table1[[#This Row],[Dimension L1]]*Table1[[#This Row],[Dimension W1]])))/1000000</f>
        <v>0</v>
      </c>
      <c r="AL162" s="121"/>
    </row>
    <row r="163" spans="2:38" ht="25.35" customHeight="1">
      <c r="B163" s="7" t="s">
        <v>24</v>
      </c>
      <c r="C163" s="7" t="str">
        <f t="shared" si="14"/>
        <v>PL_12_2835_1250</v>
      </c>
      <c r="D163" s="7" t="str">
        <f>_xlfn.CONCAT(Table1[[#This Row],[ProductRecord.AccountReference]]," @ ",Table1[[#This Row],[KG/M2]],$H$2)</f>
        <v>PL_12_2835_1250 @ 94.2Kg/m2</v>
      </c>
      <c r="E163" s="27">
        <v>2835</v>
      </c>
      <c r="F163" s="27">
        <v>1250</v>
      </c>
      <c r="G163" s="32">
        <v>12</v>
      </c>
      <c r="H163" s="109">
        <f>G163*[1]Density!$D$6/1000</f>
        <v>94.2</v>
      </c>
      <c r="I163" s="161">
        <f t="shared" si="13"/>
        <v>333.82125000000002</v>
      </c>
      <c r="J163" s="164">
        <v>2500</v>
      </c>
      <c r="K163" s="165">
        <v>1250</v>
      </c>
      <c r="L163" s="165">
        <v>13</v>
      </c>
      <c r="M163" s="196" t="s">
        <v>72</v>
      </c>
      <c r="N163" s="164">
        <v>2000</v>
      </c>
      <c r="O163" s="202">
        <v>1890</v>
      </c>
      <c r="P163" s="202">
        <v>1</v>
      </c>
      <c r="Q163" s="203" t="s">
        <v>239</v>
      </c>
      <c r="R163" s="201"/>
      <c r="S163" s="202"/>
      <c r="T163" s="202"/>
      <c r="U163" s="203"/>
      <c r="Z163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4182.951</v>
      </c>
      <c r="AA163" s="17">
        <f t="shared" si="17"/>
        <v>2087.2925490000002</v>
      </c>
      <c r="AB163" s="17"/>
      <c r="AC163" s="10">
        <v>499</v>
      </c>
      <c r="AD163" s="10">
        <f>Table1[[#This Row],[£/Tonne]]/1000*Table1[[#This Row],[KG/M2]]</f>
        <v>47.005800000000001</v>
      </c>
      <c r="AE163" s="10">
        <f>Table1[[#This Row],[£/Tonne]]/1000*Table1[[#This Row],[Kg/ Sheet]]</f>
        <v>166.57680375000001</v>
      </c>
      <c r="AF163" s="10"/>
      <c r="AG163" s="111">
        <f>Table1[[#This Row],[£Cost / SHEET]]*(1+AG$1)</f>
        <v>216.54984487500002</v>
      </c>
      <c r="AH163" s="111">
        <f>Table1[[#This Row],[£Cost / SHEET]]*(1+AH$1)</f>
        <v>224.87868506250004</v>
      </c>
      <c r="AI163" s="111">
        <f>Table1[[#This Row],[£Cost / SHEET]]*(1+AI$1)</f>
        <v>233.20752525</v>
      </c>
      <c r="AJ163" s="111">
        <f>Table1[[#This Row],[£Cost / SHEET]]*(1+AJ$1)</f>
        <v>249.86520562500002</v>
      </c>
      <c r="AK163" s="222">
        <f>(Table1[[#This Row],[Qty 1]]*IF(Table1[[#This Row],[Dimension L1]]&lt;1,(Table1[[#This Row],[Length]]*Table1[[#This Row],[Width]]),(Table1[[#This Row],[Dimension L1]]*Table1[[#This Row],[Dimension W1]])))/1000000</f>
        <v>40.625</v>
      </c>
      <c r="AL163" s="121"/>
    </row>
    <row r="164" spans="2:38" ht="25.35" customHeight="1">
      <c r="B164" s="7" t="s">
        <v>24</v>
      </c>
      <c r="C164" s="7" t="str">
        <f t="shared" si="14"/>
        <v>PL_12_2500_1250</v>
      </c>
      <c r="D164" s="7" t="str">
        <f>_xlfn.CONCAT(Table1[[#This Row],[ProductRecord.AccountReference]]," @ ",Table1[[#This Row],[KG/M2]],$H$2)</f>
        <v>PL_12_2500_1250 @ 94.2Kg/m2</v>
      </c>
      <c r="E164" s="27">
        <v>2500</v>
      </c>
      <c r="F164" s="27">
        <v>1250</v>
      </c>
      <c r="G164" s="32">
        <v>12</v>
      </c>
      <c r="H164" s="109">
        <f>G164*[1]Density!$D$6/1000</f>
        <v>94.2</v>
      </c>
      <c r="I164" s="161">
        <f t="shared" si="13"/>
        <v>294.375</v>
      </c>
      <c r="J164" s="164"/>
      <c r="K164" s="165"/>
      <c r="L164" s="165"/>
      <c r="M164" s="196"/>
      <c r="N164" s="164">
        <v>3000</v>
      </c>
      <c r="O164" s="202">
        <v>2020</v>
      </c>
      <c r="P164" s="202">
        <v>1</v>
      </c>
      <c r="Q164" s="203" t="s">
        <v>239</v>
      </c>
      <c r="R164" s="201">
        <v>2500</v>
      </c>
      <c r="S164" s="202">
        <v>1250</v>
      </c>
      <c r="T164" s="202">
        <v>13</v>
      </c>
      <c r="U164" s="203" t="s">
        <v>72</v>
      </c>
      <c r="V164" s="9">
        <v>2500</v>
      </c>
      <c r="W164" s="9">
        <v>670</v>
      </c>
      <c r="X164" s="9">
        <v>1</v>
      </c>
      <c r="Y164" s="9" t="s">
        <v>309</v>
      </c>
      <c r="Z164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4555.5119999999997</v>
      </c>
      <c r="AA164" s="17">
        <f t="shared" si="17"/>
        <v>2273.2004879999995</v>
      </c>
      <c r="AB164" s="17"/>
      <c r="AC164" s="218">
        <f>AC163</f>
        <v>499</v>
      </c>
      <c r="AD164" s="10">
        <f>Table1[[#This Row],[£/Tonne]]/1000*Table1[[#This Row],[KG/M2]]</f>
        <v>47.005800000000001</v>
      </c>
      <c r="AE164" s="10">
        <f>Table1[[#This Row],[£/Tonne]]/1000*Table1[[#This Row],[Kg/ Sheet]]</f>
        <v>146.893125</v>
      </c>
      <c r="AF164" s="10"/>
      <c r="AG164" s="111">
        <f>Table1[[#This Row],[£Cost / SHEET]]*(1+AG$1)</f>
        <v>190.9610625</v>
      </c>
      <c r="AH164" s="111">
        <f>Table1[[#This Row],[£Cost / SHEET]]*(1+AH$1)</f>
        <v>198.30571875000001</v>
      </c>
      <c r="AI164" s="111">
        <f>Table1[[#This Row],[£Cost / SHEET]]*(1+AI$1)</f>
        <v>205.650375</v>
      </c>
      <c r="AJ164" s="111">
        <f>Table1[[#This Row],[£Cost / SHEET]]*(1+AJ$1)</f>
        <v>220.3396875</v>
      </c>
      <c r="AK164" s="222">
        <f>(Table1[[#This Row],[Qty 1]]*IF(Table1[[#This Row],[Dimension L1]]&lt;1,(Table1[[#This Row],[Length]]*Table1[[#This Row],[Width]]),(Table1[[#This Row],[Dimension L1]]*Table1[[#This Row],[Dimension W1]])))/1000000</f>
        <v>0</v>
      </c>
      <c r="AL164" s="121"/>
    </row>
    <row r="165" spans="2:38" ht="25.35" customHeight="1">
      <c r="B165" s="7" t="s">
        <v>24</v>
      </c>
      <c r="C165" s="7" t="str">
        <f t="shared" si="14"/>
        <v>PL_12_2840_1370</v>
      </c>
      <c r="D165" s="7" t="str">
        <f>_xlfn.CONCAT(Table1[[#This Row],[ProductRecord.AccountReference]]," @ ",Table1[[#This Row],[KG/M2]],$H$2)</f>
        <v>PL_12_2840_1370 @ 94.2Kg/m2</v>
      </c>
      <c r="E165" s="27">
        <v>2840</v>
      </c>
      <c r="F165" s="27">
        <v>1370</v>
      </c>
      <c r="G165" s="32">
        <v>12</v>
      </c>
      <c r="H165" s="109">
        <f>G165*[1]Density!$D$6/1000</f>
        <v>94.2</v>
      </c>
      <c r="I165" s="161">
        <f t="shared" si="13"/>
        <v>366.51335999999998</v>
      </c>
      <c r="J165" s="164"/>
      <c r="K165" s="165"/>
      <c r="L165" s="165"/>
      <c r="M165" s="196"/>
      <c r="N165" s="164">
        <v>8000</v>
      </c>
      <c r="O165" s="202">
        <v>2000</v>
      </c>
      <c r="P165" s="202">
        <v>1</v>
      </c>
      <c r="Q165" s="203" t="s">
        <v>239</v>
      </c>
      <c r="R165" s="201">
        <v>3200</v>
      </c>
      <c r="S165" s="202">
        <v>340</v>
      </c>
      <c r="T165" s="202">
        <v>1</v>
      </c>
      <c r="U165" s="203" t="s">
        <v>306</v>
      </c>
      <c r="Z165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1609.6896000000002</v>
      </c>
      <c r="AA165" s="17">
        <f t="shared" si="17"/>
        <v>1109.0761344</v>
      </c>
      <c r="AB165" s="17"/>
      <c r="AC165" s="10">
        <f>AC189</f>
        <v>689</v>
      </c>
      <c r="AD165" s="10">
        <f>Table1[[#This Row],[£/Tonne]]/1000*Table1[[#This Row],[KG/M2]]</f>
        <v>64.903800000000004</v>
      </c>
      <c r="AE165" s="10">
        <f>Table1[[#This Row],[£/Tonne]]/1000*Table1[[#This Row],[Kg/ Sheet]]</f>
        <v>252.52770503999997</v>
      </c>
      <c r="AF165" s="10"/>
      <c r="AG165" s="111">
        <f>Table1[[#This Row],[£Cost / SHEET]]*(1+AG$1)</f>
        <v>328.28601655199998</v>
      </c>
      <c r="AH165" s="111">
        <f>Table1[[#This Row],[£Cost / SHEET]]*(1+AH$1)</f>
        <v>340.91240180400001</v>
      </c>
      <c r="AI165" s="111">
        <f>Table1[[#This Row],[£Cost / SHEET]]*(1+AI$1)</f>
        <v>353.53878705599993</v>
      </c>
      <c r="AJ165" s="111">
        <f>Table1[[#This Row],[£Cost / SHEET]]*(1+AJ$1)</f>
        <v>378.79155755999994</v>
      </c>
      <c r="AK165" s="222">
        <f>(Table1[[#This Row],[Qty 1]]*IF(Table1[[#This Row],[Dimension L1]]&lt;1,(Table1[[#This Row],[Length]]*Table1[[#This Row],[Width]]),(Table1[[#This Row],[Dimension L1]]*Table1[[#This Row],[Dimension W1]])))/1000000</f>
        <v>0</v>
      </c>
      <c r="AL165" s="121"/>
    </row>
    <row r="166" spans="2:38" ht="25.35" customHeight="1">
      <c r="B166" s="7" t="s">
        <v>24</v>
      </c>
      <c r="C166" s="7" t="str">
        <f t="shared" si="14"/>
        <v>PL_12_2440_1510</v>
      </c>
      <c r="D166" s="7" t="str">
        <f>_xlfn.CONCAT(Table1[[#This Row],[ProductRecord.AccountReference]]," @ ",Table1[[#This Row],[KG/M2]],$H$2)</f>
        <v>PL_12_2440_1510 @ 94.2Kg/m2</v>
      </c>
      <c r="E166" s="27">
        <v>2440</v>
      </c>
      <c r="F166" s="27">
        <v>1510</v>
      </c>
      <c r="G166" s="32">
        <v>12</v>
      </c>
      <c r="H166" s="109">
        <f>G166*[1]Density!$D$6/1000</f>
        <v>94.2</v>
      </c>
      <c r="I166" s="161">
        <f t="shared" si="13"/>
        <v>347.07047999999998</v>
      </c>
      <c r="J166" s="164">
        <v>2600</v>
      </c>
      <c r="K166" s="165">
        <v>1690</v>
      </c>
      <c r="L166" s="165">
        <v>1</v>
      </c>
      <c r="M166" s="196" t="s">
        <v>239</v>
      </c>
      <c r="N166" s="164">
        <v>9290</v>
      </c>
      <c r="O166" s="202">
        <v>580</v>
      </c>
      <c r="P166" s="202">
        <v>1</v>
      </c>
      <c r="Q166" s="203" t="s">
        <v>239</v>
      </c>
      <c r="R166" s="201">
        <v>2030</v>
      </c>
      <c r="S166" s="202">
        <v>1840</v>
      </c>
      <c r="T166" s="202">
        <v>1</v>
      </c>
      <c r="U166" s="203" t="s">
        <v>306</v>
      </c>
      <c r="X166" s="9">
        <v>8</v>
      </c>
      <c r="Y166" s="9" t="s">
        <v>302</v>
      </c>
      <c r="Z166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4049.9029199999995</v>
      </c>
      <c r="AA166" s="17">
        <f t="shared" si="17"/>
        <v>2790.3831118799994</v>
      </c>
      <c r="AB166" s="17"/>
      <c r="AC166" s="10">
        <f>AC189</f>
        <v>689</v>
      </c>
      <c r="AD166" s="10">
        <f>Table1[[#This Row],[£/Tonne]]/1000*Table1[[#This Row],[KG/M2]]</f>
        <v>64.903800000000004</v>
      </c>
      <c r="AE166" s="10">
        <f>Table1[[#This Row],[£/Tonne]]/1000*Table1[[#This Row],[Kg/ Sheet]]</f>
        <v>239.13156071999995</v>
      </c>
      <c r="AF166" s="10"/>
      <c r="AG166" s="111">
        <f>Table1[[#This Row],[£Cost / SHEET]]*(1+AG$1)</f>
        <v>310.87102893599996</v>
      </c>
      <c r="AH166" s="111">
        <f>Table1[[#This Row],[£Cost / SHEET]]*(1+AH$1)</f>
        <v>322.82760697199996</v>
      </c>
      <c r="AI166" s="111">
        <f>Table1[[#This Row],[£Cost / SHEET]]*(1+AI$1)</f>
        <v>334.78418500799989</v>
      </c>
      <c r="AJ166" s="111">
        <f>Table1[[#This Row],[£Cost / SHEET]]*(1+AJ$1)</f>
        <v>358.69734107999994</v>
      </c>
      <c r="AK166" s="222">
        <f>(Table1[[#This Row],[Qty 1]]*IF(Table1[[#This Row],[Dimension L1]]&lt;1,(Table1[[#This Row],[Length]]*Table1[[#This Row],[Width]]),(Table1[[#This Row],[Dimension L1]]*Table1[[#This Row],[Dimension W1]])))/1000000</f>
        <v>4.3940000000000001</v>
      </c>
      <c r="AL166" s="121"/>
    </row>
    <row r="167" spans="2:38" ht="25.35" customHeight="1">
      <c r="B167" s="7" t="s">
        <v>24</v>
      </c>
      <c r="C167" s="7" t="str">
        <f t="shared" si="14"/>
        <v>PL_12_5000_2500</v>
      </c>
      <c r="D167" s="7" t="str">
        <f>_xlfn.CONCAT(Table1[[#This Row],[ProductRecord.AccountReference]]," @ ",Table1[[#This Row],[KG/M2]],$H$2)</f>
        <v>PL_12_5000_2500 @ 94.2Kg/m2</v>
      </c>
      <c r="E167" s="27">
        <v>5000</v>
      </c>
      <c r="F167" s="27">
        <v>2500</v>
      </c>
      <c r="G167" s="32">
        <v>12</v>
      </c>
      <c r="H167" s="109">
        <f>G167*[1]Density!$D$6/1000</f>
        <v>94.2</v>
      </c>
      <c r="I167" s="161">
        <f t="shared" si="13"/>
        <v>1177.5</v>
      </c>
      <c r="J167" s="164"/>
      <c r="K167" s="165"/>
      <c r="L167" s="165"/>
      <c r="M167" s="196"/>
      <c r="N167" s="164">
        <v>1100</v>
      </c>
      <c r="O167" s="202">
        <v>1000</v>
      </c>
      <c r="P167" s="202">
        <v>1</v>
      </c>
      <c r="Q167" s="203" t="s">
        <v>239</v>
      </c>
      <c r="R167" s="201">
        <v>3000</v>
      </c>
      <c r="S167" s="202">
        <v>2860</v>
      </c>
      <c r="T167" s="202">
        <v>1</v>
      </c>
      <c r="U167" s="203" t="s">
        <v>239</v>
      </c>
      <c r="Z167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911.85599999999999</v>
      </c>
      <c r="AA167" s="17">
        <f t="shared" si="17"/>
        <v>628.26878399999998</v>
      </c>
      <c r="AB167" s="17"/>
      <c r="AC167" s="10">
        <f>AC189</f>
        <v>689</v>
      </c>
      <c r="AD167" s="10">
        <f>Table1[[#This Row],[£/Tonne]]/1000*Table1[[#This Row],[KG/M2]]</f>
        <v>64.903800000000004</v>
      </c>
      <c r="AE167" s="10">
        <f>Table1[[#This Row],[£/Tonne]]/1000*Table1[[#This Row],[Kg/ Sheet]]</f>
        <v>811.2974999999999</v>
      </c>
      <c r="AF167" s="10"/>
      <c r="AG167" s="111">
        <f>Table1[[#This Row],[£Cost / SHEET]]*(1+AG$1)</f>
        <v>1054.6867499999998</v>
      </c>
      <c r="AH167" s="111">
        <f>Table1[[#This Row],[£Cost / SHEET]]*(1+AH$1)</f>
        <v>1095.2516249999999</v>
      </c>
      <c r="AI167" s="111">
        <f>Table1[[#This Row],[£Cost / SHEET]]*(1+AI$1)</f>
        <v>1135.8164999999997</v>
      </c>
      <c r="AJ167" s="111">
        <f>Table1[[#This Row],[£Cost / SHEET]]*(1+AJ$1)</f>
        <v>1216.94625</v>
      </c>
      <c r="AK167" s="222">
        <f>(Table1[[#This Row],[Qty 1]]*IF(Table1[[#This Row],[Dimension L1]]&lt;1,(Table1[[#This Row],[Length]]*Table1[[#This Row],[Width]]),(Table1[[#This Row],[Dimension L1]]*Table1[[#This Row],[Dimension W1]])))/1000000</f>
        <v>0</v>
      </c>
      <c r="AL167" s="121"/>
    </row>
    <row r="168" spans="2:38" ht="25.35" customHeight="1">
      <c r="B168" s="7" t="s">
        <v>24</v>
      </c>
      <c r="C168" s="7" t="str">
        <f t="shared" si="14"/>
        <v>PL_12_8000_1500</v>
      </c>
      <c r="D168" s="7" t="str">
        <f>_xlfn.CONCAT(Table1[[#This Row],[ProductRecord.AccountReference]]," @ ",Table1[[#This Row],[KG/M2]],$H$2)</f>
        <v>PL_12_8000_1500 @ 94.2Kg/m2</v>
      </c>
      <c r="E168" s="27">
        <v>8000</v>
      </c>
      <c r="F168" s="27">
        <v>1500</v>
      </c>
      <c r="G168" s="32">
        <v>12</v>
      </c>
      <c r="H168" s="109">
        <f>G168*[1]Density!$D$6/1000</f>
        <v>94.2</v>
      </c>
      <c r="I168" s="161">
        <f t="shared" si="13"/>
        <v>1130.4000000000001</v>
      </c>
      <c r="J168" s="164">
        <v>2600</v>
      </c>
      <c r="K168" s="165">
        <v>1800</v>
      </c>
      <c r="L168" s="165">
        <v>1</v>
      </c>
      <c r="M168" s="196" t="s">
        <v>306</v>
      </c>
      <c r="N168" s="164">
        <v>6600</v>
      </c>
      <c r="O168" s="202">
        <v>2500</v>
      </c>
      <c r="P168" s="202">
        <v>1</v>
      </c>
      <c r="Q168" s="203" t="s">
        <v>239</v>
      </c>
      <c r="R168" s="201">
        <v>9100</v>
      </c>
      <c r="S168" s="202">
        <v>960</v>
      </c>
      <c r="T168" s="202">
        <v>1</v>
      </c>
      <c r="U168" s="203" t="s">
        <v>306</v>
      </c>
      <c r="Z168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2818.0871999999999</v>
      </c>
      <c r="AA168" s="17">
        <f t="shared" si="17"/>
        <v>1941.6620808</v>
      </c>
      <c r="AB168" s="17"/>
      <c r="AC168" s="10">
        <f>AC189</f>
        <v>689</v>
      </c>
      <c r="AD168" s="10">
        <f>Table1[[#This Row],[£/Tonne]]/1000*Table1[[#This Row],[KG/M2]]</f>
        <v>64.903800000000004</v>
      </c>
      <c r="AE168" s="10">
        <f>Table1[[#This Row],[£/Tonne]]/1000*Table1[[#This Row],[Kg/ Sheet]]</f>
        <v>778.84559999999999</v>
      </c>
      <c r="AF168" s="10"/>
      <c r="AG168" s="111">
        <f>Table1[[#This Row],[£Cost / SHEET]]*(1+AG$1)</f>
        <v>1012.49928</v>
      </c>
      <c r="AH168" s="111">
        <f>Table1[[#This Row],[£Cost / SHEET]]*(1+AH$1)</f>
        <v>1051.44156</v>
      </c>
      <c r="AI168" s="111">
        <f>Table1[[#This Row],[£Cost / SHEET]]*(1+AI$1)</f>
        <v>1090.38384</v>
      </c>
      <c r="AJ168" s="111">
        <f>Table1[[#This Row],[£Cost / SHEET]]*(1+AJ$1)</f>
        <v>1168.2683999999999</v>
      </c>
      <c r="AK168" s="222">
        <f>(Table1[[#This Row],[Qty 1]]*IF(Table1[[#This Row],[Dimension L1]]&lt;1,(Table1[[#This Row],[Length]]*Table1[[#This Row],[Width]]),(Table1[[#This Row],[Dimension L1]]*Table1[[#This Row],[Dimension W1]])))/1000000</f>
        <v>4.68</v>
      </c>
      <c r="AL168" s="121"/>
    </row>
    <row r="169" spans="2:38" ht="25.35" customHeight="1">
      <c r="B169" s="7" t="s">
        <v>24</v>
      </c>
      <c r="C169" s="7" t="str">
        <f t="shared" si="14"/>
        <v>PL_12_8300_2880</v>
      </c>
      <c r="D169" s="7" t="str">
        <f>_xlfn.CONCAT(Table1[[#This Row],[ProductRecord.AccountReference]]," @ ",Table1[[#This Row],[KG/M2]],$H$2)</f>
        <v>PL_12_8300_2880 @ 94.2Kg/m2</v>
      </c>
      <c r="E169" s="27">
        <v>8300</v>
      </c>
      <c r="F169" s="27">
        <v>2880</v>
      </c>
      <c r="G169" s="32">
        <v>12</v>
      </c>
      <c r="H169" s="109">
        <f>G169*[1]Density!$D$6/1000</f>
        <v>94.2</v>
      </c>
      <c r="I169" s="161">
        <f t="shared" si="13"/>
        <v>2251.7568000000001</v>
      </c>
      <c r="J169" s="164">
        <v>2820</v>
      </c>
      <c r="K169" s="165">
        <v>1500</v>
      </c>
      <c r="L169" s="165">
        <v>1</v>
      </c>
      <c r="M169" s="196" t="s">
        <v>306</v>
      </c>
      <c r="N169" s="164">
        <v>1400</v>
      </c>
      <c r="O169" s="202">
        <v>1150</v>
      </c>
      <c r="P169" s="202">
        <v>1</v>
      </c>
      <c r="Q169" s="203" t="s">
        <v>306</v>
      </c>
      <c r="R169" s="201">
        <v>8300</v>
      </c>
      <c r="S169" s="202">
        <v>850</v>
      </c>
      <c r="T169" s="202">
        <v>1</v>
      </c>
      <c r="U169" s="203" t="s">
        <v>306</v>
      </c>
      <c r="Z169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1214.7090000000001</v>
      </c>
      <c r="AA169" s="17">
        <f t="shared" si="17"/>
        <v>836.93450100000007</v>
      </c>
      <c r="AB169" s="17"/>
      <c r="AC169" s="10">
        <f>AC189</f>
        <v>689</v>
      </c>
      <c r="AD169" s="10">
        <f>Table1[[#This Row],[£/Tonne]]/1000*Table1[[#This Row],[KG/M2]]</f>
        <v>64.903800000000004</v>
      </c>
      <c r="AE169" s="10">
        <f>Table1[[#This Row],[£/Tonne]]/1000*Table1[[#This Row],[Kg/ Sheet]]</f>
        <v>1551.4604351999999</v>
      </c>
      <c r="AF169" s="10"/>
      <c r="AG169" s="111">
        <f>Table1[[#This Row],[£Cost / SHEET]]*(1+AG$1)</f>
        <v>2016.8985657599999</v>
      </c>
      <c r="AH169" s="111">
        <f>Table1[[#This Row],[£Cost / SHEET]]*(1+AH$1)</f>
        <v>2094.47158752</v>
      </c>
      <c r="AI169" s="111">
        <f>Table1[[#This Row],[£Cost / SHEET]]*(1+AI$1)</f>
        <v>2172.0446092799998</v>
      </c>
      <c r="AJ169" s="111">
        <f>Table1[[#This Row],[£Cost / SHEET]]*(1+AJ$1)</f>
        <v>2327.1906528</v>
      </c>
      <c r="AK169" s="222">
        <f>(Table1[[#This Row],[Qty 1]]*IF(Table1[[#This Row],[Dimension L1]]&lt;1,(Table1[[#This Row],[Length]]*Table1[[#This Row],[Width]]),(Table1[[#This Row],[Dimension L1]]*Table1[[#This Row],[Dimension W1]])))/1000000</f>
        <v>4.2300000000000004</v>
      </c>
      <c r="AL169" s="121"/>
    </row>
    <row r="170" spans="2:38" ht="25.35" customHeight="1">
      <c r="B170" s="7" t="s">
        <v>24</v>
      </c>
      <c r="C170" s="7" t="str">
        <f t="shared" si="14"/>
        <v>PL_12_2760_2880</v>
      </c>
      <c r="D170" s="7" t="str">
        <f>_xlfn.CONCAT(Table1[[#This Row],[ProductRecord.AccountReference]]," @ ",Table1[[#This Row],[KG/M2]],$H$2)</f>
        <v>PL_12_2760_2880 @ 94.2Kg/m2</v>
      </c>
      <c r="E170" s="27">
        <v>2760</v>
      </c>
      <c r="F170" s="27">
        <v>2880</v>
      </c>
      <c r="G170" s="32">
        <v>12</v>
      </c>
      <c r="H170" s="109">
        <f>G170*[1]Density!$D$6/1000</f>
        <v>94.2</v>
      </c>
      <c r="I170" s="161">
        <f t="shared" si="13"/>
        <v>748.77696000000003</v>
      </c>
      <c r="J170" s="164">
        <v>1600</v>
      </c>
      <c r="K170" s="165">
        <v>1140</v>
      </c>
      <c r="L170" s="165">
        <v>1</v>
      </c>
      <c r="M170" s="196" t="s">
        <v>306</v>
      </c>
      <c r="N170" s="164">
        <v>1950</v>
      </c>
      <c r="O170" s="202">
        <v>1770</v>
      </c>
      <c r="P170" s="202">
        <v>1</v>
      </c>
      <c r="Q170" s="203" t="s">
        <v>239</v>
      </c>
      <c r="R170" s="201">
        <v>1880</v>
      </c>
      <c r="S170" s="202">
        <v>640</v>
      </c>
      <c r="T170" s="202">
        <v>1</v>
      </c>
      <c r="U170" s="203" t="s">
        <v>306</v>
      </c>
      <c r="Z170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610.29354000000001</v>
      </c>
      <c r="AA170" s="17">
        <f t="shared" si="17"/>
        <v>420.49224906000001</v>
      </c>
      <c r="AB170" s="17"/>
      <c r="AC170" s="10">
        <f>AC189</f>
        <v>689</v>
      </c>
      <c r="AD170" s="10">
        <f>Table1[[#This Row],[£/Tonne]]/1000*Table1[[#This Row],[KG/M2]]</f>
        <v>64.903800000000004</v>
      </c>
      <c r="AE170" s="10">
        <f>Table1[[#This Row],[£/Tonne]]/1000*Table1[[#This Row],[Kg/ Sheet]]</f>
        <v>515.90732544000002</v>
      </c>
      <c r="AF170" s="10"/>
      <c r="AG170" s="111">
        <f>Table1[[#This Row],[£Cost / SHEET]]*(1+AG$1)</f>
        <v>670.67952307200005</v>
      </c>
      <c r="AH170" s="111">
        <f>Table1[[#This Row],[£Cost / SHEET]]*(1+AH$1)</f>
        <v>696.47488934400008</v>
      </c>
      <c r="AI170" s="111">
        <f>Table1[[#This Row],[£Cost / SHEET]]*(1+AI$1)</f>
        <v>722.27025561599999</v>
      </c>
      <c r="AJ170" s="111">
        <f>Table1[[#This Row],[£Cost / SHEET]]*(1+AJ$1)</f>
        <v>773.86098816000003</v>
      </c>
      <c r="AK170" s="222">
        <f>(Table1[[#This Row],[Qty 1]]*IF(Table1[[#This Row],[Dimension L1]]&lt;1,(Table1[[#This Row],[Length]]*Table1[[#This Row],[Width]]),(Table1[[#This Row],[Dimension L1]]*Table1[[#This Row],[Dimension W1]])))/1000000</f>
        <v>1.8240000000000001</v>
      </c>
      <c r="AL170" s="121"/>
    </row>
    <row r="171" spans="2:38" ht="25.35" customHeight="1">
      <c r="B171" s="7" t="s">
        <v>24</v>
      </c>
      <c r="C171" s="7" t="str">
        <f t="shared" si="14"/>
        <v>PL_12_3000_2600</v>
      </c>
      <c r="D171" s="7" t="str">
        <f>_xlfn.CONCAT(Table1[[#This Row],[ProductRecord.AccountReference]]," @ ",Table1[[#This Row],[KG/M2]],$H$2)</f>
        <v>PL_12_3000_2600 @ 94.2Kg/m2</v>
      </c>
      <c r="E171" s="27">
        <v>3000</v>
      </c>
      <c r="F171" s="27">
        <v>2600</v>
      </c>
      <c r="G171" s="32">
        <v>12</v>
      </c>
      <c r="H171" s="109">
        <f>G171*[1]Density!$D$6/1000</f>
        <v>94.2</v>
      </c>
      <c r="I171" s="161">
        <f t="shared" si="13"/>
        <v>734.76</v>
      </c>
      <c r="J171" s="164">
        <v>3100</v>
      </c>
      <c r="K171" s="165">
        <v>1000</v>
      </c>
      <c r="L171" s="165">
        <v>1</v>
      </c>
      <c r="M171" s="196" t="s">
        <v>306</v>
      </c>
      <c r="N171" s="164">
        <v>6900</v>
      </c>
      <c r="O171" s="202">
        <v>1050</v>
      </c>
      <c r="P171" s="202">
        <v>1</v>
      </c>
      <c r="Q171" s="203" t="s">
        <v>239</v>
      </c>
      <c r="R171" s="201">
        <v>1500</v>
      </c>
      <c r="S171" s="202">
        <v>160</v>
      </c>
      <c r="T171" s="202">
        <v>1</v>
      </c>
      <c r="U171" s="203"/>
      <c r="Z171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997.10700000000008</v>
      </c>
      <c r="AA171" s="17">
        <f t="shared" si="17"/>
        <v>687.00672300000008</v>
      </c>
      <c r="AB171" s="17"/>
      <c r="AC171" s="10">
        <f>AC189</f>
        <v>689</v>
      </c>
      <c r="AD171" s="10">
        <f>Table1[[#This Row],[£/Tonne]]/1000*Table1[[#This Row],[KG/M2]]</f>
        <v>64.903800000000004</v>
      </c>
      <c r="AE171" s="10">
        <f>Table1[[#This Row],[£/Tonne]]/1000*Table1[[#This Row],[Kg/ Sheet]]</f>
        <v>506.24963999999994</v>
      </c>
      <c r="AF171" s="10"/>
      <c r="AG171" s="111">
        <f>Table1[[#This Row],[£Cost / SHEET]]*(1+AG$1)</f>
        <v>658.12453199999993</v>
      </c>
      <c r="AH171" s="111">
        <f>Table1[[#This Row],[£Cost / SHEET]]*(1+AH$1)</f>
        <v>683.43701399999998</v>
      </c>
      <c r="AI171" s="111">
        <f>Table1[[#This Row],[£Cost / SHEET]]*(1+AI$1)</f>
        <v>708.74949599999991</v>
      </c>
      <c r="AJ171" s="111">
        <f>Table1[[#This Row],[£Cost / SHEET]]*(1+AJ$1)</f>
        <v>759.37445999999989</v>
      </c>
      <c r="AK171" s="222">
        <f>(Table1[[#This Row],[Qty 1]]*IF(Table1[[#This Row],[Dimension L1]]&lt;1,(Table1[[#This Row],[Length]]*Table1[[#This Row],[Width]]),(Table1[[#This Row],[Dimension L1]]*Table1[[#This Row],[Dimension W1]])))/1000000</f>
        <v>3.1</v>
      </c>
      <c r="AL171" s="121"/>
    </row>
    <row r="172" spans="2:38" ht="25.35" customHeight="1">
      <c r="B172" s="7" t="s">
        <v>24</v>
      </c>
      <c r="C172" s="7" t="str">
        <f t="shared" si="14"/>
        <v>PL_12_3000_1500</v>
      </c>
      <c r="D172" s="7" t="str">
        <f>_xlfn.CONCAT(Table1[[#This Row],[ProductRecord.AccountReference]]," @ ",Table1[[#This Row],[KG/M2]],$H$2)</f>
        <v>PL_12_3000_1500 @ 94.2Kg/m2</v>
      </c>
      <c r="E172" s="27">
        <v>3000</v>
      </c>
      <c r="F172" s="27">
        <v>1500</v>
      </c>
      <c r="G172" s="32">
        <v>12</v>
      </c>
      <c r="H172" s="109">
        <f>G172*[1]Density!$D$6/1000</f>
        <v>94.2</v>
      </c>
      <c r="I172" s="161">
        <f t="shared" si="13"/>
        <v>423.9</v>
      </c>
      <c r="J172" s="164">
        <v>1500</v>
      </c>
      <c r="K172" s="165">
        <v>820</v>
      </c>
      <c r="L172" s="165">
        <v>1</v>
      </c>
      <c r="M172" s="196" t="s">
        <v>306</v>
      </c>
      <c r="N172" s="164">
        <v>6500</v>
      </c>
      <c r="O172" s="202">
        <v>2600</v>
      </c>
      <c r="P172" s="202">
        <v>1</v>
      </c>
      <c r="Q172" s="203" t="s">
        <v>239</v>
      </c>
      <c r="R172" s="201"/>
      <c r="S172" s="202"/>
      <c r="T172" s="202">
        <v>3</v>
      </c>
      <c r="U172" s="203" t="s">
        <v>302</v>
      </c>
      <c r="X172" s="9">
        <v>2</v>
      </c>
      <c r="Y172" s="9" t="s">
        <v>305</v>
      </c>
      <c r="Z172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3827.3459999999995</v>
      </c>
      <c r="AA172" s="17">
        <f t="shared" si="17"/>
        <v>3402.5105939999994</v>
      </c>
      <c r="AB172" s="17"/>
      <c r="AC172" s="218">
        <v>889</v>
      </c>
      <c r="AD172" s="10">
        <f>Table1[[#This Row],[£/Tonne]]/1000*Table1[[#This Row],[KG/M2]]</f>
        <v>83.743800000000007</v>
      </c>
      <c r="AE172" s="10">
        <f>Table1[[#This Row],[£/Tonne]]/1000*Table1[[#This Row],[Kg/ Sheet]]</f>
        <v>376.84710000000001</v>
      </c>
      <c r="AF172" s="10"/>
      <c r="AG172" s="111">
        <f>Table1[[#This Row],[£Cost / SHEET]]*(1+AG$1)</f>
        <v>489.90123000000006</v>
      </c>
      <c r="AH172" s="111">
        <f>Table1[[#This Row],[£Cost / SHEET]]*(1+AH$1)</f>
        <v>508.74358500000005</v>
      </c>
      <c r="AI172" s="111">
        <f>Table1[[#This Row],[£Cost / SHEET]]*(1+AI$1)</f>
        <v>527.58593999999994</v>
      </c>
      <c r="AJ172" s="111">
        <f>Table1[[#This Row],[£Cost / SHEET]]*(1+AJ$1)</f>
        <v>565.27065000000005</v>
      </c>
      <c r="AK172" s="222">
        <f>(Table1[[#This Row],[Qty 1]]*IF(Table1[[#This Row],[Dimension L1]]&lt;1,(Table1[[#This Row],[Length]]*Table1[[#This Row],[Width]]),(Table1[[#This Row],[Dimension L1]]*Table1[[#This Row],[Dimension W1]])))/1000000</f>
        <v>1.23</v>
      </c>
      <c r="AL172" s="121"/>
    </row>
    <row r="173" spans="2:38" ht="25.35" customHeight="1">
      <c r="B173" s="7" t="s">
        <v>24</v>
      </c>
      <c r="C173" s="7" t="str">
        <f t="shared" si="14"/>
        <v>PL_12_3000_1500</v>
      </c>
      <c r="D173" s="7" t="str">
        <f>_xlfn.CONCAT(Table1[[#This Row],[ProductRecord.AccountReference]]," @ ",Table1[[#This Row],[KG/M2]],$H$2)</f>
        <v>PL_12_3000_1500 @ 94.2Kg/m2</v>
      </c>
      <c r="E173" s="27">
        <v>3000</v>
      </c>
      <c r="F173" s="27">
        <v>1500</v>
      </c>
      <c r="G173" s="32">
        <v>12</v>
      </c>
      <c r="H173" s="109">
        <f>G173*[1]Density!$D$6/1000</f>
        <v>94.2</v>
      </c>
      <c r="I173" s="161">
        <f t="shared" si="13"/>
        <v>423.9</v>
      </c>
      <c r="J173" s="164">
        <v>3000</v>
      </c>
      <c r="K173" s="165">
        <v>1500</v>
      </c>
      <c r="L173" s="165">
        <v>2</v>
      </c>
      <c r="M173" s="196" t="s">
        <v>306</v>
      </c>
      <c r="N173" s="164">
        <v>6100</v>
      </c>
      <c r="O173" s="202">
        <v>500</v>
      </c>
      <c r="P173" s="202">
        <v>1</v>
      </c>
      <c r="Q173" s="203" t="s">
        <v>239</v>
      </c>
      <c r="R173" s="201">
        <v>4000</v>
      </c>
      <c r="S173" s="202">
        <v>2000</v>
      </c>
      <c r="T173" s="202">
        <v>2</v>
      </c>
      <c r="U173" s="203" t="s">
        <v>302</v>
      </c>
      <c r="V173" s="9">
        <v>2500</v>
      </c>
      <c r="W173" s="9">
        <v>670</v>
      </c>
      <c r="X173" s="9">
        <v>1</v>
      </c>
      <c r="Y173" s="9" t="s">
        <v>309</v>
      </c>
      <c r="Z173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2800.0950000000003</v>
      </c>
      <c r="AA173" s="17">
        <f t="shared" si="17"/>
        <v>2489.284455</v>
      </c>
      <c r="AB173" s="17"/>
      <c r="AC173" s="10">
        <f>AC172</f>
        <v>889</v>
      </c>
      <c r="AD173" s="10">
        <f>Table1[[#This Row],[£/Tonne]]/1000*Table1[[#This Row],[KG/M2]]</f>
        <v>83.743800000000007</v>
      </c>
      <c r="AE173" s="10">
        <f>Table1[[#This Row],[£/Tonne]]/1000*Table1[[#This Row],[Kg/ Sheet]]</f>
        <v>376.84710000000001</v>
      </c>
      <c r="AF173" s="10"/>
      <c r="AG173" s="111">
        <f>Table1[[#This Row],[£Cost / SHEET]]*(1+AG$1)</f>
        <v>489.90123000000006</v>
      </c>
      <c r="AH173" s="111">
        <f>Table1[[#This Row],[£Cost / SHEET]]*(1+AH$1)</f>
        <v>508.74358500000005</v>
      </c>
      <c r="AI173" s="111">
        <f>Table1[[#This Row],[£Cost / SHEET]]*(1+AI$1)</f>
        <v>527.58593999999994</v>
      </c>
      <c r="AJ173" s="111">
        <f>Table1[[#This Row],[£Cost / SHEET]]*(1+AJ$1)</f>
        <v>565.27065000000005</v>
      </c>
      <c r="AK173" s="222">
        <f>(Table1[[#This Row],[Qty 1]]*IF(Table1[[#This Row],[Dimension L1]]&lt;1,(Table1[[#This Row],[Length]]*Table1[[#This Row],[Width]]),(Table1[[#This Row],[Dimension L1]]*Table1[[#This Row],[Dimension W1]])))/1000000</f>
        <v>9</v>
      </c>
      <c r="AL173" s="121"/>
    </row>
    <row r="174" spans="2:38" ht="25.35" customHeight="1">
      <c r="B174" s="7" t="s">
        <v>24</v>
      </c>
      <c r="C174" s="7" t="str">
        <f t="shared" si="14"/>
        <v>PL_12_6600_2500</v>
      </c>
      <c r="D174" s="7" t="str">
        <f>_xlfn.CONCAT(Table1[[#This Row],[ProductRecord.AccountReference]]," @ ",Table1[[#This Row],[KG/M2]],$H$2)</f>
        <v>PL_12_6600_2500 @ 94.2Kg/m2</v>
      </c>
      <c r="E174" s="27">
        <v>6600</v>
      </c>
      <c r="F174" s="27">
        <v>2500</v>
      </c>
      <c r="G174" s="32">
        <v>12</v>
      </c>
      <c r="H174" s="109">
        <f>G174*[1]Density!$D$6/1000</f>
        <v>94.2</v>
      </c>
      <c r="I174" s="161">
        <f t="shared" si="13"/>
        <v>1554.3</v>
      </c>
      <c r="J174" s="164">
        <v>4000</v>
      </c>
      <c r="K174" s="165">
        <v>1400</v>
      </c>
      <c r="L174" s="165">
        <v>1</v>
      </c>
      <c r="M174" s="196" t="s">
        <v>306</v>
      </c>
      <c r="N174" s="164">
        <v>6080</v>
      </c>
      <c r="O174" s="202">
        <v>490</v>
      </c>
      <c r="P174" s="202">
        <v>1</v>
      </c>
      <c r="Q174" s="203" t="s">
        <v>239</v>
      </c>
      <c r="R174" s="201"/>
      <c r="S174" s="202"/>
      <c r="T174" s="202"/>
      <c r="U174" s="203"/>
      <c r="Z174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808.16064000000006</v>
      </c>
      <c r="AA174" s="17">
        <f t="shared" si="17"/>
        <v>556.82268096000007</v>
      </c>
      <c r="AB174" s="17"/>
      <c r="AC174" s="10">
        <f>AC189</f>
        <v>689</v>
      </c>
      <c r="AD174" s="10">
        <f>Table1[[#This Row],[£/Tonne]]/1000*Table1[[#This Row],[KG/M2]]</f>
        <v>64.903800000000004</v>
      </c>
      <c r="AE174" s="10">
        <f>Table1[[#This Row],[£/Tonne]]/1000*Table1[[#This Row],[Kg/ Sheet]]</f>
        <v>1070.9126999999999</v>
      </c>
      <c r="AF174" s="10"/>
      <c r="AG174" s="111">
        <f>Table1[[#This Row],[£Cost / SHEET]]*(1+AG$1)</f>
        <v>1392.1865099999998</v>
      </c>
      <c r="AH174" s="111">
        <f>Table1[[#This Row],[£Cost / SHEET]]*(1+AH$1)</f>
        <v>1445.7321449999999</v>
      </c>
      <c r="AI174" s="111">
        <f>Table1[[#This Row],[£Cost / SHEET]]*(1+AI$1)</f>
        <v>1499.2777799999997</v>
      </c>
      <c r="AJ174" s="111">
        <f>Table1[[#This Row],[£Cost / SHEET]]*(1+AJ$1)</f>
        <v>1606.3690499999998</v>
      </c>
      <c r="AK174" s="222">
        <f>(Table1[[#This Row],[Qty 1]]*IF(Table1[[#This Row],[Dimension L1]]&lt;1,(Table1[[#This Row],[Length]]*Table1[[#This Row],[Width]]),(Table1[[#This Row],[Dimension L1]]*Table1[[#This Row],[Dimension W1]])))/1000000</f>
        <v>5.6</v>
      </c>
      <c r="AL174" s="121"/>
    </row>
    <row r="175" spans="2:38" ht="25.35" customHeight="1">
      <c r="B175" s="7" t="s">
        <v>24</v>
      </c>
      <c r="C175" s="7" t="str">
        <f t="shared" si="14"/>
        <v>PL_12_7000_1300</v>
      </c>
      <c r="D175" s="7" t="str">
        <f>_xlfn.CONCAT(Table1[[#This Row],[ProductRecord.AccountReference]]," @ ",Table1[[#This Row],[KG/M2]],$H$2)</f>
        <v>PL_12_7000_1300 @ 94.2Kg/m2</v>
      </c>
      <c r="E175" s="27">
        <v>7000</v>
      </c>
      <c r="F175" s="27">
        <v>1300</v>
      </c>
      <c r="G175" s="32">
        <v>12</v>
      </c>
      <c r="H175" s="109">
        <f>G175*[1]Density!$D$6/1000</f>
        <v>94.2</v>
      </c>
      <c r="I175" s="161">
        <f t="shared" si="13"/>
        <v>857.22</v>
      </c>
      <c r="J175" s="164">
        <v>1500</v>
      </c>
      <c r="K175" s="165">
        <v>400</v>
      </c>
      <c r="L175" s="165">
        <v>1</v>
      </c>
      <c r="M175" s="196" t="s">
        <v>72</v>
      </c>
      <c r="N175" s="164">
        <v>8020</v>
      </c>
      <c r="O175" s="202">
        <v>440</v>
      </c>
      <c r="P175" s="202">
        <v>1</v>
      </c>
      <c r="Q175" s="203" t="s">
        <v>239</v>
      </c>
      <c r="R175" s="201">
        <v>9100</v>
      </c>
      <c r="S175" s="202">
        <v>390</v>
      </c>
      <c r="T175" s="202">
        <v>1</v>
      </c>
      <c r="U175" s="203"/>
      <c r="Z175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723.24875999999995</v>
      </c>
      <c r="AA175" s="17">
        <f t="shared" si="17"/>
        <v>498.31839563999995</v>
      </c>
      <c r="AB175" s="17"/>
      <c r="AC175" s="10">
        <f>AC189</f>
        <v>689</v>
      </c>
      <c r="AD175" s="10">
        <f>Table1[[#This Row],[£/Tonne]]/1000*Table1[[#This Row],[KG/M2]]</f>
        <v>64.903800000000004</v>
      </c>
      <c r="AE175" s="10">
        <f>Table1[[#This Row],[£/Tonne]]/1000*Table1[[#This Row],[Kg/ Sheet]]</f>
        <v>590.62457999999992</v>
      </c>
      <c r="AF175" s="10"/>
      <c r="AG175" s="111">
        <f>Table1[[#This Row],[£Cost / SHEET]]*(1+AG$1)</f>
        <v>767.8119539999999</v>
      </c>
      <c r="AH175" s="111">
        <f>Table1[[#This Row],[£Cost / SHEET]]*(1+AH$1)</f>
        <v>797.34318299999995</v>
      </c>
      <c r="AI175" s="111">
        <f>Table1[[#This Row],[£Cost / SHEET]]*(1+AI$1)</f>
        <v>826.87441199999989</v>
      </c>
      <c r="AJ175" s="111">
        <f>Table1[[#This Row],[£Cost / SHEET]]*(1+AJ$1)</f>
        <v>885.93686999999989</v>
      </c>
      <c r="AK175" s="222">
        <f>(Table1[[#This Row],[Qty 1]]*IF(Table1[[#This Row],[Dimension L1]]&lt;1,(Table1[[#This Row],[Length]]*Table1[[#This Row],[Width]]),(Table1[[#This Row],[Dimension L1]]*Table1[[#This Row],[Dimension W1]])))/1000000</f>
        <v>0.6</v>
      </c>
      <c r="AL175" s="121"/>
    </row>
    <row r="176" spans="2:38" ht="25.35" customHeight="1">
      <c r="B176" s="7" t="s">
        <v>24</v>
      </c>
      <c r="C176" s="7" t="str">
        <f t="shared" ref="C176:C189" si="18">_xlfn.CONCAT(B176,"_",G176,"_",E176,"_",F176,"")</f>
        <v>PL_12_1600_910</v>
      </c>
      <c r="D176" s="7" t="str">
        <f>_xlfn.CONCAT(Table1[[#This Row],[ProductRecord.AccountReference]]," @ ",Table1[[#This Row],[KG/M2]],$H$2)</f>
        <v>PL_12_1600_910 @ Kg/m2</v>
      </c>
      <c r="E176" s="27">
        <v>1600</v>
      </c>
      <c r="F176" s="27">
        <v>910</v>
      </c>
      <c r="G176" s="32">
        <v>12</v>
      </c>
      <c r="H176" s="109"/>
      <c r="I176" s="161"/>
      <c r="J176" s="164">
        <v>1600</v>
      </c>
      <c r="K176" s="165">
        <v>910</v>
      </c>
      <c r="L176" s="165">
        <v>1</v>
      </c>
      <c r="M176" s="196" t="s">
        <v>239</v>
      </c>
      <c r="N176" s="164"/>
      <c r="O176" s="202"/>
      <c r="P176" s="202"/>
      <c r="Q176" s="203"/>
      <c r="R176" s="201"/>
      <c r="S176" s="202"/>
      <c r="T176" s="202"/>
      <c r="U176" s="203"/>
      <c r="Z176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176" s="17">
        <f t="shared" si="17"/>
        <v>0</v>
      </c>
      <c r="AB176" s="17"/>
      <c r="AC176" s="10">
        <f>AC189</f>
        <v>689</v>
      </c>
      <c r="AD176" s="10">
        <f>Table1[[#This Row],[£/Tonne]]/1000*Table1[[#This Row],[KG/M2]]</f>
        <v>0</v>
      </c>
      <c r="AE176" s="10">
        <f>Table1[[#This Row],[£/Tonne]]/1000*Table1[[#This Row],[Kg/ Sheet]]</f>
        <v>0</v>
      </c>
      <c r="AF176" s="10"/>
      <c r="AG176" s="111">
        <f>Table1[[#This Row],[£Cost / SHEET]]*(1+AG$1)</f>
        <v>0</v>
      </c>
      <c r="AH176" s="111">
        <f>Table1[[#This Row],[£Cost / SHEET]]*(1+AH$1)</f>
        <v>0</v>
      </c>
      <c r="AI176" s="111">
        <f>Table1[[#This Row],[£Cost / SHEET]]*(1+AI$1)</f>
        <v>0</v>
      </c>
      <c r="AJ176" s="111">
        <f>Table1[[#This Row],[£Cost / SHEET]]*(1+AJ$1)</f>
        <v>0</v>
      </c>
      <c r="AK176" s="222">
        <f>(Table1[[#This Row],[Qty 1]]*IF(Table1[[#This Row],[Dimension L1]]&lt;1,(Table1[[#This Row],[Length]]*Table1[[#This Row],[Width]]),(Table1[[#This Row],[Dimension L1]]*Table1[[#This Row],[Dimension W1]])))/1000000</f>
        <v>1.456</v>
      </c>
      <c r="AL176" s="121"/>
    </row>
    <row r="177" spans="2:38" ht="25.35" customHeight="1">
      <c r="B177" s="7" t="s">
        <v>24</v>
      </c>
      <c r="C177" s="7" t="str">
        <f t="shared" si="18"/>
        <v>PL_12_1690_850</v>
      </c>
      <c r="D177" s="7" t="str">
        <f>_xlfn.CONCAT(Table1[[#This Row],[ProductRecord.AccountReference]]," @ ",Table1[[#This Row],[KG/M2]],$H$2)</f>
        <v>PL_12_1690_850 @ Kg/m2</v>
      </c>
      <c r="E177" s="27">
        <v>1690</v>
      </c>
      <c r="F177" s="27">
        <v>850</v>
      </c>
      <c r="G177" s="32">
        <v>12</v>
      </c>
      <c r="H177" s="109"/>
      <c r="I177" s="161"/>
      <c r="J177" s="164">
        <v>1690</v>
      </c>
      <c r="K177" s="165">
        <v>850</v>
      </c>
      <c r="L177" s="165">
        <v>1</v>
      </c>
      <c r="M177" s="196" t="s">
        <v>308</v>
      </c>
      <c r="N177" s="164"/>
      <c r="O177" s="202"/>
      <c r="P177" s="202"/>
      <c r="Q177" s="203"/>
      <c r="R177" s="201"/>
      <c r="S177" s="202"/>
      <c r="T177" s="202"/>
      <c r="U177" s="203"/>
      <c r="Z177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177" s="17">
        <f t="shared" si="17"/>
        <v>0</v>
      </c>
      <c r="AB177" s="17"/>
      <c r="AC177" s="10">
        <f>AC189</f>
        <v>689</v>
      </c>
      <c r="AD177" s="10">
        <f>Table1[[#This Row],[£/Tonne]]/1000*Table1[[#This Row],[KG/M2]]</f>
        <v>0</v>
      </c>
      <c r="AE177" s="10">
        <f>Table1[[#This Row],[£/Tonne]]/1000*Table1[[#This Row],[Kg/ Sheet]]</f>
        <v>0</v>
      </c>
      <c r="AF177" s="10"/>
      <c r="AG177" s="111">
        <f>Table1[[#This Row],[£Cost / SHEET]]*(1+AG$1)</f>
        <v>0</v>
      </c>
      <c r="AH177" s="111">
        <f>Table1[[#This Row],[£Cost / SHEET]]*(1+AH$1)</f>
        <v>0</v>
      </c>
      <c r="AI177" s="111">
        <f>Table1[[#This Row],[£Cost / SHEET]]*(1+AI$1)</f>
        <v>0</v>
      </c>
      <c r="AJ177" s="111">
        <f>Table1[[#This Row],[£Cost / SHEET]]*(1+AJ$1)</f>
        <v>0</v>
      </c>
      <c r="AK177" s="222">
        <f>(Table1[[#This Row],[Qty 1]]*IF(Table1[[#This Row],[Dimension L1]]&lt;1,(Table1[[#This Row],[Length]]*Table1[[#This Row],[Width]]),(Table1[[#This Row],[Dimension L1]]*Table1[[#This Row],[Dimension W1]])))/1000000</f>
        <v>1.4365000000000001</v>
      </c>
      <c r="AL177" s="121"/>
    </row>
    <row r="178" spans="2:38" ht="25.35" customHeight="1">
      <c r="B178" s="7" t="s">
        <v>24</v>
      </c>
      <c r="C178" s="7" t="str">
        <f t="shared" si="18"/>
        <v>PL_12_1790_700</v>
      </c>
      <c r="D178" s="7" t="str">
        <f>_xlfn.CONCAT(Table1[[#This Row],[ProductRecord.AccountReference]]," @ ",Table1[[#This Row],[KG/M2]],$H$2)</f>
        <v>PL_12_1790_700 @ Kg/m2</v>
      </c>
      <c r="E178" s="27">
        <v>1790</v>
      </c>
      <c r="F178" s="27">
        <v>700</v>
      </c>
      <c r="G178" s="32">
        <v>12</v>
      </c>
      <c r="H178" s="109"/>
      <c r="I178" s="161"/>
      <c r="J178" s="164">
        <v>1790</v>
      </c>
      <c r="K178" s="165">
        <v>700</v>
      </c>
      <c r="L178" s="165">
        <v>1</v>
      </c>
      <c r="M178" s="196" t="s">
        <v>308</v>
      </c>
      <c r="N178" s="164"/>
      <c r="O178" s="202"/>
      <c r="P178" s="202"/>
      <c r="Q178" s="203"/>
      <c r="R178" s="201"/>
      <c r="S178" s="202"/>
      <c r="T178" s="202"/>
      <c r="U178" s="203"/>
      <c r="Z178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178" s="17">
        <f t="shared" si="17"/>
        <v>0</v>
      </c>
      <c r="AB178" s="17"/>
      <c r="AC178" s="10">
        <f>AC189</f>
        <v>689</v>
      </c>
      <c r="AD178" s="10">
        <f>Table1[[#This Row],[£/Tonne]]/1000*Table1[[#This Row],[KG/M2]]</f>
        <v>0</v>
      </c>
      <c r="AE178" s="10">
        <f>Table1[[#This Row],[£/Tonne]]/1000*Table1[[#This Row],[Kg/ Sheet]]</f>
        <v>0</v>
      </c>
      <c r="AF178" s="10"/>
      <c r="AG178" s="111">
        <f>Table1[[#This Row],[£Cost / SHEET]]*(1+AG$1)</f>
        <v>0</v>
      </c>
      <c r="AH178" s="111">
        <f>Table1[[#This Row],[£Cost / SHEET]]*(1+AH$1)</f>
        <v>0</v>
      </c>
      <c r="AI178" s="111">
        <f>Table1[[#This Row],[£Cost / SHEET]]*(1+AI$1)</f>
        <v>0</v>
      </c>
      <c r="AJ178" s="111">
        <f>Table1[[#This Row],[£Cost / SHEET]]*(1+AJ$1)</f>
        <v>0</v>
      </c>
      <c r="AK178" s="222">
        <f>(Table1[[#This Row],[Qty 1]]*IF(Table1[[#This Row],[Dimension L1]]&lt;1,(Table1[[#This Row],[Length]]*Table1[[#This Row],[Width]]),(Table1[[#This Row],[Dimension L1]]*Table1[[#This Row],[Dimension W1]])))/1000000</f>
        <v>1.2529999999999999</v>
      </c>
      <c r="AL178" s="121"/>
    </row>
    <row r="179" spans="2:38" ht="25.35" customHeight="1">
      <c r="B179" s="7" t="s">
        <v>24</v>
      </c>
      <c r="C179" s="7" t="str">
        <f t="shared" si="18"/>
        <v>PL_12_2000_900</v>
      </c>
      <c r="D179" s="7" t="str">
        <f>_xlfn.CONCAT(Table1[[#This Row],[ProductRecord.AccountReference]]," @ ",Table1[[#This Row],[KG/M2]],$H$2)</f>
        <v>PL_12_2000_900 @ Kg/m2</v>
      </c>
      <c r="E179" s="27">
        <v>2000</v>
      </c>
      <c r="F179" s="27">
        <v>900</v>
      </c>
      <c r="G179" s="32">
        <v>12</v>
      </c>
      <c r="H179" s="109"/>
      <c r="I179" s="161"/>
      <c r="J179" s="164">
        <v>2000</v>
      </c>
      <c r="K179" s="165">
        <v>900</v>
      </c>
      <c r="L179" s="165">
        <v>1</v>
      </c>
      <c r="M179" s="196" t="s">
        <v>308</v>
      </c>
      <c r="N179" s="164"/>
      <c r="O179" s="202"/>
      <c r="P179" s="202"/>
      <c r="Q179" s="203"/>
      <c r="R179" s="201"/>
      <c r="S179" s="202"/>
      <c r="T179" s="202"/>
      <c r="U179" s="203"/>
      <c r="Z179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179" s="17">
        <f t="shared" si="17"/>
        <v>0</v>
      </c>
      <c r="AB179" s="17"/>
      <c r="AC179" s="10">
        <f>AC189</f>
        <v>689</v>
      </c>
      <c r="AD179" s="10">
        <f>Table1[[#This Row],[£/Tonne]]/1000*Table1[[#This Row],[KG/M2]]</f>
        <v>0</v>
      </c>
      <c r="AE179" s="10">
        <f>Table1[[#This Row],[£/Tonne]]/1000*Table1[[#This Row],[Kg/ Sheet]]</f>
        <v>0</v>
      </c>
      <c r="AF179" s="10"/>
      <c r="AG179" s="111">
        <f>Table1[[#This Row],[£Cost / SHEET]]*(1+AG$1)</f>
        <v>0</v>
      </c>
      <c r="AH179" s="111">
        <f>Table1[[#This Row],[£Cost / SHEET]]*(1+AH$1)</f>
        <v>0</v>
      </c>
      <c r="AI179" s="111">
        <f>Table1[[#This Row],[£Cost / SHEET]]*(1+AI$1)</f>
        <v>0</v>
      </c>
      <c r="AJ179" s="111">
        <f>Table1[[#This Row],[£Cost / SHEET]]*(1+AJ$1)</f>
        <v>0</v>
      </c>
      <c r="AK179" s="222">
        <f>(Table1[[#This Row],[Qty 1]]*IF(Table1[[#This Row],[Dimension L1]]&lt;1,(Table1[[#This Row],[Length]]*Table1[[#This Row],[Width]]),(Table1[[#This Row],[Dimension L1]]*Table1[[#This Row],[Dimension W1]])))/1000000</f>
        <v>1.8</v>
      </c>
      <c r="AL179" s="121"/>
    </row>
    <row r="180" spans="2:38" ht="25.35" customHeight="1">
      <c r="B180" s="7" t="s">
        <v>24</v>
      </c>
      <c r="C180" s="7" t="str">
        <f t="shared" si="18"/>
        <v>PL_12_2000_1040</v>
      </c>
      <c r="D180" s="7" t="str">
        <f>_xlfn.CONCAT(Table1[[#This Row],[ProductRecord.AccountReference]]," @ ",Table1[[#This Row],[KG/M2]],$H$2)</f>
        <v>PL_12_2000_1040 @ Kg/m2</v>
      </c>
      <c r="E180" s="27">
        <v>2000</v>
      </c>
      <c r="F180" s="27">
        <v>1040</v>
      </c>
      <c r="G180" s="32">
        <v>12</v>
      </c>
      <c r="H180" s="109"/>
      <c r="I180" s="161"/>
      <c r="J180" s="164">
        <v>2000</v>
      </c>
      <c r="K180" s="165">
        <v>1040</v>
      </c>
      <c r="L180" s="165">
        <v>1</v>
      </c>
      <c r="M180" s="196" t="s">
        <v>308</v>
      </c>
      <c r="N180" s="164"/>
      <c r="O180" s="202"/>
      <c r="P180" s="202"/>
      <c r="Q180" s="203"/>
      <c r="R180" s="201"/>
      <c r="S180" s="202"/>
      <c r="T180" s="202"/>
      <c r="U180" s="203"/>
      <c r="Z180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180" s="17">
        <f t="shared" si="17"/>
        <v>0</v>
      </c>
      <c r="AB180" s="17"/>
      <c r="AC180" s="10">
        <f>AC189</f>
        <v>689</v>
      </c>
      <c r="AD180" s="10">
        <f>Table1[[#This Row],[£/Tonne]]/1000*Table1[[#This Row],[KG/M2]]</f>
        <v>0</v>
      </c>
      <c r="AE180" s="10">
        <f>Table1[[#This Row],[£/Tonne]]/1000*Table1[[#This Row],[Kg/ Sheet]]</f>
        <v>0</v>
      </c>
      <c r="AF180" s="10"/>
      <c r="AG180" s="111">
        <f>Table1[[#This Row],[£Cost / SHEET]]*(1+AG$1)</f>
        <v>0</v>
      </c>
      <c r="AH180" s="111">
        <f>Table1[[#This Row],[£Cost / SHEET]]*(1+AH$1)</f>
        <v>0</v>
      </c>
      <c r="AI180" s="111">
        <f>Table1[[#This Row],[£Cost / SHEET]]*(1+AI$1)</f>
        <v>0</v>
      </c>
      <c r="AJ180" s="111">
        <f>Table1[[#This Row],[£Cost / SHEET]]*(1+AJ$1)</f>
        <v>0</v>
      </c>
      <c r="AK180" s="222">
        <f>(Table1[[#This Row],[Qty 1]]*IF(Table1[[#This Row],[Dimension L1]]&lt;1,(Table1[[#This Row],[Length]]*Table1[[#This Row],[Width]]),(Table1[[#This Row],[Dimension L1]]*Table1[[#This Row],[Dimension W1]])))/1000000</f>
        <v>2.08</v>
      </c>
      <c r="AL180" s="121"/>
    </row>
    <row r="181" spans="2:38" ht="25.35" customHeight="1">
      <c r="B181" s="7" t="s">
        <v>24</v>
      </c>
      <c r="C181" s="7" t="str">
        <f t="shared" si="18"/>
        <v>PL_12_2500_1670</v>
      </c>
      <c r="D181" s="7" t="str">
        <f>_xlfn.CONCAT(Table1[[#This Row],[ProductRecord.AccountReference]]," @ ",Table1[[#This Row],[KG/M2]],$H$2)</f>
        <v>PL_12_2500_1670 @ Kg/m2</v>
      </c>
      <c r="E181" s="27">
        <v>2500</v>
      </c>
      <c r="F181" s="27">
        <v>1670</v>
      </c>
      <c r="G181" s="32">
        <v>12</v>
      </c>
      <c r="H181" s="109"/>
      <c r="I181" s="161"/>
      <c r="J181" s="164">
        <v>2500</v>
      </c>
      <c r="K181" s="165">
        <v>1670</v>
      </c>
      <c r="L181" s="165">
        <v>1</v>
      </c>
      <c r="M181" s="196" t="s">
        <v>308</v>
      </c>
      <c r="N181" s="164"/>
      <c r="O181" s="202"/>
      <c r="P181" s="202"/>
      <c r="Q181" s="203"/>
      <c r="R181" s="201"/>
      <c r="S181" s="202"/>
      <c r="T181" s="202"/>
      <c r="U181" s="203"/>
      <c r="Z181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181" s="17">
        <f t="shared" si="17"/>
        <v>0</v>
      </c>
      <c r="AB181" s="17"/>
      <c r="AC181" s="10">
        <f>AC189</f>
        <v>689</v>
      </c>
      <c r="AD181" s="10">
        <f>Table1[[#This Row],[£/Tonne]]/1000*Table1[[#This Row],[KG/M2]]</f>
        <v>0</v>
      </c>
      <c r="AE181" s="10">
        <f>Table1[[#This Row],[£/Tonne]]/1000*Table1[[#This Row],[Kg/ Sheet]]</f>
        <v>0</v>
      </c>
      <c r="AF181" s="10"/>
      <c r="AG181" s="111">
        <f>Table1[[#This Row],[£Cost / SHEET]]*(1+AG$1)</f>
        <v>0</v>
      </c>
      <c r="AH181" s="111">
        <f>Table1[[#This Row],[£Cost / SHEET]]*(1+AH$1)</f>
        <v>0</v>
      </c>
      <c r="AI181" s="111">
        <f>Table1[[#This Row],[£Cost / SHEET]]*(1+AI$1)</f>
        <v>0</v>
      </c>
      <c r="AJ181" s="111">
        <f>Table1[[#This Row],[£Cost / SHEET]]*(1+AJ$1)</f>
        <v>0</v>
      </c>
      <c r="AK181" s="222">
        <f>(Table1[[#This Row],[Qty 1]]*IF(Table1[[#This Row],[Dimension L1]]&lt;1,(Table1[[#This Row],[Length]]*Table1[[#This Row],[Width]]),(Table1[[#This Row],[Dimension L1]]*Table1[[#This Row],[Dimension W1]])))/1000000</f>
        <v>4.1749999999999998</v>
      </c>
      <c r="AL181" s="121"/>
    </row>
    <row r="182" spans="2:38" ht="25.35" customHeight="1">
      <c r="B182" s="7" t="s">
        <v>24</v>
      </c>
      <c r="C182" s="7" t="str">
        <f t="shared" si="18"/>
        <v>PL_12_2600_1000</v>
      </c>
      <c r="D182" s="7" t="str">
        <f>_xlfn.CONCAT(Table1[[#This Row],[ProductRecord.AccountReference]]," @ ",Table1[[#This Row],[KG/M2]],$H$2)</f>
        <v>PL_12_2600_1000 @ Kg/m2</v>
      </c>
      <c r="E182" s="27">
        <v>2600</v>
      </c>
      <c r="F182" s="27">
        <v>1000</v>
      </c>
      <c r="G182" s="32">
        <v>12</v>
      </c>
      <c r="H182" s="109"/>
      <c r="I182" s="161"/>
      <c r="J182" s="164">
        <v>2600</v>
      </c>
      <c r="K182" s="165">
        <v>1000</v>
      </c>
      <c r="L182" s="165">
        <v>1</v>
      </c>
      <c r="M182" s="196" t="s">
        <v>308</v>
      </c>
      <c r="N182" s="164"/>
      <c r="O182" s="202"/>
      <c r="P182" s="202"/>
      <c r="Q182" s="203"/>
      <c r="R182" s="201"/>
      <c r="S182" s="202"/>
      <c r="T182" s="202"/>
      <c r="U182" s="203"/>
      <c r="Z182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182" s="17">
        <f t="shared" si="17"/>
        <v>0</v>
      </c>
      <c r="AB182" s="17"/>
      <c r="AC182" s="10">
        <f>AC189</f>
        <v>689</v>
      </c>
      <c r="AD182" s="10">
        <f>Table1[[#This Row],[£/Tonne]]/1000*Table1[[#This Row],[KG/M2]]</f>
        <v>0</v>
      </c>
      <c r="AE182" s="10">
        <f>Table1[[#This Row],[£/Tonne]]/1000*Table1[[#This Row],[Kg/ Sheet]]</f>
        <v>0</v>
      </c>
      <c r="AF182" s="10"/>
      <c r="AG182" s="111">
        <f>Table1[[#This Row],[£Cost / SHEET]]*(1+AG$1)</f>
        <v>0</v>
      </c>
      <c r="AH182" s="111">
        <f>Table1[[#This Row],[£Cost / SHEET]]*(1+AH$1)</f>
        <v>0</v>
      </c>
      <c r="AI182" s="111">
        <f>Table1[[#This Row],[£Cost / SHEET]]*(1+AI$1)</f>
        <v>0</v>
      </c>
      <c r="AJ182" s="111">
        <f>Table1[[#This Row],[£Cost / SHEET]]*(1+AJ$1)</f>
        <v>0</v>
      </c>
      <c r="AK182" s="222">
        <f>(Table1[[#This Row],[Qty 1]]*IF(Table1[[#This Row],[Dimension L1]]&lt;1,(Table1[[#This Row],[Length]]*Table1[[#This Row],[Width]]),(Table1[[#This Row],[Dimension L1]]*Table1[[#This Row],[Dimension W1]])))/1000000</f>
        <v>2.6</v>
      </c>
      <c r="AL182" s="121"/>
    </row>
    <row r="183" spans="2:38" ht="25.35" customHeight="1">
      <c r="B183" s="7" t="s">
        <v>24</v>
      </c>
      <c r="C183" s="7" t="str">
        <f t="shared" si="18"/>
        <v>PL_12_3640_1000</v>
      </c>
      <c r="D183" s="7" t="str">
        <f>_xlfn.CONCAT(Table1[[#This Row],[ProductRecord.AccountReference]]," @ ",Table1[[#This Row],[KG/M2]],$H$2)</f>
        <v>PL_12_3640_1000 @ Kg/m2</v>
      </c>
      <c r="E183" s="27">
        <v>3640</v>
      </c>
      <c r="F183" s="27">
        <v>1000</v>
      </c>
      <c r="G183" s="32">
        <v>12</v>
      </c>
      <c r="H183" s="109"/>
      <c r="I183" s="161"/>
      <c r="J183" s="164">
        <v>3640</v>
      </c>
      <c r="K183" s="165">
        <v>1000</v>
      </c>
      <c r="L183" s="165">
        <v>1</v>
      </c>
      <c r="M183" s="196" t="s">
        <v>239</v>
      </c>
      <c r="N183" s="164"/>
      <c r="O183" s="202"/>
      <c r="P183" s="202"/>
      <c r="Q183" s="203"/>
      <c r="R183" s="201"/>
      <c r="S183" s="202"/>
      <c r="T183" s="202"/>
      <c r="U183" s="203"/>
      <c r="Z183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183" s="17">
        <f t="shared" si="17"/>
        <v>0</v>
      </c>
      <c r="AB183" s="17"/>
      <c r="AC183" s="10">
        <f>AC189</f>
        <v>689</v>
      </c>
      <c r="AD183" s="10">
        <f>Table1[[#This Row],[£/Tonne]]/1000*Table1[[#This Row],[KG/M2]]</f>
        <v>0</v>
      </c>
      <c r="AE183" s="10">
        <f>Table1[[#This Row],[£/Tonne]]/1000*Table1[[#This Row],[Kg/ Sheet]]</f>
        <v>0</v>
      </c>
      <c r="AF183" s="10"/>
      <c r="AG183" s="111">
        <f>Table1[[#This Row],[£Cost / SHEET]]*(1+AG$1)</f>
        <v>0</v>
      </c>
      <c r="AH183" s="111">
        <f>Table1[[#This Row],[£Cost / SHEET]]*(1+AH$1)</f>
        <v>0</v>
      </c>
      <c r="AI183" s="111">
        <f>Table1[[#This Row],[£Cost / SHEET]]*(1+AI$1)</f>
        <v>0</v>
      </c>
      <c r="AJ183" s="111">
        <f>Table1[[#This Row],[£Cost / SHEET]]*(1+AJ$1)</f>
        <v>0</v>
      </c>
      <c r="AK183" s="222">
        <f>(Table1[[#This Row],[Qty 1]]*IF(Table1[[#This Row],[Dimension L1]]&lt;1,(Table1[[#This Row],[Length]]*Table1[[#This Row],[Width]]),(Table1[[#This Row],[Dimension L1]]*Table1[[#This Row],[Dimension W1]])))/1000000</f>
        <v>3.64</v>
      </c>
      <c r="AL183" s="121"/>
    </row>
    <row r="184" spans="2:38" ht="25.35" customHeight="1">
      <c r="B184" s="7" t="s">
        <v>24</v>
      </c>
      <c r="C184" s="7" t="str">
        <f t="shared" si="18"/>
        <v>PL_12_4410_695</v>
      </c>
      <c r="D184" s="7" t="str">
        <f>_xlfn.CONCAT(Table1[[#This Row],[ProductRecord.AccountReference]]," @ ",Table1[[#This Row],[KG/M2]],$H$2)</f>
        <v>PL_12_4410_695 @ Kg/m2</v>
      </c>
      <c r="E184" s="27">
        <v>4410</v>
      </c>
      <c r="F184" s="27">
        <v>695</v>
      </c>
      <c r="G184" s="32">
        <v>12</v>
      </c>
      <c r="H184" s="109"/>
      <c r="I184" s="161"/>
      <c r="J184" s="164">
        <v>4410</v>
      </c>
      <c r="K184" s="165">
        <v>695</v>
      </c>
      <c r="L184" s="165">
        <v>1</v>
      </c>
      <c r="M184" s="196" t="s">
        <v>308</v>
      </c>
      <c r="N184" s="164"/>
      <c r="O184" s="202"/>
      <c r="P184" s="202"/>
      <c r="Q184" s="203"/>
      <c r="R184" s="201"/>
      <c r="S184" s="202"/>
      <c r="T184" s="202"/>
      <c r="U184" s="203"/>
      <c r="Z184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184" s="17">
        <f t="shared" si="17"/>
        <v>0</v>
      </c>
      <c r="AB184" s="17"/>
      <c r="AC184" s="10">
        <f>AC189</f>
        <v>689</v>
      </c>
      <c r="AD184" s="10">
        <f>Table1[[#This Row],[£/Tonne]]/1000*Table1[[#This Row],[KG/M2]]</f>
        <v>0</v>
      </c>
      <c r="AE184" s="10">
        <f>Table1[[#This Row],[£/Tonne]]/1000*Table1[[#This Row],[Kg/ Sheet]]</f>
        <v>0</v>
      </c>
      <c r="AF184" s="10"/>
      <c r="AG184" s="111">
        <f>Table1[[#This Row],[£Cost / SHEET]]*(1+AG$1)</f>
        <v>0</v>
      </c>
      <c r="AH184" s="111">
        <f>Table1[[#This Row],[£Cost / SHEET]]*(1+AH$1)</f>
        <v>0</v>
      </c>
      <c r="AI184" s="111">
        <f>Table1[[#This Row],[£Cost / SHEET]]*(1+AI$1)</f>
        <v>0</v>
      </c>
      <c r="AJ184" s="111">
        <f>Table1[[#This Row],[£Cost / SHEET]]*(1+AJ$1)</f>
        <v>0</v>
      </c>
      <c r="AK184" s="222">
        <f>(Table1[[#This Row],[Qty 1]]*IF(Table1[[#This Row],[Dimension L1]]&lt;1,(Table1[[#This Row],[Length]]*Table1[[#This Row],[Width]]),(Table1[[#This Row],[Dimension L1]]*Table1[[#This Row],[Dimension W1]])))/1000000</f>
        <v>3.0649500000000001</v>
      </c>
      <c r="AL184" s="121"/>
    </row>
    <row r="185" spans="2:38" ht="25.35" customHeight="1">
      <c r="B185" s="7" t="s">
        <v>24</v>
      </c>
      <c r="C185" s="7" t="str">
        <f t="shared" si="18"/>
        <v>PL_12_4620_420</v>
      </c>
      <c r="D185" s="7" t="str">
        <f>_xlfn.CONCAT(Table1[[#This Row],[ProductRecord.AccountReference]]," @ ",Table1[[#This Row],[KG/M2]],$H$2)</f>
        <v>PL_12_4620_420 @ Kg/m2</v>
      </c>
      <c r="E185" s="27">
        <v>4620</v>
      </c>
      <c r="F185" s="27">
        <v>420</v>
      </c>
      <c r="G185" s="32">
        <v>12</v>
      </c>
      <c r="H185" s="109"/>
      <c r="I185" s="161"/>
      <c r="J185" s="164">
        <v>4620</v>
      </c>
      <c r="K185" s="165">
        <v>420</v>
      </c>
      <c r="L185" s="165">
        <v>1</v>
      </c>
      <c r="M185" s="196" t="s">
        <v>308</v>
      </c>
      <c r="N185" s="164"/>
      <c r="O185" s="202"/>
      <c r="P185" s="202"/>
      <c r="Q185" s="203"/>
      <c r="R185" s="201"/>
      <c r="S185" s="202"/>
      <c r="T185" s="202"/>
      <c r="U185" s="203"/>
      <c r="Z185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185" s="17">
        <f t="shared" si="17"/>
        <v>0</v>
      </c>
      <c r="AB185" s="17"/>
      <c r="AC185" s="10">
        <f>AC189</f>
        <v>689</v>
      </c>
      <c r="AD185" s="10">
        <f>Table1[[#This Row],[£/Tonne]]/1000*Table1[[#This Row],[KG/M2]]</f>
        <v>0</v>
      </c>
      <c r="AE185" s="10">
        <f>Table1[[#This Row],[£/Tonne]]/1000*Table1[[#This Row],[Kg/ Sheet]]</f>
        <v>0</v>
      </c>
      <c r="AF185" s="10"/>
      <c r="AG185" s="111">
        <f>Table1[[#This Row],[£Cost / SHEET]]*(1+AG$1)</f>
        <v>0</v>
      </c>
      <c r="AH185" s="111">
        <f>Table1[[#This Row],[£Cost / SHEET]]*(1+AH$1)</f>
        <v>0</v>
      </c>
      <c r="AI185" s="111">
        <f>Table1[[#This Row],[£Cost / SHEET]]*(1+AI$1)</f>
        <v>0</v>
      </c>
      <c r="AJ185" s="111">
        <f>Table1[[#This Row],[£Cost / SHEET]]*(1+AJ$1)</f>
        <v>0</v>
      </c>
      <c r="AK185" s="222">
        <f>(Table1[[#This Row],[Qty 1]]*IF(Table1[[#This Row],[Dimension L1]]&lt;1,(Table1[[#This Row],[Length]]*Table1[[#This Row],[Width]]),(Table1[[#This Row],[Dimension L1]]*Table1[[#This Row],[Dimension W1]])))/1000000</f>
        <v>1.9403999999999999</v>
      </c>
      <c r="AL185" s="121"/>
    </row>
    <row r="186" spans="2:38" ht="25.35" customHeight="1">
      <c r="B186" s="7" t="s">
        <v>24</v>
      </c>
      <c r="C186" s="7" t="str">
        <f t="shared" si="18"/>
        <v>PL_12_5000_2100</v>
      </c>
      <c r="D186" s="7" t="str">
        <f>_xlfn.CONCAT(Table1[[#This Row],[ProductRecord.AccountReference]]," @ ",Table1[[#This Row],[KG/M2]],$H$2)</f>
        <v>PL_12_5000_2100 @ Kg/m2</v>
      </c>
      <c r="E186" s="27">
        <v>5000</v>
      </c>
      <c r="F186" s="27">
        <v>2100</v>
      </c>
      <c r="G186" s="32">
        <v>12</v>
      </c>
      <c r="H186" s="109"/>
      <c r="I186" s="161"/>
      <c r="J186" s="164">
        <v>5000</v>
      </c>
      <c r="K186" s="165">
        <v>2100</v>
      </c>
      <c r="L186" s="165">
        <v>1</v>
      </c>
      <c r="M186" s="196" t="s">
        <v>308</v>
      </c>
      <c r="N186" s="164"/>
      <c r="O186" s="202"/>
      <c r="P186" s="202"/>
      <c r="Q186" s="203"/>
      <c r="R186" s="201"/>
      <c r="S186" s="202"/>
      <c r="T186" s="202"/>
      <c r="U186" s="203"/>
      <c r="Z186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186" s="17">
        <f t="shared" si="17"/>
        <v>0</v>
      </c>
      <c r="AB186" s="17"/>
      <c r="AC186" s="10">
        <f>AC189</f>
        <v>689</v>
      </c>
      <c r="AD186" s="10">
        <f>Table1[[#This Row],[£/Tonne]]/1000*Table1[[#This Row],[KG/M2]]</f>
        <v>0</v>
      </c>
      <c r="AE186" s="10">
        <f>Table1[[#This Row],[£/Tonne]]/1000*Table1[[#This Row],[Kg/ Sheet]]</f>
        <v>0</v>
      </c>
      <c r="AF186" s="10"/>
      <c r="AG186" s="111">
        <f>Table1[[#This Row],[£Cost / SHEET]]*(1+AG$1)</f>
        <v>0</v>
      </c>
      <c r="AH186" s="111">
        <f>Table1[[#This Row],[£Cost / SHEET]]*(1+AH$1)</f>
        <v>0</v>
      </c>
      <c r="AI186" s="111">
        <f>Table1[[#This Row],[£Cost / SHEET]]*(1+AI$1)</f>
        <v>0</v>
      </c>
      <c r="AJ186" s="111">
        <f>Table1[[#This Row],[£Cost / SHEET]]*(1+AJ$1)</f>
        <v>0</v>
      </c>
      <c r="AK186" s="222">
        <f>(Table1[[#This Row],[Qty 1]]*IF(Table1[[#This Row],[Dimension L1]]&lt;1,(Table1[[#This Row],[Length]]*Table1[[#This Row],[Width]]),(Table1[[#This Row],[Dimension L1]]*Table1[[#This Row],[Dimension W1]])))/1000000</f>
        <v>10.5</v>
      </c>
      <c r="AL186" s="121"/>
    </row>
    <row r="187" spans="2:38" ht="25.35" customHeight="1">
      <c r="B187" s="7" t="s">
        <v>24</v>
      </c>
      <c r="C187" s="7" t="str">
        <f t="shared" si="18"/>
        <v>PL_12_6000_2500</v>
      </c>
      <c r="D187" s="7" t="str">
        <f>_xlfn.CONCAT(Table1[[#This Row],[ProductRecord.AccountReference]]," @ ",Table1[[#This Row],[KG/M2]],$H$2)</f>
        <v>PL_12_6000_2500 @ Kg/m2</v>
      </c>
      <c r="E187" s="27">
        <v>6000</v>
      </c>
      <c r="F187" s="27">
        <v>2500</v>
      </c>
      <c r="G187" s="32">
        <v>12</v>
      </c>
      <c r="H187" s="109"/>
      <c r="I187" s="161"/>
      <c r="J187" s="164">
        <v>6000</v>
      </c>
      <c r="K187" s="165">
        <v>2500</v>
      </c>
      <c r="L187" s="165">
        <v>1</v>
      </c>
      <c r="M187" s="196" t="s">
        <v>308</v>
      </c>
      <c r="N187" s="164"/>
      <c r="O187" s="202"/>
      <c r="P187" s="202"/>
      <c r="Q187" s="203"/>
      <c r="R187" s="201"/>
      <c r="S187" s="202"/>
      <c r="T187" s="202"/>
      <c r="U187" s="203"/>
      <c r="Z187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187" s="17">
        <f t="shared" si="17"/>
        <v>0</v>
      </c>
      <c r="AB187" s="17"/>
      <c r="AC187" s="10">
        <f>AC189</f>
        <v>689</v>
      </c>
      <c r="AD187" s="10">
        <f>Table1[[#This Row],[£/Tonne]]/1000*Table1[[#This Row],[KG/M2]]</f>
        <v>0</v>
      </c>
      <c r="AE187" s="10">
        <f>Table1[[#This Row],[£/Tonne]]/1000*Table1[[#This Row],[Kg/ Sheet]]</f>
        <v>0</v>
      </c>
      <c r="AF187" s="10"/>
      <c r="AG187" s="111">
        <f>Table1[[#This Row],[£Cost / SHEET]]*(1+AG$1)</f>
        <v>0</v>
      </c>
      <c r="AH187" s="111">
        <f>Table1[[#This Row],[£Cost / SHEET]]*(1+AH$1)</f>
        <v>0</v>
      </c>
      <c r="AI187" s="111">
        <f>Table1[[#This Row],[£Cost / SHEET]]*(1+AI$1)</f>
        <v>0</v>
      </c>
      <c r="AJ187" s="111">
        <f>Table1[[#This Row],[£Cost / SHEET]]*(1+AJ$1)</f>
        <v>0</v>
      </c>
      <c r="AK187" s="222">
        <f>(Table1[[#This Row],[Qty 1]]*IF(Table1[[#This Row],[Dimension L1]]&lt;1,(Table1[[#This Row],[Length]]*Table1[[#This Row],[Width]]),(Table1[[#This Row],[Dimension L1]]*Table1[[#This Row],[Dimension W1]])))/1000000</f>
        <v>15</v>
      </c>
      <c r="AL187" s="121"/>
    </row>
    <row r="188" spans="2:38" ht="25.35" customHeight="1">
      <c r="B188" s="7" t="s">
        <v>24</v>
      </c>
      <c r="C188" s="7" t="str">
        <f t="shared" si="18"/>
        <v>PL_12_7000_490</v>
      </c>
      <c r="D188" s="7" t="str">
        <f>_xlfn.CONCAT(Table1[[#This Row],[ProductRecord.AccountReference]]," @ ",Table1[[#This Row],[KG/M2]],$H$2)</f>
        <v>PL_12_7000_490 @ Kg/m2</v>
      </c>
      <c r="E188" s="27">
        <v>7000</v>
      </c>
      <c r="F188" s="27">
        <v>490</v>
      </c>
      <c r="G188" s="32">
        <v>12</v>
      </c>
      <c r="H188" s="109"/>
      <c r="I188" s="161"/>
      <c r="J188" s="164">
        <v>7000</v>
      </c>
      <c r="K188" s="165">
        <v>490</v>
      </c>
      <c r="L188" s="165">
        <v>1</v>
      </c>
      <c r="M188" s="196" t="s">
        <v>308</v>
      </c>
      <c r="N188" s="164"/>
      <c r="O188" s="202"/>
      <c r="P188" s="202"/>
      <c r="Q188" s="203"/>
      <c r="R188" s="201"/>
      <c r="S188" s="202"/>
      <c r="T188" s="202"/>
      <c r="U188" s="203"/>
      <c r="Z188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188" s="17">
        <f t="shared" si="17"/>
        <v>0</v>
      </c>
      <c r="AB188" s="17"/>
      <c r="AC188" s="10">
        <f>AC189</f>
        <v>689</v>
      </c>
      <c r="AD188" s="10">
        <f>Table1[[#This Row],[£/Tonne]]/1000*Table1[[#This Row],[KG/M2]]</f>
        <v>0</v>
      </c>
      <c r="AE188" s="10">
        <f>Table1[[#This Row],[£/Tonne]]/1000*Table1[[#This Row],[Kg/ Sheet]]</f>
        <v>0</v>
      </c>
      <c r="AF188" s="10"/>
      <c r="AG188" s="111">
        <f>Table1[[#This Row],[£Cost / SHEET]]*(1+AG$1)</f>
        <v>0</v>
      </c>
      <c r="AH188" s="111">
        <f>Table1[[#This Row],[£Cost / SHEET]]*(1+AH$1)</f>
        <v>0</v>
      </c>
      <c r="AI188" s="111">
        <f>Table1[[#This Row],[£Cost / SHEET]]*(1+AI$1)</f>
        <v>0</v>
      </c>
      <c r="AJ188" s="111">
        <f>Table1[[#This Row],[£Cost / SHEET]]*(1+AJ$1)</f>
        <v>0</v>
      </c>
      <c r="AK188" s="222">
        <f>(Table1[[#This Row],[Qty 1]]*IF(Table1[[#This Row],[Dimension L1]]&lt;1,(Table1[[#This Row],[Length]]*Table1[[#This Row],[Width]]),(Table1[[#This Row],[Dimension L1]]*Table1[[#This Row],[Dimension W1]])))/1000000</f>
        <v>3.43</v>
      </c>
      <c r="AL188" s="121"/>
    </row>
    <row r="189" spans="2:38" ht="25.35" customHeight="1">
      <c r="B189" s="7" t="s">
        <v>24</v>
      </c>
      <c r="C189" s="7" t="str">
        <f t="shared" si="18"/>
        <v>PL_12_7000_2000</v>
      </c>
      <c r="D189" s="7" t="str">
        <f>_xlfn.CONCAT(Table1[[#This Row],[ProductRecord.AccountReference]]," @ ",Table1[[#This Row],[KG/M2]],$H$2)</f>
        <v>PL_12_7000_2000 @ Kg/m2</v>
      </c>
      <c r="E189" s="27">
        <v>7000</v>
      </c>
      <c r="F189" s="27">
        <v>2000</v>
      </c>
      <c r="G189" s="32">
        <v>12</v>
      </c>
      <c r="H189" s="109"/>
      <c r="I189" s="161"/>
      <c r="J189" s="164">
        <v>7000</v>
      </c>
      <c r="K189" s="165">
        <v>2000</v>
      </c>
      <c r="L189" s="165">
        <v>1</v>
      </c>
      <c r="M189" s="196" t="s">
        <v>239</v>
      </c>
      <c r="N189" s="164"/>
      <c r="O189" s="202"/>
      <c r="P189" s="202"/>
      <c r="Q189" s="203"/>
      <c r="R189" s="201"/>
      <c r="S189" s="202"/>
      <c r="T189" s="202"/>
      <c r="U189" s="203"/>
      <c r="Z189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189" s="17">
        <f t="shared" si="17"/>
        <v>0</v>
      </c>
      <c r="AB189" s="17"/>
      <c r="AC189" s="218">
        <v>689</v>
      </c>
      <c r="AD189" s="10">
        <f>Table1[[#This Row],[£/Tonne]]/1000*Table1[[#This Row],[KG/M2]]</f>
        <v>0</v>
      </c>
      <c r="AE189" s="10">
        <f>Table1[[#This Row],[£/Tonne]]/1000*Table1[[#This Row],[Kg/ Sheet]]</f>
        <v>0</v>
      </c>
      <c r="AF189" s="10"/>
      <c r="AG189" s="111">
        <f>Table1[[#This Row],[£Cost / SHEET]]*(1+AG$1)</f>
        <v>0</v>
      </c>
      <c r="AH189" s="111">
        <f>Table1[[#This Row],[£Cost / SHEET]]*(1+AH$1)</f>
        <v>0</v>
      </c>
      <c r="AI189" s="111">
        <f>Table1[[#This Row],[£Cost / SHEET]]*(1+AI$1)</f>
        <v>0</v>
      </c>
      <c r="AJ189" s="111">
        <f>Table1[[#This Row],[£Cost / SHEET]]*(1+AJ$1)</f>
        <v>0</v>
      </c>
      <c r="AK189" s="222">
        <f>(Table1[[#This Row],[Qty 1]]*IF(Table1[[#This Row],[Dimension L1]]&lt;1,(Table1[[#This Row],[Length]]*Table1[[#This Row],[Width]]),(Table1[[#This Row],[Dimension L1]]*Table1[[#This Row],[Dimension W1]])))/1000000</f>
        <v>14</v>
      </c>
      <c r="AL189" s="121"/>
    </row>
    <row r="190" spans="2:38" ht="25.35" customHeight="1">
      <c r="H190" s="109"/>
      <c r="I190" s="161"/>
      <c r="J190" s="164"/>
      <c r="K190" s="165"/>
      <c r="L190" s="165"/>
      <c r="M190" s="196"/>
      <c r="N190" s="164"/>
      <c r="O190" s="202"/>
      <c r="P190" s="202"/>
      <c r="Q190" s="203"/>
      <c r="R190" s="201"/>
      <c r="S190" s="202"/>
      <c r="T190" s="202"/>
      <c r="U190" s="203"/>
      <c r="Z190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190" s="17">
        <f t="shared" si="17"/>
        <v>0</v>
      </c>
      <c r="AB190" s="17"/>
      <c r="AC190" s="10"/>
      <c r="AD190" s="10">
        <f>Table1[[#This Row],[£/Tonne]]/1000*Table1[[#This Row],[KG/M2]]</f>
        <v>0</v>
      </c>
      <c r="AE190" s="10">
        <f>Table1[[#This Row],[£/Tonne]]/1000*Table1[[#This Row],[Kg/ Sheet]]</f>
        <v>0</v>
      </c>
      <c r="AF190" s="10"/>
      <c r="AG190" s="111">
        <f>Table1[[#This Row],[£Cost / SHEET]]*(1+AG$1)</f>
        <v>0</v>
      </c>
      <c r="AH190" s="111">
        <f>Table1[[#This Row],[£Cost / SHEET]]*(1+AH$1)</f>
        <v>0</v>
      </c>
      <c r="AI190" s="111">
        <f>Table1[[#This Row],[£Cost / SHEET]]*(1+AI$1)</f>
        <v>0</v>
      </c>
      <c r="AJ190" s="111">
        <f>Table1[[#This Row],[£Cost / SHEET]]*(1+AJ$1)</f>
        <v>0</v>
      </c>
      <c r="AK190" s="222">
        <f>(Table1[[#This Row],[Qty 1]]*IF(Table1[[#This Row],[Dimension L1]]&lt;1,(Table1[[#This Row],[Length]]*Table1[[#This Row],[Width]]),(Table1[[#This Row],[Dimension L1]]*Table1[[#This Row],[Dimension W1]])))/1000000</f>
        <v>0</v>
      </c>
      <c r="AL190" s="121"/>
    </row>
    <row r="191" spans="2:38" ht="25.35" customHeight="1">
      <c r="B191" s="7" t="s">
        <v>24</v>
      </c>
      <c r="C191" s="7" t="str">
        <f t="shared" si="14"/>
        <v>PL_15_2830_1370</v>
      </c>
      <c r="D191" s="7" t="str">
        <f>_xlfn.CONCAT(Table1[[#This Row],[ProductRecord.AccountReference]]," @ ",Table1[[#This Row],[KG/M2]],$H$2)</f>
        <v>PL_15_2830_1370 @ 117.75Kg/m2</v>
      </c>
      <c r="E191" s="27">
        <v>2830</v>
      </c>
      <c r="F191" s="27">
        <v>1370</v>
      </c>
      <c r="G191" s="32">
        <v>15</v>
      </c>
      <c r="H191" s="109">
        <f>G191*[1]Density!$D$6/1000</f>
        <v>117.75</v>
      </c>
      <c r="I191" s="161">
        <f t="shared" si="13"/>
        <v>456.528525</v>
      </c>
      <c r="J191" s="164">
        <v>2830</v>
      </c>
      <c r="K191" s="165">
        <v>1370</v>
      </c>
      <c r="L191" s="165">
        <v>7</v>
      </c>
      <c r="M191" s="196" t="s">
        <v>72</v>
      </c>
      <c r="N191" s="164"/>
      <c r="O191" s="202"/>
      <c r="P191" s="202"/>
      <c r="Q191" s="203"/>
      <c r="R191" s="201"/>
      <c r="S191" s="202"/>
      <c r="T191" s="202"/>
      <c r="U191" s="203"/>
      <c r="Z191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3195.6996750000003</v>
      </c>
      <c r="AA191" s="17">
        <f t="shared" si="17"/>
        <v>3480.1169460750002</v>
      </c>
      <c r="AB191" s="17"/>
      <c r="AC191" s="10">
        <f>AC192</f>
        <v>1089</v>
      </c>
      <c r="AD191" s="10">
        <f>Table1[[#This Row],[£/Tonne]]/1000*Table1[[#This Row],[KG/M2]]</f>
        <v>128.22975</v>
      </c>
      <c r="AE191" s="10">
        <f>Table1[[#This Row],[£/Tonne]]/1000*Table1[[#This Row],[Kg/ Sheet]]</f>
        <v>497.159563725</v>
      </c>
      <c r="AF191" s="10"/>
      <c r="AG191" s="111">
        <f>Table1[[#This Row],[£Cost / SHEET]]*(1+AG$1)</f>
        <v>646.30743284250002</v>
      </c>
      <c r="AH191" s="111">
        <f>Table1[[#This Row],[£Cost / SHEET]]*(1+AH$1)</f>
        <v>671.16541102874999</v>
      </c>
      <c r="AI191" s="111">
        <f>Table1[[#This Row],[£Cost / SHEET]]*(1+AI$1)</f>
        <v>696.02338921499995</v>
      </c>
      <c r="AJ191" s="111">
        <f>Table1[[#This Row],[£Cost / SHEET]]*(1+AJ$1)</f>
        <v>745.7393455875</v>
      </c>
      <c r="AK191" s="222">
        <f>(Table1[[#This Row],[Qty 1]]*IF(Table1[[#This Row],[Dimension L1]]&lt;1,(Table1[[#This Row],[Length]]*Table1[[#This Row],[Width]]),(Table1[[#This Row],[Dimension L1]]*Table1[[#This Row],[Dimension W1]])))/1000000</f>
        <v>27.139700000000001</v>
      </c>
      <c r="AL191" s="121"/>
    </row>
    <row r="192" spans="2:38" ht="25.35" customHeight="1">
      <c r="B192" s="7" t="s">
        <v>24</v>
      </c>
      <c r="C192" s="7" t="str">
        <f t="shared" si="14"/>
        <v>PL_15_3000_1500</v>
      </c>
      <c r="D192" s="7" t="str">
        <f>_xlfn.CONCAT(Table1[[#This Row],[ProductRecord.AccountReference]]," @ ",Table1[[#This Row],[KG/M2]],$H$2)</f>
        <v>PL_15_3000_1500 @ 117.75Kg/m2</v>
      </c>
      <c r="E192" s="27">
        <v>3000</v>
      </c>
      <c r="F192" s="27">
        <v>1500</v>
      </c>
      <c r="G192" s="32">
        <v>15</v>
      </c>
      <c r="H192" s="109">
        <f>G192*[1]Density!$D$6/1000</f>
        <v>117.75</v>
      </c>
      <c r="I192" s="161">
        <f t="shared" si="13"/>
        <v>529.875</v>
      </c>
      <c r="J192" s="164">
        <v>810</v>
      </c>
      <c r="K192" s="165">
        <v>700</v>
      </c>
      <c r="L192" s="165">
        <v>1</v>
      </c>
      <c r="M192" s="196" t="s">
        <v>306</v>
      </c>
      <c r="N192" s="164"/>
      <c r="O192" s="202"/>
      <c r="P192" s="202"/>
      <c r="Q192" s="203"/>
      <c r="R192" s="201">
        <v>3000</v>
      </c>
      <c r="S192" s="202">
        <v>2000</v>
      </c>
      <c r="T192" s="202">
        <v>1</v>
      </c>
      <c r="U192" s="203" t="s">
        <v>309</v>
      </c>
      <c r="Z192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773.26425000000006</v>
      </c>
      <c r="AA192" s="17">
        <f t="shared" si="17"/>
        <v>842.08476825000014</v>
      </c>
      <c r="AB192" s="17"/>
      <c r="AC192" s="218">
        <v>1089</v>
      </c>
      <c r="AD192" s="10">
        <f>Table1[[#This Row],[£/Tonne]]/1000*Table1[[#This Row],[KG/M2]]</f>
        <v>128.22975</v>
      </c>
      <c r="AE192" s="10">
        <f>Table1[[#This Row],[£/Tonne]]/1000*Table1[[#This Row],[Kg/ Sheet]]</f>
        <v>577.03387499999997</v>
      </c>
      <c r="AF192" s="10"/>
      <c r="AG192" s="111">
        <f>Table1[[#This Row],[£Cost / SHEET]]*(1+AG$1)</f>
        <v>750.14403749999997</v>
      </c>
      <c r="AH192" s="111">
        <f>Table1[[#This Row],[£Cost / SHEET]]*(1+AH$1)</f>
        <v>778.99573125000006</v>
      </c>
      <c r="AI192" s="111">
        <f>Table1[[#This Row],[£Cost / SHEET]]*(1+AI$1)</f>
        <v>807.84742499999993</v>
      </c>
      <c r="AJ192" s="111">
        <f>Table1[[#This Row],[£Cost / SHEET]]*(1+AJ$1)</f>
        <v>865.55081249999989</v>
      </c>
      <c r="AK192" s="222">
        <f>(Table1[[#This Row],[Qty 1]]*IF(Table1[[#This Row],[Dimension L1]]&lt;1,(Table1[[#This Row],[Length]]*Table1[[#This Row],[Width]]),(Table1[[#This Row],[Dimension L1]]*Table1[[#This Row],[Dimension W1]])))/1000000</f>
        <v>0.56699999999999995</v>
      </c>
      <c r="AL192" s="121"/>
    </row>
    <row r="193" spans="2:38" ht="25.35" customHeight="1">
      <c r="B193" s="7" t="s">
        <v>24</v>
      </c>
      <c r="C193" s="7" t="str">
        <f t="shared" si="14"/>
        <v>PL_15__</v>
      </c>
      <c r="D193" s="7" t="str">
        <f>_xlfn.CONCAT(Table1[[#This Row],[ProductRecord.AccountReference]]," @ ",Table1[[#This Row],[KG/M2]],$H$2)</f>
        <v>PL_15__ @ 117.75Kg/m2</v>
      </c>
      <c r="G193" s="32">
        <v>15</v>
      </c>
      <c r="H193" s="109">
        <f>G193*[1]Density!$D$6/1000</f>
        <v>117.75</v>
      </c>
      <c r="I193" s="161">
        <f t="shared" si="13"/>
        <v>0</v>
      </c>
      <c r="J193" s="164">
        <v>1100</v>
      </c>
      <c r="K193" s="165">
        <v>530</v>
      </c>
      <c r="L193" s="165">
        <v>1</v>
      </c>
      <c r="M193" s="196" t="s">
        <v>306</v>
      </c>
      <c r="N193" s="164">
        <v>7900</v>
      </c>
      <c r="O193" s="202">
        <v>1130</v>
      </c>
      <c r="P193" s="202">
        <v>1</v>
      </c>
      <c r="Q193" s="203" t="s">
        <v>239</v>
      </c>
      <c r="R193" s="201"/>
      <c r="S193" s="202"/>
      <c r="T193" s="202"/>
      <c r="U193" s="203"/>
      <c r="Z193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1119.8025</v>
      </c>
      <c r="AA193" s="17">
        <f t="shared" si="17"/>
        <v>726.7518225</v>
      </c>
      <c r="AB193" s="17"/>
      <c r="AC193" s="10">
        <f>AC206</f>
        <v>649</v>
      </c>
      <c r="AD193" s="10">
        <f>Table1[[#This Row],[£/Tonne]]/1000*Table1[[#This Row],[KG/M2]]</f>
        <v>76.419750000000008</v>
      </c>
      <c r="AE193" s="10">
        <f>Table1[[#This Row],[£/Tonne]]/1000*Table1[[#This Row],[Kg/ Sheet]]</f>
        <v>0</v>
      </c>
      <c r="AF193" s="10"/>
      <c r="AG193" s="111">
        <f>Table1[[#This Row],[£Cost / SHEET]]*(1+AG$1)</f>
        <v>0</v>
      </c>
      <c r="AH193" s="111">
        <f>Table1[[#This Row],[£Cost / SHEET]]*(1+AH$1)</f>
        <v>0</v>
      </c>
      <c r="AI193" s="111">
        <f>Table1[[#This Row],[£Cost / SHEET]]*(1+AI$1)</f>
        <v>0</v>
      </c>
      <c r="AJ193" s="111">
        <f>Table1[[#This Row],[£Cost / SHEET]]*(1+AJ$1)</f>
        <v>0</v>
      </c>
      <c r="AK193" s="222">
        <f>(Table1[[#This Row],[Qty 1]]*IF(Table1[[#This Row],[Dimension L1]]&lt;1,(Table1[[#This Row],[Length]]*Table1[[#This Row],[Width]]),(Table1[[#This Row],[Dimension L1]]*Table1[[#This Row],[Dimension W1]])))/1000000</f>
        <v>0.58299999999999996</v>
      </c>
      <c r="AL193" s="121"/>
    </row>
    <row r="194" spans="2:38" ht="25.35" customHeight="1">
      <c r="B194" s="7" t="s">
        <v>24</v>
      </c>
      <c r="C194" s="7" t="str">
        <f t="shared" si="14"/>
        <v>PL_15__</v>
      </c>
      <c r="D194" s="7" t="str">
        <f>_xlfn.CONCAT(Table1[[#This Row],[ProductRecord.AccountReference]]," @ ",Table1[[#This Row],[KG/M2]],$H$2)</f>
        <v>PL_15__ @ 117.75Kg/m2</v>
      </c>
      <c r="G194" s="32">
        <v>15</v>
      </c>
      <c r="H194" s="109">
        <f>G194*[1]Density!$D$6/1000</f>
        <v>117.75</v>
      </c>
      <c r="I194" s="161">
        <f t="shared" si="13"/>
        <v>0</v>
      </c>
      <c r="J194" s="164">
        <v>1450</v>
      </c>
      <c r="K194" s="165">
        <v>780</v>
      </c>
      <c r="L194" s="165">
        <v>1</v>
      </c>
      <c r="M194" s="196" t="s">
        <v>306</v>
      </c>
      <c r="N194" s="164">
        <v>7500</v>
      </c>
      <c r="O194" s="202">
        <v>340</v>
      </c>
      <c r="P194" s="202">
        <v>1</v>
      </c>
      <c r="Q194" s="203" t="s">
        <v>239</v>
      </c>
      <c r="R194" s="201"/>
      <c r="S194" s="202"/>
      <c r="T194" s="202"/>
      <c r="U194" s="203"/>
      <c r="Z194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433.43774999999999</v>
      </c>
      <c r="AA194" s="17">
        <f t="shared" si="17"/>
        <v>281.30109974999999</v>
      </c>
      <c r="AB194" s="17"/>
      <c r="AC194" s="10">
        <f>AC206</f>
        <v>649</v>
      </c>
      <c r="AD194" s="10">
        <f>Table1[[#This Row],[£/Tonne]]/1000*Table1[[#This Row],[KG/M2]]</f>
        <v>76.419750000000008</v>
      </c>
      <c r="AE194" s="10">
        <f>Table1[[#This Row],[£/Tonne]]/1000*Table1[[#This Row],[Kg/ Sheet]]</f>
        <v>0</v>
      </c>
      <c r="AF194" s="10"/>
      <c r="AG194" s="111">
        <f>Table1[[#This Row],[£Cost / SHEET]]*(1+AG$1)</f>
        <v>0</v>
      </c>
      <c r="AH194" s="111">
        <f>Table1[[#This Row],[£Cost / SHEET]]*(1+AH$1)</f>
        <v>0</v>
      </c>
      <c r="AI194" s="111">
        <f>Table1[[#This Row],[£Cost / SHEET]]*(1+AI$1)</f>
        <v>0</v>
      </c>
      <c r="AJ194" s="111">
        <f>Table1[[#This Row],[£Cost / SHEET]]*(1+AJ$1)</f>
        <v>0</v>
      </c>
      <c r="AK194" s="222">
        <f>(Table1[[#This Row],[Qty 1]]*IF(Table1[[#This Row],[Dimension L1]]&lt;1,(Table1[[#This Row],[Length]]*Table1[[#This Row],[Width]]),(Table1[[#This Row],[Dimension L1]]*Table1[[#This Row],[Dimension W1]])))/1000000</f>
        <v>1.131</v>
      </c>
      <c r="AL194" s="121"/>
    </row>
    <row r="195" spans="2:38" ht="25.35" customHeight="1">
      <c r="B195" s="7" t="s">
        <v>24</v>
      </c>
      <c r="C195" s="7" t="str">
        <f t="shared" ref="C195:C208" si="19">_xlfn.CONCAT(B195,"_",G195,"_",E195,"_",F195,"")</f>
        <v>PL_15_3050_1550</v>
      </c>
      <c r="D195" s="7" t="str">
        <f>_xlfn.CONCAT(Table1[[#This Row],[ProductRecord.AccountReference]]," @ ",Table1[[#This Row],[KG/M2]],$H$2)</f>
        <v>PL_15_3050_1550 @ Kg/m2</v>
      </c>
      <c r="E195" s="27">
        <v>3050</v>
      </c>
      <c r="F195" s="27">
        <v>1550</v>
      </c>
      <c r="G195" s="32">
        <v>15</v>
      </c>
      <c r="H195" s="109"/>
      <c r="I195" s="161"/>
      <c r="J195" s="109">
        <v>3050</v>
      </c>
      <c r="K195" s="210">
        <v>1550</v>
      </c>
      <c r="L195" s="165">
        <v>12</v>
      </c>
      <c r="M195" s="196" t="s">
        <v>308</v>
      </c>
      <c r="N195" s="164"/>
      <c r="O195" s="202"/>
      <c r="P195" s="202"/>
      <c r="Q195" s="203"/>
      <c r="R195" s="201"/>
      <c r="S195" s="202"/>
      <c r="T195" s="202"/>
      <c r="U195" s="203"/>
      <c r="Z195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195" s="17">
        <f t="shared" ref="AA195:AA258" si="20">Z195/1000*AC195</f>
        <v>0</v>
      </c>
      <c r="AB195" s="17"/>
      <c r="AC195" s="10">
        <f>AC192</f>
        <v>1089</v>
      </c>
      <c r="AD195" s="10">
        <f>Table1[[#This Row],[£/Tonne]]/1000*Table1[[#This Row],[KG/M2]]</f>
        <v>0</v>
      </c>
      <c r="AE195" s="10">
        <f>Table1[[#This Row],[£/Tonne]]/1000*Table1[[#This Row],[Kg/ Sheet]]</f>
        <v>0</v>
      </c>
      <c r="AF195" s="10"/>
      <c r="AG195" s="111">
        <f>Table1[[#This Row],[£Cost / SHEET]]*(1+AG$1)</f>
        <v>0</v>
      </c>
      <c r="AH195" s="111">
        <f>Table1[[#This Row],[£Cost / SHEET]]*(1+AH$1)</f>
        <v>0</v>
      </c>
      <c r="AI195" s="111">
        <f>Table1[[#This Row],[£Cost / SHEET]]*(1+AI$1)</f>
        <v>0</v>
      </c>
      <c r="AJ195" s="111">
        <f>Table1[[#This Row],[£Cost / SHEET]]*(1+AJ$1)</f>
        <v>0</v>
      </c>
      <c r="AK195" s="222">
        <f>(Table1[[#This Row],[Qty 1]]*IF(Table1[[#This Row],[Dimension L1]]&lt;1,(Table1[[#This Row],[Length]]*Table1[[#This Row],[Width]]),(Table1[[#This Row],[Dimension L1]]*Table1[[#This Row],[Dimension W1]])))/1000000</f>
        <v>56.73</v>
      </c>
      <c r="AL195" s="121"/>
    </row>
    <row r="196" spans="2:38" ht="25.35" customHeight="1">
      <c r="B196" s="7" t="s">
        <v>24</v>
      </c>
      <c r="C196" s="7" t="str">
        <f t="shared" si="19"/>
        <v>PL_15_6000_2000</v>
      </c>
      <c r="D196" s="7" t="str">
        <f>_xlfn.CONCAT(Table1[[#This Row],[ProductRecord.AccountReference]]," @ ",Table1[[#This Row],[KG/M2]],$H$2)</f>
        <v>PL_15_6000_2000 @ Kg/m2</v>
      </c>
      <c r="E196" s="27">
        <v>6000</v>
      </c>
      <c r="F196" s="27">
        <v>2000</v>
      </c>
      <c r="G196" s="32">
        <v>15</v>
      </c>
      <c r="H196" s="109"/>
      <c r="I196" s="161"/>
      <c r="J196" s="109">
        <v>6000</v>
      </c>
      <c r="K196" s="210">
        <v>2000</v>
      </c>
      <c r="L196" s="165">
        <v>1</v>
      </c>
      <c r="M196" s="196" t="s">
        <v>308</v>
      </c>
      <c r="N196" s="164"/>
      <c r="O196" s="202"/>
      <c r="P196" s="202"/>
      <c r="Q196" s="203"/>
      <c r="R196" s="201"/>
      <c r="S196" s="202"/>
      <c r="T196" s="202"/>
      <c r="U196" s="203"/>
      <c r="Z196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196" s="17">
        <f t="shared" si="20"/>
        <v>0</v>
      </c>
      <c r="AB196" s="17"/>
      <c r="AC196" s="10">
        <f>AC203</f>
        <v>630</v>
      </c>
      <c r="AD196" s="10">
        <f>Table1[[#This Row],[£/Tonne]]/1000*Table1[[#This Row],[KG/M2]]</f>
        <v>0</v>
      </c>
      <c r="AE196" s="10">
        <f>Table1[[#This Row],[£/Tonne]]/1000*Table1[[#This Row],[Kg/ Sheet]]</f>
        <v>0</v>
      </c>
      <c r="AF196" s="10"/>
      <c r="AG196" s="111">
        <f>Table1[[#This Row],[£Cost / SHEET]]*(1+AG$1)</f>
        <v>0</v>
      </c>
      <c r="AH196" s="111">
        <f>Table1[[#This Row],[£Cost / SHEET]]*(1+AH$1)</f>
        <v>0</v>
      </c>
      <c r="AI196" s="111">
        <f>Table1[[#This Row],[£Cost / SHEET]]*(1+AI$1)</f>
        <v>0</v>
      </c>
      <c r="AJ196" s="111">
        <f>Table1[[#This Row],[£Cost / SHEET]]*(1+AJ$1)</f>
        <v>0</v>
      </c>
      <c r="AK196" s="222">
        <f>(Table1[[#This Row],[Qty 1]]*IF(Table1[[#This Row],[Dimension L1]]&lt;1,(Table1[[#This Row],[Length]]*Table1[[#This Row],[Width]]),(Table1[[#This Row],[Dimension L1]]*Table1[[#This Row],[Dimension W1]])))/1000000</f>
        <v>12</v>
      </c>
      <c r="AL196" s="121"/>
    </row>
    <row r="197" spans="2:38" ht="25.35" customHeight="1">
      <c r="B197" s="7" t="s">
        <v>24</v>
      </c>
      <c r="C197" s="7" t="str">
        <f t="shared" si="19"/>
        <v>PL_15_710_510</v>
      </c>
      <c r="D197" s="7" t="str">
        <f>_xlfn.CONCAT(Table1[[#This Row],[ProductRecord.AccountReference]]," @ ",Table1[[#This Row],[KG/M2]],$H$2)</f>
        <v>PL_15_710_510 @ Kg/m2</v>
      </c>
      <c r="E197" s="27">
        <v>710</v>
      </c>
      <c r="F197" s="27">
        <v>510</v>
      </c>
      <c r="G197" s="32">
        <v>15</v>
      </c>
      <c r="H197" s="109"/>
      <c r="I197" s="161"/>
      <c r="J197" s="109">
        <v>710</v>
      </c>
      <c r="K197" s="210">
        <v>510</v>
      </c>
      <c r="L197" s="165">
        <v>1</v>
      </c>
      <c r="M197" s="196" t="s">
        <v>308</v>
      </c>
      <c r="N197" s="164"/>
      <c r="O197" s="202"/>
      <c r="P197" s="202"/>
      <c r="Q197" s="203"/>
      <c r="R197" s="201"/>
      <c r="S197" s="202"/>
      <c r="T197" s="202"/>
      <c r="U197" s="203"/>
      <c r="Z197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197" s="17">
        <f t="shared" si="20"/>
        <v>0</v>
      </c>
      <c r="AB197" s="17"/>
      <c r="AC197" s="10">
        <f>AC192</f>
        <v>1089</v>
      </c>
      <c r="AD197" s="10">
        <f>Table1[[#This Row],[£/Tonne]]/1000*Table1[[#This Row],[KG/M2]]</f>
        <v>0</v>
      </c>
      <c r="AE197" s="10">
        <f>Table1[[#This Row],[£/Tonne]]/1000*Table1[[#This Row],[Kg/ Sheet]]</f>
        <v>0</v>
      </c>
      <c r="AF197" s="10"/>
      <c r="AG197" s="111">
        <f>Table1[[#This Row],[£Cost / SHEET]]*(1+AG$1)</f>
        <v>0</v>
      </c>
      <c r="AH197" s="111">
        <f>Table1[[#This Row],[£Cost / SHEET]]*(1+AH$1)</f>
        <v>0</v>
      </c>
      <c r="AI197" s="111">
        <f>Table1[[#This Row],[£Cost / SHEET]]*(1+AI$1)</f>
        <v>0</v>
      </c>
      <c r="AJ197" s="111">
        <f>Table1[[#This Row],[£Cost / SHEET]]*(1+AJ$1)</f>
        <v>0</v>
      </c>
      <c r="AK197" s="222">
        <f>(Table1[[#This Row],[Qty 1]]*IF(Table1[[#This Row],[Dimension L1]]&lt;1,(Table1[[#This Row],[Length]]*Table1[[#This Row],[Width]]),(Table1[[#This Row],[Dimension L1]]*Table1[[#This Row],[Dimension W1]])))/1000000</f>
        <v>0.36209999999999998</v>
      </c>
      <c r="AL197" s="121"/>
    </row>
    <row r="198" spans="2:38" ht="25.35" customHeight="1">
      <c r="B198" s="7" t="s">
        <v>24</v>
      </c>
      <c r="C198" s="7" t="str">
        <f t="shared" si="19"/>
        <v>PL_15_780_180</v>
      </c>
      <c r="D198" s="7" t="str">
        <f>_xlfn.CONCAT(Table1[[#This Row],[ProductRecord.AccountReference]]," @ ",Table1[[#This Row],[KG/M2]],$H$2)</f>
        <v>PL_15_780_180 @ Kg/m2</v>
      </c>
      <c r="E198" s="27">
        <v>780</v>
      </c>
      <c r="F198" s="27">
        <v>180</v>
      </c>
      <c r="G198" s="32">
        <v>15</v>
      </c>
      <c r="H198" s="109"/>
      <c r="I198" s="161"/>
      <c r="J198" s="109">
        <v>780</v>
      </c>
      <c r="K198" s="210">
        <v>180</v>
      </c>
      <c r="L198" s="165">
        <v>1</v>
      </c>
      <c r="M198" s="196" t="s">
        <v>308</v>
      </c>
      <c r="N198" s="164"/>
      <c r="O198" s="202"/>
      <c r="P198" s="202"/>
      <c r="Q198" s="203"/>
      <c r="R198" s="201"/>
      <c r="S198" s="202"/>
      <c r="T198" s="202"/>
      <c r="U198" s="203"/>
      <c r="Z198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198" s="17">
        <f t="shared" si="20"/>
        <v>0</v>
      </c>
      <c r="AB198" s="17"/>
      <c r="AC198" s="10">
        <f>AC192</f>
        <v>1089</v>
      </c>
      <c r="AD198" s="10">
        <f>Table1[[#This Row],[£/Tonne]]/1000*Table1[[#This Row],[KG/M2]]</f>
        <v>0</v>
      </c>
      <c r="AE198" s="10">
        <f>Table1[[#This Row],[£/Tonne]]/1000*Table1[[#This Row],[Kg/ Sheet]]</f>
        <v>0</v>
      </c>
      <c r="AF198" s="10"/>
      <c r="AG198" s="111">
        <f>Table1[[#This Row],[£Cost / SHEET]]*(1+AG$1)</f>
        <v>0</v>
      </c>
      <c r="AH198" s="111">
        <f>Table1[[#This Row],[£Cost / SHEET]]*(1+AH$1)</f>
        <v>0</v>
      </c>
      <c r="AI198" s="111">
        <f>Table1[[#This Row],[£Cost / SHEET]]*(1+AI$1)</f>
        <v>0</v>
      </c>
      <c r="AJ198" s="111">
        <f>Table1[[#This Row],[£Cost / SHEET]]*(1+AJ$1)</f>
        <v>0</v>
      </c>
      <c r="AK198" s="222">
        <f>(Table1[[#This Row],[Qty 1]]*IF(Table1[[#This Row],[Dimension L1]]&lt;1,(Table1[[#This Row],[Length]]*Table1[[#This Row],[Width]]),(Table1[[#This Row],[Dimension L1]]*Table1[[#This Row],[Dimension W1]])))/1000000</f>
        <v>0.1404</v>
      </c>
      <c r="AL198" s="121"/>
    </row>
    <row r="199" spans="2:38" ht="25.35" customHeight="1">
      <c r="B199" s="7" t="s">
        <v>24</v>
      </c>
      <c r="C199" s="7" t="str">
        <f t="shared" si="19"/>
        <v>PL_15_1280_900</v>
      </c>
      <c r="D199" s="7" t="str">
        <f>_xlfn.CONCAT(Table1[[#This Row],[ProductRecord.AccountReference]]," @ ",Table1[[#This Row],[KG/M2]],$H$2)</f>
        <v>PL_15_1280_900 @ Kg/m2</v>
      </c>
      <c r="E199" s="27">
        <v>1280</v>
      </c>
      <c r="F199" s="27">
        <v>900</v>
      </c>
      <c r="G199" s="32">
        <v>15</v>
      </c>
      <c r="H199" s="109"/>
      <c r="I199" s="161"/>
      <c r="J199" s="109">
        <v>1280</v>
      </c>
      <c r="K199" s="210">
        <v>900</v>
      </c>
      <c r="L199" s="165">
        <v>2</v>
      </c>
      <c r="M199" s="196" t="s">
        <v>308</v>
      </c>
      <c r="N199" s="164"/>
      <c r="O199" s="202"/>
      <c r="P199" s="202"/>
      <c r="Q199" s="203"/>
      <c r="R199" s="201"/>
      <c r="S199" s="202"/>
      <c r="T199" s="202"/>
      <c r="U199" s="203"/>
      <c r="Z199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199" s="17">
        <f t="shared" si="20"/>
        <v>0</v>
      </c>
      <c r="AB199" s="17"/>
      <c r="AC199" s="10">
        <f>AC192</f>
        <v>1089</v>
      </c>
      <c r="AD199" s="10">
        <f>Table1[[#This Row],[£/Tonne]]/1000*Table1[[#This Row],[KG/M2]]</f>
        <v>0</v>
      </c>
      <c r="AE199" s="10">
        <f>Table1[[#This Row],[£/Tonne]]/1000*Table1[[#This Row],[Kg/ Sheet]]</f>
        <v>0</v>
      </c>
      <c r="AF199" s="10"/>
      <c r="AG199" s="111">
        <f>Table1[[#This Row],[£Cost / SHEET]]*(1+AG$1)</f>
        <v>0</v>
      </c>
      <c r="AH199" s="111">
        <f>Table1[[#This Row],[£Cost / SHEET]]*(1+AH$1)</f>
        <v>0</v>
      </c>
      <c r="AI199" s="111">
        <f>Table1[[#This Row],[£Cost / SHEET]]*(1+AI$1)</f>
        <v>0</v>
      </c>
      <c r="AJ199" s="111">
        <f>Table1[[#This Row],[£Cost / SHEET]]*(1+AJ$1)</f>
        <v>0</v>
      </c>
      <c r="AK199" s="222">
        <f>(Table1[[#This Row],[Qty 1]]*IF(Table1[[#This Row],[Dimension L1]]&lt;1,(Table1[[#This Row],[Length]]*Table1[[#This Row],[Width]]),(Table1[[#This Row],[Dimension L1]]*Table1[[#This Row],[Dimension W1]])))/1000000</f>
        <v>2.3039999999999998</v>
      </c>
      <c r="AL199" s="121"/>
    </row>
    <row r="200" spans="2:38" ht="25.35" customHeight="1">
      <c r="B200" s="7" t="s">
        <v>24</v>
      </c>
      <c r="C200" s="7" t="str">
        <f t="shared" si="19"/>
        <v>PL_15_2000_300</v>
      </c>
      <c r="D200" s="7" t="str">
        <f>_xlfn.CONCAT(Table1[[#This Row],[ProductRecord.AccountReference]]," @ ",Table1[[#This Row],[KG/M2]],$H$2)</f>
        <v>PL_15_2000_300 @ Kg/m2</v>
      </c>
      <c r="E200" s="27">
        <v>2000</v>
      </c>
      <c r="F200" s="27">
        <v>300</v>
      </c>
      <c r="G200" s="32">
        <v>15</v>
      </c>
      <c r="H200" s="109"/>
      <c r="I200" s="161"/>
      <c r="J200" s="109">
        <v>2000</v>
      </c>
      <c r="K200" s="210">
        <v>300</v>
      </c>
      <c r="L200" s="165">
        <v>1</v>
      </c>
      <c r="M200" s="196" t="s">
        <v>308</v>
      </c>
      <c r="N200" s="164"/>
      <c r="O200" s="202"/>
      <c r="P200" s="202"/>
      <c r="Q200" s="203"/>
      <c r="R200" s="201"/>
      <c r="S200" s="202"/>
      <c r="T200" s="202"/>
      <c r="U200" s="203"/>
      <c r="Z200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200" s="17">
        <f t="shared" si="20"/>
        <v>0</v>
      </c>
      <c r="AB200" s="17"/>
      <c r="AC200" s="10">
        <f>AC192</f>
        <v>1089</v>
      </c>
      <c r="AD200" s="10">
        <f>Table1[[#This Row],[£/Tonne]]/1000*Table1[[#This Row],[KG/M2]]</f>
        <v>0</v>
      </c>
      <c r="AE200" s="10">
        <f>Table1[[#This Row],[£/Tonne]]/1000*Table1[[#This Row],[Kg/ Sheet]]</f>
        <v>0</v>
      </c>
      <c r="AF200" s="10"/>
      <c r="AG200" s="111">
        <f>Table1[[#This Row],[£Cost / SHEET]]*(1+AG$1)</f>
        <v>0</v>
      </c>
      <c r="AH200" s="111">
        <f>Table1[[#This Row],[£Cost / SHEET]]*(1+AH$1)</f>
        <v>0</v>
      </c>
      <c r="AI200" s="111">
        <f>Table1[[#This Row],[£Cost / SHEET]]*(1+AI$1)</f>
        <v>0</v>
      </c>
      <c r="AJ200" s="111">
        <f>Table1[[#This Row],[£Cost / SHEET]]*(1+AJ$1)</f>
        <v>0</v>
      </c>
      <c r="AK200" s="222">
        <f>(Table1[[#This Row],[Qty 1]]*IF(Table1[[#This Row],[Dimension L1]]&lt;1,(Table1[[#This Row],[Length]]*Table1[[#This Row],[Width]]),(Table1[[#This Row],[Dimension L1]]*Table1[[#This Row],[Dimension W1]])))/1000000</f>
        <v>0.6</v>
      </c>
      <c r="AL200" s="121"/>
    </row>
    <row r="201" spans="2:38" ht="25.35" customHeight="1">
      <c r="B201" s="7" t="s">
        <v>24</v>
      </c>
      <c r="C201" s="7" t="str">
        <f t="shared" si="19"/>
        <v>PL_15_2210_350</v>
      </c>
      <c r="D201" s="7" t="str">
        <f>_xlfn.CONCAT(Table1[[#This Row],[ProductRecord.AccountReference]]," @ ",Table1[[#This Row],[KG/M2]],$H$2)</f>
        <v>PL_15_2210_350 @ Kg/m2</v>
      </c>
      <c r="E201" s="27">
        <v>2210</v>
      </c>
      <c r="F201" s="27">
        <v>350</v>
      </c>
      <c r="G201" s="32">
        <v>15</v>
      </c>
      <c r="H201" s="109"/>
      <c r="I201" s="161"/>
      <c r="J201" s="109">
        <v>2210</v>
      </c>
      <c r="K201" s="210">
        <v>350</v>
      </c>
      <c r="L201" s="165">
        <v>1</v>
      </c>
      <c r="M201" s="196" t="s">
        <v>308</v>
      </c>
      <c r="N201" s="164"/>
      <c r="O201" s="202"/>
      <c r="P201" s="202"/>
      <c r="Q201" s="203"/>
      <c r="R201" s="201"/>
      <c r="S201" s="202"/>
      <c r="T201" s="202"/>
      <c r="U201" s="203"/>
      <c r="Z201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201" s="17">
        <f t="shared" si="20"/>
        <v>0</v>
      </c>
      <c r="AB201" s="17"/>
      <c r="AC201" s="10">
        <f>AC192</f>
        <v>1089</v>
      </c>
      <c r="AD201" s="10">
        <f>Table1[[#This Row],[£/Tonne]]/1000*Table1[[#This Row],[KG/M2]]</f>
        <v>0</v>
      </c>
      <c r="AE201" s="10">
        <f>Table1[[#This Row],[£/Tonne]]/1000*Table1[[#This Row],[Kg/ Sheet]]</f>
        <v>0</v>
      </c>
      <c r="AF201" s="10"/>
      <c r="AG201" s="111">
        <f>Table1[[#This Row],[£Cost / SHEET]]*(1+AG$1)</f>
        <v>0</v>
      </c>
      <c r="AH201" s="111">
        <f>Table1[[#This Row],[£Cost / SHEET]]*(1+AH$1)</f>
        <v>0</v>
      </c>
      <c r="AI201" s="111">
        <f>Table1[[#This Row],[£Cost / SHEET]]*(1+AI$1)</f>
        <v>0</v>
      </c>
      <c r="AJ201" s="111">
        <f>Table1[[#This Row],[£Cost / SHEET]]*(1+AJ$1)</f>
        <v>0</v>
      </c>
      <c r="AK201" s="222">
        <f>(Table1[[#This Row],[Qty 1]]*IF(Table1[[#This Row],[Dimension L1]]&lt;1,(Table1[[#This Row],[Length]]*Table1[[#This Row],[Width]]),(Table1[[#This Row],[Dimension L1]]*Table1[[#This Row],[Dimension W1]])))/1000000</f>
        <v>0.77349999999999997</v>
      </c>
      <c r="AL201" s="121"/>
    </row>
    <row r="202" spans="2:38" ht="25.35" customHeight="1">
      <c r="B202" s="7" t="s">
        <v>24</v>
      </c>
      <c r="C202" s="7" t="str">
        <f t="shared" si="19"/>
        <v>PL_15_2500_900</v>
      </c>
      <c r="D202" s="7" t="str">
        <f>_xlfn.CONCAT(Table1[[#This Row],[ProductRecord.AccountReference]]," @ ",Table1[[#This Row],[KG/M2]],$H$2)</f>
        <v>PL_15_2500_900 @ Kg/m2</v>
      </c>
      <c r="E202" s="27">
        <v>2500</v>
      </c>
      <c r="F202" s="27">
        <v>900</v>
      </c>
      <c r="G202" s="32">
        <v>15</v>
      </c>
      <c r="H202" s="109"/>
      <c r="I202" s="161"/>
      <c r="J202" s="109">
        <v>2500</v>
      </c>
      <c r="K202" s="210">
        <v>900</v>
      </c>
      <c r="L202" s="165">
        <v>1</v>
      </c>
      <c r="M202" s="196" t="s">
        <v>308</v>
      </c>
      <c r="N202" s="164"/>
      <c r="O202" s="202"/>
      <c r="P202" s="202"/>
      <c r="Q202" s="203"/>
      <c r="R202" s="201"/>
      <c r="S202" s="202"/>
      <c r="T202" s="202"/>
      <c r="U202" s="203"/>
      <c r="Z202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202" s="17">
        <f t="shared" si="20"/>
        <v>0</v>
      </c>
      <c r="AB202" s="17"/>
      <c r="AC202" s="10">
        <f>AC192</f>
        <v>1089</v>
      </c>
      <c r="AD202" s="10">
        <f>Table1[[#This Row],[£/Tonne]]/1000*Table1[[#This Row],[KG/M2]]</f>
        <v>0</v>
      </c>
      <c r="AE202" s="10">
        <f>Table1[[#This Row],[£/Tonne]]/1000*Table1[[#This Row],[Kg/ Sheet]]</f>
        <v>0</v>
      </c>
      <c r="AF202" s="10"/>
      <c r="AG202" s="111">
        <f>Table1[[#This Row],[£Cost / SHEET]]*(1+AG$1)</f>
        <v>0</v>
      </c>
      <c r="AH202" s="111">
        <f>Table1[[#This Row],[£Cost / SHEET]]*(1+AH$1)</f>
        <v>0</v>
      </c>
      <c r="AI202" s="111">
        <f>Table1[[#This Row],[£Cost / SHEET]]*(1+AI$1)</f>
        <v>0</v>
      </c>
      <c r="AJ202" s="111">
        <f>Table1[[#This Row],[£Cost / SHEET]]*(1+AJ$1)</f>
        <v>0</v>
      </c>
      <c r="AK202" s="222">
        <f>(Table1[[#This Row],[Qty 1]]*IF(Table1[[#This Row],[Dimension L1]]&lt;1,(Table1[[#This Row],[Length]]*Table1[[#This Row],[Width]]),(Table1[[#This Row],[Dimension L1]]*Table1[[#This Row],[Dimension W1]])))/1000000</f>
        <v>2.25</v>
      </c>
      <c r="AL202" s="121"/>
    </row>
    <row r="203" spans="2:38" ht="25.35" customHeight="1">
      <c r="B203" s="7" t="s">
        <v>24</v>
      </c>
      <c r="C203" s="7" t="str">
        <f t="shared" si="19"/>
        <v>PL_15_2500_2360</v>
      </c>
      <c r="D203" s="7" t="str">
        <f>_xlfn.CONCAT(Table1[[#This Row],[ProductRecord.AccountReference]]," @ ",Table1[[#This Row],[KG/M2]],$H$2)</f>
        <v>PL_15_2500_2360 @ Kg/m2</v>
      </c>
      <c r="E203" s="27">
        <v>2500</v>
      </c>
      <c r="F203" s="27">
        <v>2360</v>
      </c>
      <c r="G203" s="32">
        <v>15</v>
      </c>
      <c r="H203" s="109"/>
      <c r="I203" s="161"/>
      <c r="J203" s="109">
        <v>2500</v>
      </c>
      <c r="K203" s="210">
        <v>2360</v>
      </c>
      <c r="L203" s="165">
        <v>1</v>
      </c>
      <c r="M203" s="196" t="s">
        <v>239</v>
      </c>
      <c r="N203" s="164"/>
      <c r="O203" s="202"/>
      <c r="P203" s="202"/>
      <c r="Q203" s="203"/>
      <c r="R203" s="201"/>
      <c r="S203" s="202"/>
      <c r="T203" s="202"/>
      <c r="U203" s="203"/>
      <c r="Z203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203" s="17">
        <f t="shared" si="20"/>
        <v>0</v>
      </c>
      <c r="AB203" s="17"/>
      <c r="AC203" s="218">
        <v>630</v>
      </c>
      <c r="AD203" s="10">
        <f>Table1[[#This Row],[£/Tonne]]/1000*Table1[[#This Row],[KG/M2]]</f>
        <v>0</v>
      </c>
      <c r="AE203" s="10">
        <f>Table1[[#This Row],[£/Tonne]]/1000*Table1[[#This Row],[Kg/ Sheet]]</f>
        <v>0</v>
      </c>
      <c r="AF203" s="10"/>
      <c r="AG203" s="111">
        <f>Table1[[#This Row],[£Cost / SHEET]]*(1+AG$1)</f>
        <v>0</v>
      </c>
      <c r="AH203" s="111">
        <f>Table1[[#This Row],[£Cost / SHEET]]*(1+AH$1)</f>
        <v>0</v>
      </c>
      <c r="AI203" s="111">
        <f>Table1[[#This Row],[£Cost / SHEET]]*(1+AI$1)</f>
        <v>0</v>
      </c>
      <c r="AJ203" s="111">
        <f>Table1[[#This Row],[£Cost / SHEET]]*(1+AJ$1)</f>
        <v>0</v>
      </c>
      <c r="AK203" s="222">
        <f>(Table1[[#This Row],[Qty 1]]*IF(Table1[[#This Row],[Dimension L1]]&lt;1,(Table1[[#This Row],[Length]]*Table1[[#This Row],[Width]]),(Table1[[#This Row],[Dimension L1]]*Table1[[#This Row],[Dimension W1]])))/1000000</f>
        <v>5.9</v>
      </c>
      <c r="AL203" s="121"/>
    </row>
    <row r="204" spans="2:38" ht="25.35" customHeight="1">
      <c r="B204" s="7" t="s">
        <v>24</v>
      </c>
      <c r="C204" s="7" t="str">
        <f t="shared" si="19"/>
        <v>PL_15_3100_720</v>
      </c>
      <c r="D204" s="7" t="str">
        <f>_xlfn.CONCAT(Table1[[#This Row],[ProductRecord.AccountReference]]," @ ",Table1[[#This Row],[KG/M2]],$H$2)</f>
        <v>PL_15_3100_720 @ Kg/m2</v>
      </c>
      <c r="E204" s="27">
        <v>3100</v>
      </c>
      <c r="F204" s="27">
        <v>720</v>
      </c>
      <c r="G204" s="32">
        <v>15</v>
      </c>
      <c r="H204" s="109"/>
      <c r="I204" s="161"/>
      <c r="J204" s="109">
        <v>3100</v>
      </c>
      <c r="K204" s="210">
        <v>720</v>
      </c>
      <c r="L204" s="165">
        <v>1</v>
      </c>
      <c r="M204" s="196" t="s">
        <v>308</v>
      </c>
      <c r="N204" s="164"/>
      <c r="O204" s="202"/>
      <c r="P204" s="202"/>
      <c r="Q204" s="203"/>
      <c r="R204" s="201"/>
      <c r="S204" s="202"/>
      <c r="T204" s="202"/>
      <c r="U204" s="203"/>
      <c r="Z204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204" s="17">
        <f t="shared" si="20"/>
        <v>0</v>
      </c>
      <c r="AB204" s="17"/>
      <c r="AC204" s="10">
        <f>AC206</f>
        <v>649</v>
      </c>
      <c r="AD204" s="10">
        <f>Table1[[#This Row],[£/Tonne]]/1000*Table1[[#This Row],[KG/M2]]</f>
        <v>0</v>
      </c>
      <c r="AE204" s="10">
        <f>Table1[[#This Row],[£/Tonne]]/1000*Table1[[#This Row],[Kg/ Sheet]]</f>
        <v>0</v>
      </c>
      <c r="AF204" s="10"/>
      <c r="AG204" s="111">
        <f>Table1[[#This Row],[£Cost / SHEET]]*(1+AG$1)</f>
        <v>0</v>
      </c>
      <c r="AH204" s="111">
        <f>Table1[[#This Row],[£Cost / SHEET]]*(1+AH$1)</f>
        <v>0</v>
      </c>
      <c r="AI204" s="111">
        <f>Table1[[#This Row],[£Cost / SHEET]]*(1+AI$1)</f>
        <v>0</v>
      </c>
      <c r="AJ204" s="111">
        <f>Table1[[#This Row],[£Cost / SHEET]]*(1+AJ$1)</f>
        <v>0</v>
      </c>
      <c r="AK204" s="222">
        <f>(Table1[[#This Row],[Qty 1]]*IF(Table1[[#This Row],[Dimension L1]]&lt;1,(Table1[[#This Row],[Length]]*Table1[[#This Row],[Width]]),(Table1[[#This Row],[Dimension L1]]*Table1[[#This Row],[Dimension W1]])))/1000000</f>
        <v>2.2320000000000002</v>
      </c>
      <c r="AL204" s="121"/>
    </row>
    <row r="205" spans="2:38" ht="25.35" customHeight="1">
      <c r="B205" s="7" t="s">
        <v>24</v>
      </c>
      <c r="C205" s="7" t="str">
        <f t="shared" si="19"/>
        <v>PL_15_8040_1540</v>
      </c>
      <c r="D205" s="7" t="str">
        <f>_xlfn.CONCAT(Table1[[#This Row],[ProductRecord.AccountReference]]," @ ",Table1[[#This Row],[KG/M2]],$H$2)</f>
        <v>PL_15_8040_1540 @ Kg/m2</v>
      </c>
      <c r="E205" s="27">
        <v>8040</v>
      </c>
      <c r="F205" s="27">
        <v>1540</v>
      </c>
      <c r="G205" s="32">
        <v>15</v>
      </c>
      <c r="H205" s="109"/>
      <c r="I205" s="161"/>
      <c r="J205" s="109">
        <v>8040</v>
      </c>
      <c r="K205" s="210">
        <v>1540</v>
      </c>
      <c r="L205" s="165">
        <v>2</v>
      </c>
      <c r="M205" s="196" t="s">
        <v>308</v>
      </c>
      <c r="N205" s="164"/>
      <c r="O205" s="202"/>
      <c r="P205" s="202"/>
      <c r="Q205" s="203"/>
      <c r="R205" s="201"/>
      <c r="S205" s="202"/>
      <c r="T205" s="202"/>
      <c r="U205" s="203"/>
      <c r="Z205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205" s="17">
        <f t="shared" si="20"/>
        <v>0</v>
      </c>
      <c r="AB205" s="17"/>
      <c r="AC205" s="10">
        <f>AC206</f>
        <v>649</v>
      </c>
      <c r="AD205" s="10">
        <f>Table1[[#This Row],[£/Tonne]]/1000*Table1[[#This Row],[KG/M2]]</f>
        <v>0</v>
      </c>
      <c r="AE205" s="10">
        <f>Table1[[#This Row],[£/Tonne]]/1000*Table1[[#This Row],[Kg/ Sheet]]</f>
        <v>0</v>
      </c>
      <c r="AF205" s="10"/>
      <c r="AG205" s="111">
        <f>Table1[[#This Row],[£Cost / SHEET]]*(1+AG$1)</f>
        <v>0</v>
      </c>
      <c r="AH205" s="111">
        <f>Table1[[#This Row],[£Cost / SHEET]]*(1+AH$1)</f>
        <v>0</v>
      </c>
      <c r="AI205" s="111">
        <f>Table1[[#This Row],[£Cost / SHEET]]*(1+AI$1)</f>
        <v>0</v>
      </c>
      <c r="AJ205" s="111">
        <f>Table1[[#This Row],[£Cost / SHEET]]*(1+AJ$1)</f>
        <v>0</v>
      </c>
      <c r="AK205" s="222">
        <f>(Table1[[#This Row],[Qty 1]]*IF(Table1[[#This Row],[Dimension L1]]&lt;1,(Table1[[#This Row],[Length]]*Table1[[#This Row],[Width]]),(Table1[[#This Row],[Dimension L1]]*Table1[[#This Row],[Dimension W1]])))/1000000</f>
        <v>24.763200000000001</v>
      </c>
      <c r="AL205" s="121"/>
    </row>
    <row r="206" spans="2:38" ht="25.35" customHeight="1">
      <c r="B206" s="7" t="s">
        <v>24</v>
      </c>
      <c r="C206" s="7" t="str">
        <f t="shared" si="19"/>
        <v>PL_15_8500_1570</v>
      </c>
      <c r="D206" s="7" t="str">
        <f>_xlfn.CONCAT(Table1[[#This Row],[ProductRecord.AccountReference]]," @ ",Table1[[#This Row],[KG/M2]],$H$2)</f>
        <v>PL_15_8500_1570 @ Kg/m2</v>
      </c>
      <c r="E206" s="27">
        <v>8500</v>
      </c>
      <c r="F206" s="27">
        <v>1570</v>
      </c>
      <c r="G206" s="32">
        <v>15</v>
      </c>
      <c r="H206" s="109"/>
      <c r="I206" s="161"/>
      <c r="J206" s="109">
        <v>8500</v>
      </c>
      <c r="K206" s="210">
        <v>1570</v>
      </c>
      <c r="L206" s="165">
        <v>1</v>
      </c>
      <c r="M206" s="196" t="s">
        <v>308</v>
      </c>
      <c r="N206" s="164"/>
      <c r="O206" s="202"/>
      <c r="P206" s="202"/>
      <c r="Q206" s="203"/>
      <c r="R206" s="201"/>
      <c r="S206" s="202"/>
      <c r="T206" s="202"/>
      <c r="U206" s="203"/>
      <c r="Z206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206" s="17">
        <f t="shared" si="20"/>
        <v>0</v>
      </c>
      <c r="AB206" s="17"/>
      <c r="AC206" s="218">
        <v>649</v>
      </c>
      <c r="AD206" s="10">
        <f>Table1[[#This Row],[£/Tonne]]/1000*Table1[[#This Row],[KG/M2]]</f>
        <v>0</v>
      </c>
      <c r="AE206" s="10">
        <f>Table1[[#This Row],[£/Tonne]]/1000*Table1[[#This Row],[Kg/ Sheet]]</f>
        <v>0</v>
      </c>
      <c r="AF206" s="10"/>
      <c r="AG206" s="111">
        <f>Table1[[#This Row],[£Cost / SHEET]]*(1+AG$1)</f>
        <v>0</v>
      </c>
      <c r="AH206" s="111">
        <f>Table1[[#This Row],[£Cost / SHEET]]*(1+AH$1)</f>
        <v>0</v>
      </c>
      <c r="AI206" s="111">
        <f>Table1[[#This Row],[£Cost / SHEET]]*(1+AI$1)</f>
        <v>0</v>
      </c>
      <c r="AJ206" s="111">
        <f>Table1[[#This Row],[£Cost / SHEET]]*(1+AJ$1)</f>
        <v>0</v>
      </c>
      <c r="AK206" s="222">
        <f>(Table1[[#This Row],[Qty 1]]*IF(Table1[[#This Row],[Dimension L1]]&lt;1,(Table1[[#This Row],[Length]]*Table1[[#This Row],[Width]]),(Table1[[#This Row],[Dimension L1]]*Table1[[#This Row],[Dimension W1]])))/1000000</f>
        <v>13.345000000000001</v>
      </c>
      <c r="AL206" s="121"/>
    </row>
    <row r="207" spans="2:38" ht="25.35" customHeight="1">
      <c r="B207" s="7" t="s">
        <v>24</v>
      </c>
      <c r="C207" s="7" t="str">
        <f t="shared" si="19"/>
        <v>PL_15_1000_2300</v>
      </c>
      <c r="D207" s="7" t="str">
        <f>_xlfn.CONCAT(Table1[[#This Row],[ProductRecord.AccountReference]]," @ ",Table1[[#This Row],[KG/M2]],$H$2)</f>
        <v>PL_15_1000_2300 @ Kg/m2</v>
      </c>
      <c r="E207" s="27">
        <v>1000</v>
      </c>
      <c r="F207" s="27">
        <v>2300</v>
      </c>
      <c r="G207" s="32">
        <v>15</v>
      </c>
      <c r="H207" s="109"/>
      <c r="I207" s="161"/>
      <c r="J207" s="109">
        <v>1000</v>
      </c>
      <c r="K207" s="210">
        <v>2300</v>
      </c>
      <c r="L207" s="165">
        <v>1</v>
      </c>
      <c r="M207" s="196" t="s">
        <v>239</v>
      </c>
      <c r="N207" s="164"/>
      <c r="O207" s="202"/>
      <c r="P207" s="202"/>
      <c r="Q207" s="203"/>
      <c r="R207" s="201"/>
      <c r="S207" s="202"/>
      <c r="T207" s="202"/>
      <c r="U207" s="203"/>
      <c r="Z207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207" s="17">
        <f t="shared" si="20"/>
        <v>0</v>
      </c>
      <c r="AB207" s="17"/>
      <c r="AC207" s="10">
        <f>AC203</f>
        <v>630</v>
      </c>
      <c r="AD207" s="10">
        <f>Table1[[#This Row],[£/Tonne]]/1000*Table1[[#This Row],[KG/M2]]</f>
        <v>0</v>
      </c>
      <c r="AE207" s="10">
        <f>Table1[[#This Row],[£/Tonne]]/1000*Table1[[#This Row],[Kg/ Sheet]]</f>
        <v>0</v>
      </c>
      <c r="AF207" s="10"/>
      <c r="AG207" s="111">
        <f>Table1[[#This Row],[£Cost / SHEET]]*(1+AG$1)</f>
        <v>0</v>
      </c>
      <c r="AH207" s="111">
        <f>Table1[[#This Row],[£Cost / SHEET]]*(1+AH$1)</f>
        <v>0</v>
      </c>
      <c r="AI207" s="111">
        <f>Table1[[#This Row],[£Cost / SHEET]]*(1+AI$1)</f>
        <v>0</v>
      </c>
      <c r="AJ207" s="111">
        <f>Table1[[#This Row],[£Cost / SHEET]]*(1+AJ$1)</f>
        <v>0</v>
      </c>
      <c r="AK207" s="222">
        <f>(Table1[[#This Row],[Qty 1]]*IF(Table1[[#This Row],[Dimension L1]]&lt;1,(Table1[[#This Row],[Length]]*Table1[[#This Row],[Width]]),(Table1[[#This Row],[Dimension L1]]*Table1[[#This Row],[Dimension W1]])))/1000000</f>
        <v>2.2999999999999998</v>
      </c>
      <c r="AL207" s="121"/>
    </row>
    <row r="208" spans="2:38" ht="25.35" customHeight="1">
      <c r="B208" s="7" t="s">
        <v>24</v>
      </c>
      <c r="C208" s="7" t="str">
        <f t="shared" si="19"/>
        <v>PL_15_1000_2500</v>
      </c>
      <c r="D208" s="7" t="str">
        <f>_xlfn.CONCAT(Table1[[#This Row],[ProductRecord.AccountReference]]," @ ",Table1[[#This Row],[KG/M2]],$H$2)</f>
        <v>PL_15_1000_2500 @ Kg/m2</v>
      </c>
      <c r="E208" s="27">
        <v>1000</v>
      </c>
      <c r="F208" s="27">
        <v>2500</v>
      </c>
      <c r="G208" s="32">
        <v>15</v>
      </c>
      <c r="H208" s="109"/>
      <c r="I208" s="161"/>
      <c r="J208" s="109">
        <v>1000</v>
      </c>
      <c r="K208" s="210">
        <v>2500</v>
      </c>
      <c r="L208" s="165">
        <v>2</v>
      </c>
      <c r="M208" s="196" t="s">
        <v>239</v>
      </c>
      <c r="N208" s="164"/>
      <c r="O208" s="202"/>
      <c r="P208" s="202"/>
      <c r="Q208" s="203"/>
      <c r="R208" s="201"/>
      <c r="S208" s="202"/>
      <c r="T208" s="202"/>
      <c r="U208" s="203"/>
      <c r="Z208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208" s="17">
        <f t="shared" si="20"/>
        <v>0</v>
      </c>
      <c r="AB208" s="17"/>
      <c r="AC208" s="10">
        <f>AC203</f>
        <v>630</v>
      </c>
      <c r="AD208" s="10">
        <f>Table1[[#This Row],[£/Tonne]]/1000*Table1[[#This Row],[KG/M2]]</f>
        <v>0</v>
      </c>
      <c r="AE208" s="10">
        <f>Table1[[#This Row],[£/Tonne]]/1000*Table1[[#This Row],[Kg/ Sheet]]</f>
        <v>0</v>
      </c>
      <c r="AF208" s="10"/>
      <c r="AG208" s="111">
        <f>Table1[[#This Row],[£Cost / SHEET]]*(1+AG$1)</f>
        <v>0</v>
      </c>
      <c r="AH208" s="111">
        <f>Table1[[#This Row],[£Cost / SHEET]]*(1+AH$1)</f>
        <v>0</v>
      </c>
      <c r="AI208" s="111">
        <f>Table1[[#This Row],[£Cost / SHEET]]*(1+AI$1)</f>
        <v>0</v>
      </c>
      <c r="AJ208" s="111">
        <f>Table1[[#This Row],[£Cost / SHEET]]*(1+AJ$1)</f>
        <v>0</v>
      </c>
      <c r="AK208" s="222">
        <f>(Table1[[#This Row],[Qty 1]]*IF(Table1[[#This Row],[Dimension L1]]&lt;1,(Table1[[#This Row],[Length]]*Table1[[#This Row],[Width]]),(Table1[[#This Row],[Dimension L1]]*Table1[[#This Row],[Dimension W1]])))/1000000</f>
        <v>5</v>
      </c>
      <c r="AL208" s="121"/>
    </row>
    <row r="209" spans="2:38" ht="25.35" customHeight="1">
      <c r="C209" s="119"/>
      <c r="H209" s="109"/>
      <c r="I209" s="110"/>
      <c r="J209" s="159"/>
      <c r="K209" s="161"/>
      <c r="L209" s="161"/>
      <c r="M209" s="110"/>
      <c r="N209" s="159"/>
      <c r="O209" s="202"/>
      <c r="P209" s="202"/>
      <c r="Q209" s="203"/>
      <c r="R209" s="201"/>
      <c r="S209" s="202"/>
      <c r="T209" s="202"/>
      <c r="U209" s="203"/>
      <c r="Z209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209" s="17">
        <f t="shared" si="20"/>
        <v>0</v>
      </c>
      <c r="AB209" s="17"/>
      <c r="AC209" s="10"/>
      <c r="AD209" s="10">
        <f>Table1[[#This Row],[£/Tonne]]/1000*Table1[[#This Row],[KG/M2]]</f>
        <v>0</v>
      </c>
      <c r="AE209" s="10">
        <f>Table1[[#This Row],[£/Tonne]]/1000*Table1[[#This Row],[Kg/ Sheet]]</f>
        <v>0</v>
      </c>
      <c r="AF209" s="10"/>
      <c r="AG209" s="111">
        <f>Table1[[#This Row],[£Cost / SHEET]]*(1+AG$1)</f>
        <v>0</v>
      </c>
      <c r="AH209" s="111">
        <f>Table1[[#This Row],[£Cost / SHEET]]*(1+AH$1)</f>
        <v>0</v>
      </c>
      <c r="AI209" s="111">
        <f>Table1[[#This Row],[£Cost / SHEET]]*(1+AI$1)</f>
        <v>0</v>
      </c>
      <c r="AJ209" s="111">
        <f>Table1[[#This Row],[£Cost / SHEET]]*(1+AJ$1)</f>
        <v>0</v>
      </c>
      <c r="AK209" s="222">
        <f>(Table1[[#This Row],[Qty 1]]*IF(Table1[[#This Row],[Dimension L1]]&lt;1,(Table1[[#This Row],[Length]]*Table1[[#This Row],[Width]]),(Table1[[#This Row],[Dimension L1]]*Table1[[#This Row],[Dimension W1]])))/1000000</f>
        <v>0</v>
      </c>
      <c r="AL209" s="121"/>
    </row>
    <row r="210" spans="2:38" ht="25.35" customHeight="1">
      <c r="H210" s="109"/>
      <c r="I210" s="110"/>
      <c r="J210" s="159"/>
      <c r="K210" s="161"/>
      <c r="L210" s="161"/>
      <c r="M210" s="196"/>
      <c r="N210" s="159"/>
      <c r="O210" s="202"/>
      <c r="P210" s="202"/>
      <c r="Q210" s="203"/>
      <c r="R210" s="201"/>
      <c r="S210" s="202"/>
      <c r="T210" s="202"/>
      <c r="U210" s="203"/>
      <c r="Z210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210" s="17">
        <f t="shared" si="20"/>
        <v>0</v>
      </c>
      <c r="AB210" s="17"/>
      <c r="AC210" s="10"/>
      <c r="AD210" s="10">
        <f>Table1[[#This Row],[£/Tonne]]/1000*Table1[[#This Row],[KG/M2]]</f>
        <v>0</v>
      </c>
      <c r="AE210" s="10">
        <f>Table1[[#This Row],[£/Tonne]]/1000*Table1[[#This Row],[Kg/ Sheet]]</f>
        <v>0</v>
      </c>
      <c r="AF210" s="10"/>
      <c r="AG210" s="111">
        <f>Table1[[#This Row],[£Cost / SHEET]]*(1+AG$1)</f>
        <v>0</v>
      </c>
      <c r="AH210" s="111">
        <f>Table1[[#This Row],[£Cost / SHEET]]*(1+AH$1)</f>
        <v>0</v>
      </c>
      <c r="AI210" s="111">
        <f>Table1[[#This Row],[£Cost / SHEET]]*(1+AI$1)</f>
        <v>0</v>
      </c>
      <c r="AJ210" s="111">
        <f>Table1[[#This Row],[£Cost / SHEET]]*(1+AJ$1)</f>
        <v>0</v>
      </c>
      <c r="AK210" s="222">
        <f>(Table1[[#This Row],[Qty 1]]*IF(Table1[[#This Row],[Dimension L1]]&lt;1,(Table1[[#This Row],[Length]]*Table1[[#This Row],[Width]]),(Table1[[#This Row],[Dimension L1]]*Table1[[#This Row],[Dimension W1]])))/1000000</f>
        <v>0</v>
      </c>
      <c r="AL210" s="121"/>
    </row>
    <row r="211" spans="2:38" ht="25.35" customHeight="1">
      <c r="B211" s="7" t="s">
        <v>24</v>
      </c>
      <c r="C211" s="7" t="str">
        <f t="shared" si="14"/>
        <v>PL_20_2070_2000</v>
      </c>
      <c r="D211" s="7" t="str">
        <f>_xlfn.CONCAT(Table1[[#This Row],[ProductRecord.AccountReference]]," @ ",Table1[[#This Row],[KG/M2]],$H$2)</f>
        <v>PL_20_2070_2000 @ 157Kg/m2</v>
      </c>
      <c r="E211" s="27">
        <v>2070</v>
      </c>
      <c r="F211" s="27">
        <v>2000</v>
      </c>
      <c r="G211" s="32">
        <v>20</v>
      </c>
      <c r="H211" s="109">
        <f>G211*[1]Density!$D$6/1000</f>
        <v>157</v>
      </c>
      <c r="I211" s="161">
        <f t="shared" si="13"/>
        <v>649.98</v>
      </c>
      <c r="J211" s="164">
        <v>6060</v>
      </c>
      <c r="K211" s="165">
        <v>180</v>
      </c>
      <c r="L211" s="165">
        <v>1</v>
      </c>
      <c r="M211" s="196" t="s">
        <v>239</v>
      </c>
      <c r="N211" s="164"/>
      <c r="O211" s="202"/>
      <c r="P211" s="202"/>
      <c r="Q211" s="203"/>
      <c r="R211" s="201"/>
      <c r="S211" s="202"/>
      <c r="T211" s="202"/>
      <c r="U211" s="203"/>
      <c r="Z211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171.25559999999999</v>
      </c>
      <c r="AA211" s="17">
        <f t="shared" si="20"/>
        <v>145.39600439999998</v>
      </c>
      <c r="AB211" s="17"/>
      <c r="AC211" s="10">
        <f>AC214</f>
        <v>849</v>
      </c>
      <c r="AD211" s="10">
        <f>Table1[[#This Row],[£/Tonne]]/1000*Table1[[#This Row],[KG/M2]]</f>
        <v>133.29300000000001</v>
      </c>
      <c r="AE211" s="10">
        <f>Table1[[#This Row],[£/Tonne]]/1000*Table1[[#This Row],[Kg/ Sheet]]</f>
        <v>551.83302000000003</v>
      </c>
      <c r="AF211" s="10"/>
      <c r="AG211" s="111">
        <f>Table1[[#This Row],[£Cost / SHEET]]*(1+AG$1)</f>
        <v>717.38292600000011</v>
      </c>
      <c r="AH211" s="111">
        <f>Table1[[#This Row],[£Cost / SHEET]]*(1+AH$1)</f>
        <v>744.97457700000007</v>
      </c>
      <c r="AI211" s="111">
        <f>Table1[[#This Row],[£Cost / SHEET]]*(1+AI$1)</f>
        <v>772.56622800000002</v>
      </c>
      <c r="AJ211" s="111">
        <f>Table1[[#This Row],[£Cost / SHEET]]*(1+AJ$1)</f>
        <v>827.74953000000005</v>
      </c>
      <c r="AK211" s="222">
        <f>(Table1[[#This Row],[Qty 1]]*IF(Table1[[#This Row],[Dimension L1]]&lt;1,(Table1[[#This Row],[Length]]*Table1[[#This Row],[Width]]),(Table1[[#This Row],[Dimension L1]]*Table1[[#This Row],[Dimension W1]])))/1000000</f>
        <v>1.0908</v>
      </c>
      <c r="AL211" s="121"/>
    </row>
    <row r="212" spans="2:38" ht="25.35" customHeight="1">
      <c r="B212" s="7" t="s">
        <v>24</v>
      </c>
      <c r="C212" s="7" t="str">
        <f t="shared" si="14"/>
        <v>PL_25_2060_1920</v>
      </c>
      <c r="D212" s="7" t="str">
        <f>_xlfn.CONCAT(Table1[[#This Row],[ProductRecord.AccountReference]]," @ ",Table1[[#This Row],[KG/M2]],$H$2)</f>
        <v>PL_25_2060_1920 @ 196.25Kg/m2</v>
      </c>
      <c r="E212" s="27">
        <v>2060</v>
      </c>
      <c r="F212" s="27">
        <v>1920</v>
      </c>
      <c r="G212" s="32">
        <v>25</v>
      </c>
      <c r="H212" s="109">
        <f>G212*[1]Density!$D$6/1000</f>
        <v>196.25</v>
      </c>
      <c r="I212" s="161">
        <f t="shared" si="13"/>
        <v>776.20799999999997</v>
      </c>
      <c r="J212" s="164">
        <v>5000</v>
      </c>
      <c r="K212" s="165">
        <v>2780</v>
      </c>
      <c r="L212" s="165">
        <v>1</v>
      </c>
      <c r="M212" s="196" t="s">
        <v>306</v>
      </c>
      <c r="N212" s="164">
        <v>1720</v>
      </c>
      <c r="O212" s="202">
        <v>300</v>
      </c>
      <c r="P212" s="202">
        <v>1</v>
      </c>
      <c r="Q212" s="203" t="s">
        <v>239</v>
      </c>
      <c r="R212" s="201"/>
      <c r="S212" s="202"/>
      <c r="T212" s="202"/>
      <c r="U212" s="203"/>
      <c r="Z212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2829.14</v>
      </c>
      <c r="AA212" s="17">
        <f t="shared" si="20"/>
        <v>1496.6150599999999</v>
      </c>
      <c r="AB212" s="17"/>
      <c r="AC212" s="10">
        <v>529</v>
      </c>
      <c r="AD212" s="10">
        <f>Table1[[#This Row],[£/Tonne]]/1000*Table1[[#This Row],[KG/M2]]</f>
        <v>103.81625000000001</v>
      </c>
      <c r="AE212" s="10">
        <f>Table1[[#This Row],[£/Tonne]]/1000*Table1[[#This Row],[Kg/ Sheet]]</f>
        <v>410.61403200000001</v>
      </c>
      <c r="AF212" s="10"/>
      <c r="AG212" s="111">
        <f>Table1[[#This Row],[£Cost / SHEET]]*(1+AG$1)</f>
        <v>533.79824159999998</v>
      </c>
      <c r="AH212" s="111">
        <f>Table1[[#This Row],[£Cost / SHEET]]*(1+AH$1)</f>
        <v>554.32894320000003</v>
      </c>
      <c r="AI212" s="111">
        <f>Table1[[#This Row],[£Cost / SHEET]]*(1+AI$1)</f>
        <v>574.85964479999996</v>
      </c>
      <c r="AJ212" s="111">
        <f>Table1[[#This Row],[£Cost / SHEET]]*(1+AJ$1)</f>
        <v>615.92104800000004</v>
      </c>
      <c r="AK212" s="222">
        <f>(Table1[[#This Row],[Qty 1]]*IF(Table1[[#This Row],[Dimension L1]]&lt;1,(Table1[[#This Row],[Length]]*Table1[[#This Row],[Width]]),(Table1[[#This Row],[Dimension L1]]*Table1[[#This Row],[Dimension W1]])))/1000000</f>
        <v>13.9</v>
      </c>
      <c r="AL212" s="121"/>
    </row>
    <row r="213" spans="2:38" ht="25.35" customHeight="1">
      <c r="B213" s="7" t="s">
        <v>24</v>
      </c>
      <c r="C213" s="7" t="str">
        <f t="shared" si="14"/>
        <v>PL_20_860_380</v>
      </c>
      <c r="D213" s="7" t="str">
        <f>_xlfn.CONCAT(Table1[[#This Row],[ProductRecord.AccountReference]]," @ ",Table1[[#This Row],[KG/M2]],$H$2)</f>
        <v>PL_20_860_380 @ 157Kg/m2</v>
      </c>
      <c r="E213" s="27">
        <v>860</v>
      </c>
      <c r="F213" s="27">
        <v>380</v>
      </c>
      <c r="G213" s="32">
        <v>20</v>
      </c>
      <c r="H213" s="109">
        <f>G213*[1]Density!$D$6/1000</f>
        <v>157</v>
      </c>
      <c r="I213" s="161">
        <f t="shared" si="13"/>
        <v>51.307600000000001</v>
      </c>
      <c r="J213" s="164"/>
      <c r="K213" s="165"/>
      <c r="L213" s="165">
        <v>1</v>
      </c>
      <c r="M213" s="196" t="s">
        <v>308</v>
      </c>
      <c r="N213" s="164"/>
      <c r="O213" s="202"/>
      <c r="P213" s="202"/>
      <c r="Q213" s="203"/>
      <c r="R213" s="201"/>
      <c r="S213" s="202"/>
      <c r="T213" s="202"/>
      <c r="U213" s="203"/>
      <c r="Z213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51.307599999999994</v>
      </c>
      <c r="AA213" s="17">
        <f t="shared" si="20"/>
        <v>43.560152399999993</v>
      </c>
      <c r="AB213" s="17"/>
      <c r="AC213" s="10">
        <f>AC214</f>
        <v>849</v>
      </c>
      <c r="AD213" s="10">
        <f>Table1[[#This Row],[£/Tonne]]/1000*Table1[[#This Row],[KG/M2]]</f>
        <v>133.29300000000001</v>
      </c>
      <c r="AE213" s="10">
        <f>Table1[[#This Row],[£/Tonne]]/1000*Table1[[#This Row],[Kg/ Sheet]]</f>
        <v>43.5601524</v>
      </c>
      <c r="AF213" s="10"/>
      <c r="AG213" s="111">
        <f>Table1[[#This Row],[£Cost / SHEET]]*(1+AG$1)</f>
        <v>56.62819812</v>
      </c>
      <c r="AH213" s="111">
        <f>Table1[[#This Row],[£Cost / SHEET]]*(1+AH$1)</f>
        <v>58.806205740000003</v>
      </c>
      <c r="AI213" s="111">
        <f>Table1[[#This Row],[£Cost / SHEET]]*(1+AI$1)</f>
        <v>60.984213359999998</v>
      </c>
      <c r="AJ213" s="111">
        <f>Table1[[#This Row],[£Cost / SHEET]]*(1+AJ$1)</f>
        <v>65.340228600000003</v>
      </c>
      <c r="AK213" s="222">
        <f>(Table1[[#This Row],[Qty 1]]*IF(Table1[[#This Row],[Dimension L1]]&lt;1,(Table1[[#This Row],[Length]]*Table1[[#This Row],[Width]]),(Table1[[#This Row],[Dimension L1]]*Table1[[#This Row],[Dimension W1]])))/1000000</f>
        <v>0.32679999999999998</v>
      </c>
      <c r="AL213" s="121"/>
    </row>
    <row r="214" spans="2:38" ht="25.35" customHeight="1">
      <c r="B214" s="7" t="s">
        <v>24</v>
      </c>
      <c r="C214" s="7" t="str">
        <f t="shared" si="14"/>
        <v>PL_20_1500_480</v>
      </c>
      <c r="D214" s="7" t="str">
        <f>_xlfn.CONCAT(Table1[[#This Row],[ProductRecord.AccountReference]]," @ ",Table1[[#This Row],[KG/M2]],$H$2)</f>
        <v>PL_20_1500_480 @ 157Kg/m2</v>
      </c>
      <c r="E214" s="27">
        <v>1500</v>
      </c>
      <c r="F214" s="27">
        <v>480</v>
      </c>
      <c r="G214" s="32">
        <v>20</v>
      </c>
      <c r="H214" s="109">
        <f>G214*[1]Density!$D$6/1000</f>
        <v>157</v>
      </c>
      <c r="I214" s="161">
        <f t="shared" si="13"/>
        <v>113.04</v>
      </c>
      <c r="J214" s="164"/>
      <c r="K214" s="165"/>
      <c r="L214" s="165">
        <v>1</v>
      </c>
      <c r="M214" s="196" t="s">
        <v>308</v>
      </c>
      <c r="N214" s="164"/>
      <c r="O214" s="202"/>
      <c r="P214" s="202"/>
      <c r="Q214" s="203"/>
      <c r="R214" s="201"/>
      <c r="S214" s="202"/>
      <c r="T214" s="202"/>
      <c r="U214" s="203"/>
      <c r="Z214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113.03999999999999</v>
      </c>
      <c r="AA214" s="17">
        <f t="shared" si="20"/>
        <v>95.970959999999991</v>
      </c>
      <c r="AB214" s="17"/>
      <c r="AC214" s="218">
        <v>849</v>
      </c>
      <c r="AD214" s="10">
        <f>Table1[[#This Row],[£/Tonne]]/1000*Table1[[#This Row],[KG/M2]]</f>
        <v>133.29300000000001</v>
      </c>
      <c r="AE214" s="10">
        <f>Table1[[#This Row],[£/Tonne]]/1000*Table1[[#This Row],[Kg/ Sheet]]</f>
        <v>95.970960000000005</v>
      </c>
      <c r="AF214" s="10"/>
      <c r="AG214" s="111">
        <f>Table1[[#This Row],[£Cost / SHEET]]*(1+AG$1)</f>
        <v>124.76224800000001</v>
      </c>
      <c r="AH214" s="111">
        <f>Table1[[#This Row],[£Cost / SHEET]]*(1+AH$1)</f>
        <v>129.56079600000001</v>
      </c>
      <c r="AI214" s="111">
        <f>Table1[[#This Row],[£Cost / SHEET]]*(1+AI$1)</f>
        <v>134.35934399999999</v>
      </c>
      <c r="AJ214" s="111">
        <f>Table1[[#This Row],[£Cost / SHEET]]*(1+AJ$1)</f>
        <v>143.95644000000001</v>
      </c>
      <c r="AK214" s="222">
        <f>(Table1[[#This Row],[Qty 1]]*IF(Table1[[#This Row],[Dimension L1]]&lt;1,(Table1[[#This Row],[Length]]*Table1[[#This Row],[Width]]),(Table1[[#This Row],[Dimension L1]]*Table1[[#This Row],[Dimension W1]])))/1000000</f>
        <v>0.72</v>
      </c>
      <c r="AL214" s="121"/>
    </row>
    <row r="215" spans="2:38" ht="25.35" customHeight="1">
      <c r="B215" s="7" t="s">
        <v>24</v>
      </c>
      <c r="C215" s="7" t="str">
        <f t="shared" si="14"/>
        <v>PL_20_1000_130</v>
      </c>
      <c r="D215" s="7" t="str">
        <f>_xlfn.CONCAT(Table1[[#This Row],[ProductRecord.AccountReference]]," @ ",Table1[[#This Row],[KG/M2]],$H$2)</f>
        <v>PL_20_1000_130 @ 157Kg/m2</v>
      </c>
      <c r="E215" s="27">
        <v>1000</v>
      </c>
      <c r="F215" s="27">
        <v>130</v>
      </c>
      <c r="G215" s="32">
        <v>20</v>
      </c>
      <c r="H215" s="109">
        <f>G215*[1]Density!$D$6/1000</f>
        <v>157</v>
      </c>
      <c r="I215" s="161">
        <f t="shared" si="13"/>
        <v>20.41</v>
      </c>
      <c r="J215" s="164"/>
      <c r="K215" s="165"/>
      <c r="L215" s="165">
        <v>1</v>
      </c>
      <c r="M215" s="196" t="s">
        <v>308</v>
      </c>
      <c r="N215" s="164">
        <v>1700</v>
      </c>
      <c r="O215" s="202">
        <v>1100</v>
      </c>
      <c r="P215" s="202">
        <v>1</v>
      </c>
      <c r="Q215" s="203" t="s">
        <v>308</v>
      </c>
      <c r="R215" s="201"/>
      <c r="S215" s="202"/>
      <c r="T215" s="202"/>
      <c r="U215" s="203"/>
      <c r="Z215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314</v>
      </c>
      <c r="AA215" s="17">
        <f t="shared" si="20"/>
        <v>266.58600000000001</v>
      </c>
      <c r="AB215" s="17"/>
      <c r="AC215" s="10">
        <f>AC214</f>
        <v>849</v>
      </c>
      <c r="AD215" s="10">
        <f>Table1[[#This Row],[£/Tonne]]/1000*Table1[[#This Row],[KG/M2]]</f>
        <v>133.29300000000001</v>
      </c>
      <c r="AE215" s="10">
        <f>Table1[[#This Row],[£/Tonne]]/1000*Table1[[#This Row],[Kg/ Sheet]]</f>
        <v>17.32809</v>
      </c>
      <c r="AF215" s="10"/>
      <c r="AG215" s="111">
        <f>Table1[[#This Row],[£Cost / SHEET]]*(1+AG$1)</f>
        <v>22.526517000000002</v>
      </c>
      <c r="AH215" s="111">
        <f>Table1[[#This Row],[£Cost / SHEET]]*(1+AH$1)</f>
        <v>23.3929215</v>
      </c>
      <c r="AI215" s="111">
        <f>Table1[[#This Row],[£Cost / SHEET]]*(1+AI$1)</f>
        <v>24.259325999999998</v>
      </c>
      <c r="AJ215" s="111">
        <f>Table1[[#This Row],[£Cost / SHEET]]*(1+AJ$1)</f>
        <v>25.992134999999998</v>
      </c>
      <c r="AK215" s="222">
        <f>(Table1[[#This Row],[Qty 1]]*IF(Table1[[#This Row],[Dimension L1]]&lt;1,(Table1[[#This Row],[Length]]*Table1[[#This Row],[Width]]),(Table1[[#This Row],[Dimension L1]]*Table1[[#This Row],[Dimension W1]])))/1000000</f>
        <v>0.13</v>
      </c>
      <c r="AL215" s="121"/>
    </row>
    <row r="216" spans="2:38" ht="25.35" customHeight="1">
      <c r="B216" s="7" t="s">
        <v>24</v>
      </c>
      <c r="C216" s="7" t="str">
        <f t="shared" si="14"/>
        <v>PL_20_1030_610</v>
      </c>
      <c r="D216" s="7" t="str">
        <f>_xlfn.CONCAT(Table1[[#This Row],[ProductRecord.AccountReference]]," @ ",Table1[[#This Row],[KG/M2]],$H$2)</f>
        <v>PL_20_1030_610 @ 157Kg/m2</v>
      </c>
      <c r="E216" s="27">
        <v>1030</v>
      </c>
      <c r="F216" s="27">
        <v>610</v>
      </c>
      <c r="G216" s="32">
        <v>20</v>
      </c>
      <c r="H216" s="109">
        <f>G216*[1]Density!$D$6/1000</f>
        <v>157</v>
      </c>
      <c r="I216" s="161">
        <f t="shared" si="13"/>
        <v>98.643100000000004</v>
      </c>
      <c r="J216" s="164"/>
      <c r="K216" s="165"/>
      <c r="L216" s="165">
        <v>1</v>
      </c>
      <c r="M216" s="196" t="s">
        <v>239</v>
      </c>
      <c r="N216" s="164"/>
      <c r="O216" s="202"/>
      <c r="P216" s="202"/>
      <c r="Q216" s="203"/>
      <c r="R216" s="201"/>
      <c r="S216" s="202"/>
      <c r="T216" s="202"/>
      <c r="U216" s="203"/>
      <c r="Z216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98.64309999999999</v>
      </c>
      <c r="AA216" s="17">
        <f t="shared" si="20"/>
        <v>83.747991899999988</v>
      </c>
      <c r="AB216" s="17"/>
      <c r="AC216" s="10">
        <f>AC215</f>
        <v>849</v>
      </c>
      <c r="AD216" s="10">
        <f>Table1[[#This Row],[£/Tonne]]/1000*Table1[[#This Row],[KG/M2]]</f>
        <v>133.29300000000001</v>
      </c>
      <c r="AE216" s="10">
        <f>Table1[[#This Row],[£/Tonne]]/1000*Table1[[#This Row],[Kg/ Sheet]]</f>
        <v>83.747991900000002</v>
      </c>
      <c r="AF216" s="10"/>
      <c r="AG216" s="111">
        <f>Table1[[#This Row],[£Cost / SHEET]]*(1+AG$1)</f>
        <v>108.87238947</v>
      </c>
      <c r="AH216" s="111">
        <f>Table1[[#This Row],[£Cost / SHEET]]*(1+AH$1)</f>
        <v>113.059789065</v>
      </c>
      <c r="AI216" s="111">
        <f>Table1[[#This Row],[£Cost / SHEET]]*(1+AI$1)</f>
        <v>117.24718865999999</v>
      </c>
      <c r="AJ216" s="111">
        <f>Table1[[#This Row],[£Cost / SHEET]]*(1+AJ$1)</f>
        <v>125.62198785000001</v>
      </c>
      <c r="AK216" s="222">
        <f>(Table1[[#This Row],[Qty 1]]*IF(Table1[[#This Row],[Dimension L1]]&lt;1,(Table1[[#This Row],[Length]]*Table1[[#This Row],[Width]]),(Table1[[#This Row],[Dimension L1]]*Table1[[#This Row],[Dimension W1]])))/1000000</f>
        <v>0.62829999999999997</v>
      </c>
      <c r="AL216" s="121"/>
    </row>
    <row r="217" spans="2:38" ht="25.35" customHeight="1">
      <c r="B217" s="7" t="s">
        <v>24</v>
      </c>
      <c r="C217" s="7" t="str">
        <f t="shared" ref="C217:C245" si="21">_xlfn.CONCAT(B217,"_",G217,"_",E217,"_",F217,"")</f>
        <v>PL_20_1720_140</v>
      </c>
      <c r="D217" s="7" t="str">
        <f>_xlfn.CONCAT(Table1[[#This Row],[ProductRecord.AccountReference]]," @ ",Table1[[#This Row],[KG/M2]],$H$2)</f>
        <v>PL_20_1720_140 @ 157Kg/m2</v>
      </c>
      <c r="E217" s="27">
        <v>1720</v>
      </c>
      <c r="F217" s="27">
        <v>140</v>
      </c>
      <c r="G217" s="32">
        <v>20</v>
      </c>
      <c r="H217" s="109">
        <f>G217*[1]Density!$D$6/1000</f>
        <v>157</v>
      </c>
      <c r="I217" s="161">
        <f t="shared" ref="I217:I245" si="22">E217*F217*H217/1000000</f>
        <v>37.805599999999998</v>
      </c>
      <c r="J217" s="164"/>
      <c r="K217" s="165"/>
      <c r="L217" s="165">
        <v>1</v>
      </c>
      <c r="M217" s="196" t="s">
        <v>239</v>
      </c>
      <c r="N217" s="164"/>
      <c r="O217" s="202"/>
      <c r="P217" s="202"/>
      <c r="Q217" s="203"/>
      <c r="R217" s="201"/>
      <c r="S217" s="202"/>
      <c r="T217" s="202"/>
      <c r="U217" s="203"/>
      <c r="Z217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37.805599999999998</v>
      </c>
      <c r="AA217" s="17">
        <f t="shared" si="20"/>
        <v>35.121402400000001</v>
      </c>
      <c r="AB217" s="17"/>
      <c r="AC217" s="10">
        <f>AC222</f>
        <v>929</v>
      </c>
      <c r="AD217" s="10">
        <f>Table1[[#This Row],[£/Tonne]]/1000*Table1[[#This Row],[KG/M2]]</f>
        <v>145.85300000000001</v>
      </c>
      <c r="AE217" s="10">
        <f>Table1[[#This Row],[£/Tonne]]/1000*Table1[[#This Row],[Kg/ Sheet]]</f>
        <v>35.121402400000001</v>
      </c>
      <c r="AF217" s="10"/>
      <c r="AG217" s="111">
        <f>Table1[[#This Row],[£Cost / SHEET]]*(1+AG$1)</f>
        <v>45.657823120000003</v>
      </c>
      <c r="AH217" s="111">
        <f>Table1[[#This Row],[£Cost / SHEET]]*(1+AH$1)</f>
        <v>47.413893240000007</v>
      </c>
      <c r="AI217" s="111">
        <f>Table1[[#This Row],[£Cost / SHEET]]*(1+AI$1)</f>
        <v>49.169963359999997</v>
      </c>
      <c r="AJ217" s="111">
        <f>Table1[[#This Row],[£Cost / SHEET]]*(1+AJ$1)</f>
        <v>52.682103600000005</v>
      </c>
      <c r="AK217" s="222">
        <f>(Table1[[#This Row],[Qty 1]]*IF(Table1[[#This Row],[Dimension L1]]&lt;1,(Table1[[#This Row],[Length]]*Table1[[#This Row],[Width]]),(Table1[[#This Row],[Dimension L1]]*Table1[[#This Row],[Dimension W1]])))/1000000</f>
        <v>0.24079999999999999</v>
      </c>
      <c r="AL217" s="121"/>
    </row>
    <row r="218" spans="2:38" ht="25.35" customHeight="1">
      <c r="B218" s="7" t="s">
        <v>24</v>
      </c>
      <c r="C218" s="7" t="str">
        <f t="shared" si="21"/>
        <v>PL_20_1750_1550</v>
      </c>
      <c r="D218" s="7" t="str">
        <f>_xlfn.CONCAT(Table1[[#This Row],[ProductRecord.AccountReference]]," @ ",Table1[[#This Row],[KG/M2]],$H$2)</f>
        <v>PL_20_1750_1550 @ 157Kg/m2</v>
      </c>
      <c r="E218" s="27">
        <v>1750</v>
      </c>
      <c r="F218" s="27">
        <v>1550</v>
      </c>
      <c r="G218" s="32">
        <v>20</v>
      </c>
      <c r="H218" s="109">
        <f>G218*[1]Density!$D$6/1000</f>
        <v>157</v>
      </c>
      <c r="I218" s="161">
        <f t="shared" si="22"/>
        <v>425.86250000000001</v>
      </c>
      <c r="J218" s="164"/>
      <c r="K218" s="165"/>
      <c r="L218" s="165">
        <v>1</v>
      </c>
      <c r="M218" s="196" t="s">
        <v>308</v>
      </c>
      <c r="N218" s="164"/>
      <c r="O218" s="202"/>
      <c r="P218" s="202"/>
      <c r="Q218" s="203"/>
      <c r="R218" s="201"/>
      <c r="S218" s="202"/>
      <c r="T218" s="202"/>
      <c r="U218" s="203"/>
      <c r="Z218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425.86250000000001</v>
      </c>
      <c r="AA218" s="17">
        <f t="shared" si="20"/>
        <v>395.62626250000005</v>
      </c>
      <c r="AB218" s="17"/>
      <c r="AC218" s="10">
        <f>AC222</f>
        <v>929</v>
      </c>
      <c r="AD218" s="10">
        <f>Table1[[#This Row],[£/Tonne]]/1000*Table1[[#This Row],[KG/M2]]</f>
        <v>145.85300000000001</v>
      </c>
      <c r="AE218" s="10">
        <f>Table1[[#This Row],[£/Tonne]]/1000*Table1[[#This Row],[Kg/ Sheet]]</f>
        <v>395.62626250000005</v>
      </c>
      <c r="AF218" s="10"/>
      <c r="AG218" s="111">
        <f>Table1[[#This Row],[£Cost / SHEET]]*(1+AG$1)</f>
        <v>514.31414125000003</v>
      </c>
      <c r="AH218" s="111">
        <f>Table1[[#This Row],[£Cost / SHEET]]*(1+AH$1)</f>
        <v>534.09545437500014</v>
      </c>
      <c r="AI218" s="111">
        <f>Table1[[#This Row],[£Cost / SHEET]]*(1+AI$1)</f>
        <v>553.87676750000003</v>
      </c>
      <c r="AJ218" s="111">
        <f>Table1[[#This Row],[£Cost / SHEET]]*(1+AJ$1)</f>
        <v>593.43939375000014</v>
      </c>
      <c r="AK218" s="222">
        <f>(Table1[[#This Row],[Qty 1]]*IF(Table1[[#This Row],[Dimension L1]]&lt;1,(Table1[[#This Row],[Length]]*Table1[[#This Row],[Width]]),(Table1[[#This Row],[Dimension L1]]*Table1[[#This Row],[Dimension W1]])))/1000000</f>
        <v>2.7124999999999999</v>
      </c>
      <c r="AL218" s="121"/>
    </row>
    <row r="219" spans="2:38" ht="25.35" customHeight="1">
      <c r="B219" s="7" t="s">
        <v>24</v>
      </c>
      <c r="C219" s="7" t="str">
        <f t="shared" si="21"/>
        <v>PL_20_1780_650</v>
      </c>
      <c r="D219" s="7" t="str">
        <f>_xlfn.CONCAT(Table1[[#This Row],[ProductRecord.AccountReference]]," @ ",Table1[[#This Row],[KG/M2]],$H$2)</f>
        <v>PL_20_1780_650 @ 157Kg/m2</v>
      </c>
      <c r="E219" s="27">
        <v>1780</v>
      </c>
      <c r="F219" s="27">
        <v>650</v>
      </c>
      <c r="G219" s="32">
        <v>20</v>
      </c>
      <c r="H219" s="109">
        <f>G219*[1]Density!$D$6/1000</f>
        <v>157</v>
      </c>
      <c r="I219" s="161">
        <f t="shared" si="22"/>
        <v>181.649</v>
      </c>
      <c r="J219" s="164"/>
      <c r="K219" s="165"/>
      <c r="L219" s="165">
        <v>1</v>
      </c>
      <c r="M219" s="196" t="s">
        <v>308</v>
      </c>
      <c r="N219" s="164"/>
      <c r="O219" s="202"/>
      <c r="P219" s="202"/>
      <c r="Q219" s="203"/>
      <c r="R219" s="201"/>
      <c r="S219" s="202"/>
      <c r="T219" s="202"/>
      <c r="U219" s="203"/>
      <c r="Z219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181.649</v>
      </c>
      <c r="AA219" s="17">
        <f t="shared" si="20"/>
        <v>168.75192100000001</v>
      </c>
      <c r="AB219" s="17"/>
      <c r="AC219" s="10">
        <f>AC222</f>
        <v>929</v>
      </c>
      <c r="AD219" s="10">
        <f>Table1[[#This Row],[£/Tonne]]/1000*Table1[[#This Row],[KG/M2]]</f>
        <v>145.85300000000001</v>
      </c>
      <c r="AE219" s="10">
        <f>Table1[[#This Row],[£/Tonne]]/1000*Table1[[#This Row],[Kg/ Sheet]]</f>
        <v>168.75192100000001</v>
      </c>
      <c r="AF219" s="10"/>
      <c r="AG219" s="111">
        <f>Table1[[#This Row],[£Cost / SHEET]]*(1+AG$1)</f>
        <v>219.37749730000002</v>
      </c>
      <c r="AH219" s="111">
        <f>Table1[[#This Row],[£Cost / SHEET]]*(1+AH$1)</f>
        <v>227.81509335000004</v>
      </c>
      <c r="AI219" s="111">
        <f>Table1[[#This Row],[£Cost / SHEET]]*(1+AI$1)</f>
        <v>236.25268940000001</v>
      </c>
      <c r="AJ219" s="111">
        <f>Table1[[#This Row],[£Cost / SHEET]]*(1+AJ$1)</f>
        <v>253.1278815</v>
      </c>
      <c r="AK219" s="222">
        <f>(Table1[[#This Row],[Qty 1]]*IF(Table1[[#This Row],[Dimension L1]]&lt;1,(Table1[[#This Row],[Length]]*Table1[[#This Row],[Width]]),(Table1[[#This Row],[Dimension L1]]*Table1[[#This Row],[Dimension W1]])))/1000000</f>
        <v>1.157</v>
      </c>
      <c r="AL219" s="121"/>
    </row>
    <row r="220" spans="2:38" ht="25.35" customHeight="1">
      <c r="B220" s="7" t="s">
        <v>24</v>
      </c>
      <c r="C220" s="7" t="str">
        <f t="shared" si="21"/>
        <v>PL_20_2100_280</v>
      </c>
      <c r="D220" s="7" t="str">
        <f>_xlfn.CONCAT(Table1[[#This Row],[ProductRecord.AccountReference]]," @ ",Table1[[#This Row],[KG/M2]],$H$2)</f>
        <v>PL_20_2100_280 @ 157Kg/m2</v>
      </c>
      <c r="E220" s="27">
        <v>2100</v>
      </c>
      <c r="F220" s="27">
        <v>280</v>
      </c>
      <c r="G220" s="32">
        <v>20</v>
      </c>
      <c r="H220" s="109">
        <f>G220*[1]Density!$D$6/1000</f>
        <v>157</v>
      </c>
      <c r="I220" s="161">
        <f t="shared" si="22"/>
        <v>92.316000000000003</v>
      </c>
      <c r="J220" s="164"/>
      <c r="K220" s="165"/>
      <c r="L220" s="165">
        <v>1</v>
      </c>
      <c r="M220" s="196" t="s">
        <v>308</v>
      </c>
      <c r="N220" s="164"/>
      <c r="O220" s="202"/>
      <c r="P220" s="202"/>
      <c r="Q220" s="203"/>
      <c r="R220" s="201"/>
      <c r="S220" s="202"/>
      <c r="T220" s="202"/>
      <c r="U220" s="203"/>
      <c r="Z220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92.315999999999988</v>
      </c>
      <c r="AA220" s="17">
        <f t="shared" si="20"/>
        <v>85.761563999999979</v>
      </c>
      <c r="AB220" s="17"/>
      <c r="AC220" s="10">
        <f>AC222</f>
        <v>929</v>
      </c>
      <c r="AD220" s="10">
        <f>Table1[[#This Row],[£/Tonne]]/1000*Table1[[#This Row],[KG/M2]]</f>
        <v>145.85300000000001</v>
      </c>
      <c r="AE220" s="10">
        <f>Table1[[#This Row],[£/Tonne]]/1000*Table1[[#This Row],[Kg/ Sheet]]</f>
        <v>85.761564000000007</v>
      </c>
      <c r="AF220" s="10"/>
      <c r="AG220" s="111">
        <f>Table1[[#This Row],[£Cost / SHEET]]*(1+AG$1)</f>
        <v>111.49003320000001</v>
      </c>
      <c r="AH220" s="111">
        <f>Table1[[#This Row],[£Cost / SHEET]]*(1+AH$1)</f>
        <v>115.77811140000001</v>
      </c>
      <c r="AI220" s="111">
        <f>Table1[[#This Row],[£Cost / SHEET]]*(1+AI$1)</f>
        <v>120.0661896</v>
      </c>
      <c r="AJ220" s="111">
        <f>Table1[[#This Row],[£Cost / SHEET]]*(1+AJ$1)</f>
        <v>128.642346</v>
      </c>
      <c r="AK220" s="222">
        <f>(Table1[[#This Row],[Qty 1]]*IF(Table1[[#This Row],[Dimension L1]]&lt;1,(Table1[[#This Row],[Length]]*Table1[[#This Row],[Width]]),(Table1[[#This Row],[Dimension L1]]*Table1[[#This Row],[Dimension W1]])))/1000000</f>
        <v>0.58799999999999997</v>
      </c>
      <c r="AL220" s="121"/>
    </row>
    <row r="221" spans="2:38" ht="25.35" customHeight="1">
      <c r="B221" s="7" t="s">
        <v>24</v>
      </c>
      <c r="C221" s="7" t="str">
        <f t="shared" si="21"/>
        <v>PL_20_2500_130</v>
      </c>
      <c r="D221" s="7" t="str">
        <f>_xlfn.CONCAT(Table1[[#This Row],[ProductRecord.AccountReference]]," @ ",Table1[[#This Row],[KG/M2]],$H$2)</f>
        <v>PL_20_2500_130 @ 157Kg/m2</v>
      </c>
      <c r="E221" s="27">
        <v>2500</v>
      </c>
      <c r="F221" s="27">
        <v>130</v>
      </c>
      <c r="G221" s="32">
        <v>20</v>
      </c>
      <c r="H221" s="109">
        <f>G221*[1]Density!$D$6/1000</f>
        <v>157</v>
      </c>
      <c r="I221" s="161">
        <f t="shared" si="22"/>
        <v>51.024999999999999</v>
      </c>
      <c r="J221" s="164"/>
      <c r="K221" s="165"/>
      <c r="L221" s="165">
        <v>1</v>
      </c>
      <c r="M221" s="196" t="s">
        <v>308</v>
      </c>
      <c r="N221" s="164"/>
      <c r="O221" s="202"/>
      <c r="P221" s="202"/>
      <c r="Q221" s="203"/>
      <c r="R221" s="201"/>
      <c r="S221" s="202"/>
      <c r="T221" s="202"/>
      <c r="U221" s="203"/>
      <c r="Z221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51.024999999999999</v>
      </c>
      <c r="AA221" s="17">
        <f t="shared" si="20"/>
        <v>47.402225000000001</v>
      </c>
      <c r="AB221" s="17"/>
      <c r="AC221" s="10">
        <f>AC222</f>
        <v>929</v>
      </c>
      <c r="AD221" s="10">
        <f>Table1[[#This Row],[£/Tonne]]/1000*Table1[[#This Row],[KG/M2]]</f>
        <v>145.85300000000001</v>
      </c>
      <c r="AE221" s="10">
        <f>Table1[[#This Row],[£/Tonne]]/1000*Table1[[#This Row],[Kg/ Sheet]]</f>
        <v>47.402225000000001</v>
      </c>
      <c r="AF221" s="10"/>
      <c r="AG221" s="111">
        <f>Table1[[#This Row],[£Cost / SHEET]]*(1+AG$1)</f>
        <v>61.622892500000006</v>
      </c>
      <c r="AH221" s="111">
        <f>Table1[[#This Row],[£Cost / SHEET]]*(1+AH$1)</f>
        <v>63.993003750000007</v>
      </c>
      <c r="AI221" s="111">
        <f>Table1[[#This Row],[£Cost / SHEET]]*(1+AI$1)</f>
        <v>66.363114999999993</v>
      </c>
      <c r="AJ221" s="111">
        <f>Table1[[#This Row],[£Cost / SHEET]]*(1+AJ$1)</f>
        <v>71.103337500000009</v>
      </c>
      <c r="AK221" s="222">
        <f>(Table1[[#This Row],[Qty 1]]*IF(Table1[[#This Row],[Dimension L1]]&lt;1,(Table1[[#This Row],[Length]]*Table1[[#This Row],[Width]]),(Table1[[#This Row],[Dimension L1]]*Table1[[#This Row],[Dimension W1]])))/1000000</f>
        <v>0.32500000000000001</v>
      </c>
      <c r="AL221" s="121"/>
    </row>
    <row r="222" spans="2:38" ht="25.35" customHeight="1">
      <c r="B222" s="7" t="s">
        <v>24</v>
      </c>
      <c r="C222" s="7" t="str">
        <f t="shared" si="21"/>
        <v>PL_20_4000_2040</v>
      </c>
      <c r="D222" s="7" t="str">
        <f>_xlfn.CONCAT(Table1[[#This Row],[ProductRecord.AccountReference]]," @ ",Table1[[#This Row],[KG/M2]],$H$2)</f>
        <v>PL_20_4000_2040 @ 157Kg/m2</v>
      </c>
      <c r="E222" s="27">
        <v>4000</v>
      </c>
      <c r="F222" s="27">
        <v>2040</v>
      </c>
      <c r="G222" s="32">
        <v>20</v>
      </c>
      <c r="H222" s="109">
        <f>G222*[1]Density!$D$6/1000</f>
        <v>157</v>
      </c>
      <c r="I222" s="161">
        <f t="shared" si="22"/>
        <v>1281.1199999999999</v>
      </c>
      <c r="J222" s="164"/>
      <c r="K222" s="165"/>
      <c r="L222" s="165">
        <v>2</v>
      </c>
      <c r="M222" s="196" t="s">
        <v>308</v>
      </c>
      <c r="N222" s="164"/>
      <c r="O222" s="202"/>
      <c r="P222" s="202"/>
      <c r="Q222" s="203"/>
      <c r="R222" s="201"/>
      <c r="S222" s="202"/>
      <c r="T222" s="202"/>
      <c r="U222" s="203"/>
      <c r="Z222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2562.2400000000002</v>
      </c>
      <c r="AA222" s="17">
        <f t="shared" si="20"/>
        <v>2380.32096</v>
      </c>
      <c r="AB222" s="17"/>
      <c r="AC222" s="218">
        <v>929</v>
      </c>
      <c r="AD222" s="10">
        <f>Table1[[#This Row],[£/Tonne]]/1000*Table1[[#This Row],[KG/M2]]</f>
        <v>145.85300000000001</v>
      </c>
      <c r="AE222" s="10">
        <f>Table1[[#This Row],[£/Tonne]]/1000*Table1[[#This Row],[Kg/ Sheet]]</f>
        <v>1190.16048</v>
      </c>
      <c r="AF222" s="10"/>
      <c r="AG222" s="111">
        <f>Table1[[#This Row],[£Cost / SHEET]]*(1+AG$1)</f>
        <v>1547.2086240000001</v>
      </c>
      <c r="AH222" s="111">
        <f>Table1[[#This Row],[£Cost / SHEET]]*(1+AH$1)</f>
        <v>1606.7166480000001</v>
      </c>
      <c r="AI222" s="111">
        <f>Table1[[#This Row],[£Cost / SHEET]]*(1+AI$1)</f>
        <v>1666.2246719999998</v>
      </c>
      <c r="AJ222" s="111">
        <f>Table1[[#This Row],[£Cost / SHEET]]*(1+AJ$1)</f>
        <v>1785.24072</v>
      </c>
      <c r="AK222" s="222">
        <f>(Table1[[#This Row],[Qty 1]]*IF(Table1[[#This Row],[Dimension L1]]&lt;1,(Table1[[#This Row],[Length]]*Table1[[#This Row],[Width]]),(Table1[[#This Row],[Dimension L1]]*Table1[[#This Row],[Dimension W1]])))/1000000</f>
        <v>16.32</v>
      </c>
      <c r="AL222" s="121"/>
    </row>
    <row r="223" spans="2:38" ht="25.35" customHeight="1">
      <c r="B223" s="7" t="s">
        <v>24</v>
      </c>
      <c r="C223" s="7" t="str">
        <f t="shared" si="21"/>
        <v>PL_25_1250_320</v>
      </c>
      <c r="D223" s="7" t="str">
        <f>_xlfn.CONCAT(Table1[[#This Row],[ProductRecord.AccountReference]]," @ ",Table1[[#This Row],[KG/M2]],$H$2)</f>
        <v>PL_25_1250_320 @ 196.25Kg/m2</v>
      </c>
      <c r="E223" s="27">
        <v>1250</v>
      </c>
      <c r="F223" s="27">
        <v>320</v>
      </c>
      <c r="G223" s="32">
        <v>25</v>
      </c>
      <c r="H223" s="109">
        <f>G223*[1]Density!$D$6/1000</f>
        <v>196.25</v>
      </c>
      <c r="I223" s="161">
        <f t="shared" si="22"/>
        <v>78.5</v>
      </c>
      <c r="J223" s="164"/>
      <c r="K223" s="165"/>
      <c r="L223" s="165">
        <v>1</v>
      </c>
      <c r="M223" s="196" t="s">
        <v>308</v>
      </c>
      <c r="N223" s="164"/>
      <c r="O223" s="202"/>
      <c r="P223" s="202"/>
      <c r="Q223" s="203"/>
      <c r="R223" s="201"/>
      <c r="S223" s="202"/>
      <c r="T223" s="202"/>
      <c r="U223" s="203"/>
      <c r="Z223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78.5</v>
      </c>
      <c r="AA223" s="17">
        <f t="shared" si="20"/>
        <v>41.526499999999999</v>
      </c>
      <c r="AB223" s="17"/>
      <c r="AC223" s="10">
        <f>AC212</f>
        <v>529</v>
      </c>
      <c r="AD223" s="10">
        <f>Table1[[#This Row],[£/Tonne]]/1000*Table1[[#This Row],[KG/M2]]</f>
        <v>103.81625000000001</v>
      </c>
      <c r="AE223" s="10">
        <f>Table1[[#This Row],[£/Tonne]]/1000*Table1[[#This Row],[Kg/ Sheet]]</f>
        <v>41.526499999999999</v>
      </c>
      <c r="AF223" s="10"/>
      <c r="AG223" s="111">
        <f>Table1[[#This Row],[£Cost / SHEET]]*(1+AG$1)</f>
        <v>53.984450000000002</v>
      </c>
      <c r="AH223" s="111">
        <f>Table1[[#This Row],[£Cost / SHEET]]*(1+AH$1)</f>
        <v>56.060775</v>
      </c>
      <c r="AI223" s="111">
        <f>Table1[[#This Row],[£Cost / SHEET]]*(1+AI$1)</f>
        <v>58.137099999999997</v>
      </c>
      <c r="AJ223" s="111">
        <f>Table1[[#This Row],[£Cost / SHEET]]*(1+AJ$1)</f>
        <v>62.289749999999998</v>
      </c>
      <c r="AK223" s="222">
        <f>(Table1[[#This Row],[Qty 1]]*IF(Table1[[#This Row],[Dimension L1]]&lt;1,(Table1[[#This Row],[Length]]*Table1[[#This Row],[Width]]),(Table1[[#This Row],[Dimension L1]]*Table1[[#This Row],[Dimension W1]])))/1000000</f>
        <v>0.4</v>
      </c>
      <c r="AL223" s="121"/>
    </row>
    <row r="224" spans="2:38" ht="25.35" customHeight="1">
      <c r="B224" s="7" t="s">
        <v>24</v>
      </c>
      <c r="C224" s="7" t="str">
        <f t="shared" si="21"/>
        <v>PL_25_1400_780</v>
      </c>
      <c r="D224" s="7" t="str">
        <f>_xlfn.CONCAT(Table1[[#This Row],[ProductRecord.AccountReference]]," @ ",Table1[[#This Row],[KG/M2]],$H$2)</f>
        <v>PL_25_1400_780 @ 196.25Kg/m2</v>
      </c>
      <c r="E224" s="27">
        <v>1400</v>
      </c>
      <c r="F224" s="27">
        <v>780</v>
      </c>
      <c r="G224" s="32">
        <v>25</v>
      </c>
      <c r="H224" s="109">
        <f>G224*[1]Density!$D$6/1000</f>
        <v>196.25</v>
      </c>
      <c r="I224" s="161">
        <f t="shared" si="22"/>
        <v>214.30500000000001</v>
      </c>
      <c r="J224" s="164"/>
      <c r="K224" s="165"/>
      <c r="L224" s="165">
        <v>1</v>
      </c>
      <c r="M224" s="196" t="s">
        <v>308</v>
      </c>
      <c r="N224" s="164"/>
      <c r="O224" s="202"/>
      <c r="P224" s="202"/>
      <c r="Q224" s="203"/>
      <c r="R224" s="201"/>
      <c r="S224" s="202"/>
      <c r="T224" s="202"/>
      <c r="U224" s="203"/>
      <c r="Z224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214.30500000000001</v>
      </c>
      <c r="AA224" s="17">
        <f t="shared" si="20"/>
        <v>113.367345</v>
      </c>
      <c r="AB224" s="17"/>
      <c r="AC224" s="10">
        <f>AC212</f>
        <v>529</v>
      </c>
      <c r="AD224" s="10">
        <f>Table1[[#This Row],[£/Tonne]]/1000*Table1[[#This Row],[KG/M2]]</f>
        <v>103.81625000000001</v>
      </c>
      <c r="AE224" s="10">
        <f>Table1[[#This Row],[£/Tonne]]/1000*Table1[[#This Row],[Kg/ Sheet]]</f>
        <v>113.36734500000001</v>
      </c>
      <c r="AF224" s="10"/>
      <c r="AG224" s="111">
        <f>Table1[[#This Row],[£Cost / SHEET]]*(1+AG$1)</f>
        <v>147.37754850000002</v>
      </c>
      <c r="AH224" s="111">
        <f>Table1[[#This Row],[£Cost / SHEET]]*(1+AH$1)</f>
        <v>153.04591575000003</v>
      </c>
      <c r="AI224" s="111">
        <f>Table1[[#This Row],[£Cost / SHEET]]*(1+AI$1)</f>
        <v>158.71428300000002</v>
      </c>
      <c r="AJ224" s="111">
        <f>Table1[[#This Row],[£Cost / SHEET]]*(1+AJ$1)</f>
        <v>170.05101750000003</v>
      </c>
      <c r="AK224" s="222">
        <f>(Table1[[#This Row],[Qty 1]]*IF(Table1[[#This Row],[Dimension L1]]&lt;1,(Table1[[#This Row],[Length]]*Table1[[#This Row],[Width]]),(Table1[[#This Row],[Dimension L1]]*Table1[[#This Row],[Dimension W1]])))/1000000</f>
        <v>1.0920000000000001</v>
      </c>
      <c r="AL224" s="121"/>
    </row>
    <row r="225" spans="2:38" ht="25.35" customHeight="1">
      <c r="B225" s="7" t="s">
        <v>24</v>
      </c>
      <c r="C225" s="7" t="str">
        <f t="shared" si="21"/>
        <v>PL_25_1620_370</v>
      </c>
      <c r="D225" s="7" t="str">
        <f>_xlfn.CONCAT(Table1[[#This Row],[ProductRecord.AccountReference]]," @ ",Table1[[#This Row],[KG/M2]],$H$2)</f>
        <v>PL_25_1620_370 @ 196.25Kg/m2</v>
      </c>
      <c r="E225" s="27">
        <v>1620</v>
      </c>
      <c r="F225" s="27">
        <v>370</v>
      </c>
      <c r="G225" s="32">
        <v>25</v>
      </c>
      <c r="H225" s="109">
        <f>G225*[1]Density!$D$6/1000</f>
        <v>196.25</v>
      </c>
      <c r="I225" s="161">
        <f t="shared" si="22"/>
        <v>117.63225</v>
      </c>
      <c r="J225" s="164"/>
      <c r="K225" s="165"/>
      <c r="L225" s="165">
        <v>1</v>
      </c>
      <c r="M225" s="196" t="s">
        <v>308</v>
      </c>
      <c r="N225" s="164"/>
      <c r="O225" s="202"/>
      <c r="P225" s="202"/>
      <c r="Q225" s="203"/>
      <c r="R225" s="201"/>
      <c r="S225" s="202"/>
      <c r="T225" s="202"/>
      <c r="U225" s="203"/>
      <c r="Z225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117.63225000000001</v>
      </c>
      <c r="AA225" s="17">
        <f t="shared" si="20"/>
        <v>62.227460250000007</v>
      </c>
      <c r="AB225" s="17"/>
      <c r="AC225" s="10">
        <f>AC212</f>
        <v>529</v>
      </c>
      <c r="AD225" s="10">
        <f>Table1[[#This Row],[£/Tonne]]/1000*Table1[[#This Row],[KG/M2]]</f>
        <v>103.81625000000001</v>
      </c>
      <c r="AE225" s="10">
        <f>Table1[[#This Row],[£/Tonne]]/1000*Table1[[#This Row],[Kg/ Sheet]]</f>
        <v>62.22746025</v>
      </c>
      <c r="AF225" s="10"/>
      <c r="AG225" s="111">
        <f>Table1[[#This Row],[£Cost / SHEET]]*(1+AG$1)</f>
        <v>80.895698324999998</v>
      </c>
      <c r="AH225" s="111">
        <f>Table1[[#This Row],[£Cost / SHEET]]*(1+AH$1)</f>
        <v>84.007071337500008</v>
      </c>
      <c r="AI225" s="111">
        <f>Table1[[#This Row],[£Cost / SHEET]]*(1+AI$1)</f>
        <v>87.11844434999999</v>
      </c>
      <c r="AJ225" s="111">
        <f>Table1[[#This Row],[£Cost / SHEET]]*(1+AJ$1)</f>
        <v>93.341190374999996</v>
      </c>
      <c r="AK225" s="222">
        <f>(Table1[[#This Row],[Qty 1]]*IF(Table1[[#This Row],[Dimension L1]]&lt;1,(Table1[[#This Row],[Length]]*Table1[[#This Row],[Width]]),(Table1[[#This Row],[Dimension L1]]*Table1[[#This Row],[Dimension W1]])))/1000000</f>
        <v>0.59940000000000004</v>
      </c>
      <c r="AL225" s="121"/>
    </row>
    <row r="226" spans="2:38" ht="25.35" customHeight="1">
      <c r="B226" s="7" t="s">
        <v>24</v>
      </c>
      <c r="C226" s="7" t="str">
        <f t="shared" si="21"/>
        <v>PL_25_2080_630</v>
      </c>
      <c r="D226" s="7" t="str">
        <f>_xlfn.CONCAT(Table1[[#This Row],[ProductRecord.AccountReference]]," @ ",Table1[[#This Row],[KG/M2]],$H$2)</f>
        <v>PL_25_2080_630 @ 196.25Kg/m2</v>
      </c>
      <c r="E226" s="27">
        <v>2080</v>
      </c>
      <c r="F226" s="27">
        <v>630</v>
      </c>
      <c r="G226" s="32">
        <v>25</v>
      </c>
      <c r="H226" s="109">
        <f>G226*[1]Density!$D$6/1000</f>
        <v>196.25</v>
      </c>
      <c r="I226" s="161">
        <f t="shared" si="22"/>
        <v>257.166</v>
      </c>
      <c r="J226" s="164"/>
      <c r="K226" s="165"/>
      <c r="L226" s="165">
        <v>1</v>
      </c>
      <c r="M226" s="196" t="s">
        <v>308</v>
      </c>
      <c r="N226" s="164"/>
      <c r="O226" s="202"/>
      <c r="P226" s="202"/>
      <c r="Q226" s="203"/>
      <c r="R226" s="201"/>
      <c r="S226" s="202"/>
      <c r="T226" s="202"/>
      <c r="U226" s="203"/>
      <c r="Z226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257.166</v>
      </c>
      <c r="AA226" s="17">
        <f t="shared" si="20"/>
        <v>136.04081400000001</v>
      </c>
      <c r="AB226" s="17"/>
      <c r="AC226" s="10">
        <f>AC212</f>
        <v>529</v>
      </c>
      <c r="AD226" s="10">
        <f>Table1[[#This Row],[£/Tonne]]/1000*Table1[[#This Row],[KG/M2]]</f>
        <v>103.81625000000001</v>
      </c>
      <c r="AE226" s="10">
        <f>Table1[[#This Row],[£/Tonne]]/1000*Table1[[#This Row],[Kg/ Sheet]]</f>
        <v>136.04081400000001</v>
      </c>
      <c r="AF226" s="10"/>
      <c r="AG226" s="111">
        <f>Table1[[#This Row],[£Cost / SHEET]]*(1+AG$1)</f>
        <v>176.85305820000002</v>
      </c>
      <c r="AH226" s="111">
        <f>Table1[[#This Row],[£Cost / SHEET]]*(1+AH$1)</f>
        <v>183.65509890000004</v>
      </c>
      <c r="AI226" s="111">
        <f>Table1[[#This Row],[£Cost / SHEET]]*(1+AI$1)</f>
        <v>190.4571396</v>
      </c>
      <c r="AJ226" s="111">
        <f>Table1[[#This Row],[£Cost / SHEET]]*(1+AJ$1)</f>
        <v>204.06122100000002</v>
      </c>
      <c r="AK226" s="222">
        <f>(Table1[[#This Row],[Qty 1]]*IF(Table1[[#This Row],[Dimension L1]]&lt;1,(Table1[[#This Row],[Length]]*Table1[[#This Row],[Width]]),(Table1[[#This Row],[Dimension L1]]*Table1[[#This Row],[Dimension W1]])))/1000000</f>
        <v>1.3104</v>
      </c>
      <c r="AL226" s="121"/>
    </row>
    <row r="227" spans="2:38" ht="25.35" customHeight="1">
      <c r="B227" s="7" t="s">
        <v>24</v>
      </c>
      <c r="C227" s="7" t="str">
        <f t="shared" si="21"/>
        <v>PL_25_3040_1550</v>
      </c>
      <c r="D227" s="7" t="str">
        <f>_xlfn.CONCAT(Table1[[#This Row],[ProductRecord.AccountReference]]," @ ",Table1[[#This Row],[KG/M2]],$H$2)</f>
        <v>PL_25_3040_1550 @ 196.25Kg/m2</v>
      </c>
      <c r="E227" s="27">
        <v>3040</v>
      </c>
      <c r="F227" s="27">
        <v>1550</v>
      </c>
      <c r="G227" s="32">
        <v>25</v>
      </c>
      <c r="H227" s="109">
        <f>G227*[1]Density!$D$6/1000</f>
        <v>196.25</v>
      </c>
      <c r="I227" s="161">
        <f t="shared" si="22"/>
        <v>924.73</v>
      </c>
      <c r="J227" s="164"/>
      <c r="K227" s="165"/>
      <c r="L227" s="165">
        <v>1</v>
      </c>
      <c r="M227" s="196" t="s">
        <v>308</v>
      </c>
      <c r="N227" s="164"/>
      <c r="O227" s="202"/>
      <c r="P227" s="202"/>
      <c r="Q227" s="203"/>
      <c r="R227" s="201"/>
      <c r="S227" s="202"/>
      <c r="T227" s="202"/>
      <c r="U227" s="203"/>
      <c r="Z227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924.7299999999999</v>
      </c>
      <c r="AA227" s="17">
        <f t="shared" si="20"/>
        <v>831.33226999999999</v>
      </c>
      <c r="AB227" s="17"/>
      <c r="AC227" s="218">
        <v>899</v>
      </c>
      <c r="AD227" s="10">
        <f>Table1[[#This Row],[£/Tonne]]/1000*Table1[[#This Row],[KG/M2]]</f>
        <v>176.42875000000001</v>
      </c>
      <c r="AE227" s="10">
        <f>Table1[[#This Row],[£/Tonne]]/1000*Table1[[#This Row],[Kg/ Sheet]]</f>
        <v>831.33226999999999</v>
      </c>
      <c r="AF227" s="10"/>
      <c r="AG227" s="111">
        <f>Table1[[#This Row],[£Cost / SHEET]]*(1+AG$1)</f>
        <v>1080.731951</v>
      </c>
      <c r="AH227" s="111">
        <f>Table1[[#This Row],[£Cost / SHEET]]*(1+AH$1)</f>
        <v>1122.2985645000001</v>
      </c>
      <c r="AI227" s="111">
        <f>Table1[[#This Row],[£Cost / SHEET]]*(1+AI$1)</f>
        <v>1163.865178</v>
      </c>
      <c r="AJ227" s="111">
        <f>Table1[[#This Row],[£Cost / SHEET]]*(1+AJ$1)</f>
        <v>1246.998405</v>
      </c>
      <c r="AK227" s="222">
        <f>(Table1[[#This Row],[Qty 1]]*IF(Table1[[#This Row],[Dimension L1]]&lt;1,(Table1[[#This Row],[Length]]*Table1[[#This Row],[Width]]),(Table1[[#This Row],[Dimension L1]]*Table1[[#This Row],[Dimension W1]])))/1000000</f>
        <v>4.7119999999999997</v>
      </c>
      <c r="AL227" s="121"/>
    </row>
    <row r="228" spans="2:38" ht="25.35" customHeight="1">
      <c r="B228" s="7" t="s">
        <v>24</v>
      </c>
      <c r="C228" s="7" t="str">
        <f t="shared" si="21"/>
        <v>PL_25_4050_1970</v>
      </c>
      <c r="D228" s="7" t="str">
        <f>_xlfn.CONCAT(Table1[[#This Row],[ProductRecord.AccountReference]]," @ ",Table1[[#This Row],[KG/M2]],$H$2)</f>
        <v>PL_25_4050_1970 @ 196.25Kg/m2</v>
      </c>
      <c r="E228" s="27">
        <v>4050</v>
      </c>
      <c r="F228" s="27">
        <v>1970</v>
      </c>
      <c r="G228" s="32">
        <v>25</v>
      </c>
      <c r="H228" s="109">
        <f>G228*[1]Density!$D$6/1000</f>
        <v>196.25</v>
      </c>
      <c r="I228" s="161">
        <f t="shared" si="22"/>
        <v>1565.7806250000001</v>
      </c>
      <c r="J228" s="164"/>
      <c r="K228" s="165"/>
      <c r="L228" s="165">
        <v>1</v>
      </c>
      <c r="M228" s="196" t="s">
        <v>308</v>
      </c>
      <c r="N228" s="164"/>
      <c r="O228" s="202"/>
      <c r="P228" s="202"/>
      <c r="Q228" s="203"/>
      <c r="R228" s="201"/>
      <c r="S228" s="202"/>
      <c r="T228" s="202"/>
      <c r="U228" s="203"/>
      <c r="Z228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1565.7806250000001</v>
      </c>
      <c r="AA228" s="17">
        <f t="shared" si="20"/>
        <v>1094.480656875</v>
      </c>
      <c r="AB228" s="17"/>
      <c r="AC228" s="218">
        <v>699</v>
      </c>
      <c r="AD228" s="10">
        <f>Table1[[#This Row],[£/Tonne]]/1000*Table1[[#This Row],[KG/M2]]</f>
        <v>137.17874999999998</v>
      </c>
      <c r="AE228" s="10">
        <f>Table1[[#This Row],[£/Tonne]]/1000*Table1[[#This Row],[Kg/ Sheet]]</f>
        <v>1094.480656875</v>
      </c>
      <c r="AF228" s="10"/>
      <c r="AG228" s="111">
        <f>Table1[[#This Row],[£Cost / SHEET]]*(1+AG$1)</f>
        <v>1422.8248539375002</v>
      </c>
      <c r="AH228" s="111">
        <f>Table1[[#This Row],[£Cost / SHEET]]*(1+AH$1)</f>
        <v>1477.5488867812501</v>
      </c>
      <c r="AI228" s="111">
        <f>Table1[[#This Row],[£Cost / SHEET]]*(1+AI$1)</f>
        <v>1532.272919625</v>
      </c>
      <c r="AJ228" s="111">
        <f>Table1[[#This Row],[£Cost / SHEET]]*(1+AJ$1)</f>
        <v>1641.7209853125</v>
      </c>
      <c r="AK228" s="222">
        <f>(Table1[[#This Row],[Qty 1]]*IF(Table1[[#This Row],[Dimension L1]]&lt;1,(Table1[[#This Row],[Length]]*Table1[[#This Row],[Width]]),(Table1[[#This Row],[Dimension L1]]*Table1[[#This Row],[Dimension W1]])))/1000000</f>
        <v>7.9785000000000004</v>
      </c>
      <c r="AL228" s="121"/>
    </row>
    <row r="229" spans="2:38" ht="25.35" customHeight="1">
      <c r="B229" s="7" t="s">
        <v>24</v>
      </c>
      <c r="C229" s="7" t="str">
        <f t="shared" si="21"/>
        <v>PL_25_4340_1950</v>
      </c>
      <c r="D229" s="7" t="str">
        <f>_xlfn.CONCAT(Table1[[#This Row],[ProductRecord.AccountReference]]," @ ",Table1[[#This Row],[KG/M2]],$H$2)</f>
        <v>PL_25_4340_1950 @ 196.25Kg/m2</v>
      </c>
      <c r="E229" s="27">
        <v>4340</v>
      </c>
      <c r="F229" s="27">
        <v>1950</v>
      </c>
      <c r="G229" s="32">
        <v>25</v>
      </c>
      <c r="H229" s="109">
        <f>G229*[1]Density!$D$6/1000</f>
        <v>196.25</v>
      </c>
      <c r="I229" s="161">
        <f t="shared" si="22"/>
        <v>1660.86375</v>
      </c>
      <c r="J229" s="164"/>
      <c r="K229" s="165"/>
      <c r="L229" s="165">
        <v>1</v>
      </c>
      <c r="M229" s="196" t="s">
        <v>308</v>
      </c>
      <c r="N229" s="164"/>
      <c r="O229" s="202"/>
      <c r="P229" s="202"/>
      <c r="Q229" s="203"/>
      <c r="R229" s="201"/>
      <c r="S229" s="202"/>
      <c r="T229" s="202"/>
      <c r="U229" s="203"/>
      <c r="Z229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1660.8637499999998</v>
      </c>
      <c r="AA229" s="17">
        <f t="shared" si="20"/>
        <v>1145.9959875</v>
      </c>
      <c r="AB229" s="17"/>
      <c r="AC229" s="218">
        <v>690</v>
      </c>
      <c r="AD229" s="10">
        <f>Table1[[#This Row],[£/Tonne]]/1000*Table1[[#This Row],[KG/M2]]</f>
        <v>135.41249999999999</v>
      </c>
      <c r="AE229" s="10">
        <f>Table1[[#This Row],[£/Tonne]]/1000*Table1[[#This Row],[Kg/ Sheet]]</f>
        <v>1145.9959875</v>
      </c>
      <c r="AF229" s="10"/>
      <c r="AG229" s="111">
        <f>Table1[[#This Row],[£Cost / SHEET]]*(1+AG$1)</f>
        <v>1489.7947837500001</v>
      </c>
      <c r="AH229" s="111">
        <f>Table1[[#This Row],[£Cost / SHEET]]*(1+AH$1)</f>
        <v>1547.0945831250001</v>
      </c>
      <c r="AI229" s="111">
        <f>Table1[[#This Row],[£Cost / SHEET]]*(1+AI$1)</f>
        <v>1604.3943824999999</v>
      </c>
      <c r="AJ229" s="111">
        <f>Table1[[#This Row],[£Cost / SHEET]]*(1+AJ$1)</f>
        <v>1718.9939812499999</v>
      </c>
      <c r="AK229" s="222">
        <f>(Table1[[#This Row],[Qty 1]]*IF(Table1[[#This Row],[Dimension L1]]&lt;1,(Table1[[#This Row],[Length]]*Table1[[#This Row],[Width]]),(Table1[[#This Row],[Dimension L1]]*Table1[[#This Row],[Dimension W1]])))/1000000</f>
        <v>8.4629999999999992</v>
      </c>
      <c r="AL229" s="121"/>
    </row>
    <row r="230" spans="2:38" ht="25.35" customHeight="1">
      <c r="B230" s="7" t="s">
        <v>24</v>
      </c>
      <c r="C230" s="7" t="str">
        <f t="shared" si="21"/>
        <v>PL_30_600_300</v>
      </c>
      <c r="D230" s="7" t="str">
        <f>_xlfn.CONCAT(Table1[[#This Row],[ProductRecord.AccountReference]]," @ ",Table1[[#This Row],[KG/M2]],$H$2)</f>
        <v>PL_30_600_300 @ 235.5Kg/m2</v>
      </c>
      <c r="E230" s="27">
        <v>600</v>
      </c>
      <c r="F230" s="27">
        <v>300</v>
      </c>
      <c r="G230" s="32">
        <v>30</v>
      </c>
      <c r="H230" s="109">
        <f>G230*[1]Density!$D$6/1000</f>
        <v>235.5</v>
      </c>
      <c r="I230" s="161">
        <f t="shared" si="22"/>
        <v>42.39</v>
      </c>
      <c r="J230" s="164"/>
      <c r="K230" s="165"/>
      <c r="L230" s="165">
        <v>1</v>
      </c>
      <c r="M230" s="196" t="s">
        <v>308</v>
      </c>
      <c r="N230" s="164"/>
      <c r="O230" s="202"/>
      <c r="P230" s="202"/>
      <c r="Q230" s="203"/>
      <c r="R230" s="201"/>
      <c r="S230" s="202"/>
      <c r="T230" s="202"/>
      <c r="U230" s="203"/>
      <c r="Z230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42.39</v>
      </c>
      <c r="AA230" s="17">
        <f t="shared" si="20"/>
        <v>36.031499999999994</v>
      </c>
      <c r="AB230" s="17"/>
      <c r="AC230" s="218">
        <v>850</v>
      </c>
      <c r="AD230" s="10">
        <f>Table1[[#This Row],[£/Tonne]]/1000*Table1[[#This Row],[KG/M2]]</f>
        <v>200.17499999999998</v>
      </c>
      <c r="AE230" s="10">
        <f>Table1[[#This Row],[£/Tonne]]/1000*Table1[[#This Row],[Kg/ Sheet]]</f>
        <v>36.031500000000001</v>
      </c>
      <c r="AF230" s="10"/>
      <c r="AG230" s="111">
        <f>Table1[[#This Row],[£Cost / SHEET]]*(1+AG$1)</f>
        <v>46.840950000000007</v>
      </c>
      <c r="AH230" s="111">
        <f>Table1[[#This Row],[£Cost / SHEET]]*(1+AH$1)</f>
        <v>48.642525000000006</v>
      </c>
      <c r="AI230" s="111">
        <f>Table1[[#This Row],[£Cost / SHEET]]*(1+AI$1)</f>
        <v>50.444099999999999</v>
      </c>
      <c r="AJ230" s="111">
        <f>Table1[[#This Row],[£Cost / SHEET]]*(1+AJ$1)</f>
        <v>54.047250000000005</v>
      </c>
      <c r="AK230" s="222">
        <f>(Table1[[#This Row],[Qty 1]]*IF(Table1[[#This Row],[Dimension L1]]&lt;1,(Table1[[#This Row],[Length]]*Table1[[#This Row],[Width]]),(Table1[[#This Row],[Dimension L1]]*Table1[[#This Row],[Dimension W1]])))/1000000</f>
        <v>0.18</v>
      </c>
      <c r="AL230" s="121"/>
    </row>
    <row r="231" spans="2:38" ht="25.35" customHeight="1">
      <c r="B231" s="7" t="s">
        <v>24</v>
      </c>
      <c r="C231" s="7" t="str">
        <f t="shared" si="21"/>
        <v>PL_30_680_220</v>
      </c>
      <c r="D231" s="7" t="str">
        <f>_xlfn.CONCAT(Table1[[#This Row],[ProductRecord.AccountReference]]," @ ",Table1[[#This Row],[KG/M2]],$H$2)</f>
        <v>PL_30_680_220 @ 235.5Kg/m2</v>
      </c>
      <c r="E231" s="27">
        <v>680</v>
      </c>
      <c r="F231" s="27">
        <v>220</v>
      </c>
      <c r="G231" s="32">
        <v>30</v>
      </c>
      <c r="H231" s="109">
        <f>G231*[1]Density!$D$6/1000</f>
        <v>235.5</v>
      </c>
      <c r="I231" s="161">
        <f t="shared" si="22"/>
        <v>35.230800000000002</v>
      </c>
      <c r="J231" s="164"/>
      <c r="K231" s="165"/>
      <c r="L231" s="165">
        <v>1</v>
      </c>
      <c r="M231" s="196" t="s">
        <v>308</v>
      </c>
      <c r="N231" s="164"/>
      <c r="O231" s="202"/>
      <c r="P231" s="202"/>
      <c r="Q231" s="203"/>
      <c r="R231" s="201"/>
      <c r="S231" s="202"/>
      <c r="T231" s="202"/>
      <c r="U231" s="203"/>
      <c r="Z231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35.230800000000002</v>
      </c>
      <c r="AA231" s="17">
        <f t="shared" si="20"/>
        <v>29.946179999999998</v>
      </c>
      <c r="AB231" s="17"/>
      <c r="AC231" s="10">
        <f>AC230</f>
        <v>850</v>
      </c>
      <c r="AD231" s="10">
        <f>Table1[[#This Row],[£/Tonne]]/1000*Table1[[#This Row],[KG/M2]]</f>
        <v>200.17499999999998</v>
      </c>
      <c r="AE231" s="10">
        <f>Table1[[#This Row],[£/Tonne]]/1000*Table1[[#This Row],[Kg/ Sheet]]</f>
        <v>29.946180000000002</v>
      </c>
      <c r="AF231" s="10"/>
      <c r="AG231" s="111">
        <f>Table1[[#This Row],[£Cost / SHEET]]*(1+AG$1)</f>
        <v>38.930034000000006</v>
      </c>
      <c r="AH231" s="111">
        <f>Table1[[#This Row],[£Cost / SHEET]]*(1+AH$1)</f>
        <v>40.427343000000008</v>
      </c>
      <c r="AI231" s="111">
        <f>Table1[[#This Row],[£Cost / SHEET]]*(1+AI$1)</f>
        <v>41.924652000000002</v>
      </c>
      <c r="AJ231" s="111">
        <f>Table1[[#This Row],[£Cost / SHEET]]*(1+AJ$1)</f>
        <v>44.919270000000004</v>
      </c>
      <c r="AK231" s="222">
        <f>(Table1[[#This Row],[Qty 1]]*IF(Table1[[#This Row],[Dimension L1]]&lt;1,(Table1[[#This Row],[Length]]*Table1[[#This Row],[Width]]),(Table1[[#This Row],[Dimension L1]]*Table1[[#This Row],[Dimension W1]])))/1000000</f>
        <v>0.14960000000000001</v>
      </c>
      <c r="AL231" s="121"/>
    </row>
    <row r="232" spans="2:38" ht="25.35" customHeight="1">
      <c r="B232" s="7" t="s">
        <v>24</v>
      </c>
      <c r="C232" s="7" t="str">
        <f t="shared" si="21"/>
        <v>PL_30_750_400</v>
      </c>
      <c r="D232" s="7" t="str">
        <f>_xlfn.CONCAT(Table1[[#This Row],[ProductRecord.AccountReference]]," @ ",Table1[[#This Row],[KG/M2]],$H$2)</f>
        <v>PL_30_750_400 @ 235.5Kg/m2</v>
      </c>
      <c r="E232" s="27">
        <v>750</v>
      </c>
      <c r="F232" s="27">
        <v>400</v>
      </c>
      <c r="G232" s="32">
        <v>30</v>
      </c>
      <c r="H232" s="109">
        <f>G232*[1]Density!$D$6/1000</f>
        <v>235.5</v>
      </c>
      <c r="I232" s="161">
        <f t="shared" si="22"/>
        <v>70.650000000000006</v>
      </c>
      <c r="J232" s="164"/>
      <c r="K232" s="165"/>
      <c r="L232" s="165">
        <v>1</v>
      </c>
      <c r="M232" s="196" t="s">
        <v>308</v>
      </c>
      <c r="N232" s="164"/>
      <c r="O232" s="202"/>
      <c r="P232" s="202"/>
      <c r="Q232" s="203"/>
      <c r="R232" s="201"/>
      <c r="S232" s="202"/>
      <c r="T232" s="202"/>
      <c r="U232" s="203"/>
      <c r="Z232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70.649999999999991</v>
      </c>
      <c r="AA232" s="17">
        <f t="shared" si="20"/>
        <v>60.052499999999995</v>
      </c>
      <c r="AB232" s="17"/>
      <c r="AC232" s="10">
        <f>AC230</f>
        <v>850</v>
      </c>
      <c r="AD232" s="10">
        <f>Table1[[#This Row],[£/Tonne]]/1000*Table1[[#This Row],[KG/M2]]</f>
        <v>200.17499999999998</v>
      </c>
      <c r="AE232" s="10">
        <f>Table1[[#This Row],[£/Tonne]]/1000*Table1[[#This Row],[Kg/ Sheet]]</f>
        <v>60.052500000000002</v>
      </c>
      <c r="AF232" s="10"/>
      <c r="AG232" s="111">
        <f>Table1[[#This Row],[£Cost / SHEET]]*(1+AG$1)</f>
        <v>78.068250000000006</v>
      </c>
      <c r="AH232" s="111">
        <f>Table1[[#This Row],[£Cost / SHEET]]*(1+AH$1)</f>
        <v>81.070875000000015</v>
      </c>
      <c r="AI232" s="111">
        <f>Table1[[#This Row],[£Cost / SHEET]]*(1+AI$1)</f>
        <v>84.073499999999996</v>
      </c>
      <c r="AJ232" s="111">
        <f>Table1[[#This Row],[£Cost / SHEET]]*(1+AJ$1)</f>
        <v>90.078749999999999</v>
      </c>
      <c r="AK232" s="222">
        <f>(Table1[[#This Row],[Qty 1]]*IF(Table1[[#This Row],[Dimension L1]]&lt;1,(Table1[[#This Row],[Length]]*Table1[[#This Row],[Width]]),(Table1[[#This Row],[Dimension L1]]*Table1[[#This Row],[Dimension W1]])))/1000000</f>
        <v>0.3</v>
      </c>
      <c r="AL232" s="121"/>
    </row>
    <row r="233" spans="2:38" ht="25.35" customHeight="1">
      <c r="B233" s="7" t="s">
        <v>24</v>
      </c>
      <c r="C233" s="7" t="str">
        <f t="shared" si="21"/>
        <v>PL_30_1000_490</v>
      </c>
      <c r="D233" s="7" t="str">
        <f>_xlfn.CONCAT(Table1[[#This Row],[ProductRecord.AccountReference]]," @ ",Table1[[#This Row],[KG/M2]],$H$2)</f>
        <v>PL_30_1000_490 @ 235.5Kg/m2</v>
      </c>
      <c r="E233" s="27">
        <v>1000</v>
      </c>
      <c r="F233" s="27">
        <v>490</v>
      </c>
      <c r="G233" s="32">
        <v>30</v>
      </c>
      <c r="H233" s="109">
        <f>G233*[1]Density!$D$6/1000</f>
        <v>235.5</v>
      </c>
      <c r="I233" s="161">
        <f t="shared" si="22"/>
        <v>115.395</v>
      </c>
      <c r="J233" s="164"/>
      <c r="K233" s="165"/>
      <c r="L233" s="165">
        <v>1</v>
      </c>
      <c r="M233" s="196" t="s">
        <v>308</v>
      </c>
      <c r="N233" s="164"/>
      <c r="O233" s="202"/>
      <c r="P233" s="202"/>
      <c r="Q233" s="203"/>
      <c r="R233" s="201"/>
      <c r="S233" s="202"/>
      <c r="T233" s="202"/>
      <c r="U233" s="203"/>
      <c r="Z233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115.395</v>
      </c>
      <c r="AA233" s="17">
        <f t="shared" si="20"/>
        <v>98.085750000000004</v>
      </c>
      <c r="AB233" s="17"/>
      <c r="AC233" s="10">
        <f>AC230</f>
        <v>850</v>
      </c>
      <c r="AD233" s="10">
        <f>Table1[[#This Row],[£/Tonne]]/1000*Table1[[#This Row],[KG/M2]]</f>
        <v>200.17499999999998</v>
      </c>
      <c r="AE233" s="10">
        <f>Table1[[#This Row],[£/Tonne]]/1000*Table1[[#This Row],[Kg/ Sheet]]</f>
        <v>98.08574999999999</v>
      </c>
      <c r="AF233" s="10"/>
      <c r="AG233" s="111">
        <f>Table1[[#This Row],[£Cost / SHEET]]*(1+AG$1)</f>
        <v>127.51147499999999</v>
      </c>
      <c r="AH233" s="111">
        <f>Table1[[#This Row],[£Cost / SHEET]]*(1+AH$1)</f>
        <v>132.4157625</v>
      </c>
      <c r="AI233" s="111">
        <f>Table1[[#This Row],[£Cost / SHEET]]*(1+AI$1)</f>
        <v>137.32004999999998</v>
      </c>
      <c r="AJ233" s="111">
        <f>Table1[[#This Row],[£Cost / SHEET]]*(1+AJ$1)</f>
        <v>147.128625</v>
      </c>
      <c r="AK233" s="222">
        <f>(Table1[[#This Row],[Qty 1]]*IF(Table1[[#This Row],[Dimension L1]]&lt;1,(Table1[[#This Row],[Length]]*Table1[[#This Row],[Width]]),(Table1[[#This Row],[Dimension L1]]*Table1[[#This Row],[Dimension W1]])))/1000000</f>
        <v>0.49</v>
      </c>
      <c r="AL233" s="121"/>
    </row>
    <row r="234" spans="2:38" ht="25.35" customHeight="1">
      <c r="B234" s="7" t="s">
        <v>24</v>
      </c>
      <c r="C234" s="7" t="str">
        <f t="shared" si="21"/>
        <v>PL_30_1700_300</v>
      </c>
      <c r="D234" s="7" t="str">
        <f>_xlfn.CONCAT(Table1[[#This Row],[ProductRecord.AccountReference]]," @ ",Table1[[#This Row],[KG/M2]],$H$2)</f>
        <v>PL_30_1700_300 @ 235.5Kg/m2</v>
      </c>
      <c r="E234" s="27">
        <v>1700</v>
      </c>
      <c r="F234" s="27">
        <v>300</v>
      </c>
      <c r="G234" s="32">
        <v>30</v>
      </c>
      <c r="H234" s="109">
        <f>G234*[1]Density!$D$6/1000</f>
        <v>235.5</v>
      </c>
      <c r="I234" s="161">
        <f t="shared" si="22"/>
        <v>120.105</v>
      </c>
      <c r="J234" s="164"/>
      <c r="K234" s="165"/>
      <c r="L234" s="165">
        <v>1</v>
      </c>
      <c r="M234" s="196" t="s">
        <v>308</v>
      </c>
      <c r="N234" s="164"/>
      <c r="O234" s="202"/>
      <c r="P234" s="202"/>
      <c r="Q234" s="203"/>
      <c r="R234" s="201"/>
      <c r="S234" s="202"/>
      <c r="T234" s="202"/>
      <c r="U234" s="203"/>
      <c r="Z234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120.105</v>
      </c>
      <c r="AA234" s="17">
        <f t="shared" si="20"/>
        <v>102.08925000000001</v>
      </c>
      <c r="AB234" s="17"/>
      <c r="AC234" s="10">
        <f>AC230</f>
        <v>850</v>
      </c>
      <c r="AD234" s="10">
        <f>Table1[[#This Row],[£/Tonne]]/1000*Table1[[#This Row],[KG/M2]]</f>
        <v>200.17499999999998</v>
      </c>
      <c r="AE234" s="10">
        <f>Table1[[#This Row],[£/Tonne]]/1000*Table1[[#This Row],[Kg/ Sheet]]</f>
        <v>102.08925000000001</v>
      </c>
      <c r="AF234" s="10"/>
      <c r="AG234" s="111">
        <f>Table1[[#This Row],[£Cost / SHEET]]*(1+AG$1)</f>
        <v>132.716025</v>
      </c>
      <c r="AH234" s="111">
        <f>Table1[[#This Row],[£Cost / SHEET]]*(1+AH$1)</f>
        <v>137.82048750000001</v>
      </c>
      <c r="AI234" s="111">
        <f>Table1[[#This Row],[£Cost / SHEET]]*(1+AI$1)</f>
        <v>142.92495</v>
      </c>
      <c r="AJ234" s="111">
        <f>Table1[[#This Row],[£Cost / SHEET]]*(1+AJ$1)</f>
        <v>153.13387500000002</v>
      </c>
      <c r="AK234" s="222">
        <f>(Table1[[#This Row],[Qty 1]]*IF(Table1[[#This Row],[Dimension L1]]&lt;1,(Table1[[#This Row],[Length]]*Table1[[#This Row],[Width]]),(Table1[[#This Row],[Dimension L1]]*Table1[[#This Row],[Dimension W1]])))/1000000</f>
        <v>0.51</v>
      </c>
      <c r="AL234" s="121"/>
    </row>
    <row r="235" spans="2:38" ht="25.35" customHeight="1">
      <c r="B235" s="7" t="s">
        <v>24</v>
      </c>
      <c r="C235" s="7" t="str">
        <f t="shared" si="21"/>
        <v>PL_30_2200_150</v>
      </c>
      <c r="D235" s="7" t="str">
        <f>_xlfn.CONCAT(Table1[[#This Row],[ProductRecord.AccountReference]]," @ ",Table1[[#This Row],[KG/M2]],$H$2)</f>
        <v>PL_30_2200_150 @ 235.5Kg/m2</v>
      </c>
      <c r="E235" s="27">
        <v>2200</v>
      </c>
      <c r="F235" s="27">
        <v>150</v>
      </c>
      <c r="G235" s="32">
        <v>30</v>
      </c>
      <c r="H235" s="109">
        <f>G235*[1]Density!$D$6/1000</f>
        <v>235.5</v>
      </c>
      <c r="I235" s="161">
        <f t="shared" si="22"/>
        <v>77.715000000000003</v>
      </c>
      <c r="J235" s="164"/>
      <c r="K235" s="165"/>
      <c r="L235" s="165">
        <v>1</v>
      </c>
      <c r="M235" s="196" t="s">
        <v>308</v>
      </c>
      <c r="N235" s="164"/>
      <c r="O235" s="202"/>
      <c r="P235" s="202"/>
      <c r="Q235" s="203"/>
      <c r="R235" s="201"/>
      <c r="S235" s="202"/>
      <c r="T235" s="202"/>
      <c r="U235" s="203"/>
      <c r="Z235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77.715000000000003</v>
      </c>
      <c r="AA235" s="17">
        <f t="shared" si="20"/>
        <v>66.057749999999999</v>
      </c>
      <c r="AB235" s="17"/>
      <c r="AC235" s="10">
        <f>AC230</f>
        <v>850</v>
      </c>
      <c r="AD235" s="10">
        <f>Table1[[#This Row],[£/Tonne]]/1000*Table1[[#This Row],[KG/M2]]</f>
        <v>200.17499999999998</v>
      </c>
      <c r="AE235" s="10">
        <f>Table1[[#This Row],[£/Tonne]]/1000*Table1[[#This Row],[Kg/ Sheet]]</f>
        <v>66.057749999999999</v>
      </c>
      <c r="AF235" s="10"/>
      <c r="AG235" s="111">
        <f>Table1[[#This Row],[£Cost / SHEET]]*(1+AG$1)</f>
        <v>85.875074999999995</v>
      </c>
      <c r="AH235" s="111">
        <f>Table1[[#This Row],[£Cost / SHEET]]*(1+AH$1)</f>
        <v>89.177962500000007</v>
      </c>
      <c r="AI235" s="111">
        <f>Table1[[#This Row],[£Cost / SHEET]]*(1+AI$1)</f>
        <v>92.48084999999999</v>
      </c>
      <c r="AJ235" s="111">
        <f>Table1[[#This Row],[£Cost / SHEET]]*(1+AJ$1)</f>
        <v>99.086624999999998</v>
      </c>
      <c r="AK235" s="222">
        <f>(Table1[[#This Row],[Qty 1]]*IF(Table1[[#This Row],[Dimension L1]]&lt;1,(Table1[[#This Row],[Length]]*Table1[[#This Row],[Width]]),(Table1[[#This Row],[Dimension L1]]*Table1[[#This Row],[Dimension W1]])))/1000000</f>
        <v>0.33</v>
      </c>
      <c r="AL235" s="121"/>
    </row>
    <row r="236" spans="2:38" ht="25.35" customHeight="1">
      <c r="B236" s="7" t="s">
        <v>24</v>
      </c>
      <c r="C236" s="7" t="str">
        <f t="shared" si="21"/>
        <v>PL_30_2330_120</v>
      </c>
      <c r="D236" s="7" t="str">
        <f>_xlfn.CONCAT(Table1[[#This Row],[ProductRecord.AccountReference]]," @ ",Table1[[#This Row],[KG/M2]],$H$2)</f>
        <v>PL_30_2330_120 @ 235.5Kg/m2</v>
      </c>
      <c r="E236" s="27">
        <v>2330</v>
      </c>
      <c r="F236" s="27">
        <v>120</v>
      </c>
      <c r="G236" s="32">
        <v>30</v>
      </c>
      <c r="H236" s="109">
        <f>G236*[1]Density!$D$6/1000</f>
        <v>235.5</v>
      </c>
      <c r="I236" s="161">
        <f t="shared" si="22"/>
        <v>65.845799999999997</v>
      </c>
      <c r="J236" s="164"/>
      <c r="K236" s="165"/>
      <c r="L236" s="165">
        <v>1</v>
      </c>
      <c r="M236" s="196" t="s">
        <v>308</v>
      </c>
      <c r="N236" s="164"/>
      <c r="O236" s="202"/>
      <c r="P236" s="202"/>
      <c r="Q236" s="203"/>
      <c r="R236" s="201"/>
      <c r="S236" s="202"/>
      <c r="T236" s="202"/>
      <c r="U236" s="203"/>
      <c r="Z236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65.845799999999997</v>
      </c>
      <c r="AA236" s="17">
        <f t="shared" si="20"/>
        <v>55.968929999999993</v>
      </c>
      <c r="AB236" s="17"/>
      <c r="AC236" s="10">
        <f>AC230</f>
        <v>850</v>
      </c>
      <c r="AD236" s="10">
        <f>Table1[[#This Row],[£/Tonne]]/1000*Table1[[#This Row],[KG/M2]]</f>
        <v>200.17499999999998</v>
      </c>
      <c r="AE236" s="10">
        <f>Table1[[#This Row],[£/Tonne]]/1000*Table1[[#This Row],[Kg/ Sheet]]</f>
        <v>55.968929999999993</v>
      </c>
      <c r="AF236" s="10"/>
      <c r="AG236" s="111">
        <f>Table1[[#This Row],[£Cost / SHEET]]*(1+AG$1)</f>
        <v>72.759608999999998</v>
      </c>
      <c r="AH236" s="111">
        <f>Table1[[#This Row],[£Cost / SHEET]]*(1+AH$1)</f>
        <v>75.558055499999995</v>
      </c>
      <c r="AI236" s="111">
        <f>Table1[[#This Row],[£Cost / SHEET]]*(1+AI$1)</f>
        <v>78.356501999999992</v>
      </c>
      <c r="AJ236" s="111">
        <f>Table1[[#This Row],[£Cost / SHEET]]*(1+AJ$1)</f>
        <v>83.953394999999986</v>
      </c>
      <c r="AK236" s="222">
        <f>(Table1[[#This Row],[Qty 1]]*IF(Table1[[#This Row],[Dimension L1]]&lt;1,(Table1[[#This Row],[Length]]*Table1[[#This Row],[Width]]),(Table1[[#This Row],[Dimension L1]]*Table1[[#This Row],[Dimension W1]])))/1000000</f>
        <v>0.27960000000000002</v>
      </c>
      <c r="AL236" s="121"/>
    </row>
    <row r="237" spans="2:38" ht="25.35" customHeight="1">
      <c r="B237" s="7" t="s">
        <v>24</v>
      </c>
      <c r="C237" s="7" t="str">
        <f t="shared" si="21"/>
        <v>PL_30_3120_540</v>
      </c>
      <c r="D237" s="7" t="str">
        <f>_xlfn.CONCAT(Table1[[#This Row],[ProductRecord.AccountReference]]," @ ",Table1[[#This Row],[KG/M2]],$H$2)</f>
        <v>PL_30_3120_540 @ 235.5Kg/m2</v>
      </c>
      <c r="E237" s="27">
        <v>3120</v>
      </c>
      <c r="F237" s="27">
        <v>540</v>
      </c>
      <c r="G237" s="32">
        <v>30</v>
      </c>
      <c r="H237" s="109">
        <f>G237*[1]Density!$D$6/1000</f>
        <v>235.5</v>
      </c>
      <c r="I237" s="161">
        <f t="shared" si="22"/>
        <v>396.7704</v>
      </c>
      <c r="J237" s="164"/>
      <c r="K237" s="165"/>
      <c r="L237" s="165">
        <v>1</v>
      </c>
      <c r="M237" s="196" t="s">
        <v>308</v>
      </c>
      <c r="N237" s="164"/>
      <c r="O237" s="202"/>
      <c r="P237" s="202"/>
      <c r="Q237" s="203"/>
      <c r="R237" s="201"/>
      <c r="S237" s="202"/>
      <c r="T237" s="202"/>
      <c r="U237" s="203"/>
      <c r="Z237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396.7704</v>
      </c>
      <c r="AA237" s="17">
        <f t="shared" si="20"/>
        <v>337.25483999999994</v>
      </c>
      <c r="AB237" s="17"/>
      <c r="AC237" s="10">
        <f>AC230</f>
        <v>850</v>
      </c>
      <c r="AD237" s="10">
        <f>Table1[[#This Row],[£/Tonne]]/1000*Table1[[#This Row],[KG/M2]]</f>
        <v>200.17499999999998</v>
      </c>
      <c r="AE237" s="10">
        <f>Table1[[#This Row],[£/Tonne]]/1000*Table1[[#This Row],[Kg/ Sheet]]</f>
        <v>337.25484</v>
      </c>
      <c r="AF237" s="10"/>
      <c r="AG237" s="111">
        <f>Table1[[#This Row],[£Cost / SHEET]]*(1+AG$1)</f>
        <v>438.43129200000004</v>
      </c>
      <c r="AH237" s="111">
        <f>Table1[[#This Row],[£Cost / SHEET]]*(1+AH$1)</f>
        <v>455.29403400000001</v>
      </c>
      <c r="AI237" s="111">
        <f>Table1[[#This Row],[£Cost / SHEET]]*(1+AI$1)</f>
        <v>472.15677599999998</v>
      </c>
      <c r="AJ237" s="111">
        <f>Table1[[#This Row],[£Cost / SHEET]]*(1+AJ$1)</f>
        <v>505.88225999999997</v>
      </c>
      <c r="AK237" s="222">
        <f>(Table1[[#This Row],[Qty 1]]*IF(Table1[[#This Row],[Dimension L1]]&lt;1,(Table1[[#This Row],[Length]]*Table1[[#This Row],[Width]]),(Table1[[#This Row],[Dimension L1]]*Table1[[#This Row],[Dimension W1]])))/1000000</f>
        <v>1.6848000000000001</v>
      </c>
      <c r="AL237" s="121"/>
    </row>
    <row r="238" spans="2:38" ht="25.35" customHeight="1">
      <c r="B238" s="7" t="s">
        <v>24</v>
      </c>
      <c r="C238" s="7" t="str">
        <f t="shared" si="21"/>
        <v>PL_30_3230_340</v>
      </c>
      <c r="D238" s="7" t="str">
        <f>_xlfn.CONCAT(Table1[[#This Row],[ProductRecord.AccountReference]]," @ ",Table1[[#This Row],[KG/M2]],$H$2)</f>
        <v>PL_30_3230_340 @ 235.5Kg/m2</v>
      </c>
      <c r="E238" s="27">
        <v>3230</v>
      </c>
      <c r="F238" s="27">
        <v>340</v>
      </c>
      <c r="G238" s="32">
        <v>30</v>
      </c>
      <c r="H238" s="109">
        <f>G238*[1]Density!$D$6/1000</f>
        <v>235.5</v>
      </c>
      <c r="I238" s="161">
        <f t="shared" si="22"/>
        <v>258.62610000000001</v>
      </c>
      <c r="J238" s="164"/>
      <c r="K238" s="165"/>
      <c r="L238" s="165">
        <v>1</v>
      </c>
      <c r="M238" s="196" t="s">
        <v>308</v>
      </c>
      <c r="N238" s="164"/>
      <c r="O238" s="202"/>
      <c r="P238" s="202"/>
      <c r="Q238" s="203"/>
      <c r="R238" s="201"/>
      <c r="S238" s="202"/>
      <c r="T238" s="202"/>
      <c r="U238" s="203"/>
      <c r="Z238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258.62610000000001</v>
      </c>
      <c r="AA238" s="17">
        <f t="shared" si="20"/>
        <v>219.83218500000001</v>
      </c>
      <c r="AB238" s="17"/>
      <c r="AC238" s="10">
        <f>AC230</f>
        <v>850</v>
      </c>
      <c r="AD238" s="10">
        <f>Table1[[#This Row],[£/Tonne]]/1000*Table1[[#This Row],[KG/M2]]</f>
        <v>200.17499999999998</v>
      </c>
      <c r="AE238" s="10">
        <f>Table1[[#This Row],[£/Tonne]]/1000*Table1[[#This Row],[Kg/ Sheet]]</f>
        <v>219.83218500000001</v>
      </c>
      <c r="AF238" s="10"/>
      <c r="AG238" s="111">
        <f>Table1[[#This Row],[£Cost / SHEET]]*(1+AG$1)</f>
        <v>285.78184050000004</v>
      </c>
      <c r="AH238" s="111">
        <f>Table1[[#This Row],[£Cost / SHEET]]*(1+AH$1)</f>
        <v>296.77344975000005</v>
      </c>
      <c r="AI238" s="111">
        <f>Table1[[#This Row],[£Cost / SHEET]]*(1+AI$1)</f>
        <v>307.76505900000001</v>
      </c>
      <c r="AJ238" s="111">
        <f>Table1[[#This Row],[£Cost / SHEET]]*(1+AJ$1)</f>
        <v>329.74827750000003</v>
      </c>
      <c r="AK238" s="222">
        <f>(Table1[[#This Row],[Qty 1]]*IF(Table1[[#This Row],[Dimension L1]]&lt;1,(Table1[[#This Row],[Length]]*Table1[[#This Row],[Width]]),(Table1[[#This Row],[Dimension L1]]*Table1[[#This Row],[Dimension W1]])))/1000000</f>
        <v>1.0982000000000001</v>
      </c>
      <c r="AL238" s="121"/>
    </row>
    <row r="239" spans="2:38" ht="25.35" customHeight="1">
      <c r="B239" s="7" t="s">
        <v>24</v>
      </c>
      <c r="C239" s="7" t="str">
        <f t="shared" si="21"/>
        <v>PL_40_960_350</v>
      </c>
      <c r="D239" s="7" t="str">
        <f>_xlfn.CONCAT(Table1[[#This Row],[ProductRecord.AccountReference]]," @ ",Table1[[#This Row],[KG/M2]],$H$2)</f>
        <v>PL_40_960_350 @ 314Kg/m2</v>
      </c>
      <c r="E239" s="27">
        <v>960</v>
      </c>
      <c r="F239" s="27">
        <v>350</v>
      </c>
      <c r="G239" s="32">
        <v>40</v>
      </c>
      <c r="H239" s="109">
        <f>G239*[1]Density!$D$6/1000</f>
        <v>314</v>
      </c>
      <c r="I239" s="161">
        <f t="shared" si="22"/>
        <v>105.504</v>
      </c>
      <c r="J239" s="164"/>
      <c r="K239" s="165"/>
      <c r="L239" s="165">
        <v>1</v>
      </c>
      <c r="M239" s="196" t="s">
        <v>308</v>
      </c>
      <c r="N239" s="164"/>
      <c r="O239" s="202"/>
      <c r="P239" s="202"/>
      <c r="Q239" s="203"/>
      <c r="R239" s="201"/>
      <c r="S239" s="202"/>
      <c r="T239" s="202"/>
      <c r="U239" s="203"/>
      <c r="Z239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105.504</v>
      </c>
      <c r="AA239" s="17">
        <f t="shared" si="20"/>
        <v>50.114400000000003</v>
      </c>
      <c r="AB239" s="17"/>
      <c r="AC239" s="218">
        <v>475</v>
      </c>
      <c r="AD239" s="10">
        <f>Table1[[#This Row],[£/Tonne]]/1000*Table1[[#This Row],[KG/M2]]</f>
        <v>149.15</v>
      </c>
      <c r="AE239" s="10">
        <f>Table1[[#This Row],[£/Tonne]]/1000*Table1[[#This Row],[Kg/ Sheet]]</f>
        <v>50.114400000000003</v>
      </c>
      <c r="AF239" s="10"/>
      <c r="AG239" s="111">
        <f>Table1[[#This Row],[£Cost / SHEET]]*(1+AG$1)</f>
        <v>65.148720000000012</v>
      </c>
      <c r="AH239" s="111">
        <f>Table1[[#This Row],[£Cost / SHEET]]*(1+AH$1)</f>
        <v>67.654440000000008</v>
      </c>
      <c r="AI239" s="111">
        <f>Table1[[#This Row],[£Cost / SHEET]]*(1+AI$1)</f>
        <v>70.160160000000005</v>
      </c>
      <c r="AJ239" s="111">
        <f>Table1[[#This Row],[£Cost / SHEET]]*(1+AJ$1)</f>
        <v>75.171600000000012</v>
      </c>
      <c r="AK239" s="222">
        <f>(Table1[[#This Row],[Qty 1]]*IF(Table1[[#This Row],[Dimension L1]]&lt;1,(Table1[[#This Row],[Length]]*Table1[[#This Row],[Width]]),(Table1[[#This Row],[Dimension L1]]*Table1[[#This Row],[Dimension W1]])))/1000000</f>
        <v>0.33600000000000002</v>
      </c>
      <c r="AL239" s="121"/>
    </row>
    <row r="240" spans="2:38" ht="25.35" customHeight="1">
      <c r="B240" s="7" t="s">
        <v>24</v>
      </c>
      <c r="C240" s="7" t="str">
        <f t="shared" si="21"/>
        <v>PL_40_1100_1050</v>
      </c>
      <c r="D240" s="7" t="str">
        <f>_xlfn.CONCAT(Table1[[#This Row],[ProductRecord.AccountReference]]," @ ",Table1[[#This Row],[KG/M2]],$H$2)</f>
        <v>PL_40_1100_1050 @ 314Kg/m2</v>
      </c>
      <c r="E240" s="27">
        <v>1100</v>
      </c>
      <c r="F240" s="27">
        <v>1050</v>
      </c>
      <c r="G240" s="32">
        <v>40</v>
      </c>
      <c r="H240" s="109">
        <f>G240*[1]Density!$D$6/1000</f>
        <v>314</v>
      </c>
      <c r="I240" s="161">
        <f t="shared" si="22"/>
        <v>362.67</v>
      </c>
      <c r="J240" s="164"/>
      <c r="K240" s="165"/>
      <c r="L240" s="165">
        <v>1</v>
      </c>
      <c r="M240" s="196" t="s">
        <v>308</v>
      </c>
      <c r="N240" s="164"/>
      <c r="O240" s="202"/>
      <c r="P240" s="202"/>
      <c r="Q240" s="203"/>
      <c r="R240" s="201"/>
      <c r="S240" s="202"/>
      <c r="T240" s="202"/>
      <c r="U240" s="203"/>
      <c r="Z240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362.67</v>
      </c>
      <c r="AA240" s="17">
        <f t="shared" si="20"/>
        <v>172.26824999999999</v>
      </c>
      <c r="AB240" s="17"/>
      <c r="AC240" s="10">
        <f>AC239</f>
        <v>475</v>
      </c>
      <c r="AD240" s="10">
        <f>Table1[[#This Row],[£/Tonne]]/1000*Table1[[#This Row],[KG/M2]]</f>
        <v>149.15</v>
      </c>
      <c r="AE240" s="10">
        <f>Table1[[#This Row],[£/Tonne]]/1000*Table1[[#This Row],[Kg/ Sheet]]</f>
        <v>172.26824999999999</v>
      </c>
      <c r="AF240" s="10"/>
      <c r="AG240" s="111">
        <f>Table1[[#This Row],[£Cost / SHEET]]*(1+AG$1)</f>
        <v>223.948725</v>
      </c>
      <c r="AH240" s="111">
        <f>Table1[[#This Row],[£Cost / SHEET]]*(1+AH$1)</f>
        <v>232.56213750000001</v>
      </c>
      <c r="AI240" s="111">
        <f>Table1[[#This Row],[£Cost / SHEET]]*(1+AI$1)</f>
        <v>241.17554999999999</v>
      </c>
      <c r="AJ240" s="111">
        <f>Table1[[#This Row],[£Cost / SHEET]]*(1+AJ$1)</f>
        <v>258.40237500000001</v>
      </c>
      <c r="AK240" s="222">
        <f>(Table1[[#This Row],[Qty 1]]*IF(Table1[[#This Row],[Dimension L1]]&lt;1,(Table1[[#This Row],[Length]]*Table1[[#This Row],[Width]]),(Table1[[#This Row],[Dimension L1]]*Table1[[#This Row],[Dimension W1]])))/1000000</f>
        <v>1.155</v>
      </c>
      <c r="AL240" s="121"/>
    </row>
    <row r="241" spans="2:38" ht="25.35" customHeight="1">
      <c r="B241" s="7" t="s">
        <v>24</v>
      </c>
      <c r="C241" s="7" t="str">
        <f t="shared" si="21"/>
        <v>PL_40_1300_800</v>
      </c>
      <c r="D241" s="7" t="str">
        <f>_xlfn.CONCAT(Table1[[#This Row],[ProductRecord.AccountReference]]," @ ",Table1[[#This Row],[KG/M2]],$H$2)</f>
        <v>PL_40_1300_800 @ 314Kg/m2</v>
      </c>
      <c r="E241" s="27">
        <v>1300</v>
      </c>
      <c r="F241" s="27">
        <v>800</v>
      </c>
      <c r="G241" s="32">
        <v>40</v>
      </c>
      <c r="H241" s="109">
        <f>G241*[1]Density!$D$6/1000</f>
        <v>314</v>
      </c>
      <c r="I241" s="161">
        <f t="shared" si="22"/>
        <v>326.56</v>
      </c>
      <c r="J241" s="164"/>
      <c r="K241" s="165"/>
      <c r="L241" s="165">
        <v>1</v>
      </c>
      <c r="M241" s="196" t="s">
        <v>308</v>
      </c>
      <c r="N241" s="164"/>
      <c r="O241" s="202"/>
      <c r="P241" s="202"/>
      <c r="Q241" s="203"/>
      <c r="R241" s="201"/>
      <c r="S241" s="202"/>
      <c r="T241" s="202"/>
      <c r="U241" s="203"/>
      <c r="Z241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326.56</v>
      </c>
      <c r="AA241" s="17">
        <f t="shared" si="20"/>
        <v>155.11600000000001</v>
      </c>
      <c r="AB241" s="17"/>
      <c r="AC241" s="10">
        <f>AC239</f>
        <v>475</v>
      </c>
      <c r="AD241" s="10">
        <f>Table1[[#This Row],[£/Tonne]]/1000*Table1[[#This Row],[KG/M2]]</f>
        <v>149.15</v>
      </c>
      <c r="AE241" s="10">
        <f>Table1[[#This Row],[£/Tonne]]/1000*Table1[[#This Row],[Kg/ Sheet]]</f>
        <v>155.11599999999999</v>
      </c>
      <c r="AF241" s="10"/>
      <c r="AG241" s="111">
        <f>Table1[[#This Row],[£Cost / SHEET]]*(1+AG$1)</f>
        <v>201.65079999999998</v>
      </c>
      <c r="AH241" s="111">
        <f>Table1[[#This Row],[£Cost / SHEET]]*(1+AH$1)</f>
        <v>209.4066</v>
      </c>
      <c r="AI241" s="111">
        <f>Table1[[#This Row],[£Cost / SHEET]]*(1+AI$1)</f>
        <v>217.16239999999996</v>
      </c>
      <c r="AJ241" s="111">
        <f>Table1[[#This Row],[£Cost / SHEET]]*(1+AJ$1)</f>
        <v>232.67399999999998</v>
      </c>
      <c r="AK241" s="222">
        <f>(Table1[[#This Row],[Qty 1]]*IF(Table1[[#This Row],[Dimension L1]]&lt;1,(Table1[[#This Row],[Length]]*Table1[[#This Row],[Width]]),(Table1[[#This Row],[Dimension L1]]*Table1[[#This Row],[Dimension W1]])))/1000000</f>
        <v>1.04</v>
      </c>
      <c r="AL241" s="121"/>
    </row>
    <row r="242" spans="2:38" ht="25.35" customHeight="1">
      <c r="B242" s="7" t="s">
        <v>24</v>
      </c>
      <c r="C242" s="7" t="str">
        <f t="shared" si="21"/>
        <v>PL_40_1930_1550</v>
      </c>
      <c r="D242" s="7" t="str">
        <f>_xlfn.CONCAT(Table1[[#This Row],[ProductRecord.AccountReference]]," @ ",Table1[[#This Row],[KG/M2]],$H$2)</f>
        <v>PL_40_1930_1550 @ 314Kg/m2</v>
      </c>
      <c r="E242" s="27">
        <v>1930</v>
      </c>
      <c r="F242" s="27">
        <v>1550</v>
      </c>
      <c r="G242" s="32">
        <v>40</v>
      </c>
      <c r="H242" s="109">
        <f>G242*[1]Density!$D$6/1000</f>
        <v>314</v>
      </c>
      <c r="I242" s="161">
        <f t="shared" si="22"/>
        <v>939.33100000000002</v>
      </c>
      <c r="J242" s="164"/>
      <c r="K242" s="165"/>
      <c r="L242" s="165">
        <v>1</v>
      </c>
      <c r="M242" s="196" t="s">
        <v>308</v>
      </c>
      <c r="N242" s="164"/>
      <c r="O242" s="202"/>
      <c r="P242" s="202"/>
      <c r="Q242" s="203"/>
      <c r="R242" s="201"/>
      <c r="S242" s="202"/>
      <c r="T242" s="202"/>
      <c r="U242" s="203"/>
      <c r="Z242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939.3309999999999</v>
      </c>
      <c r="AA242" s="17">
        <f t="shared" si="20"/>
        <v>446.18222499999996</v>
      </c>
      <c r="AB242" s="17"/>
      <c r="AC242" s="10">
        <f>AC239</f>
        <v>475</v>
      </c>
      <c r="AD242" s="10">
        <f>Table1[[#This Row],[£/Tonne]]/1000*Table1[[#This Row],[KG/M2]]</f>
        <v>149.15</v>
      </c>
      <c r="AE242" s="10">
        <f>Table1[[#This Row],[£/Tonne]]/1000*Table1[[#This Row],[Kg/ Sheet]]</f>
        <v>446.18222499999996</v>
      </c>
      <c r="AF242" s="10"/>
      <c r="AG242" s="111">
        <f>Table1[[#This Row],[£Cost / SHEET]]*(1+AG$1)</f>
        <v>580.03689250000002</v>
      </c>
      <c r="AH242" s="111">
        <f>Table1[[#This Row],[£Cost / SHEET]]*(1+AH$1)</f>
        <v>602.34600375000002</v>
      </c>
      <c r="AI242" s="111">
        <f>Table1[[#This Row],[£Cost / SHEET]]*(1+AI$1)</f>
        <v>624.65511499999991</v>
      </c>
      <c r="AJ242" s="111">
        <f>Table1[[#This Row],[£Cost / SHEET]]*(1+AJ$1)</f>
        <v>669.27333749999991</v>
      </c>
      <c r="AK242" s="222">
        <f>(Table1[[#This Row],[Qty 1]]*IF(Table1[[#This Row],[Dimension L1]]&lt;1,(Table1[[#This Row],[Length]]*Table1[[#This Row],[Width]]),(Table1[[#This Row],[Dimension L1]]*Table1[[#This Row],[Dimension W1]])))/1000000</f>
        <v>2.9914999999999998</v>
      </c>
      <c r="AL242" s="121"/>
    </row>
    <row r="243" spans="2:38" ht="25.35" customHeight="1">
      <c r="B243" s="7" t="s">
        <v>24</v>
      </c>
      <c r="C243" s="7" t="str">
        <f t="shared" si="21"/>
        <v>PL_40_2080_520</v>
      </c>
      <c r="D243" s="7" t="str">
        <f>_xlfn.CONCAT(Table1[[#This Row],[ProductRecord.AccountReference]]," @ ",Table1[[#This Row],[KG/M2]],$H$2)</f>
        <v>PL_40_2080_520 @ 314Kg/m2</v>
      </c>
      <c r="E243" s="27">
        <v>2080</v>
      </c>
      <c r="F243" s="27">
        <v>520</v>
      </c>
      <c r="G243" s="32">
        <v>40</v>
      </c>
      <c r="H243" s="109">
        <f>G243*[1]Density!$D$6/1000</f>
        <v>314</v>
      </c>
      <c r="I243" s="161">
        <f t="shared" si="22"/>
        <v>339.62240000000003</v>
      </c>
      <c r="J243" s="164"/>
      <c r="K243" s="165"/>
      <c r="L243" s="165">
        <v>1</v>
      </c>
      <c r="M243" s="196" t="s">
        <v>308</v>
      </c>
      <c r="N243" s="164"/>
      <c r="O243" s="202"/>
      <c r="P243" s="202"/>
      <c r="Q243" s="203"/>
      <c r="R243" s="201"/>
      <c r="S243" s="202"/>
      <c r="T243" s="202"/>
      <c r="U243" s="203"/>
      <c r="Z243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339.62239999999997</v>
      </c>
      <c r="AA243" s="17">
        <f t="shared" si="20"/>
        <v>161.32064</v>
      </c>
      <c r="AB243" s="17"/>
      <c r="AC243" s="10">
        <f>AC239</f>
        <v>475</v>
      </c>
      <c r="AD243" s="10">
        <f>Table1[[#This Row],[£/Tonne]]/1000*Table1[[#This Row],[KG/M2]]</f>
        <v>149.15</v>
      </c>
      <c r="AE243" s="10">
        <f>Table1[[#This Row],[£/Tonne]]/1000*Table1[[#This Row],[Kg/ Sheet]]</f>
        <v>161.32064</v>
      </c>
      <c r="AF243" s="10"/>
      <c r="AG243" s="111">
        <f>Table1[[#This Row],[£Cost / SHEET]]*(1+AG$1)</f>
        <v>209.71683200000001</v>
      </c>
      <c r="AH243" s="111">
        <f>Table1[[#This Row],[£Cost / SHEET]]*(1+AH$1)</f>
        <v>217.78286400000002</v>
      </c>
      <c r="AI243" s="111">
        <f>Table1[[#This Row],[£Cost / SHEET]]*(1+AI$1)</f>
        <v>225.84889599999997</v>
      </c>
      <c r="AJ243" s="111">
        <f>Table1[[#This Row],[£Cost / SHEET]]*(1+AJ$1)</f>
        <v>241.98095999999998</v>
      </c>
      <c r="AK243" s="222">
        <f>(Table1[[#This Row],[Qty 1]]*IF(Table1[[#This Row],[Dimension L1]]&lt;1,(Table1[[#This Row],[Length]]*Table1[[#This Row],[Width]]),(Table1[[#This Row],[Dimension L1]]*Table1[[#This Row],[Dimension W1]])))/1000000</f>
        <v>1.0815999999999999</v>
      </c>
      <c r="AL243" s="121"/>
    </row>
    <row r="244" spans="2:38" ht="25.35" customHeight="1">
      <c r="B244" s="7" t="s">
        <v>24</v>
      </c>
      <c r="C244" s="7" t="str">
        <f t="shared" si="21"/>
        <v>PL_40_3390_520</v>
      </c>
      <c r="D244" s="7" t="str">
        <f>_xlfn.CONCAT(Table1[[#This Row],[ProductRecord.AccountReference]]," @ ",Table1[[#This Row],[KG/M2]],$H$2)</f>
        <v>PL_40_3390_520 @ 314Kg/m2</v>
      </c>
      <c r="E244" s="27">
        <v>3390</v>
      </c>
      <c r="F244" s="27">
        <v>520</v>
      </c>
      <c r="G244" s="32">
        <v>40</v>
      </c>
      <c r="H244" s="109">
        <f>G244*[1]Density!$D$6/1000</f>
        <v>314</v>
      </c>
      <c r="I244" s="161">
        <f t="shared" si="22"/>
        <v>553.51919999999996</v>
      </c>
      <c r="J244" s="164"/>
      <c r="K244" s="165"/>
      <c r="L244" s="165">
        <v>1</v>
      </c>
      <c r="M244" s="196" t="s">
        <v>308</v>
      </c>
      <c r="N244" s="164"/>
      <c r="O244" s="202"/>
      <c r="P244" s="202"/>
      <c r="Q244" s="203"/>
      <c r="R244" s="201"/>
      <c r="S244" s="202"/>
      <c r="T244" s="202"/>
      <c r="U244" s="203"/>
      <c r="Z244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553.51919999999996</v>
      </c>
      <c r="AA244" s="17">
        <f t="shared" si="20"/>
        <v>262.92162000000002</v>
      </c>
      <c r="AB244" s="17"/>
      <c r="AC244" s="10">
        <f>AC239</f>
        <v>475</v>
      </c>
      <c r="AD244" s="10">
        <f>Table1[[#This Row],[£/Tonne]]/1000*Table1[[#This Row],[KG/M2]]</f>
        <v>149.15</v>
      </c>
      <c r="AE244" s="10">
        <f>Table1[[#This Row],[£/Tonne]]/1000*Table1[[#This Row],[Kg/ Sheet]]</f>
        <v>262.92161999999996</v>
      </c>
      <c r="AF244" s="10"/>
      <c r="AG244" s="111">
        <f>Table1[[#This Row],[£Cost / SHEET]]*(1+AG$1)</f>
        <v>341.79810599999996</v>
      </c>
      <c r="AH244" s="111">
        <f>Table1[[#This Row],[£Cost / SHEET]]*(1+AH$1)</f>
        <v>354.944187</v>
      </c>
      <c r="AI244" s="111">
        <f>Table1[[#This Row],[£Cost / SHEET]]*(1+AI$1)</f>
        <v>368.09026799999992</v>
      </c>
      <c r="AJ244" s="111">
        <f>Table1[[#This Row],[£Cost / SHEET]]*(1+AJ$1)</f>
        <v>394.38242999999994</v>
      </c>
      <c r="AK244" s="222">
        <f>(Table1[[#This Row],[Qty 1]]*IF(Table1[[#This Row],[Dimension L1]]&lt;1,(Table1[[#This Row],[Length]]*Table1[[#This Row],[Width]]),(Table1[[#This Row],[Dimension L1]]*Table1[[#This Row],[Dimension W1]])))/1000000</f>
        <v>1.7627999999999999</v>
      </c>
      <c r="AL244" s="121"/>
    </row>
    <row r="245" spans="2:38" ht="25.35" customHeight="1">
      <c r="B245" s="7" t="s">
        <v>24</v>
      </c>
      <c r="C245" s="7" t="str">
        <f t="shared" si="21"/>
        <v>PL_50_660_490</v>
      </c>
      <c r="D245" s="7" t="str">
        <f>_xlfn.CONCAT(Table1[[#This Row],[ProductRecord.AccountReference]]," @ ",Table1[[#This Row],[KG/M2]],$H$2)</f>
        <v>PL_50_660_490 @ 392.5Kg/m2</v>
      </c>
      <c r="E245" s="27">
        <v>660</v>
      </c>
      <c r="F245" s="27">
        <v>490</v>
      </c>
      <c r="G245" s="32">
        <v>50</v>
      </c>
      <c r="H245" s="109">
        <f>G245*[1]Density!$D$6/1000</f>
        <v>392.5</v>
      </c>
      <c r="I245" s="161">
        <f t="shared" si="22"/>
        <v>126.9345</v>
      </c>
      <c r="J245" s="164"/>
      <c r="K245" s="165"/>
      <c r="L245" s="165">
        <v>1</v>
      </c>
      <c r="M245" s="196" t="s">
        <v>308</v>
      </c>
      <c r="N245" s="164"/>
      <c r="O245" s="202"/>
      <c r="P245" s="202"/>
      <c r="Q245" s="203"/>
      <c r="R245" s="201"/>
      <c r="S245" s="202"/>
      <c r="T245" s="202"/>
      <c r="U245" s="203"/>
      <c r="Z245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126.93450000000001</v>
      </c>
      <c r="AA245" s="17">
        <f t="shared" si="20"/>
        <v>60.293887500000004</v>
      </c>
      <c r="AB245" s="17"/>
      <c r="AC245" s="10">
        <f>AC239</f>
        <v>475</v>
      </c>
      <c r="AD245" s="10">
        <f>Table1[[#This Row],[£/Tonne]]/1000*Table1[[#This Row],[KG/M2]]</f>
        <v>186.4375</v>
      </c>
      <c r="AE245" s="10">
        <f>Table1[[#This Row],[£/Tonne]]/1000*Table1[[#This Row],[Kg/ Sheet]]</f>
        <v>60.293887499999997</v>
      </c>
      <c r="AF245" s="10"/>
      <c r="AG245" s="111">
        <f>Table1[[#This Row],[£Cost / SHEET]]*(1+AG$1)</f>
        <v>78.382053749999997</v>
      </c>
      <c r="AH245" s="111">
        <f>Table1[[#This Row],[£Cost / SHEET]]*(1+AH$1)</f>
        <v>81.396748125000002</v>
      </c>
      <c r="AI245" s="111">
        <f>Table1[[#This Row],[£Cost / SHEET]]*(1+AI$1)</f>
        <v>84.411442499999993</v>
      </c>
      <c r="AJ245" s="111">
        <f>Table1[[#This Row],[£Cost / SHEET]]*(1+AJ$1)</f>
        <v>90.440831250000002</v>
      </c>
      <c r="AK245" s="222">
        <f>(Table1[[#This Row],[Qty 1]]*IF(Table1[[#This Row],[Dimension L1]]&lt;1,(Table1[[#This Row],[Length]]*Table1[[#This Row],[Width]]),(Table1[[#This Row],[Dimension L1]]*Table1[[#This Row],[Dimension W1]])))/1000000</f>
        <v>0.32340000000000002</v>
      </c>
      <c r="AL245" s="121"/>
    </row>
    <row r="246" spans="2:38" ht="25.35" customHeight="1">
      <c r="H246" s="109"/>
      <c r="I246" s="161"/>
      <c r="J246" s="164"/>
      <c r="K246" s="165"/>
      <c r="L246" s="165"/>
      <c r="M246" s="196"/>
      <c r="N246" s="164"/>
      <c r="O246" s="202"/>
      <c r="P246" s="202"/>
      <c r="Q246" s="203"/>
      <c r="R246" s="201"/>
      <c r="S246" s="202"/>
      <c r="T246" s="202"/>
      <c r="U246" s="203"/>
      <c r="Z246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246" s="17">
        <f t="shared" si="20"/>
        <v>0</v>
      </c>
      <c r="AB246" s="17"/>
      <c r="AC246" s="10"/>
      <c r="AD246" s="10">
        <f>Table1[[#This Row],[£/Tonne]]/1000*Table1[[#This Row],[KG/M2]]</f>
        <v>0</v>
      </c>
      <c r="AE246" s="10">
        <f>Table1[[#This Row],[£/Tonne]]/1000*Table1[[#This Row],[Kg/ Sheet]]</f>
        <v>0</v>
      </c>
      <c r="AF246" s="10"/>
      <c r="AG246" s="111">
        <f>Table1[[#This Row],[£Cost / SHEET]]*(1+AG$1)</f>
        <v>0</v>
      </c>
      <c r="AH246" s="111">
        <f>Table1[[#This Row],[£Cost / SHEET]]*(1+AH$1)</f>
        <v>0</v>
      </c>
      <c r="AI246" s="111">
        <f>Table1[[#This Row],[£Cost / SHEET]]*(1+AI$1)</f>
        <v>0</v>
      </c>
      <c r="AJ246" s="111">
        <f>Table1[[#This Row],[£Cost / SHEET]]*(1+AJ$1)</f>
        <v>0</v>
      </c>
      <c r="AK246" s="222">
        <f>(Table1[[#This Row],[Qty 1]]*IF(Table1[[#This Row],[Dimension L1]]&lt;1,(Table1[[#This Row],[Length]]*Table1[[#This Row],[Width]]),(Table1[[#This Row],[Dimension L1]]*Table1[[#This Row],[Dimension W1]])))/1000000</f>
        <v>0</v>
      </c>
      <c r="AL246" s="121"/>
    </row>
    <row r="247" spans="2:38" ht="25.35" customHeight="1">
      <c r="H247" s="109"/>
      <c r="I247" s="161"/>
      <c r="J247" s="164"/>
      <c r="K247" s="165"/>
      <c r="L247" s="165"/>
      <c r="M247" s="196"/>
      <c r="N247" s="164"/>
      <c r="O247" s="202"/>
      <c r="P247" s="202"/>
      <c r="Q247" s="203"/>
      <c r="R247" s="201"/>
      <c r="S247" s="202"/>
      <c r="T247" s="202"/>
      <c r="U247" s="203"/>
      <c r="Z247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247" s="17">
        <f t="shared" si="20"/>
        <v>0</v>
      </c>
      <c r="AB247" s="17"/>
      <c r="AC247" s="10"/>
      <c r="AD247" s="10">
        <f>Table1[[#This Row],[£/Tonne]]/1000*Table1[[#This Row],[KG/M2]]</f>
        <v>0</v>
      </c>
      <c r="AE247" s="10">
        <f>Table1[[#This Row],[£/Tonne]]/1000*Table1[[#This Row],[Kg/ Sheet]]</f>
        <v>0</v>
      </c>
      <c r="AF247" s="10"/>
      <c r="AG247" s="111">
        <f>Table1[[#This Row],[£Cost / SHEET]]*(1+AG$1)</f>
        <v>0</v>
      </c>
      <c r="AH247" s="111">
        <f>Table1[[#This Row],[£Cost / SHEET]]*(1+AH$1)</f>
        <v>0</v>
      </c>
      <c r="AI247" s="111">
        <f>Table1[[#This Row],[£Cost / SHEET]]*(1+AI$1)</f>
        <v>0</v>
      </c>
      <c r="AJ247" s="111">
        <f>Table1[[#This Row],[£Cost / SHEET]]*(1+AJ$1)</f>
        <v>0</v>
      </c>
      <c r="AK247" s="222">
        <f>(Table1[[#This Row],[Qty 1]]*IF(Table1[[#This Row],[Dimension L1]]&lt;1,(Table1[[#This Row],[Length]]*Table1[[#This Row],[Width]]),(Table1[[#This Row],[Dimension L1]]*Table1[[#This Row],[Dimension W1]])))/1000000</f>
        <v>0</v>
      </c>
      <c r="AL247" s="121"/>
    </row>
    <row r="248" spans="2:38" ht="25.35" customHeight="1">
      <c r="C248" s="7" t="str">
        <f>_xlfn.CONCAT(B248,"_",G248,"_",E248,"_",F248,"")</f>
        <v>__CHEQUER PLATE_</v>
      </c>
      <c r="D248" s="7" t="str">
        <f>_xlfn.CONCAT(Table1[[#This Row],[ProductRecord.AccountReference]]," @ ",Table1[[#This Row],[KG/M2]],$H$2)</f>
        <v>__CHEQUER PLATE_ @ Kg/m2</v>
      </c>
      <c r="E248" s="113" t="s">
        <v>310</v>
      </c>
      <c r="F248" s="114"/>
      <c r="I248" s="161"/>
      <c r="J248" s="164"/>
      <c r="K248" s="165"/>
      <c r="L248" s="165"/>
      <c r="M248" s="196"/>
      <c r="N248" s="164"/>
      <c r="O248" s="202"/>
      <c r="P248" s="202"/>
      <c r="Q248" s="203"/>
      <c r="R248" s="201"/>
      <c r="S248" s="202"/>
      <c r="T248" s="202"/>
      <c r="U248" s="203"/>
      <c r="Z248" s="37"/>
      <c r="AA248" s="17">
        <f t="shared" si="20"/>
        <v>0</v>
      </c>
      <c r="AB248" s="17"/>
      <c r="AC248" s="10"/>
      <c r="AD248" s="10">
        <f>Table1[[#This Row],[£/Tonne]]/1000*Table1[[#This Row],[KG/M2]]</f>
        <v>0</v>
      </c>
      <c r="AE248" s="10">
        <f>Table1[[#This Row],[£/Tonne]]/1000*Table1[[#This Row],[Kg/ Sheet]]</f>
        <v>0</v>
      </c>
      <c r="AF248" s="10"/>
      <c r="AG248" s="111">
        <f>Table1[[#This Row],[£Cost / SHEET]]*(1+AG$1)</f>
        <v>0</v>
      </c>
      <c r="AH248" s="111">
        <f>Table1[[#This Row],[£Cost / SHEET]]*(1+AH$1)</f>
        <v>0</v>
      </c>
      <c r="AI248" s="111">
        <f>Table1[[#This Row],[£Cost / SHEET]]*(1+AI$1)</f>
        <v>0</v>
      </c>
      <c r="AJ248" s="111">
        <f>Table1[[#This Row],[£Cost / SHEET]]*(1+AJ$1)</f>
        <v>0</v>
      </c>
      <c r="AK248" s="222" t="e">
        <f>(Table1[[#This Row],[Qty 1]]*IF(Table1[[#This Row],[Dimension L1]]&lt;1,(Table1[[#This Row],[Length]]*Table1[[#This Row],[Width]]),(Table1[[#This Row],[Dimension L1]]*Table1[[#This Row],[Dimension W1]])))/1000000</f>
        <v>#VALUE!</v>
      </c>
      <c r="AL248" s="121"/>
    </row>
    <row r="249" spans="2:38" ht="25.35" customHeight="1">
      <c r="B249" s="115" t="s">
        <v>27</v>
      </c>
      <c r="C249" s="119" t="str">
        <f>_xlfn.CONCAT(B249,"_",G249,"_",E249,"_",F249,"")</f>
        <v>PLCHQ_3_2500_1250</v>
      </c>
      <c r="D249" s="7" t="str">
        <f>_xlfn.CONCAT(Table1[[#This Row],[ProductRecord.AccountReference]]," @ ",ROUND(Table1[[#This Row],[KG/M2]],2),$H$2)</f>
        <v>PLCHQ_3_2500_1250 @ 26.19Kg/m2</v>
      </c>
      <c r="E249" s="27">
        <v>2500</v>
      </c>
      <c r="F249" s="27">
        <v>1250</v>
      </c>
      <c r="G249" s="32">
        <v>3</v>
      </c>
      <c r="H249" s="109">
        <f>G249*[1]Density!$D$6/1000*1.112</f>
        <v>26.187600000000003</v>
      </c>
      <c r="I249" s="110">
        <f>E249*F249*H249/1000000</f>
        <v>81.836250000000021</v>
      </c>
      <c r="J249" s="159">
        <v>2500</v>
      </c>
      <c r="K249" s="161">
        <v>1250</v>
      </c>
      <c r="L249" s="161">
        <v>1</v>
      </c>
      <c r="M249" s="110" t="s">
        <v>239</v>
      </c>
      <c r="N249" s="159">
        <v>2500</v>
      </c>
      <c r="O249" s="202">
        <v>1250</v>
      </c>
      <c r="P249" s="202">
        <v>20</v>
      </c>
      <c r="Q249" s="203" t="s">
        <v>72</v>
      </c>
      <c r="R249" s="201">
        <v>2500</v>
      </c>
      <c r="S249" s="202">
        <v>1250</v>
      </c>
      <c r="T249" s="202">
        <v>18</v>
      </c>
      <c r="U249" s="203" t="s">
        <v>72</v>
      </c>
      <c r="X249" s="9">
        <v>24</v>
      </c>
      <c r="Y249" s="9" t="s">
        <v>302</v>
      </c>
      <c r="Z249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5155.6837500000011</v>
      </c>
      <c r="AA249" s="17">
        <f t="shared" si="20"/>
        <v>6026.9943037500016</v>
      </c>
      <c r="AB249" s="17"/>
      <c r="AC249" s="10">
        <v>1169</v>
      </c>
      <c r="AD249" s="10">
        <f>Table1[[#This Row],[£/Tonne]]/1000*Table1[[#This Row],[KG/M2]]</f>
        <v>30.613304400000004</v>
      </c>
      <c r="AE249" s="10">
        <f>Table1[[#This Row],[£/Tonne]]/1000*Table1[[#This Row],[Kg/ Sheet]]</f>
        <v>95.666576250000034</v>
      </c>
      <c r="AF249" s="10"/>
      <c r="AG249" s="111">
        <f>Table1[[#This Row],[£Cost / SHEET]]*(1+AG$1)</f>
        <v>124.36654912500005</v>
      </c>
      <c r="AH249" s="111">
        <f>Table1[[#This Row],[£Cost / SHEET]]*(1+AH$1)</f>
        <v>129.14987793750007</v>
      </c>
      <c r="AI249" s="111">
        <f>Table1[[#This Row],[£Cost / SHEET]]*(1+AI$1)</f>
        <v>133.93320675000004</v>
      </c>
      <c r="AJ249" s="111">
        <f>Table1[[#This Row],[£Cost / SHEET]]*(1+AJ$1)</f>
        <v>143.49986437500004</v>
      </c>
      <c r="AK249" s="222">
        <f>(Table1[[#This Row],[Qty 1]]*IF(Table1[[#This Row],[Dimension L1]]&lt;1,(Table1[[#This Row],[Length]]*Table1[[#This Row],[Width]]),(Table1[[#This Row],[Dimension L1]]*Table1[[#This Row],[Dimension W1]])))/1000000</f>
        <v>3.125</v>
      </c>
      <c r="AL249" s="121"/>
    </row>
    <row r="250" spans="2:38" ht="25.35" customHeight="1">
      <c r="B250" s="115" t="s">
        <v>27</v>
      </c>
      <c r="C250" s="119" t="str">
        <f>_xlfn.CONCAT(B250,"_",G250,"_",E250,"_",F250,"")</f>
        <v>PLCHQ_3_3000_1500</v>
      </c>
      <c r="D250" s="7" t="str">
        <f>_xlfn.CONCAT(Table1[[#This Row],[ProductRecord.AccountReference]]," @ ",ROUND(Table1[[#This Row],[KG/M2]],2),$H$2)</f>
        <v>PLCHQ_3_3000_1500 @ 26.19Kg/m2</v>
      </c>
      <c r="E250" s="27">
        <v>3000</v>
      </c>
      <c r="F250" s="27">
        <v>1500</v>
      </c>
      <c r="G250" s="32">
        <v>3</v>
      </c>
      <c r="H250" s="109">
        <f>G250*[1]Density!$D$6/1000*1.112</f>
        <v>26.187600000000003</v>
      </c>
      <c r="I250" s="110">
        <f>E250*F250*H250/1000000</f>
        <v>117.84420000000001</v>
      </c>
      <c r="J250" s="159"/>
      <c r="K250" s="161"/>
      <c r="L250" s="161"/>
      <c r="M250" s="110"/>
      <c r="N250" s="159">
        <v>2000</v>
      </c>
      <c r="O250" s="202">
        <v>1250</v>
      </c>
      <c r="P250" s="202">
        <v>1</v>
      </c>
      <c r="Q250" s="203" t="s">
        <v>72</v>
      </c>
      <c r="R250" s="201"/>
      <c r="S250" s="202"/>
      <c r="T250" s="202"/>
      <c r="U250" s="203"/>
      <c r="Z250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65.469000000000008</v>
      </c>
      <c r="AA250" s="17">
        <f t="shared" si="20"/>
        <v>76.53326100000001</v>
      </c>
      <c r="AB250" s="17"/>
      <c r="AC250" s="10">
        <f>AC249</f>
        <v>1169</v>
      </c>
      <c r="AD250" s="10">
        <f>Table1[[#This Row],[£/Tonne]]/1000*Table1[[#This Row],[KG/M2]]</f>
        <v>30.613304400000004</v>
      </c>
      <c r="AE250" s="10">
        <f>Table1[[#This Row],[£/Tonne]]/1000*Table1[[#This Row],[Kg/ Sheet]]</f>
        <v>137.75986980000002</v>
      </c>
      <c r="AF250" s="10"/>
      <c r="AG250" s="111">
        <f>Table1[[#This Row],[£Cost / SHEET]]*(1+AG$1)</f>
        <v>179.08783074000004</v>
      </c>
      <c r="AH250" s="111">
        <f>Table1[[#This Row],[£Cost / SHEET]]*(1+AH$1)</f>
        <v>185.97582423000003</v>
      </c>
      <c r="AI250" s="111">
        <f>Table1[[#This Row],[£Cost / SHEET]]*(1+AI$1)</f>
        <v>192.86381772000001</v>
      </c>
      <c r="AJ250" s="111">
        <f>Table1[[#This Row],[£Cost / SHEET]]*(1+AJ$1)</f>
        <v>206.63980470000001</v>
      </c>
      <c r="AK250" s="222">
        <f>(Table1[[#This Row],[Qty 1]]*IF(Table1[[#This Row],[Dimension L1]]&lt;1,(Table1[[#This Row],[Length]]*Table1[[#This Row],[Width]]),(Table1[[#This Row],[Dimension L1]]*Table1[[#This Row],[Dimension W1]])))/1000000</f>
        <v>0</v>
      </c>
      <c r="AL250" s="121"/>
    </row>
    <row r="251" spans="2:38" ht="25.35" customHeight="1">
      <c r="B251" s="115" t="s">
        <v>27</v>
      </c>
      <c r="C251" s="119" t="str">
        <f>_xlfn.CONCAT(B251,"_",G251,"_",E251,"_",F251,"")</f>
        <v>PLCHQ_3_2000_1000</v>
      </c>
      <c r="D251" s="7" t="str">
        <f>_xlfn.CONCAT(Table1[[#This Row],[ProductRecord.AccountReference]]," @ ",ROUND(Table1[[#This Row],[KG/M2]],2),$H$2)</f>
        <v>PLCHQ_3_2000_1000 @ 26.19Kg/m2</v>
      </c>
      <c r="E251" s="27">
        <v>2000</v>
      </c>
      <c r="F251" s="27">
        <v>1000</v>
      </c>
      <c r="G251" s="32">
        <v>3</v>
      </c>
      <c r="H251" s="109">
        <f>G251*[1]Density!$D$6/1000*1.112</f>
        <v>26.187600000000003</v>
      </c>
      <c r="I251" s="110">
        <f>E251*F251*H251/1000000</f>
        <v>52.375200000000007</v>
      </c>
      <c r="J251" s="159"/>
      <c r="K251" s="161"/>
      <c r="L251" s="161"/>
      <c r="M251" s="110"/>
      <c r="N251" s="159"/>
      <c r="O251" s="202"/>
      <c r="P251" s="202"/>
      <c r="Q251" s="203"/>
      <c r="R251" s="201"/>
      <c r="S251" s="202"/>
      <c r="T251" s="202">
        <v>16</v>
      </c>
      <c r="U251" s="203" t="s">
        <v>72</v>
      </c>
      <c r="Z251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838.00320000000011</v>
      </c>
      <c r="AA251" s="17">
        <f t="shared" si="20"/>
        <v>712.30272000000002</v>
      </c>
      <c r="AB251" s="17"/>
      <c r="AC251" s="7">
        <v>850</v>
      </c>
      <c r="AD251" s="10">
        <f>Table1[[#This Row],[£/Tonne]]/1000*Table1[[#This Row],[KG/M2]]</f>
        <v>22.259460000000001</v>
      </c>
      <c r="AE251" s="10">
        <f>Table1[[#This Row],[£/Tonne]]/1000*Table1[[#This Row],[Kg/ Sheet]]</f>
        <v>44.518920000000001</v>
      </c>
      <c r="AF251" s="10"/>
      <c r="AG251" s="111">
        <f>Table1[[#This Row],[£Cost / SHEET]]*(1+AG$1)</f>
        <v>57.874596000000004</v>
      </c>
      <c r="AH251" s="111">
        <f>Table1[[#This Row],[£Cost / SHEET]]*(1+AH$1)</f>
        <v>60.100542000000004</v>
      </c>
      <c r="AI251" s="111">
        <f>Table1[[#This Row],[£Cost / SHEET]]*(1+AI$1)</f>
        <v>62.326487999999998</v>
      </c>
      <c r="AJ251" s="111">
        <f>Table1[[#This Row],[£Cost / SHEET]]*(1+AJ$1)</f>
        <v>66.778379999999999</v>
      </c>
      <c r="AK251" s="222">
        <f>(Table1[[#This Row],[Qty 1]]*IF(Table1[[#This Row],[Dimension L1]]&lt;1,(Table1[[#This Row],[Length]]*Table1[[#This Row],[Width]]),(Table1[[#This Row],[Dimension L1]]*Table1[[#This Row],[Dimension W1]])))/1000000</f>
        <v>0</v>
      </c>
      <c r="AL251" s="121"/>
    </row>
    <row r="252" spans="2:38" ht="25.35" customHeight="1">
      <c r="B252" s="115" t="s">
        <v>27</v>
      </c>
      <c r="C252" s="7" t="str">
        <f t="shared" si="14"/>
        <v>PLCHQ_4.5_2500_1250</v>
      </c>
      <c r="D252" s="7" t="str">
        <f>_xlfn.CONCAT(Table1[[#This Row],[ProductRecord.AccountReference]]," @ ",ROUND(Table1[[#This Row],[KG/M2]],2),$H$2)</f>
        <v>PLCHQ_4.5_2500_1250 @ 37.97Kg/m2</v>
      </c>
      <c r="E252" s="27">
        <v>2500</v>
      </c>
      <c r="F252" s="27">
        <v>1250</v>
      </c>
      <c r="G252" s="32">
        <v>4.5</v>
      </c>
      <c r="H252" s="109">
        <v>37.97</v>
      </c>
      <c r="I252" s="161">
        <f t="shared" ref="I252:I256" si="23">E252*F252*H252/1000000</f>
        <v>118.65625</v>
      </c>
      <c r="J252" s="164">
        <v>2100</v>
      </c>
      <c r="K252" s="165">
        <v>480</v>
      </c>
      <c r="L252" s="165">
        <v>1</v>
      </c>
      <c r="M252" s="196" t="s">
        <v>239</v>
      </c>
      <c r="N252" s="159">
        <v>2500</v>
      </c>
      <c r="O252" s="202">
        <v>1250</v>
      </c>
      <c r="P252" s="202">
        <v>12</v>
      </c>
      <c r="Q252" s="203" t="s">
        <v>72</v>
      </c>
      <c r="R252" s="201"/>
      <c r="S252" s="202"/>
      <c r="T252" s="202">
        <v>10</v>
      </c>
      <c r="U252" s="203" t="s">
        <v>302</v>
      </c>
      <c r="Z252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2648.7112600000005</v>
      </c>
      <c r="AA252" s="17">
        <f t="shared" si="20"/>
        <v>3122.8305755400006</v>
      </c>
      <c r="AB252" s="17"/>
      <c r="AC252" s="10">
        <v>1179</v>
      </c>
      <c r="AD252" s="10">
        <f>Table1[[#This Row],[£/Tonne]]/1000*Table1[[#This Row],[KG/M2]]</f>
        <v>44.766629999999999</v>
      </c>
      <c r="AE252" s="10">
        <f>Table1[[#This Row],[£/Tonne]]/1000*Table1[[#This Row],[Kg/ Sheet]]</f>
        <v>139.89571875000001</v>
      </c>
      <c r="AF252" s="10"/>
      <c r="AG252" s="111">
        <f>Table1[[#This Row],[£Cost / SHEET]]*(1+AG$1)</f>
        <v>181.86443437500003</v>
      </c>
      <c r="AH252" s="111">
        <f>Table1[[#This Row],[£Cost / SHEET]]*(1+AH$1)</f>
        <v>188.85922031250004</v>
      </c>
      <c r="AI252" s="111">
        <f>Table1[[#This Row],[£Cost / SHEET]]*(1+AI$1)</f>
        <v>195.85400625</v>
      </c>
      <c r="AJ252" s="111">
        <f>Table1[[#This Row],[£Cost / SHEET]]*(1+AJ$1)</f>
        <v>209.84357812500002</v>
      </c>
      <c r="AK252" s="222">
        <f>(Table1[[#This Row],[Qty 1]]*IF(Table1[[#This Row],[Dimension L1]]&lt;1,(Table1[[#This Row],[Length]]*Table1[[#This Row],[Width]]),(Table1[[#This Row],[Dimension L1]]*Table1[[#This Row],[Dimension W1]])))/1000000</f>
        <v>1.008</v>
      </c>
      <c r="AL252" s="121"/>
    </row>
    <row r="253" spans="2:38" ht="25.35" customHeight="1">
      <c r="B253" s="115" t="s">
        <v>27</v>
      </c>
      <c r="C253" s="7" t="str">
        <f t="shared" si="14"/>
        <v>PLCHQ_4.5_3000_1250</v>
      </c>
      <c r="D253" s="7" t="str">
        <f>_xlfn.CONCAT(Table1[[#This Row],[ProductRecord.AccountReference]]," @ ",ROUND(Table1[[#This Row],[KG/M2]],2),$H$2)</f>
        <v>PLCHQ_4.5_3000_1250 @ 37.97Kg/m2</v>
      </c>
      <c r="E253" s="27">
        <v>3000</v>
      </c>
      <c r="F253" s="27">
        <v>1250</v>
      </c>
      <c r="G253" s="32">
        <v>4.5</v>
      </c>
      <c r="H253" s="109">
        <v>37.97</v>
      </c>
      <c r="I253" s="161">
        <f t="shared" si="23"/>
        <v>142.38749999999999</v>
      </c>
      <c r="J253" s="164">
        <v>1800</v>
      </c>
      <c r="K253" s="165">
        <v>500</v>
      </c>
      <c r="L253" s="165">
        <v>1</v>
      </c>
      <c r="M253" s="196" t="s">
        <v>239</v>
      </c>
      <c r="N253" s="159">
        <v>3000</v>
      </c>
      <c r="O253" s="202">
        <v>240</v>
      </c>
      <c r="P253" s="202">
        <v>1</v>
      </c>
      <c r="Q253" s="203" t="s">
        <v>239</v>
      </c>
      <c r="R253" s="201">
        <v>1000</v>
      </c>
      <c r="S253" s="202">
        <v>700</v>
      </c>
      <c r="T253" s="202">
        <v>1</v>
      </c>
      <c r="U253" s="203" t="s">
        <v>239</v>
      </c>
      <c r="Z253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88.090400000000002</v>
      </c>
      <c r="AA253" s="17">
        <f t="shared" si="20"/>
        <v>74.876840000000001</v>
      </c>
      <c r="AB253" s="17"/>
      <c r="AC253" s="10">
        <v>850</v>
      </c>
      <c r="AD253" s="10">
        <f>Table1[[#This Row],[£/Tonne]]/1000*Table1[[#This Row],[KG/M2]]</f>
        <v>32.274499999999996</v>
      </c>
      <c r="AE253" s="10">
        <f>Table1[[#This Row],[£/Tonne]]/1000*Table1[[#This Row],[Kg/ Sheet]]</f>
        <v>121.02937499999999</v>
      </c>
      <c r="AF253" s="10"/>
      <c r="AG253" s="111">
        <f>Table1[[#This Row],[£Cost / SHEET]]*(1+AG$1)</f>
        <v>157.33818749999998</v>
      </c>
      <c r="AH253" s="111">
        <f>Table1[[#This Row],[£Cost / SHEET]]*(1+AH$1)</f>
        <v>163.38965625</v>
      </c>
      <c r="AI253" s="111">
        <f>Table1[[#This Row],[£Cost / SHEET]]*(1+AI$1)</f>
        <v>169.44112499999997</v>
      </c>
      <c r="AJ253" s="111">
        <f>Table1[[#This Row],[£Cost / SHEET]]*(1+AJ$1)</f>
        <v>181.5440625</v>
      </c>
      <c r="AK253" s="222">
        <f>(Table1[[#This Row],[Qty 1]]*IF(Table1[[#This Row],[Dimension L1]]&lt;1,(Table1[[#This Row],[Length]]*Table1[[#This Row],[Width]]),(Table1[[#This Row],[Dimension L1]]*Table1[[#This Row],[Dimension W1]])))/1000000</f>
        <v>0.9</v>
      </c>
      <c r="AL253" s="121"/>
    </row>
    <row r="254" spans="2:38" ht="25.35" customHeight="1">
      <c r="B254" s="115" t="s">
        <v>27</v>
      </c>
      <c r="C254" s="7" t="str">
        <f t="shared" si="14"/>
        <v>PLCHQ_6_2550_1510</v>
      </c>
      <c r="D254" s="7" t="str">
        <f>_xlfn.CONCAT(Table1[[#This Row],[ProductRecord.AccountReference]]," @ ",ROUND(Table1[[#This Row],[KG/M2]],2),$H$2)</f>
        <v>PLCHQ_6_2550_1510 @ 48.7Kg/m2</v>
      </c>
      <c r="E254" s="70">
        <v>2550</v>
      </c>
      <c r="F254" s="70">
        <v>1510</v>
      </c>
      <c r="G254" s="32">
        <v>6</v>
      </c>
      <c r="H254" s="45">
        <v>48.7</v>
      </c>
      <c r="I254" s="161">
        <f t="shared" si="23"/>
        <v>187.51935</v>
      </c>
      <c r="J254" s="164">
        <v>1400</v>
      </c>
      <c r="K254" s="165">
        <v>370</v>
      </c>
      <c r="L254" s="165">
        <v>1</v>
      </c>
      <c r="M254" s="196" t="s">
        <v>239</v>
      </c>
      <c r="N254" s="159"/>
      <c r="O254" s="202"/>
      <c r="P254" s="202"/>
      <c r="Q254" s="203"/>
      <c r="R254" s="201"/>
      <c r="S254" s="202"/>
      <c r="T254" s="202">
        <v>1</v>
      </c>
      <c r="U254" s="203" t="s">
        <v>302</v>
      </c>
      <c r="Z254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212.74595000000002</v>
      </c>
      <c r="AA254" s="17">
        <f t="shared" si="20"/>
        <v>121.05244555000002</v>
      </c>
      <c r="AB254" s="17"/>
      <c r="AC254" s="10">
        <v>569</v>
      </c>
      <c r="AD254" s="10">
        <f>Table1[[#This Row],[£/Tonne]]/1000*Table1[[#This Row],[KG/M2]]</f>
        <v>27.7103</v>
      </c>
      <c r="AE254" s="10">
        <f>Table1[[#This Row],[£/Tonne]]/1000*Table1[[#This Row],[Kg/ Sheet]]</f>
        <v>106.69851014999999</v>
      </c>
      <c r="AF254" s="10"/>
      <c r="AG254" s="111">
        <f>Table1[[#This Row],[£Cost / SHEET]]*(1+AG$1)</f>
        <v>138.70806319499999</v>
      </c>
      <c r="AH254" s="111">
        <f>Table1[[#This Row],[£Cost / SHEET]]*(1+AH$1)</f>
        <v>144.0429887025</v>
      </c>
      <c r="AI254" s="111">
        <f>Table1[[#This Row],[£Cost / SHEET]]*(1+AI$1)</f>
        <v>149.37791420999997</v>
      </c>
      <c r="AJ254" s="111">
        <f>Table1[[#This Row],[£Cost / SHEET]]*(1+AJ$1)</f>
        <v>160.04776522499998</v>
      </c>
      <c r="AK254" s="222">
        <f>(Table1[[#This Row],[Qty 1]]*IF(Table1[[#This Row],[Dimension L1]]&lt;1,(Table1[[#This Row],[Length]]*Table1[[#This Row],[Width]]),(Table1[[#This Row],[Dimension L1]]*Table1[[#This Row],[Dimension W1]])))/1000000</f>
        <v>0.51800000000000002</v>
      </c>
      <c r="AL254" s="121"/>
    </row>
    <row r="255" spans="2:38" ht="25.35" customHeight="1">
      <c r="B255" s="115" t="s">
        <v>27</v>
      </c>
      <c r="C255" s="7" t="str">
        <f t="shared" si="14"/>
        <v>PLCHQ_8__</v>
      </c>
      <c r="D255" s="7" t="str">
        <f>_xlfn.CONCAT(Table1[[#This Row],[ProductRecord.AccountReference]]," @ ",ROUND(Table1[[#This Row],[KG/M2]],2),$H$2)</f>
        <v>PLCHQ_8__ @ 65.44Kg/m2</v>
      </c>
      <c r="E255" s="15"/>
      <c r="F255" s="15"/>
      <c r="G255" s="32">
        <v>8</v>
      </c>
      <c r="H255" s="45">
        <v>65.44</v>
      </c>
      <c r="I255" s="161">
        <f t="shared" si="23"/>
        <v>0</v>
      </c>
      <c r="J255" s="164"/>
      <c r="K255" s="165"/>
      <c r="L255" s="165"/>
      <c r="M255" s="196"/>
      <c r="N255" s="164"/>
      <c r="O255" s="202"/>
      <c r="P255" s="202"/>
      <c r="Q255" s="203"/>
      <c r="R255" s="201"/>
      <c r="S255" s="202"/>
      <c r="T255" s="202"/>
      <c r="U255" s="203"/>
      <c r="Z255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255" s="17">
        <f t="shared" si="20"/>
        <v>0</v>
      </c>
      <c r="AB255" s="17"/>
      <c r="AC255" s="10">
        <f>IF(Table1[[#This Row],[Total Weight All Areas]]&gt;0,"PT",0)</f>
        <v>0</v>
      </c>
      <c r="AD255" s="10">
        <f>Table1[[#This Row],[£/Tonne]]/1000*Table1[[#This Row],[KG/M2]]</f>
        <v>0</v>
      </c>
      <c r="AE255" s="10">
        <f>Table1[[#This Row],[£/Tonne]]/1000*Table1[[#This Row],[Kg/ Sheet]]</f>
        <v>0</v>
      </c>
      <c r="AF255" s="10"/>
      <c r="AG255" s="111">
        <f>Table1[[#This Row],[£Cost / SHEET]]*(1+AG$1)</f>
        <v>0</v>
      </c>
      <c r="AH255" s="111">
        <f>Table1[[#This Row],[£Cost / SHEET]]*(1+AH$1)</f>
        <v>0</v>
      </c>
      <c r="AI255" s="111">
        <f>Table1[[#This Row],[£Cost / SHEET]]*(1+AI$1)</f>
        <v>0</v>
      </c>
      <c r="AJ255" s="111">
        <f>Table1[[#This Row],[£Cost / SHEET]]*(1+AJ$1)</f>
        <v>0</v>
      </c>
      <c r="AK255" s="222">
        <f>(Table1[[#This Row],[Qty 1]]*IF(Table1[[#This Row],[Dimension L1]]&lt;1,(Table1[[#This Row],[Length]]*Table1[[#This Row],[Width]]),(Table1[[#This Row],[Dimension L1]]*Table1[[#This Row],[Dimension W1]])))/1000000</f>
        <v>0</v>
      </c>
      <c r="AL255" s="121"/>
    </row>
    <row r="256" spans="2:38" ht="25.35" customHeight="1">
      <c r="B256" s="115" t="s">
        <v>27</v>
      </c>
      <c r="C256" s="7" t="str">
        <f t="shared" si="14"/>
        <v>PLCHQ_10_1220_1060</v>
      </c>
      <c r="D256" s="7" t="str">
        <f>_xlfn.CONCAT(Table1[[#This Row],[ProductRecord.AccountReference]]," @ ",ROUND(Table1[[#This Row],[KG/M2]],2),$H$2)</f>
        <v>PLCHQ_10_1220_1060 @ 81.14Kg/m2</v>
      </c>
      <c r="E256" s="27">
        <v>1220</v>
      </c>
      <c r="F256" s="27">
        <v>1060</v>
      </c>
      <c r="G256" s="32">
        <v>10</v>
      </c>
      <c r="H256" s="45">
        <v>81.14</v>
      </c>
      <c r="I256" s="161">
        <f t="shared" si="23"/>
        <v>104.93024800000001</v>
      </c>
      <c r="J256" s="164"/>
      <c r="K256" s="165"/>
      <c r="L256" s="165"/>
      <c r="M256" s="196"/>
      <c r="N256" s="164"/>
      <c r="O256" s="202"/>
      <c r="P256" s="202"/>
      <c r="Q256" s="203"/>
      <c r="R256" s="201"/>
      <c r="S256" s="202"/>
      <c r="T256" s="202"/>
      <c r="U256" s="203"/>
      <c r="Z256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256" s="17">
        <f t="shared" si="20"/>
        <v>0</v>
      </c>
      <c r="AB256" s="17"/>
      <c r="AC256" s="10">
        <v>400</v>
      </c>
      <c r="AD256" s="10">
        <f>Table1[[#This Row],[£/Tonne]]/1000*Table1[[#This Row],[KG/M2]]</f>
        <v>32.456000000000003</v>
      </c>
      <c r="AE256" s="10">
        <f>Table1[[#This Row],[£/Tonne]]/1000*Table1[[#This Row],[Kg/ Sheet]]</f>
        <v>41.972099200000002</v>
      </c>
      <c r="AF256" s="10"/>
      <c r="AG256" s="111">
        <f>Table1[[#This Row],[£Cost / SHEET]]*(1+AG$1)</f>
        <v>54.563728960000006</v>
      </c>
      <c r="AH256" s="111">
        <f>Table1[[#This Row],[£Cost / SHEET]]*(1+AH$1)</f>
        <v>56.662333920000009</v>
      </c>
      <c r="AI256" s="111">
        <f>Table1[[#This Row],[£Cost / SHEET]]*(1+AI$1)</f>
        <v>58.760938879999998</v>
      </c>
      <c r="AJ256" s="111">
        <f>Table1[[#This Row],[£Cost / SHEET]]*(1+AJ$1)</f>
        <v>62.958148800000004</v>
      </c>
      <c r="AK256" s="222">
        <f>(Table1[[#This Row],[Qty 1]]*IF(Table1[[#This Row],[Dimension L1]]&lt;1,(Table1[[#This Row],[Length]]*Table1[[#This Row],[Width]]),(Table1[[#This Row],[Dimension L1]]*Table1[[#This Row],[Dimension W1]])))/1000000</f>
        <v>0</v>
      </c>
      <c r="AL256" s="121"/>
    </row>
    <row r="257" spans="1:38" ht="25.35" customHeight="1">
      <c r="B257" s="115"/>
      <c r="I257" s="110"/>
      <c r="J257" s="159"/>
      <c r="K257" s="161"/>
      <c r="L257" s="161"/>
      <c r="M257" s="196"/>
      <c r="N257" s="159"/>
      <c r="O257" s="202"/>
      <c r="P257" s="202"/>
      <c r="Q257" s="203"/>
      <c r="R257" s="201"/>
      <c r="S257" s="202"/>
      <c r="T257" s="202"/>
      <c r="U257" s="203"/>
      <c r="Z257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257" s="17">
        <f t="shared" si="20"/>
        <v>0</v>
      </c>
      <c r="AB257" s="17"/>
      <c r="AC257" s="10"/>
      <c r="AD257" s="10">
        <f>Table1[[#This Row],[£/Tonne]]/1000*Table1[[#This Row],[KG/M2]]</f>
        <v>0</v>
      </c>
      <c r="AE257" s="10">
        <f>Table1[[#This Row],[£/Tonne]]/1000*Table1[[#This Row],[Kg/ Sheet]]</f>
        <v>0</v>
      </c>
      <c r="AF257" s="10"/>
      <c r="AG257" s="111">
        <f>Table1[[#This Row],[£Cost / SHEET]]*(1+AG$1)</f>
        <v>0</v>
      </c>
      <c r="AH257" s="111">
        <f>Table1[[#This Row],[£Cost / SHEET]]*(1+AH$1)</f>
        <v>0</v>
      </c>
      <c r="AI257" s="111">
        <f>Table1[[#This Row],[£Cost / SHEET]]*(1+AI$1)</f>
        <v>0</v>
      </c>
      <c r="AJ257" s="111">
        <f>Table1[[#This Row],[£Cost / SHEET]]*(1+AJ$1)</f>
        <v>0</v>
      </c>
      <c r="AK257" s="222">
        <f>(Table1[[#This Row],[Qty 1]]*IF(Table1[[#This Row],[Dimension L1]]&lt;1,(Table1[[#This Row],[Length]]*Table1[[#This Row],[Width]]),(Table1[[#This Row],[Dimension L1]]*Table1[[#This Row],[Dimension W1]])))/1000000</f>
        <v>0</v>
      </c>
      <c r="AL257" s="121"/>
    </row>
    <row r="258" spans="1:38" ht="25.35" customHeight="1">
      <c r="B258" s="115"/>
      <c r="I258" s="110"/>
      <c r="J258" s="159"/>
      <c r="K258" s="161"/>
      <c r="L258" s="161"/>
      <c r="M258" s="196"/>
      <c r="N258" s="159"/>
      <c r="O258" s="202"/>
      <c r="P258" s="202"/>
      <c r="Q258" s="203"/>
      <c r="R258" s="201"/>
      <c r="S258" s="202"/>
      <c r="T258" s="202"/>
      <c r="U258" s="203"/>
      <c r="Z258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258" s="17">
        <f t="shared" si="20"/>
        <v>0</v>
      </c>
      <c r="AB258" s="17"/>
      <c r="AC258" s="10"/>
      <c r="AD258" s="10">
        <f>Table1[[#This Row],[£/Tonne]]/1000*Table1[[#This Row],[KG/M2]]</f>
        <v>0</v>
      </c>
      <c r="AE258" s="10">
        <f>Table1[[#This Row],[£/Tonne]]/1000*Table1[[#This Row],[Kg/ Sheet]]</f>
        <v>0</v>
      </c>
      <c r="AF258" s="10"/>
      <c r="AG258" s="111">
        <f>Table1[[#This Row],[£Cost / SHEET]]*(1+AG$1)</f>
        <v>0</v>
      </c>
      <c r="AH258" s="111">
        <f>Table1[[#This Row],[£Cost / SHEET]]*(1+AH$1)</f>
        <v>0</v>
      </c>
      <c r="AI258" s="111">
        <f>Table1[[#This Row],[£Cost / SHEET]]*(1+AI$1)</f>
        <v>0</v>
      </c>
      <c r="AJ258" s="111">
        <f>Table1[[#This Row],[£Cost / SHEET]]*(1+AJ$1)</f>
        <v>0</v>
      </c>
      <c r="AK258" s="222">
        <f>(Table1[[#This Row],[Qty 1]]*IF(Table1[[#This Row],[Dimension L1]]&lt;1,(Table1[[#This Row],[Length]]*Table1[[#This Row],[Width]]),(Table1[[#This Row],[Dimension L1]]*Table1[[#This Row],[Dimension W1]])))/1000000</f>
        <v>0</v>
      </c>
      <c r="AL258" s="121"/>
    </row>
    <row r="259" spans="1:38" ht="25.35" customHeight="1">
      <c r="B259" s="115"/>
      <c r="I259" s="110"/>
      <c r="J259" s="159"/>
      <c r="K259" s="161"/>
      <c r="L259" s="161"/>
      <c r="M259" s="196"/>
      <c r="N259" s="159"/>
      <c r="O259" s="202"/>
      <c r="P259" s="202"/>
      <c r="Q259" s="203"/>
      <c r="R259" s="201"/>
      <c r="S259" s="202"/>
      <c r="T259" s="202"/>
      <c r="U259" s="203"/>
      <c r="Z259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259" s="17">
        <f t="shared" ref="AA259:AA322" si="24">Z259/1000*AC259</f>
        <v>0</v>
      </c>
      <c r="AB259" s="17"/>
      <c r="AC259" s="10"/>
      <c r="AD259" s="10">
        <f>Table1[[#This Row],[£/Tonne]]/1000*Table1[[#This Row],[KG/M2]]</f>
        <v>0</v>
      </c>
      <c r="AE259" s="10">
        <f>Table1[[#This Row],[£/Tonne]]/1000*Table1[[#This Row],[Kg/ Sheet]]</f>
        <v>0</v>
      </c>
      <c r="AF259" s="10"/>
      <c r="AG259" s="111">
        <f>Table1[[#This Row],[£Cost / SHEET]]*(1+AG$1)</f>
        <v>0</v>
      </c>
      <c r="AH259" s="111">
        <f>Table1[[#This Row],[£Cost / SHEET]]*(1+AH$1)</f>
        <v>0</v>
      </c>
      <c r="AI259" s="111">
        <f>Table1[[#This Row],[£Cost / SHEET]]*(1+AI$1)</f>
        <v>0</v>
      </c>
      <c r="AJ259" s="111">
        <f>Table1[[#This Row],[£Cost / SHEET]]*(1+AJ$1)</f>
        <v>0</v>
      </c>
      <c r="AK259" s="222">
        <f>(Table1[[#This Row],[Qty 1]]*IF(Table1[[#This Row],[Dimension L1]]&lt;1,(Table1[[#This Row],[Length]]*Table1[[#This Row],[Width]]),(Table1[[#This Row],[Dimension L1]]*Table1[[#This Row],[Dimension W1]])))/1000000</f>
        <v>0</v>
      </c>
      <c r="AL259" s="121"/>
    </row>
    <row r="260" spans="1:38" ht="25.35" customHeight="1">
      <c r="B260" s="115"/>
      <c r="I260" s="110"/>
      <c r="J260" s="159"/>
      <c r="K260" s="161"/>
      <c r="L260" s="161"/>
      <c r="M260" s="196"/>
      <c r="N260" s="159"/>
      <c r="O260" s="202"/>
      <c r="P260" s="202"/>
      <c r="Q260" s="203"/>
      <c r="R260" s="201"/>
      <c r="S260" s="202"/>
      <c r="T260" s="202"/>
      <c r="U260" s="203"/>
      <c r="Z260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260" s="17">
        <f t="shared" si="24"/>
        <v>0</v>
      </c>
      <c r="AB260" s="17"/>
      <c r="AC260" s="10"/>
      <c r="AD260" s="10">
        <f>Table1[[#This Row],[£/Tonne]]/1000*Table1[[#This Row],[KG/M2]]</f>
        <v>0</v>
      </c>
      <c r="AE260" s="10">
        <f>Table1[[#This Row],[£/Tonne]]/1000*Table1[[#This Row],[Kg/ Sheet]]</f>
        <v>0</v>
      </c>
      <c r="AF260" s="10"/>
      <c r="AG260" s="111">
        <f>Table1[[#This Row],[£Cost / SHEET]]*(1+AG$1)</f>
        <v>0</v>
      </c>
      <c r="AH260" s="111">
        <f>Table1[[#This Row],[£Cost / SHEET]]*(1+AH$1)</f>
        <v>0</v>
      </c>
      <c r="AI260" s="111">
        <f>Table1[[#This Row],[£Cost / SHEET]]*(1+AI$1)</f>
        <v>0</v>
      </c>
      <c r="AJ260" s="111">
        <f>Table1[[#This Row],[£Cost / SHEET]]*(1+AJ$1)</f>
        <v>0</v>
      </c>
      <c r="AK260" s="222">
        <f>(Table1[[#This Row],[Qty 1]]*IF(Table1[[#This Row],[Dimension L1]]&lt;1,(Table1[[#This Row],[Length]]*Table1[[#This Row],[Width]]),(Table1[[#This Row],[Dimension L1]]*Table1[[#This Row],[Dimension W1]])))/1000000</f>
        <v>0</v>
      </c>
      <c r="AL260" s="121"/>
    </row>
    <row r="261" spans="1:38" ht="25.35" customHeight="1">
      <c r="C261" s="7" t="str">
        <f t="shared" si="14"/>
        <v>__GALV SHEET_</v>
      </c>
      <c r="D261" s="7" t="str">
        <f>_xlfn.CONCAT(Table1[[#This Row],[ProductRecord.AccountReference]]," @ ",ROUND(Table1[[#This Row],[KG/M2]],2),$H$2)</f>
        <v>__GALV SHEET_ @ 0Kg/m2</v>
      </c>
      <c r="E261" s="116" t="s">
        <v>311</v>
      </c>
      <c r="I261" s="161"/>
      <c r="J261" s="164"/>
      <c r="K261" s="165"/>
      <c r="L261" s="165"/>
      <c r="M261" s="196"/>
      <c r="N261" s="164"/>
      <c r="O261" s="202"/>
      <c r="P261" s="202"/>
      <c r="Q261" s="203"/>
      <c r="R261" s="201"/>
      <c r="S261" s="202"/>
      <c r="T261" s="202"/>
      <c r="U261" s="203"/>
      <c r="Z261" s="37"/>
      <c r="AA261" s="17">
        <f t="shared" si="24"/>
        <v>0</v>
      </c>
      <c r="AB261" s="17"/>
      <c r="AC261" s="10"/>
      <c r="AD261" s="10">
        <f>Table1[[#This Row],[£/Tonne]]/1000*Table1[[#This Row],[KG/M2]]</f>
        <v>0</v>
      </c>
      <c r="AE261" s="10">
        <f>Table1[[#This Row],[£/Tonne]]/1000*Table1[[#This Row],[Kg/ Sheet]]</f>
        <v>0</v>
      </c>
      <c r="AF261" s="10"/>
      <c r="AG261" s="111">
        <f>Table1[[#This Row],[£Cost / SHEET]]*(1+AG$1)</f>
        <v>0</v>
      </c>
      <c r="AH261" s="111">
        <f>Table1[[#This Row],[£Cost / SHEET]]*(1+AH$1)</f>
        <v>0</v>
      </c>
      <c r="AI261" s="111">
        <f>Table1[[#This Row],[£Cost / SHEET]]*(1+AI$1)</f>
        <v>0</v>
      </c>
      <c r="AJ261" s="111">
        <f>Table1[[#This Row],[£Cost / SHEET]]*(1+AJ$1)</f>
        <v>0</v>
      </c>
      <c r="AK261" s="222" t="e">
        <f>(Table1[[#This Row],[Qty 1]]*IF(Table1[[#This Row],[Dimension L1]]&lt;1,(Table1[[#This Row],[Length]]*Table1[[#This Row],[Width]]),(Table1[[#This Row],[Dimension L1]]*Table1[[#This Row],[Dimension W1]])))/1000000</f>
        <v>#VALUE!</v>
      </c>
      <c r="AL261" s="121"/>
    </row>
    <row r="262" spans="1:38" ht="25.35" customHeight="1">
      <c r="B262" s="19" t="s">
        <v>33</v>
      </c>
      <c r="C262" s="7" t="str">
        <f t="shared" si="14"/>
        <v>GS_0.56__</v>
      </c>
      <c r="D262" s="7" t="str">
        <f>_xlfn.CONCAT(Table1[[#This Row],[ProductRecord.AccountReference]]," @ ",ROUND(Table1[[#This Row],[KG/M2]],2),$H$2)</f>
        <v>GS_0.56__ @ 4.4Kg/m2</v>
      </c>
      <c r="G262" s="32">
        <v>0.56000000000000005</v>
      </c>
      <c r="H262" s="109">
        <f>G262*[1]Density!$D$6/1000</f>
        <v>4.3959999999999999</v>
      </c>
      <c r="I262" s="161">
        <f>E262*F262*H262/1000000</f>
        <v>0</v>
      </c>
      <c r="J262" s="164"/>
      <c r="K262" s="165"/>
      <c r="L262" s="165"/>
      <c r="M262" s="196"/>
      <c r="N262" s="164"/>
      <c r="O262" s="202"/>
      <c r="P262" s="202"/>
      <c r="Q262" s="203"/>
      <c r="R262" s="201"/>
      <c r="S262" s="202"/>
      <c r="T262" s="202"/>
      <c r="U262" s="203"/>
      <c r="Z262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262" s="17">
        <f t="shared" si="24"/>
        <v>0</v>
      </c>
      <c r="AB262" s="17"/>
      <c r="AC262" s="10">
        <f>IF(Table1[[#This Row],[Total Weight All Areas]]&gt;0,"PT",0)</f>
        <v>0</v>
      </c>
      <c r="AD262" s="10">
        <f>Table1[[#This Row],[£/Tonne]]/1000*Table1[[#This Row],[KG/M2]]</f>
        <v>0</v>
      </c>
      <c r="AE262" s="10">
        <f>Table1[[#This Row],[£/Tonne]]/1000*Table1[[#This Row],[Kg/ Sheet]]</f>
        <v>0</v>
      </c>
      <c r="AF262" s="10"/>
      <c r="AG262" s="111">
        <f>Table1[[#This Row],[£Cost / SHEET]]*(1+AG$1)</f>
        <v>0</v>
      </c>
      <c r="AH262" s="111">
        <f>Table1[[#This Row],[£Cost / SHEET]]*(1+AH$1)</f>
        <v>0</v>
      </c>
      <c r="AI262" s="111">
        <f>Table1[[#This Row],[£Cost / SHEET]]*(1+AI$1)</f>
        <v>0</v>
      </c>
      <c r="AJ262" s="111">
        <f>Table1[[#This Row],[£Cost / SHEET]]*(1+AJ$1)</f>
        <v>0</v>
      </c>
      <c r="AK262" s="222">
        <f>(Table1[[#This Row],[Qty 1]]*IF(Table1[[#This Row],[Dimension L1]]&lt;1,(Table1[[#This Row],[Length]]*Table1[[#This Row],[Width]]),(Table1[[#This Row],[Dimension L1]]*Table1[[#This Row],[Dimension W1]])))/1000000</f>
        <v>0</v>
      </c>
      <c r="AL262" s="121"/>
    </row>
    <row r="263" spans="1:38" ht="25.35" customHeight="1">
      <c r="B263" s="19" t="s">
        <v>33</v>
      </c>
      <c r="C263" s="7" t="str">
        <f t="shared" si="14"/>
        <v>GS_0.8__</v>
      </c>
      <c r="D263" s="7" t="str">
        <f>_xlfn.CONCAT(Table1[[#This Row],[ProductRecord.AccountReference]]," @ ",ROUND(Table1[[#This Row],[KG/M2]],2),$H$2)</f>
        <v>GS_0.8__ @ 6.28Kg/m2</v>
      </c>
      <c r="G263" s="32">
        <v>0.8</v>
      </c>
      <c r="H263" s="109">
        <f>G263*[1]Density!$D$6/1000</f>
        <v>6.28</v>
      </c>
      <c r="I263" s="161">
        <f>E263*F263*H263/1000000</f>
        <v>0</v>
      </c>
      <c r="J263" s="164"/>
      <c r="K263" s="165"/>
      <c r="L263" s="165"/>
      <c r="M263" s="196"/>
      <c r="N263" s="164"/>
      <c r="O263" s="202"/>
      <c r="P263" s="202"/>
      <c r="Q263" s="203"/>
      <c r="R263" s="201"/>
      <c r="S263" s="202"/>
      <c r="T263" s="202"/>
      <c r="U263" s="203"/>
      <c r="Z263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263" s="17">
        <f t="shared" si="24"/>
        <v>0</v>
      </c>
      <c r="AB263" s="17"/>
      <c r="AC263" s="10">
        <f>IF(Table1[[#This Row],[Total Weight All Areas]]&gt;0,"PT",0)</f>
        <v>0</v>
      </c>
      <c r="AD263" s="10">
        <f>Table1[[#This Row],[£/Tonne]]/1000*Table1[[#This Row],[KG/M2]]</f>
        <v>0</v>
      </c>
      <c r="AE263" s="10">
        <f>Table1[[#This Row],[£/Tonne]]/1000*Table1[[#This Row],[Kg/ Sheet]]</f>
        <v>0</v>
      </c>
      <c r="AF263" s="10"/>
      <c r="AG263" s="111">
        <f>Table1[[#This Row],[£Cost / SHEET]]*(1+AG$1)</f>
        <v>0</v>
      </c>
      <c r="AH263" s="111">
        <f>Table1[[#This Row],[£Cost / SHEET]]*(1+AH$1)</f>
        <v>0</v>
      </c>
      <c r="AI263" s="111">
        <f>Table1[[#This Row],[£Cost / SHEET]]*(1+AI$1)</f>
        <v>0</v>
      </c>
      <c r="AJ263" s="111">
        <f>Table1[[#This Row],[£Cost / SHEET]]*(1+AJ$1)</f>
        <v>0</v>
      </c>
      <c r="AK263" s="222">
        <f>(Table1[[#This Row],[Qty 1]]*IF(Table1[[#This Row],[Dimension L1]]&lt;1,(Table1[[#This Row],[Length]]*Table1[[#This Row],[Width]]),(Table1[[#This Row],[Dimension L1]]*Table1[[#This Row],[Dimension W1]])))/1000000</f>
        <v>0</v>
      </c>
      <c r="AL263" s="121"/>
    </row>
    <row r="264" spans="1:38" ht="25.35" customHeight="1">
      <c r="A264" s="7" t="s">
        <v>312</v>
      </c>
      <c r="B264" s="19" t="s">
        <v>33</v>
      </c>
      <c r="C264" s="7" t="str">
        <f t="shared" si="14"/>
        <v>GS_0.9_2500_1250</v>
      </c>
      <c r="D264" s="7" t="str">
        <f>_xlfn.CONCAT(Table1[[#This Row],[ProductRecord.AccountReference]]," @ ",ROUND(Table1[[#This Row],[KG/M2]],2),$H$2)</f>
        <v>GS_0.9_2500_1250 @ 7.07Kg/m2</v>
      </c>
      <c r="E264" s="27">
        <v>2500</v>
      </c>
      <c r="F264" s="27">
        <v>1250</v>
      </c>
      <c r="G264" s="32">
        <v>0.9</v>
      </c>
      <c r="H264" s="109">
        <f>G264*[1]Density!$D$6/1000</f>
        <v>7.0650000000000004</v>
      </c>
      <c r="I264" s="161">
        <f>E264*F264*H264/1000000</f>
        <v>22.078125</v>
      </c>
      <c r="J264" s="164"/>
      <c r="K264" s="165"/>
      <c r="L264" s="165"/>
      <c r="M264" s="196"/>
      <c r="N264" s="164"/>
      <c r="O264" s="202"/>
      <c r="P264" s="202"/>
      <c r="Q264" s="203"/>
      <c r="R264" s="201"/>
      <c r="S264" s="202"/>
      <c r="T264" s="202"/>
      <c r="U264" s="203"/>
      <c r="Z264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264" s="17">
        <f t="shared" si="24"/>
        <v>0</v>
      </c>
      <c r="AB264" s="17"/>
      <c r="AC264" s="10">
        <v>730</v>
      </c>
      <c r="AD264" s="10">
        <f>Table1[[#This Row],[£/Tonne]]/1000*Table1[[#This Row],[KG/M2]]</f>
        <v>5.1574499999999999</v>
      </c>
      <c r="AE264" s="10">
        <f>Table1[[#This Row],[£/Tonne]]/1000*Table1[[#This Row],[Kg/ Sheet]]</f>
        <v>16.11703125</v>
      </c>
      <c r="AF264" s="10"/>
      <c r="AG264" s="111">
        <f>Table1[[#This Row],[£Cost / SHEET]]*(1+AG$1)</f>
        <v>20.952140625000002</v>
      </c>
      <c r="AH264" s="111">
        <f>Table1[[#This Row],[£Cost / SHEET]]*(1+AH$1)</f>
        <v>21.757992187500001</v>
      </c>
      <c r="AI264" s="111">
        <f>Table1[[#This Row],[£Cost / SHEET]]*(1+AI$1)</f>
        <v>22.56384375</v>
      </c>
      <c r="AJ264" s="111">
        <f>Table1[[#This Row],[£Cost / SHEET]]*(1+AJ$1)</f>
        <v>24.175546875000002</v>
      </c>
      <c r="AK264" s="222">
        <f>(Table1[[#This Row],[Qty 1]]*IF(Table1[[#This Row],[Dimension L1]]&lt;1,(Table1[[#This Row],[Length]]*Table1[[#This Row],[Width]]),(Table1[[#This Row],[Dimension L1]]*Table1[[#This Row],[Dimension W1]])))/1000000</f>
        <v>0</v>
      </c>
      <c r="AL264" s="121"/>
    </row>
    <row r="265" spans="1:38" ht="25.35" customHeight="1">
      <c r="A265" s="7" t="s">
        <v>313</v>
      </c>
      <c r="B265" s="19" t="s">
        <v>33</v>
      </c>
      <c r="C265" s="7" t="str">
        <f t="shared" si="14"/>
        <v>GS_1.2__</v>
      </c>
      <c r="D265" s="7" t="str">
        <f>_xlfn.CONCAT(Table1[[#This Row],[ProductRecord.AccountReference]]," @ ",ROUND(Table1[[#This Row],[KG/M2]],2),$H$2)</f>
        <v>GS_1.2__ @ 9.42Kg/m2</v>
      </c>
      <c r="G265" s="32">
        <v>1.2</v>
      </c>
      <c r="H265" s="109">
        <f>G265*[1]Density!$D$6/1000</f>
        <v>9.42</v>
      </c>
      <c r="I265" s="161">
        <f>E265*F265*H265/1000000</f>
        <v>0</v>
      </c>
      <c r="J265" s="164"/>
      <c r="K265" s="165"/>
      <c r="L265" s="165"/>
      <c r="M265" s="196"/>
      <c r="N265" s="164"/>
      <c r="O265" s="202"/>
      <c r="P265" s="202"/>
      <c r="Q265" s="203"/>
      <c r="R265" s="201"/>
      <c r="S265" s="202"/>
      <c r="T265" s="202"/>
      <c r="U265" s="203"/>
      <c r="Z265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265" s="17">
        <f t="shared" si="24"/>
        <v>0</v>
      </c>
      <c r="AB265" s="17"/>
      <c r="AC265" s="10">
        <f>IF(Table1[[#This Row],[Total Weight All Areas]]&gt;0,"PT",0)</f>
        <v>0</v>
      </c>
      <c r="AD265" s="10">
        <f>Table1[[#This Row],[£/Tonne]]/1000*Table1[[#This Row],[KG/M2]]</f>
        <v>0</v>
      </c>
      <c r="AE265" s="10">
        <f>Table1[[#This Row],[£/Tonne]]/1000*Table1[[#This Row],[Kg/ Sheet]]</f>
        <v>0</v>
      </c>
      <c r="AF265" s="10"/>
      <c r="AG265" s="111">
        <f>Table1[[#This Row],[£Cost / SHEET]]*(1+AG$1)</f>
        <v>0</v>
      </c>
      <c r="AH265" s="111">
        <f>Table1[[#This Row],[£Cost / SHEET]]*(1+AH$1)</f>
        <v>0</v>
      </c>
      <c r="AI265" s="111">
        <f>Table1[[#This Row],[£Cost / SHEET]]*(1+AI$1)</f>
        <v>0</v>
      </c>
      <c r="AJ265" s="111">
        <f>Table1[[#This Row],[£Cost / SHEET]]*(1+AJ$1)</f>
        <v>0</v>
      </c>
      <c r="AK265" s="222">
        <f>(Table1[[#This Row],[Qty 1]]*IF(Table1[[#This Row],[Dimension L1]]&lt;1,(Table1[[#This Row],[Length]]*Table1[[#This Row],[Width]]),(Table1[[#This Row],[Dimension L1]]*Table1[[#This Row],[Dimension W1]])))/1000000</f>
        <v>0</v>
      </c>
      <c r="AL265" s="121"/>
    </row>
    <row r="266" spans="1:38" ht="25.35" customHeight="1">
      <c r="A266" s="7" t="s">
        <v>314</v>
      </c>
      <c r="B266" s="19" t="s">
        <v>33</v>
      </c>
      <c r="C266" s="7" t="str">
        <f t="shared" si="14"/>
        <v>GS_1.5_2500_1250</v>
      </c>
      <c r="D266" s="7" t="str">
        <f>_xlfn.CONCAT(Table1[[#This Row],[ProductRecord.AccountReference]]," @ ",ROUND(Table1[[#This Row],[KG/M2]],2),$H$2)</f>
        <v>GS_1.5_2500_1250 @ 11.78Kg/m2</v>
      </c>
      <c r="E266" s="27">
        <v>2500</v>
      </c>
      <c r="F266" s="27">
        <v>1250</v>
      </c>
      <c r="G266" s="32">
        <v>1.5</v>
      </c>
      <c r="H266" s="109">
        <f>G266*[1]Density!$D$6/1000</f>
        <v>11.775</v>
      </c>
      <c r="I266" s="161">
        <f>E266*F266*H266/1000000</f>
        <v>36.796875</v>
      </c>
      <c r="J266" s="164"/>
      <c r="K266" s="165"/>
      <c r="L266" s="165"/>
      <c r="M266" s="196"/>
      <c r="N266" s="164"/>
      <c r="O266" s="202"/>
      <c r="P266" s="202"/>
      <c r="Q266" s="203"/>
      <c r="R266" s="201"/>
      <c r="S266" s="202"/>
      <c r="T266" s="202"/>
      <c r="U266" s="203"/>
      <c r="Z266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266" s="17">
        <f t="shared" si="24"/>
        <v>0</v>
      </c>
      <c r="AB266" s="17"/>
      <c r="AC266" s="10">
        <v>670</v>
      </c>
      <c r="AD266" s="10">
        <f>Table1[[#This Row],[£/Tonne]]/1000*Table1[[#This Row],[KG/M2]]</f>
        <v>7.8892500000000005</v>
      </c>
      <c r="AE266" s="10">
        <f>Table1[[#This Row],[£/Tonne]]/1000*Table1[[#This Row],[Kg/ Sheet]]</f>
        <v>24.653906250000002</v>
      </c>
      <c r="AF266" s="10"/>
      <c r="AG266" s="111">
        <f>Table1[[#This Row],[£Cost / SHEET]]*(1+AG$1)</f>
        <v>32.050078125000006</v>
      </c>
      <c r="AH266" s="111">
        <f>Table1[[#This Row],[£Cost / SHEET]]*(1+AH$1)</f>
        <v>33.282773437500005</v>
      </c>
      <c r="AI266" s="111">
        <f>Table1[[#This Row],[£Cost / SHEET]]*(1+AI$1)</f>
        <v>34.515468750000004</v>
      </c>
      <c r="AJ266" s="111">
        <f>Table1[[#This Row],[£Cost / SHEET]]*(1+AJ$1)</f>
        <v>36.980859375000001</v>
      </c>
      <c r="AK266" s="222">
        <f>(Table1[[#This Row],[Qty 1]]*IF(Table1[[#This Row],[Dimension L1]]&lt;1,(Table1[[#This Row],[Length]]*Table1[[#This Row],[Width]]),(Table1[[#This Row],[Dimension L1]]*Table1[[#This Row],[Dimension W1]])))/1000000</f>
        <v>0</v>
      </c>
      <c r="AL266" s="121"/>
    </row>
    <row r="267" spans="1:38" ht="25.35" customHeight="1">
      <c r="B267" s="19"/>
      <c r="C267" s="119"/>
      <c r="H267" s="109"/>
      <c r="I267" s="110"/>
      <c r="J267" s="159"/>
      <c r="K267" s="161"/>
      <c r="L267" s="161"/>
      <c r="M267" s="196"/>
      <c r="N267" s="159"/>
      <c r="O267" s="202"/>
      <c r="P267" s="202"/>
      <c r="Q267" s="203"/>
      <c r="R267" s="201"/>
      <c r="S267" s="202"/>
      <c r="T267" s="202"/>
      <c r="U267" s="203"/>
      <c r="Z267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267" s="17">
        <f t="shared" si="24"/>
        <v>0</v>
      </c>
      <c r="AB267" s="17"/>
      <c r="AC267" s="10"/>
      <c r="AD267" s="10">
        <f>Table1[[#This Row],[£/Tonne]]/1000*Table1[[#This Row],[KG/M2]]</f>
        <v>0</v>
      </c>
      <c r="AE267" s="10">
        <f>Table1[[#This Row],[£/Tonne]]/1000*Table1[[#This Row],[Kg/ Sheet]]</f>
        <v>0</v>
      </c>
      <c r="AF267" s="10"/>
      <c r="AG267" s="111">
        <f>Table1[[#This Row],[£Cost / SHEET]]*(1+AG$1)</f>
        <v>0</v>
      </c>
      <c r="AH267" s="111">
        <f>Table1[[#This Row],[£Cost / SHEET]]*(1+AH$1)</f>
        <v>0</v>
      </c>
      <c r="AI267" s="111">
        <f>Table1[[#This Row],[£Cost / SHEET]]*(1+AI$1)</f>
        <v>0</v>
      </c>
      <c r="AJ267" s="111">
        <f>Table1[[#This Row],[£Cost / SHEET]]*(1+AJ$1)</f>
        <v>0</v>
      </c>
      <c r="AK267" s="222">
        <f>(Table1[[#This Row],[Qty 1]]*IF(Table1[[#This Row],[Dimension L1]]&lt;1,(Table1[[#This Row],[Length]]*Table1[[#This Row],[Width]]),(Table1[[#This Row],[Dimension L1]]*Table1[[#This Row],[Dimension W1]])))/1000000</f>
        <v>0</v>
      </c>
      <c r="AL267" s="121"/>
    </row>
    <row r="268" spans="1:38" ht="25.35" customHeight="1">
      <c r="C268" s="7" t="str">
        <f t="shared" ref="C268:C298" si="25">_xlfn.CONCAT(B268,"_",G268,"_",E268,"_",F268,"")</f>
        <v>__HARDOX_</v>
      </c>
      <c r="D268" s="7" t="str">
        <f>_xlfn.CONCAT(Table1[[#This Row],[ProductRecord.AccountReference]]," @ ",ROUND(Table1[[#This Row],[KG/M2]],2),$H$2)</f>
        <v>__HARDOX_ @ 0Kg/m2</v>
      </c>
      <c r="E268" s="118" t="s">
        <v>315</v>
      </c>
      <c r="J268" s="164"/>
      <c r="K268" s="165"/>
      <c r="L268" s="165"/>
      <c r="M268" s="196"/>
      <c r="N268" s="164"/>
      <c r="O268" s="202"/>
      <c r="P268" s="202"/>
      <c r="Q268" s="203"/>
      <c r="R268" s="201"/>
      <c r="S268" s="202"/>
      <c r="T268" s="202"/>
      <c r="U268" s="203"/>
      <c r="Z268" s="37"/>
      <c r="AA268" s="17">
        <f t="shared" si="24"/>
        <v>0</v>
      </c>
      <c r="AB268" s="17"/>
      <c r="AC268" s="10"/>
      <c r="AD268" s="10">
        <f>Table1[[#This Row],[£/Tonne]]/1000*Table1[[#This Row],[KG/M2]]</f>
        <v>0</v>
      </c>
      <c r="AE268" s="10">
        <f>Table1[[#This Row],[£/Tonne]]/1000*Table1[[#This Row],[Kg/ Sheet]]</f>
        <v>0</v>
      </c>
      <c r="AF268" s="10"/>
      <c r="AG268" s="111">
        <f>Table1[[#This Row],[£Cost / SHEET]]*(1+AG$1)</f>
        <v>0</v>
      </c>
      <c r="AH268" s="111">
        <f>Table1[[#This Row],[£Cost / SHEET]]*(1+AH$1)</f>
        <v>0</v>
      </c>
      <c r="AI268" s="111">
        <f>Table1[[#This Row],[£Cost / SHEET]]*(1+AI$1)</f>
        <v>0</v>
      </c>
      <c r="AJ268" s="111">
        <f>Table1[[#This Row],[£Cost / SHEET]]*(1+AJ$1)</f>
        <v>0</v>
      </c>
      <c r="AK268" s="222" t="e">
        <f>(Table1[[#This Row],[Qty 1]]*IF(Table1[[#This Row],[Dimension L1]]&lt;1,(Table1[[#This Row],[Length]]*Table1[[#This Row],[Width]]),(Table1[[#This Row],[Dimension L1]]*Table1[[#This Row],[Dimension W1]])))/1000000</f>
        <v>#VALUE!</v>
      </c>
      <c r="AL268" s="121"/>
    </row>
    <row r="269" spans="1:38" ht="25.35" customHeight="1">
      <c r="C269" s="119"/>
      <c r="E269" s="118"/>
      <c r="I269" s="117"/>
      <c r="J269" s="159"/>
      <c r="K269" s="161"/>
      <c r="L269" s="161"/>
      <c r="M269" s="110"/>
      <c r="N269" s="159"/>
      <c r="O269" s="202"/>
      <c r="P269" s="202"/>
      <c r="Q269" s="203"/>
      <c r="R269" s="201"/>
      <c r="S269" s="202"/>
      <c r="T269" s="202"/>
      <c r="U269" s="203"/>
      <c r="Z269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269" s="17">
        <f t="shared" si="24"/>
        <v>0</v>
      </c>
      <c r="AB269" s="17"/>
      <c r="AC269" s="10"/>
      <c r="AD269" s="10">
        <f>Table1[[#This Row],[£/Tonne]]/1000*Table1[[#This Row],[KG/M2]]</f>
        <v>0</v>
      </c>
      <c r="AE269" s="10">
        <f>Table1[[#This Row],[£/Tonne]]/1000*Table1[[#This Row],[Kg/ Sheet]]</f>
        <v>0</v>
      </c>
      <c r="AF269" s="10"/>
      <c r="AG269" s="111">
        <f>Table1[[#This Row],[£Cost / SHEET]]*(1+AG$1)</f>
        <v>0</v>
      </c>
      <c r="AH269" s="111">
        <f>Table1[[#This Row],[£Cost / SHEET]]*(1+AH$1)</f>
        <v>0</v>
      </c>
      <c r="AI269" s="111">
        <f>Table1[[#This Row],[£Cost / SHEET]]*(1+AI$1)</f>
        <v>0</v>
      </c>
      <c r="AJ269" s="111">
        <f>Table1[[#This Row],[£Cost / SHEET]]*(1+AJ$1)</f>
        <v>0</v>
      </c>
      <c r="AK269" s="222">
        <f>(Table1[[#This Row],[Qty 1]]*IF(Table1[[#This Row],[Dimension L1]]&lt;1,(Table1[[#This Row],[Length]]*Table1[[#This Row],[Width]]),(Table1[[#This Row],[Dimension L1]]*Table1[[#This Row],[Dimension W1]])))/1000000</f>
        <v>0</v>
      </c>
      <c r="AL269" s="121"/>
    </row>
    <row r="270" spans="1:38" ht="25.35" customHeight="1">
      <c r="A270" s="7" t="s">
        <v>316</v>
      </c>
      <c r="B270" s="119" t="s">
        <v>30</v>
      </c>
      <c r="C270" s="7" t="str">
        <f t="shared" ref="C270" si="26">_xlfn.CONCAT(B270,"_",G270,"_",E270,"_",F270,"")</f>
        <v>HD_4_666_555</v>
      </c>
      <c r="D270" s="7" t="str">
        <f>_xlfn.CONCAT(Table1[[#This Row],[ProductRecord.AccountReference]]," @ ",ROUND(Table1[[#This Row],[KG/M2]],2),$H$2)</f>
        <v>HD_4_666_555 @ 31.4Kg/m2</v>
      </c>
      <c r="E270" s="27">
        <v>666</v>
      </c>
      <c r="F270" s="27">
        <v>555</v>
      </c>
      <c r="G270" s="32">
        <v>4</v>
      </c>
      <c r="H270" s="109">
        <f>G270*[1]Density!$D$6/1000</f>
        <v>31.4</v>
      </c>
      <c r="I270" s="161">
        <f>E270*F270*H270/1000000</f>
        <v>11.606382</v>
      </c>
      <c r="J270" s="164">
        <v>3000</v>
      </c>
      <c r="K270" s="165">
        <v>1500</v>
      </c>
      <c r="L270" s="165">
        <v>1</v>
      </c>
      <c r="M270" s="196" t="s">
        <v>308</v>
      </c>
      <c r="N270" s="164"/>
      <c r="O270" s="202"/>
      <c r="P270" s="202"/>
      <c r="Q270" s="203"/>
      <c r="R270" s="201"/>
      <c r="S270" s="202"/>
      <c r="T270" s="202"/>
      <c r="U270" s="203"/>
      <c r="Z270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141.29999999999998</v>
      </c>
      <c r="AA270" s="17">
        <f t="shared" si="24"/>
        <v>200.64599999999999</v>
      </c>
      <c r="AB270" s="17"/>
      <c r="AC270" s="10">
        <v>1420</v>
      </c>
      <c r="AD270" s="10">
        <f>Table1[[#This Row],[£/Tonne]]/1000*Table1[[#This Row],[KG/M2]]</f>
        <v>44.587999999999994</v>
      </c>
      <c r="AE270" s="10">
        <f>Table1[[#This Row],[£/Tonne]]/1000*Table1[[#This Row],[Kg/ Sheet]]</f>
        <v>16.481062439999999</v>
      </c>
      <c r="AF270" s="10"/>
      <c r="AG270" s="111">
        <f>Table1[[#This Row],[£Cost / SHEET]]*(1+AG$1)</f>
        <v>21.425381171999998</v>
      </c>
      <c r="AH270" s="111">
        <f>Table1[[#This Row],[£Cost / SHEET]]*(1+AH$1)</f>
        <v>22.249434294</v>
      </c>
      <c r="AI270" s="111">
        <f>Table1[[#This Row],[£Cost / SHEET]]*(1+AI$1)</f>
        <v>23.073487415999995</v>
      </c>
      <c r="AJ270" s="111">
        <f>Table1[[#This Row],[£Cost / SHEET]]*(1+AJ$1)</f>
        <v>24.721593659999996</v>
      </c>
      <c r="AK270" s="222">
        <f>(Table1[[#This Row],[Qty 1]]*IF(Table1[[#This Row],[Dimension L1]]&lt;1,(Table1[[#This Row],[Length]]*Table1[[#This Row],[Width]]),(Table1[[#This Row],[Dimension L1]]*Table1[[#This Row],[Dimension W1]])))/1000000</f>
        <v>4.5</v>
      </c>
      <c r="AL270" s="121"/>
    </row>
    <row r="271" spans="1:38" ht="25.35" customHeight="1">
      <c r="C271" s="119"/>
      <c r="E271" s="118"/>
      <c r="I271" s="117"/>
      <c r="J271" s="159"/>
      <c r="K271" s="161"/>
      <c r="L271" s="161"/>
      <c r="M271" s="110"/>
      <c r="N271" s="159"/>
      <c r="O271" s="202"/>
      <c r="P271" s="202"/>
      <c r="Q271" s="203"/>
      <c r="R271" s="201"/>
      <c r="S271" s="202"/>
      <c r="T271" s="202"/>
      <c r="U271" s="203"/>
      <c r="Z271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271" s="17">
        <f t="shared" si="24"/>
        <v>0</v>
      </c>
      <c r="AB271" s="17"/>
      <c r="AC271" s="10"/>
      <c r="AD271" s="10">
        <f>Table1[[#This Row],[£/Tonne]]/1000*Table1[[#This Row],[KG/M2]]</f>
        <v>0</v>
      </c>
      <c r="AE271" s="10">
        <f>Table1[[#This Row],[£/Tonne]]/1000*Table1[[#This Row],[Kg/ Sheet]]</f>
        <v>0</v>
      </c>
      <c r="AF271" s="10"/>
      <c r="AG271" s="111">
        <f>Table1[[#This Row],[£Cost / SHEET]]*(1+AG$1)</f>
        <v>0</v>
      </c>
      <c r="AH271" s="111">
        <f>Table1[[#This Row],[£Cost / SHEET]]*(1+AH$1)</f>
        <v>0</v>
      </c>
      <c r="AI271" s="111">
        <f>Table1[[#This Row],[£Cost / SHEET]]*(1+AI$1)</f>
        <v>0</v>
      </c>
      <c r="AJ271" s="111">
        <f>Table1[[#This Row],[£Cost / SHEET]]*(1+AJ$1)</f>
        <v>0</v>
      </c>
      <c r="AK271" s="222">
        <f>(Table1[[#This Row],[Qty 1]]*IF(Table1[[#This Row],[Dimension L1]]&lt;1,(Table1[[#This Row],[Length]]*Table1[[#This Row],[Width]]),(Table1[[#This Row],[Dimension L1]]*Table1[[#This Row],[Dimension W1]])))/1000000</f>
        <v>0</v>
      </c>
      <c r="AL271" s="121"/>
    </row>
    <row r="272" spans="1:38" ht="25.35" customHeight="1">
      <c r="B272" s="119" t="s">
        <v>30</v>
      </c>
      <c r="C272" s="7" t="str">
        <f t="shared" si="25"/>
        <v>HD_6_1510_1455</v>
      </c>
      <c r="D272" s="7" t="str">
        <f>_xlfn.CONCAT(Table1[[#This Row],[ProductRecord.AccountReference]]," @ ",ROUND(Table1[[#This Row],[KG/M2]],2),$H$2)</f>
        <v>HD_6_1510_1455 @ 47.1Kg/m2</v>
      </c>
      <c r="E272" s="27">
        <v>1510</v>
      </c>
      <c r="F272" s="27">
        <v>1455</v>
      </c>
      <c r="G272" s="32">
        <v>6</v>
      </c>
      <c r="H272" s="109">
        <f>G272*[1]Density!$D$6/1000</f>
        <v>47.1</v>
      </c>
      <c r="I272" s="161">
        <f>E272*F272*H272/1000000</f>
        <v>103.481055</v>
      </c>
      <c r="J272" s="164">
        <v>6000</v>
      </c>
      <c r="K272" s="165">
        <v>2500</v>
      </c>
      <c r="L272" s="165">
        <v>2</v>
      </c>
      <c r="M272" s="196" t="s">
        <v>308</v>
      </c>
      <c r="N272" s="164">
        <v>1140</v>
      </c>
      <c r="O272" s="202">
        <v>550</v>
      </c>
      <c r="P272" s="202">
        <v>1</v>
      </c>
      <c r="Q272" s="203" t="s">
        <v>308</v>
      </c>
      <c r="R272" s="201">
        <v>1670</v>
      </c>
      <c r="S272" s="202">
        <v>640</v>
      </c>
      <c r="T272" s="202">
        <v>1</v>
      </c>
      <c r="U272" s="203" t="s">
        <v>308</v>
      </c>
      <c r="Z272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1492.8721800000001</v>
      </c>
      <c r="AA272" s="17">
        <f t="shared" si="24"/>
        <v>2119.8784956</v>
      </c>
      <c r="AB272" s="17"/>
      <c r="AC272" s="10">
        <v>1420</v>
      </c>
      <c r="AD272" s="10">
        <f>Table1[[#This Row],[£/Tonne]]/1000*Table1[[#This Row],[KG/M2]]</f>
        <v>66.882000000000005</v>
      </c>
      <c r="AE272" s="10">
        <f>Table1[[#This Row],[£/Tonne]]/1000*Table1[[#This Row],[Kg/ Sheet]]</f>
        <v>146.94309809999999</v>
      </c>
      <c r="AF272" s="10"/>
      <c r="AG272" s="111">
        <f>Table1[[#This Row],[£Cost / SHEET]]*(1+AG$1)</f>
        <v>191.02602752999999</v>
      </c>
      <c r="AH272" s="111">
        <f>Table1[[#This Row],[£Cost / SHEET]]*(1+AH$1)</f>
        <v>198.37318243499999</v>
      </c>
      <c r="AI272" s="111">
        <f>Table1[[#This Row],[£Cost / SHEET]]*(1+AI$1)</f>
        <v>205.72033733999996</v>
      </c>
      <c r="AJ272" s="111">
        <f>Table1[[#This Row],[£Cost / SHEET]]*(1+AJ$1)</f>
        <v>220.41464714999998</v>
      </c>
      <c r="AK272" s="222">
        <f>(Table1[[#This Row],[Qty 1]]*IF(Table1[[#This Row],[Dimension L1]]&lt;1,(Table1[[#This Row],[Length]]*Table1[[#This Row],[Width]]),(Table1[[#This Row],[Dimension L1]]*Table1[[#This Row],[Dimension W1]])))/1000000</f>
        <v>30</v>
      </c>
      <c r="AL272" s="121"/>
    </row>
    <row r="273" spans="1:38" ht="25.35" customHeight="1">
      <c r="B273" s="119" t="s">
        <v>30</v>
      </c>
      <c r="C273" s="7" t="str">
        <f t="shared" si="25"/>
        <v>HD_6_1510_1455</v>
      </c>
      <c r="D273" s="7" t="str">
        <f>_xlfn.CONCAT(Table1[[#This Row],[ProductRecord.AccountReference]]," @ ",ROUND(Table1[[#This Row],[KG/M2]],2),$H$2)</f>
        <v>HD_6_1510_1455 @ 47.1Kg/m2</v>
      </c>
      <c r="E273" s="27">
        <v>1510</v>
      </c>
      <c r="F273" s="27">
        <v>1455</v>
      </c>
      <c r="G273" s="32">
        <v>6</v>
      </c>
      <c r="H273" s="109">
        <f>G273*[1]Density!$D$6/1000</f>
        <v>47.1</v>
      </c>
      <c r="I273" s="161">
        <f>E273*F273*H273/1000000</f>
        <v>103.481055</v>
      </c>
      <c r="J273" s="164">
        <v>3210</v>
      </c>
      <c r="K273" s="165">
        <v>930</v>
      </c>
      <c r="L273" s="165">
        <v>1</v>
      </c>
      <c r="M273" s="196" t="s">
        <v>308</v>
      </c>
      <c r="N273" s="164">
        <v>1370</v>
      </c>
      <c r="O273" s="202">
        <v>1070</v>
      </c>
      <c r="P273" s="202">
        <v>1</v>
      </c>
      <c r="Q273" s="203" t="s">
        <v>308</v>
      </c>
      <c r="R273" s="201">
        <v>2500</v>
      </c>
      <c r="S273" s="202">
        <v>320</v>
      </c>
      <c r="T273" s="202">
        <v>1</v>
      </c>
      <c r="U273" s="203" t="s">
        <v>308</v>
      </c>
      <c r="Z273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247.33152000000001</v>
      </c>
      <c r="AA273" s="17">
        <f t="shared" si="24"/>
        <v>351.21075839999997</v>
      </c>
      <c r="AB273" s="17"/>
      <c r="AC273" s="10">
        <f>AC272</f>
        <v>1420</v>
      </c>
      <c r="AD273" s="10">
        <f>Table1[[#This Row],[£/Tonne]]/1000*Table1[[#This Row],[KG/M2]]</f>
        <v>66.882000000000005</v>
      </c>
      <c r="AE273" s="10">
        <f>Table1[[#This Row],[£/Tonne]]/1000*Table1[[#This Row],[Kg/ Sheet]]</f>
        <v>146.94309809999999</v>
      </c>
      <c r="AF273" s="10"/>
      <c r="AG273" s="111">
        <f>Table1[[#This Row],[£Cost / SHEET]]*(1+AG$1)</f>
        <v>191.02602752999999</v>
      </c>
      <c r="AH273" s="111">
        <f>Table1[[#This Row],[£Cost / SHEET]]*(1+AH$1)</f>
        <v>198.37318243499999</v>
      </c>
      <c r="AI273" s="111">
        <f>Table1[[#This Row],[£Cost / SHEET]]*(1+AI$1)</f>
        <v>205.72033733999996</v>
      </c>
      <c r="AJ273" s="111">
        <f>Table1[[#This Row],[£Cost / SHEET]]*(1+AJ$1)</f>
        <v>220.41464714999998</v>
      </c>
      <c r="AK273" s="222">
        <f>(Table1[[#This Row],[Qty 1]]*IF(Table1[[#This Row],[Dimension L1]]&lt;1,(Table1[[#This Row],[Length]]*Table1[[#This Row],[Width]]),(Table1[[#This Row],[Dimension L1]]*Table1[[#This Row],[Dimension W1]])))/1000000</f>
        <v>2.9853000000000001</v>
      </c>
      <c r="AL273" s="121"/>
    </row>
    <row r="274" spans="1:38" ht="25.35" customHeight="1">
      <c r="A274" s="7" t="s">
        <v>316</v>
      </c>
      <c r="B274" s="119" t="s">
        <v>30</v>
      </c>
      <c r="C274" s="7" t="str">
        <f t="shared" si="25"/>
        <v>HD_6_1510_1455</v>
      </c>
      <c r="D274" s="7" t="str">
        <f>_xlfn.CONCAT(Table1[[#This Row],[ProductRecord.AccountReference]]," @ ",ROUND(Table1[[#This Row],[KG/M2]],2),$H$2)</f>
        <v>HD_6_1510_1455 @ 47.1Kg/m2</v>
      </c>
      <c r="E274" s="27">
        <v>1510</v>
      </c>
      <c r="F274" s="27">
        <v>1455</v>
      </c>
      <c r="G274" s="32">
        <v>6</v>
      </c>
      <c r="H274" s="109">
        <f>G274*[1]Density!$D$6/1000</f>
        <v>47.1</v>
      </c>
      <c r="I274" s="161">
        <f t="shared" ref="I274:I275" si="27">E274*F274*H274/1000000</f>
        <v>103.481055</v>
      </c>
      <c r="J274" s="164">
        <v>2350</v>
      </c>
      <c r="K274" s="165">
        <v>520</v>
      </c>
      <c r="L274" s="165">
        <v>1</v>
      </c>
      <c r="M274" s="196" t="s">
        <v>308</v>
      </c>
      <c r="N274" s="164">
        <v>2230</v>
      </c>
      <c r="O274" s="202">
        <v>540</v>
      </c>
      <c r="P274" s="202">
        <v>1</v>
      </c>
      <c r="Q274" s="203" t="s">
        <v>308</v>
      </c>
      <c r="R274" s="201">
        <v>1100</v>
      </c>
      <c r="S274" s="202">
        <v>550</v>
      </c>
      <c r="T274" s="202">
        <v>1</v>
      </c>
      <c r="U274" s="203" t="s">
        <v>308</v>
      </c>
      <c r="Z274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142.76952</v>
      </c>
      <c r="AA274" s="17">
        <f t="shared" si="24"/>
        <v>202.73271840000001</v>
      </c>
      <c r="AB274" s="17"/>
      <c r="AC274" s="10">
        <f>AC272</f>
        <v>1420</v>
      </c>
      <c r="AD274" s="10">
        <f>Table1[[#This Row],[£/Tonne]]/1000*Table1[[#This Row],[KG/M2]]</f>
        <v>66.882000000000005</v>
      </c>
      <c r="AE274" s="10">
        <f>Table1[[#This Row],[£/Tonne]]/1000*Table1[[#This Row],[Kg/ Sheet]]</f>
        <v>146.94309809999999</v>
      </c>
      <c r="AF274" s="10"/>
      <c r="AG274" s="111">
        <f>Table1[[#This Row],[£Cost / SHEET]]*(1+AG$1)</f>
        <v>191.02602752999999</v>
      </c>
      <c r="AH274" s="111">
        <f>Table1[[#This Row],[£Cost / SHEET]]*(1+AH$1)</f>
        <v>198.37318243499999</v>
      </c>
      <c r="AI274" s="111">
        <f>Table1[[#This Row],[£Cost / SHEET]]*(1+AI$1)</f>
        <v>205.72033733999996</v>
      </c>
      <c r="AJ274" s="111">
        <f>Table1[[#This Row],[£Cost / SHEET]]*(1+AJ$1)</f>
        <v>220.41464714999998</v>
      </c>
      <c r="AK274" s="222">
        <f>(Table1[[#This Row],[Qty 1]]*IF(Table1[[#This Row],[Dimension L1]]&lt;1,(Table1[[#This Row],[Length]]*Table1[[#This Row],[Width]]),(Table1[[#This Row],[Dimension L1]]*Table1[[#This Row],[Dimension W1]])))/1000000</f>
        <v>1.222</v>
      </c>
      <c r="AL274" s="121"/>
    </row>
    <row r="275" spans="1:38" ht="25.35" customHeight="1">
      <c r="B275" s="119" t="s">
        <v>30</v>
      </c>
      <c r="C275" s="7" t="str">
        <f t="shared" si="25"/>
        <v>HD_6_1510_1455</v>
      </c>
      <c r="D275" s="7" t="str">
        <f>_xlfn.CONCAT(Table1[[#This Row],[ProductRecord.AccountReference]]," @ ",ROUND(Table1[[#This Row],[KG/M2]],2),$H$2)</f>
        <v>HD_6_1510_1455 @ 47.1Kg/m2</v>
      </c>
      <c r="E275" s="27">
        <v>1510</v>
      </c>
      <c r="F275" s="27">
        <v>1455</v>
      </c>
      <c r="G275" s="32">
        <v>6</v>
      </c>
      <c r="H275" s="109">
        <f>G275*[1]Density!$D$6/1000</f>
        <v>47.1</v>
      </c>
      <c r="I275" s="161">
        <f t="shared" si="27"/>
        <v>103.481055</v>
      </c>
      <c r="J275" s="164">
        <v>1100</v>
      </c>
      <c r="K275" s="165">
        <v>550</v>
      </c>
      <c r="L275" s="165">
        <v>1</v>
      </c>
      <c r="M275" s="196" t="s">
        <v>308</v>
      </c>
      <c r="N275" s="164">
        <v>1100</v>
      </c>
      <c r="O275" s="202">
        <v>530</v>
      </c>
      <c r="P275" s="202">
        <v>1</v>
      </c>
      <c r="Q275" s="203" t="s">
        <v>308</v>
      </c>
      <c r="R275" s="201"/>
      <c r="S275" s="202"/>
      <c r="T275" s="202"/>
      <c r="U275" s="203"/>
      <c r="Z275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55.954799999999999</v>
      </c>
      <c r="AA275" s="17">
        <f t="shared" si="24"/>
        <v>79.455815999999999</v>
      </c>
      <c r="AB275" s="17"/>
      <c r="AC275" s="10">
        <f>AC272</f>
        <v>1420</v>
      </c>
      <c r="AD275" s="10">
        <f>Table1[[#This Row],[£/Tonne]]/1000*Table1[[#This Row],[KG/M2]]</f>
        <v>66.882000000000005</v>
      </c>
      <c r="AE275" s="10">
        <f>Table1[[#This Row],[£/Tonne]]/1000*Table1[[#This Row],[Kg/ Sheet]]</f>
        <v>146.94309809999999</v>
      </c>
      <c r="AF275" s="10"/>
      <c r="AG275" s="111">
        <f>Table1[[#This Row],[£Cost / SHEET]]*(1+AG$1)</f>
        <v>191.02602752999999</v>
      </c>
      <c r="AH275" s="111">
        <f>Table1[[#This Row],[£Cost / SHEET]]*(1+AH$1)</f>
        <v>198.37318243499999</v>
      </c>
      <c r="AI275" s="111">
        <f>Table1[[#This Row],[£Cost / SHEET]]*(1+AI$1)</f>
        <v>205.72033733999996</v>
      </c>
      <c r="AJ275" s="111">
        <f>Table1[[#This Row],[£Cost / SHEET]]*(1+AJ$1)</f>
        <v>220.41464714999998</v>
      </c>
      <c r="AK275" s="222">
        <f>(Table1[[#This Row],[Qty 1]]*IF(Table1[[#This Row],[Dimension L1]]&lt;1,(Table1[[#This Row],[Length]]*Table1[[#This Row],[Width]]),(Table1[[#This Row],[Dimension L1]]*Table1[[#This Row],[Dimension W1]])))/1000000</f>
        <v>0.60499999999999998</v>
      </c>
      <c r="AL275" s="121"/>
    </row>
    <row r="276" spans="1:38" ht="25.35" customHeight="1">
      <c r="B276" s="119"/>
      <c r="C276" s="119"/>
      <c r="H276" s="109"/>
      <c r="I276" s="110"/>
      <c r="J276" s="159"/>
      <c r="K276" s="161"/>
      <c r="L276" s="161"/>
      <c r="M276" s="110"/>
      <c r="N276" s="159"/>
      <c r="O276" s="202"/>
      <c r="P276" s="202"/>
      <c r="Q276" s="203"/>
      <c r="R276" s="201"/>
      <c r="S276" s="202"/>
      <c r="T276" s="202"/>
      <c r="U276" s="203"/>
      <c r="Z276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276" s="17">
        <f t="shared" si="24"/>
        <v>0</v>
      </c>
      <c r="AB276" s="17"/>
      <c r="AC276" s="10"/>
      <c r="AD276" s="10">
        <f>Table1[[#This Row],[£/Tonne]]/1000*Table1[[#This Row],[KG/M2]]</f>
        <v>0</v>
      </c>
      <c r="AE276" s="10">
        <f>Table1[[#This Row],[£/Tonne]]/1000*Table1[[#This Row],[Kg/ Sheet]]</f>
        <v>0</v>
      </c>
      <c r="AF276" s="10"/>
      <c r="AG276" s="111">
        <f>Table1[[#This Row],[£Cost / SHEET]]*(1+AG$1)</f>
        <v>0</v>
      </c>
      <c r="AH276" s="111">
        <f>Table1[[#This Row],[£Cost / SHEET]]*(1+AH$1)</f>
        <v>0</v>
      </c>
      <c r="AI276" s="111">
        <f>Table1[[#This Row],[£Cost / SHEET]]*(1+AI$1)</f>
        <v>0</v>
      </c>
      <c r="AJ276" s="111">
        <f>Table1[[#This Row],[£Cost / SHEET]]*(1+AJ$1)</f>
        <v>0</v>
      </c>
      <c r="AK276" s="222">
        <f>(Table1[[#This Row],[Qty 1]]*IF(Table1[[#This Row],[Dimension L1]]&lt;1,(Table1[[#This Row],[Length]]*Table1[[#This Row],[Width]]),(Table1[[#This Row],[Dimension L1]]*Table1[[#This Row],[Dimension W1]])))/1000000</f>
        <v>0</v>
      </c>
      <c r="AL276" s="121"/>
    </row>
    <row r="277" spans="1:38" ht="25.35" customHeight="1">
      <c r="B277" s="119" t="s">
        <v>30</v>
      </c>
      <c r="C277" s="7" t="str">
        <f t="shared" si="25"/>
        <v>HD_8_2050_1530</v>
      </c>
      <c r="D277" s="7" t="str">
        <f>_xlfn.CONCAT(Table1[[#This Row],[ProductRecord.AccountReference]]," @ ",ROUND(Table1[[#This Row],[KG/M2]],2),$H$2)</f>
        <v>HD_8_2050_1530 @ 62.8Kg/m2</v>
      </c>
      <c r="E277" s="27">
        <v>2050</v>
      </c>
      <c r="F277" s="27">
        <v>1530</v>
      </c>
      <c r="G277" s="32">
        <v>8</v>
      </c>
      <c r="H277" s="109">
        <f>G277*[1]Density!$D$6/1000</f>
        <v>62.8</v>
      </c>
      <c r="I277" s="161">
        <f t="shared" ref="I277:I327" si="28">E277*F277*H277/1000000</f>
        <v>196.97219999999999</v>
      </c>
      <c r="J277" s="164">
        <v>1820</v>
      </c>
      <c r="K277" s="165">
        <v>1820</v>
      </c>
      <c r="L277" s="165">
        <v>1</v>
      </c>
      <c r="M277" s="196" t="s">
        <v>308</v>
      </c>
      <c r="N277" s="164">
        <v>3500</v>
      </c>
      <c r="O277" s="202">
        <v>1530</v>
      </c>
      <c r="P277" s="202">
        <v>1</v>
      </c>
      <c r="Q277" s="203" t="s">
        <v>308</v>
      </c>
      <c r="R277" s="201">
        <v>2440</v>
      </c>
      <c r="S277" s="202">
        <v>1160</v>
      </c>
      <c r="T277" s="202">
        <v>1</v>
      </c>
      <c r="U277" s="203" t="s">
        <v>308</v>
      </c>
      <c r="Z277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722.06184000000007</v>
      </c>
      <c r="AA277" s="17">
        <f t="shared" si="24"/>
        <v>909.79791840000007</v>
      </c>
      <c r="AB277" s="17"/>
      <c r="AC277" s="10">
        <v>1260</v>
      </c>
      <c r="AD277" s="10">
        <f>Table1[[#This Row],[£/Tonne]]/1000*Table1[[#This Row],[KG/M2]]</f>
        <v>79.128</v>
      </c>
      <c r="AE277" s="10">
        <f>Table1[[#This Row],[£/Tonne]]/1000*Table1[[#This Row],[Kg/ Sheet]]</f>
        <v>248.18497199999999</v>
      </c>
      <c r="AF277" s="10"/>
      <c r="AG277" s="111">
        <f>Table1[[#This Row],[£Cost / SHEET]]*(1+AG$1)</f>
        <v>322.64046359999998</v>
      </c>
      <c r="AH277" s="111">
        <f>Table1[[#This Row],[£Cost / SHEET]]*(1+AH$1)</f>
        <v>335.04971219999999</v>
      </c>
      <c r="AI277" s="111">
        <f>Table1[[#This Row],[£Cost / SHEET]]*(1+AI$1)</f>
        <v>347.45896079999994</v>
      </c>
      <c r="AJ277" s="111">
        <f>Table1[[#This Row],[£Cost / SHEET]]*(1+AJ$1)</f>
        <v>372.27745799999997</v>
      </c>
      <c r="AK277" s="222">
        <f>(Table1[[#This Row],[Qty 1]]*IF(Table1[[#This Row],[Dimension L1]]&lt;1,(Table1[[#This Row],[Length]]*Table1[[#This Row],[Width]]),(Table1[[#This Row],[Dimension L1]]*Table1[[#This Row],[Dimension W1]])))/1000000</f>
        <v>3.3123999999999998</v>
      </c>
      <c r="AL277" s="121"/>
    </row>
    <row r="278" spans="1:38" ht="25.35" customHeight="1">
      <c r="B278" s="119" t="s">
        <v>30</v>
      </c>
      <c r="C278" s="7" t="str">
        <f t="shared" si="25"/>
        <v>HD_8_6000_2500</v>
      </c>
      <c r="D278" s="7" t="str">
        <f>_xlfn.CONCAT(Table1[[#This Row],[ProductRecord.AccountReference]]," @ ",ROUND(Table1[[#This Row],[KG/M2]],2),$H$2)</f>
        <v>HD_8_6000_2500 @ 62.8Kg/m2</v>
      </c>
      <c r="E278" s="27">
        <v>6000</v>
      </c>
      <c r="F278" s="27">
        <v>2500</v>
      </c>
      <c r="G278" s="32">
        <v>8</v>
      </c>
      <c r="H278" s="109">
        <f>G278*[1]Density!$D$6/1000</f>
        <v>62.8</v>
      </c>
      <c r="I278" s="161">
        <f t="shared" si="28"/>
        <v>942</v>
      </c>
      <c r="J278" s="164">
        <v>3660</v>
      </c>
      <c r="K278" s="165">
        <v>1300</v>
      </c>
      <c r="L278" s="165">
        <v>1</v>
      </c>
      <c r="M278" s="196" t="s">
        <v>308</v>
      </c>
      <c r="N278" s="164">
        <v>1100</v>
      </c>
      <c r="O278" s="202">
        <v>220</v>
      </c>
      <c r="P278" s="202">
        <v>1</v>
      </c>
      <c r="Q278" s="203" t="s">
        <v>308</v>
      </c>
      <c r="R278" s="201">
        <v>6000</v>
      </c>
      <c r="S278" s="202">
        <v>2500</v>
      </c>
      <c r="T278" s="202">
        <v>1</v>
      </c>
      <c r="U278" s="203" t="s">
        <v>308</v>
      </c>
      <c r="Z278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1256</v>
      </c>
      <c r="AA278" s="17">
        <f t="shared" si="24"/>
        <v>1582.56</v>
      </c>
      <c r="AB278" s="17"/>
      <c r="AC278" s="10">
        <f>AC277</f>
        <v>1260</v>
      </c>
      <c r="AD278" s="10">
        <f>Table1[[#This Row],[£/Tonne]]/1000*Table1[[#This Row],[KG/M2]]</f>
        <v>79.128</v>
      </c>
      <c r="AE278" s="10">
        <f>Table1[[#This Row],[£/Tonne]]/1000*Table1[[#This Row],[Kg/ Sheet]]</f>
        <v>1186.92</v>
      </c>
      <c r="AF278" s="10"/>
      <c r="AG278" s="111">
        <f>Table1[[#This Row],[£Cost / SHEET]]*(1+AG$1)</f>
        <v>1542.9960000000001</v>
      </c>
      <c r="AH278" s="111">
        <f>Table1[[#This Row],[£Cost / SHEET]]*(1+AH$1)</f>
        <v>1602.3420000000001</v>
      </c>
      <c r="AI278" s="111">
        <f>Table1[[#This Row],[£Cost / SHEET]]*(1+AI$1)</f>
        <v>1661.6880000000001</v>
      </c>
      <c r="AJ278" s="111">
        <f>Table1[[#This Row],[£Cost / SHEET]]*(1+AJ$1)</f>
        <v>1780.38</v>
      </c>
      <c r="AK278" s="222">
        <f>(Table1[[#This Row],[Qty 1]]*IF(Table1[[#This Row],[Dimension L1]]&lt;1,(Table1[[#This Row],[Length]]*Table1[[#This Row],[Width]]),(Table1[[#This Row],[Dimension L1]]*Table1[[#This Row],[Dimension W1]])))/1000000</f>
        <v>4.758</v>
      </c>
      <c r="AL278" s="121"/>
    </row>
    <row r="279" spans="1:38" ht="25.35" customHeight="1">
      <c r="B279" s="119" t="s">
        <v>30</v>
      </c>
      <c r="C279" s="7" t="str">
        <f t="shared" si="25"/>
        <v>HD_8_6000_2500</v>
      </c>
      <c r="D279" s="7" t="str">
        <f>_xlfn.CONCAT(Table1[[#This Row],[ProductRecord.AccountReference]]," @ ",ROUND(Table1[[#This Row],[KG/M2]],2),$H$2)</f>
        <v>HD_8_6000_2500 @ 62.8Kg/m2</v>
      </c>
      <c r="E279" s="27">
        <v>6000</v>
      </c>
      <c r="F279" s="27">
        <v>2500</v>
      </c>
      <c r="G279" s="32">
        <v>8</v>
      </c>
      <c r="H279" s="109">
        <f>G279*[1]Density!$D$6/1000</f>
        <v>62.8</v>
      </c>
      <c r="I279" s="161">
        <f t="shared" si="28"/>
        <v>942</v>
      </c>
      <c r="J279" s="164">
        <v>2200</v>
      </c>
      <c r="K279" s="165">
        <v>470</v>
      </c>
      <c r="L279" s="165">
        <v>1</v>
      </c>
      <c r="M279" s="196" t="s">
        <v>308</v>
      </c>
      <c r="N279" s="164">
        <v>3620</v>
      </c>
      <c r="O279" s="202">
        <v>290</v>
      </c>
      <c r="P279" s="202">
        <v>1</v>
      </c>
      <c r="Q279" s="203" t="s">
        <v>308</v>
      </c>
      <c r="R279" s="201">
        <v>880</v>
      </c>
      <c r="S279" s="202">
        <v>860</v>
      </c>
      <c r="T279" s="202">
        <v>1</v>
      </c>
      <c r="U279" s="203" t="s">
        <v>308</v>
      </c>
      <c r="Z279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178.38968</v>
      </c>
      <c r="AA279" s="17">
        <f t="shared" si="24"/>
        <v>224.77099680000001</v>
      </c>
      <c r="AB279" s="17"/>
      <c r="AC279" s="10">
        <f>AC277</f>
        <v>1260</v>
      </c>
      <c r="AD279" s="10">
        <f>Table1[[#This Row],[£/Tonne]]/1000*Table1[[#This Row],[KG/M2]]</f>
        <v>79.128</v>
      </c>
      <c r="AE279" s="10">
        <f>Table1[[#This Row],[£/Tonne]]/1000*Table1[[#This Row],[Kg/ Sheet]]</f>
        <v>1186.92</v>
      </c>
      <c r="AF279" s="10"/>
      <c r="AG279" s="111">
        <f>Table1[[#This Row],[£Cost / SHEET]]*(1+AG$1)</f>
        <v>1542.9960000000001</v>
      </c>
      <c r="AH279" s="111">
        <f>Table1[[#This Row],[£Cost / SHEET]]*(1+AH$1)</f>
        <v>1602.3420000000001</v>
      </c>
      <c r="AI279" s="111">
        <f>Table1[[#This Row],[£Cost / SHEET]]*(1+AI$1)</f>
        <v>1661.6880000000001</v>
      </c>
      <c r="AJ279" s="111">
        <f>Table1[[#This Row],[£Cost / SHEET]]*(1+AJ$1)</f>
        <v>1780.38</v>
      </c>
      <c r="AK279" s="222">
        <f>(Table1[[#This Row],[Qty 1]]*IF(Table1[[#This Row],[Dimension L1]]&lt;1,(Table1[[#This Row],[Length]]*Table1[[#This Row],[Width]]),(Table1[[#This Row],[Dimension L1]]*Table1[[#This Row],[Dimension W1]])))/1000000</f>
        <v>1.034</v>
      </c>
      <c r="AL279" s="121"/>
    </row>
    <row r="280" spans="1:38" ht="25.35" customHeight="1">
      <c r="B280" s="119" t="s">
        <v>30</v>
      </c>
      <c r="C280" s="7" t="str">
        <f t="shared" si="25"/>
        <v>HD_8_6000_2500</v>
      </c>
      <c r="D280" s="7" t="str">
        <f>_xlfn.CONCAT(Table1[[#This Row],[ProductRecord.AccountReference]]," @ ",ROUND(Table1[[#This Row],[KG/M2]],2),$H$2)</f>
        <v>HD_8_6000_2500 @ 62.8Kg/m2</v>
      </c>
      <c r="E280" s="27">
        <v>6000</v>
      </c>
      <c r="F280" s="27">
        <v>2500</v>
      </c>
      <c r="G280" s="32">
        <v>8</v>
      </c>
      <c r="H280" s="109">
        <f>G280*[1]Density!$D$6/1000</f>
        <v>62.8</v>
      </c>
      <c r="I280" s="161">
        <f t="shared" si="28"/>
        <v>942</v>
      </c>
      <c r="J280" s="164">
        <v>1820</v>
      </c>
      <c r="K280" s="165">
        <v>600</v>
      </c>
      <c r="L280" s="165">
        <v>1</v>
      </c>
      <c r="M280" s="196" t="s">
        <v>308</v>
      </c>
      <c r="N280" s="164">
        <v>3660</v>
      </c>
      <c r="O280" s="202">
        <v>1170</v>
      </c>
      <c r="P280" s="202">
        <v>1</v>
      </c>
      <c r="Q280" s="203" t="s">
        <v>308</v>
      </c>
      <c r="R280" s="201">
        <v>2570</v>
      </c>
      <c r="S280" s="202">
        <v>2530</v>
      </c>
      <c r="T280" s="202">
        <v>1</v>
      </c>
      <c r="U280" s="203" t="s">
        <v>308</v>
      </c>
      <c r="Z280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745.83163999999999</v>
      </c>
      <c r="AA280" s="17">
        <f t="shared" si="24"/>
        <v>939.74786640000002</v>
      </c>
      <c r="AB280" s="17"/>
      <c r="AC280" s="10">
        <f>AC277</f>
        <v>1260</v>
      </c>
      <c r="AD280" s="10">
        <f>Table1[[#This Row],[£/Tonne]]/1000*Table1[[#This Row],[KG/M2]]</f>
        <v>79.128</v>
      </c>
      <c r="AE280" s="10">
        <f>Table1[[#This Row],[£/Tonne]]/1000*Table1[[#This Row],[Kg/ Sheet]]</f>
        <v>1186.92</v>
      </c>
      <c r="AF280" s="10"/>
      <c r="AG280" s="111">
        <f>Table1[[#This Row],[£Cost / SHEET]]*(1+AG$1)</f>
        <v>1542.9960000000001</v>
      </c>
      <c r="AH280" s="111">
        <f>Table1[[#This Row],[£Cost / SHEET]]*(1+AH$1)</f>
        <v>1602.3420000000001</v>
      </c>
      <c r="AI280" s="111">
        <f>Table1[[#This Row],[£Cost / SHEET]]*(1+AI$1)</f>
        <v>1661.6880000000001</v>
      </c>
      <c r="AJ280" s="111">
        <f>Table1[[#This Row],[£Cost / SHEET]]*(1+AJ$1)</f>
        <v>1780.38</v>
      </c>
      <c r="AK280" s="222">
        <f>(Table1[[#This Row],[Qty 1]]*IF(Table1[[#This Row],[Dimension L1]]&lt;1,(Table1[[#This Row],[Length]]*Table1[[#This Row],[Width]]),(Table1[[#This Row],[Dimension L1]]*Table1[[#This Row],[Dimension W1]])))/1000000</f>
        <v>1.0920000000000001</v>
      </c>
      <c r="AL280" s="121"/>
    </row>
    <row r="281" spans="1:38" ht="25.35" customHeight="1">
      <c r="A281" s="7" t="s">
        <v>317</v>
      </c>
      <c r="B281" s="119" t="s">
        <v>30</v>
      </c>
      <c r="C281" s="7" t="str">
        <f t="shared" si="25"/>
        <v>HD_8_6000_2500</v>
      </c>
      <c r="D281" s="7" t="str">
        <f>_xlfn.CONCAT(Table1[[#This Row],[ProductRecord.AccountReference]]," @ ",ROUND(Table1[[#This Row],[KG/M2]],2),$H$2)</f>
        <v>HD_8_6000_2500 @ 62.8Kg/m2</v>
      </c>
      <c r="E281" s="27">
        <v>6000</v>
      </c>
      <c r="F281" s="27">
        <v>2500</v>
      </c>
      <c r="G281" s="32">
        <v>8</v>
      </c>
      <c r="H281" s="109">
        <f>G281*[1]Density!$D$6/1000</f>
        <v>62.8</v>
      </c>
      <c r="I281" s="161">
        <f t="shared" si="28"/>
        <v>942</v>
      </c>
      <c r="J281" s="164">
        <v>2130</v>
      </c>
      <c r="K281" s="165">
        <v>860</v>
      </c>
      <c r="L281" s="165">
        <v>1</v>
      </c>
      <c r="M281" s="196" t="s">
        <v>308</v>
      </c>
      <c r="N281" s="164">
        <v>1110</v>
      </c>
      <c r="O281" s="202">
        <v>730</v>
      </c>
      <c r="P281" s="202">
        <v>1</v>
      </c>
      <c r="Q281" s="203" t="s">
        <v>308</v>
      </c>
      <c r="R281" s="201">
        <v>900</v>
      </c>
      <c r="S281" s="202">
        <v>270</v>
      </c>
      <c r="T281" s="202">
        <v>1</v>
      </c>
      <c r="U281" s="203" t="s">
        <v>308</v>
      </c>
      <c r="Z281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181.18428</v>
      </c>
      <c r="AA281" s="17">
        <f t="shared" si="24"/>
        <v>228.29219280000001</v>
      </c>
      <c r="AB281" s="17"/>
      <c r="AC281" s="10">
        <f>AC277</f>
        <v>1260</v>
      </c>
      <c r="AD281" s="10">
        <f>Table1[[#This Row],[£/Tonne]]/1000*Table1[[#This Row],[KG/M2]]</f>
        <v>79.128</v>
      </c>
      <c r="AE281" s="10">
        <f>Table1[[#This Row],[£/Tonne]]/1000*Table1[[#This Row],[Kg/ Sheet]]</f>
        <v>1186.92</v>
      </c>
      <c r="AF281" s="10"/>
      <c r="AG281" s="111">
        <f>Table1[[#This Row],[£Cost / SHEET]]*(1+AG$1)</f>
        <v>1542.9960000000001</v>
      </c>
      <c r="AH281" s="111">
        <f>Table1[[#This Row],[£Cost / SHEET]]*(1+AH$1)</f>
        <v>1602.3420000000001</v>
      </c>
      <c r="AI281" s="111">
        <f>Table1[[#This Row],[£Cost / SHEET]]*(1+AI$1)</f>
        <v>1661.6880000000001</v>
      </c>
      <c r="AJ281" s="111">
        <f>Table1[[#This Row],[£Cost / SHEET]]*(1+AJ$1)</f>
        <v>1780.38</v>
      </c>
      <c r="AK281" s="222">
        <f>(Table1[[#This Row],[Qty 1]]*IF(Table1[[#This Row],[Dimension L1]]&lt;1,(Table1[[#This Row],[Length]]*Table1[[#This Row],[Width]]),(Table1[[#This Row],[Dimension L1]]*Table1[[#This Row],[Dimension W1]])))/1000000</f>
        <v>1.8318000000000001</v>
      </c>
      <c r="AL281" s="121"/>
    </row>
    <row r="282" spans="1:38" ht="25.35" customHeight="1">
      <c r="A282" s="7" t="s">
        <v>316</v>
      </c>
      <c r="B282" s="119" t="s">
        <v>30</v>
      </c>
      <c r="C282" s="7" t="str">
        <f t="shared" si="25"/>
        <v>HD_8_6000_2500</v>
      </c>
      <c r="D282" s="7" t="str">
        <f>_xlfn.CONCAT(Table1[[#This Row],[ProductRecord.AccountReference]]," @ ",ROUND(Table1[[#This Row],[KG/M2]],2),$H$2)</f>
        <v>HD_8_6000_2500 @ 62.8Kg/m2</v>
      </c>
      <c r="E282" s="27">
        <v>6000</v>
      </c>
      <c r="F282" s="27">
        <v>2500</v>
      </c>
      <c r="G282" s="32">
        <v>8</v>
      </c>
      <c r="H282" s="109">
        <f>G282*[1]Density!$D$6/1000</f>
        <v>62.8</v>
      </c>
      <c r="I282" s="161">
        <f t="shared" si="28"/>
        <v>942</v>
      </c>
      <c r="J282" s="164">
        <v>1930</v>
      </c>
      <c r="K282" s="165">
        <v>220</v>
      </c>
      <c r="L282" s="165">
        <v>1</v>
      </c>
      <c r="M282" s="196" t="s">
        <v>308</v>
      </c>
      <c r="N282" s="164"/>
      <c r="O282" s="202"/>
      <c r="P282" s="202"/>
      <c r="Q282" s="203"/>
      <c r="R282" s="201"/>
      <c r="S282" s="202"/>
      <c r="T282" s="202"/>
      <c r="U282" s="203"/>
      <c r="Z282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26.664879999999997</v>
      </c>
      <c r="AA282" s="17">
        <f t="shared" si="24"/>
        <v>33.597748799999991</v>
      </c>
      <c r="AB282" s="17"/>
      <c r="AC282" s="10">
        <f>AC277</f>
        <v>1260</v>
      </c>
      <c r="AD282" s="10">
        <f>Table1[[#This Row],[£/Tonne]]/1000*Table1[[#This Row],[KG/M2]]</f>
        <v>79.128</v>
      </c>
      <c r="AE282" s="10">
        <f>Table1[[#This Row],[£/Tonne]]/1000*Table1[[#This Row],[Kg/ Sheet]]</f>
        <v>1186.92</v>
      </c>
      <c r="AF282" s="10"/>
      <c r="AG282" s="111">
        <f>Table1[[#This Row],[£Cost / SHEET]]*(1+AG$1)</f>
        <v>1542.9960000000001</v>
      </c>
      <c r="AH282" s="111">
        <f>Table1[[#This Row],[£Cost / SHEET]]*(1+AH$1)</f>
        <v>1602.3420000000001</v>
      </c>
      <c r="AI282" s="111">
        <f>Table1[[#This Row],[£Cost / SHEET]]*(1+AI$1)</f>
        <v>1661.6880000000001</v>
      </c>
      <c r="AJ282" s="111">
        <f>Table1[[#This Row],[£Cost / SHEET]]*(1+AJ$1)</f>
        <v>1780.38</v>
      </c>
      <c r="AK282" s="222">
        <f>(Table1[[#This Row],[Qty 1]]*IF(Table1[[#This Row],[Dimension L1]]&lt;1,(Table1[[#This Row],[Length]]*Table1[[#This Row],[Width]]),(Table1[[#This Row],[Dimension L1]]*Table1[[#This Row],[Dimension W1]])))/1000000</f>
        <v>0.42459999999999998</v>
      </c>
      <c r="AL282" s="121"/>
    </row>
    <row r="283" spans="1:38" ht="25.35" customHeight="1">
      <c r="B283" s="119"/>
      <c r="C283" s="119"/>
      <c r="H283" s="109"/>
      <c r="I283" s="110"/>
      <c r="J283" s="159"/>
      <c r="K283" s="161"/>
      <c r="L283" s="161"/>
      <c r="M283" s="110"/>
      <c r="N283" s="159"/>
      <c r="O283" s="202"/>
      <c r="P283" s="202"/>
      <c r="Q283" s="203"/>
      <c r="R283" s="201"/>
      <c r="S283" s="202"/>
      <c r="T283" s="202"/>
      <c r="U283" s="203"/>
      <c r="Z283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283" s="17">
        <f t="shared" si="24"/>
        <v>0</v>
      </c>
      <c r="AB283" s="17"/>
      <c r="AC283" s="10"/>
      <c r="AD283" s="10">
        <f>Table1[[#This Row],[£/Tonne]]/1000*Table1[[#This Row],[KG/M2]]</f>
        <v>0</v>
      </c>
      <c r="AE283" s="10">
        <f>Table1[[#This Row],[£/Tonne]]/1000*Table1[[#This Row],[Kg/ Sheet]]</f>
        <v>0</v>
      </c>
      <c r="AF283" s="10"/>
      <c r="AG283" s="111">
        <f>Table1[[#This Row],[£Cost / SHEET]]*(1+AG$1)</f>
        <v>0</v>
      </c>
      <c r="AH283" s="111">
        <f>Table1[[#This Row],[£Cost / SHEET]]*(1+AH$1)</f>
        <v>0</v>
      </c>
      <c r="AI283" s="111">
        <f>Table1[[#This Row],[£Cost / SHEET]]*(1+AI$1)</f>
        <v>0</v>
      </c>
      <c r="AJ283" s="111">
        <f>Table1[[#This Row],[£Cost / SHEET]]*(1+AJ$1)</f>
        <v>0</v>
      </c>
      <c r="AK283" s="222">
        <f>(Table1[[#This Row],[Qty 1]]*IF(Table1[[#This Row],[Dimension L1]]&lt;1,(Table1[[#This Row],[Length]]*Table1[[#This Row],[Width]]),(Table1[[#This Row],[Dimension L1]]*Table1[[#This Row],[Dimension W1]])))/1000000</f>
        <v>0</v>
      </c>
      <c r="AL283" s="121"/>
    </row>
    <row r="284" spans="1:38" ht="25.35" customHeight="1">
      <c r="B284" s="119" t="s">
        <v>30</v>
      </c>
      <c r="C284" s="7" t="str">
        <f t="shared" si="25"/>
        <v>HD_10_6000_2500</v>
      </c>
      <c r="D284" s="7" t="str">
        <f>_xlfn.CONCAT(Table1[[#This Row],[ProductRecord.AccountReference]]," @ ",ROUND(Table1[[#This Row],[KG/M2]],2),$H$2)</f>
        <v>HD_10_6000_2500 @ 78.5Kg/m2</v>
      </c>
      <c r="E284" s="27">
        <v>6000</v>
      </c>
      <c r="F284" s="27">
        <v>2500</v>
      </c>
      <c r="G284" s="32">
        <v>10</v>
      </c>
      <c r="H284" s="109">
        <f>G284*[1]Density!$D$6/1000</f>
        <v>78.5</v>
      </c>
      <c r="I284" s="161">
        <f t="shared" si="28"/>
        <v>1177.5</v>
      </c>
      <c r="J284" s="164">
        <v>1540</v>
      </c>
      <c r="K284" s="165">
        <v>1260</v>
      </c>
      <c r="L284" s="165">
        <v>1</v>
      </c>
      <c r="M284" s="196" t="s">
        <v>308</v>
      </c>
      <c r="N284" s="164">
        <v>2500</v>
      </c>
      <c r="O284" s="202">
        <v>190</v>
      </c>
      <c r="P284" s="202">
        <v>1</v>
      </c>
      <c r="Q284" s="203" t="s">
        <v>308</v>
      </c>
      <c r="R284" s="201">
        <v>800</v>
      </c>
      <c r="S284" s="202">
        <v>310</v>
      </c>
      <c r="T284" s="202">
        <v>1</v>
      </c>
      <c r="U284" s="203" t="s">
        <v>308</v>
      </c>
      <c r="Z284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209.07690000000002</v>
      </c>
      <c r="AA284" s="17">
        <f t="shared" si="24"/>
        <v>252.98304900000002</v>
      </c>
      <c r="AB284" s="17"/>
      <c r="AC284" s="10">
        <v>1210</v>
      </c>
      <c r="AD284" s="10">
        <f>Table1[[#This Row],[£/Tonne]]/1000*Table1[[#This Row],[KG/M2]]</f>
        <v>94.984999999999999</v>
      </c>
      <c r="AE284" s="10">
        <f>Table1[[#This Row],[£/Tonne]]/1000*Table1[[#This Row],[Kg/ Sheet]]</f>
        <v>1424.7749999999999</v>
      </c>
      <c r="AF284" s="10"/>
      <c r="AG284" s="111">
        <f>Table1[[#This Row],[£Cost / SHEET]]*(1+AG$1)</f>
        <v>1852.2075</v>
      </c>
      <c r="AH284" s="111">
        <f>Table1[[#This Row],[£Cost / SHEET]]*(1+AH$1)</f>
        <v>1923.44625</v>
      </c>
      <c r="AI284" s="111">
        <f>Table1[[#This Row],[£Cost / SHEET]]*(1+AI$1)</f>
        <v>1994.6849999999997</v>
      </c>
      <c r="AJ284" s="111">
        <f>Table1[[#This Row],[£Cost / SHEET]]*(1+AJ$1)</f>
        <v>2137.1624999999999</v>
      </c>
      <c r="AK284" s="222">
        <f>(Table1[[#This Row],[Qty 1]]*IF(Table1[[#This Row],[Dimension L1]]&lt;1,(Table1[[#This Row],[Length]]*Table1[[#This Row],[Width]]),(Table1[[#This Row],[Dimension L1]]*Table1[[#This Row],[Dimension W1]])))/1000000</f>
        <v>1.9403999999999999</v>
      </c>
      <c r="AL284" s="121"/>
    </row>
    <row r="285" spans="1:38" ht="25.35" customHeight="1">
      <c r="B285" s="119" t="s">
        <v>30</v>
      </c>
      <c r="C285" s="7" t="str">
        <f t="shared" si="25"/>
        <v>HD_10_6000_2500</v>
      </c>
      <c r="D285" s="7" t="str">
        <f>_xlfn.CONCAT(Table1[[#This Row],[ProductRecord.AccountReference]]," @ ",ROUND(Table1[[#This Row],[KG/M2]],2),$H$2)</f>
        <v>HD_10_6000_2500 @ 78.5Kg/m2</v>
      </c>
      <c r="E285" s="27">
        <v>6000</v>
      </c>
      <c r="F285" s="27">
        <v>2500</v>
      </c>
      <c r="G285" s="32">
        <v>10</v>
      </c>
      <c r="H285" s="109">
        <f>G285*[1]Density!$D$6/1000</f>
        <v>78.5</v>
      </c>
      <c r="I285" s="161">
        <f t="shared" si="28"/>
        <v>1177.5</v>
      </c>
      <c r="J285" s="164">
        <v>2500</v>
      </c>
      <c r="K285" s="165">
        <v>1350</v>
      </c>
      <c r="L285" s="165">
        <v>1</v>
      </c>
      <c r="M285" s="196" t="s">
        <v>308</v>
      </c>
      <c r="N285" s="164">
        <v>3120</v>
      </c>
      <c r="O285" s="202">
        <v>120</v>
      </c>
      <c r="P285" s="202">
        <v>1</v>
      </c>
      <c r="Q285" s="203" t="s">
        <v>308</v>
      </c>
      <c r="R285" s="201">
        <v>1250</v>
      </c>
      <c r="S285" s="202">
        <v>690</v>
      </c>
      <c r="T285" s="202">
        <v>1</v>
      </c>
      <c r="U285" s="203" t="s">
        <v>308</v>
      </c>
      <c r="Z285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362.03415000000001</v>
      </c>
      <c r="AA285" s="17">
        <f t="shared" si="24"/>
        <v>438.06132150000002</v>
      </c>
      <c r="AB285" s="17"/>
      <c r="AC285" s="10" cm="1">
        <f t="array" ref="AC285">_xlfn.IFS(Table1[[#This Row],[Thickness]]=G$284,AC$284,Table1[[#This Row],[Thickness]]=G$313,AC$313)</f>
        <v>1210</v>
      </c>
      <c r="AD285" s="10">
        <f>Table1[[#This Row],[£/Tonne]]/1000*Table1[[#This Row],[KG/M2]]</f>
        <v>94.984999999999999</v>
      </c>
      <c r="AE285" s="10">
        <f>Table1[[#This Row],[£/Tonne]]/1000*Table1[[#This Row],[Kg/ Sheet]]</f>
        <v>1424.7749999999999</v>
      </c>
      <c r="AF285" s="10"/>
      <c r="AG285" s="111">
        <f>Table1[[#This Row],[£Cost / SHEET]]*(1+AG$1)</f>
        <v>1852.2075</v>
      </c>
      <c r="AH285" s="111">
        <f>Table1[[#This Row],[£Cost / SHEET]]*(1+AH$1)</f>
        <v>1923.44625</v>
      </c>
      <c r="AI285" s="111">
        <f>Table1[[#This Row],[£Cost / SHEET]]*(1+AI$1)</f>
        <v>1994.6849999999997</v>
      </c>
      <c r="AJ285" s="111">
        <f>Table1[[#This Row],[£Cost / SHEET]]*(1+AJ$1)</f>
        <v>2137.1624999999999</v>
      </c>
      <c r="AK285" s="222">
        <f>(Table1[[#This Row],[Qty 1]]*IF(Table1[[#This Row],[Dimension L1]]&lt;1,(Table1[[#This Row],[Length]]*Table1[[#This Row],[Width]]),(Table1[[#This Row],[Dimension L1]]*Table1[[#This Row],[Dimension W1]])))/1000000</f>
        <v>3.375</v>
      </c>
      <c r="AL285" s="121"/>
    </row>
    <row r="286" spans="1:38" ht="25.35" customHeight="1">
      <c r="B286" s="119" t="s">
        <v>30</v>
      </c>
      <c r="C286" s="7" t="str">
        <f t="shared" si="25"/>
        <v>HD_10_2510_1790</v>
      </c>
      <c r="D286" s="7" t="str">
        <f>_xlfn.CONCAT(Table1[[#This Row],[ProductRecord.AccountReference]]," @ ",ROUND(Table1[[#This Row],[KG/M2]],2),$H$2)</f>
        <v>HD_10_2510_1790 @ 78.5Kg/m2</v>
      </c>
      <c r="E286" s="27">
        <v>2510</v>
      </c>
      <c r="F286" s="27">
        <v>1790</v>
      </c>
      <c r="G286" s="32">
        <v>10</v>
      </c>
      <c r="H286" s="109">
        <f>G286*[1]Density!$D$6/1000</f>
        <v>78.5</v>
      </c>
      <c r="I286" s="161">
        <f t="shared" si="28"/>
        <v>352.69265000000001</v>
      </c>
      <c r="J286" s="164">
        <v>1240</v>
      </c>
      <c r="K286" s="165">
        <v>600</v>
      </c>
      <c r="L286" s="165">
        <v>1</v>
      </c>
      <c r="M286" s="196" t="s">
        <v>308</v>
      </c>
      <c r="N286" s="164">
        <v>2510</v>
      </c>
      <c r="O286" s="202">
        <v>670</v>
      </c>
      <c r="P286" s="202">
        <v>2</v>
      </c>
      <c r="Q286" s="203" t="s">
        <v>308</v>
      </c>
      <c r="R286" s="201">
        <v>1270</v>
      </c>
      <c r="S286" s="202">
        <v>220</v>
      </c>
      <c r="T286" s="202">
        <v>1</v>
      </c>
      <c r="U286" s="203" t="s">
        <v>308</v>
      </c>
      <c r="Z286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344.36380000000003</v>
      </c>
      <c r="AA286" s="17">
        <f t="shared" si="24"/>
        <v>416.68019800000008</v>
      </c>
      <c r="AB286" s="17"/>
      <c r="AC286" s="10" cm="1">
        <f t="array" ref="AC286">_xlfn.IFS(Table1[[#This Row],[Thickness]]=G$284,AC$284,Table1[[#This Row],[Thickness]]=G$313,AC$313)</f>
        <v>1210</v>
      </c>
      <c r="AD286" s="10">
        <f>Table1[[#This Row],[£/Tonne]]/1000*Table1[[#This Row],[KG/M2]]</f>
        <v>94.984999999999999</v>
      </c>
      <c r="AE286" s="10">
        <f>Table1[[#This Row],[£/Tonne]]/1000*Table1[[#This Row],[Kg/ Sheet]]</f>
        <v>426.7581065</v>
      </c>
      <c r="AF286" s="10"/>
      <c r="AG286" s="111">
        <f>Table1[[#This Row],[£Cost / SHEET]]*(1+AG$1)</f>
        <v>554.78553844999999</v>
      </c>
      <c r="AH286" s="111">
        <f>Table1[[#This Row],[£Cost / SHEET]]*(1+AH$1)</f>
        <v>576.12344377500006</v>
      </c>
      <c r="AI286" s="111">
        <f>Table1[[#This Row],[£Cost / SHEET]]*(1+AI$1)</f>
        <v>597.46134910000001</v>
      </c>
      <c r="AJ286" s="111">
        <f>Table1[[#This Row],[£Cost / SHEET]]*(1+AJ$1)</f>
        <v>640.13715975000002</v>
      </c>
      <c r="AK286" s="222">
        <f>(Table1[[#This Row],[Qty 1]]*IF(Table1[[#This Row],[Dimension L1]]&lt;1,(Table1[[#This Row],[Length]]*Table1[[#This Row],[Width]]),(Table1[[#This Row],[Dimension L1]]*Table1[[#This Row],[Dimension W1]])))/1000000</f>
        <v>0.74399999999999999</v>
      </c>
      <c r="AL286" s="121"/>
    </row>
    <row r="287" spans="1:38" ht="25.35" customHeight="1">
      <c r="B287" s="119" t="s">
        <v>30</v>
      </c>
      <c r="C287" s="7" t="str">
        <f t="shared" si="25"/>
        <v>HD_10_2510_1770</v>
      </c>
      <c r="D287" s="7" t="str">
        <f>_xlfn.CONCAT(Table1[[#This Row],[ProductRecord.AccountReference]]," @ ",ROUND(Table1[[#This Row],[KG/M2]],2),$H$2)</f>
        <v>HD_10_2510_1770 @ 78.5Kg/m2</v>
      </c>
      <c r="E287" s="27">
        <v>2510</v>
      </c>
      <c r="F287" s="27">
        <v>1770</v>
      </c>
      <c r="G287" s="32">
        <v>10</v>
      </c>
      <c r="H287" s="109">
        <f>G287*[1]Density!$D$6/1000</f>
        <v>78.5</v>
      </c>
      <c r="I287" s="161">
        <f t="shared" si="28"/>
        <v>348.75195000000002</v>
      </c>
      <c r="J287" s="164">
        <v>570</v>
      </c>
      <c r="K287" s="165">
        <v>370</v>
      </c>
      <c r="L287" s="165">
        <v>1</v>
      </c>
      <c r="M287" s="196" t="s">
        <v>308</v>
      </c>
      <c r="N287" s="164">
        <v>2500</v>
      </c>
      <c r="O287" s="202">
        <v>210</v>
      </c>
      <c r="P287" s="202">
        <v>1</v>
      </c>
      <c r="Q287" s="203" t="s">
        <v>308</v>
      </c>
      <c r="R287" s="201">
        <v>1960</v>
      </c>
      <c r="S287" s="202">
        <v>1240</v>
      </c>
      <c r="T287" s="202">
        <v>1</v>
      </c>
      <c r="U287" s="203" t="s">
        <v>308</v>
      </c>
      <c r="Z287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248.55455000000001</v>
      </c>
      <c r="AA287" s="17">
        <f t="shared" si="24"/>
        <v>300.75100550000002</v>
      </c>
      <c r="AB287" s="17"/>
      <c r="AC287" s="10" cm="1">
        <f t="array" ref="AC287">_xlfn.IFS(Table1[[#This Row],[Thickness]]=G$284,AC$284,Table1[[#This Row],[Thickness]]=G$313,AC$313)</f>
        <v>1210</v>
      </c>
      <c r="AD287" s="10">
        <f>Table1[[#This Row],[£/Tonne]]/1000*Table1[[#This Row],[KG/M2]]</f>
        <v>94.984999999999999</v>
      </c>
      <c r="AE287" s="10">
        <f>Table1[[#This Row],[£/Tonne]]/1000*Table1[[#This Row],[Kg/ Sheet]]</f>
        <v>421.98985950000002</v>
      </c>
      <c r="AF287" s="10"/>
      <c r="AG287" s="111">
        <f>Table1[[#This Row],[£Cost / SHEET]]*(1+AG$1)</f>
        <v>548.58681735000005</v>
      </c>
      <c r="AH287" s="111">
        <f>Table1[[#This Row],[£Cost / SHEET]]*(1+AH$1)</f>
        <v>569.68631032500002</v>
      </c>
      <c r="AI287" s="111">
        <f>Table1[[#This Row],[£Cost / SHEET]]*(1+AI$1)</f>
        <v>590.7858033</v>
      </c>
      <c r="AJ287" s="111">
        <f>Table1[[#This Row],[£Cost / SHEET]]*(1+AJ$1)</f>
        <v>632.98478925000006</v>
      </c>
      <c r="AK287" s="222">
        <f>(Table1[[#This Row],[Qty 1]]*IF(Table1[[#This Row],[Dimension L1]]&lt;1,(Table1[[#This Row],[Length]]*Table1[[#This Row],[Width]]),(Table1[[#This Row],[Dimension L1]]*Table1[[#This Row],[Dimension W1]])))/1000000</f>
        <v>0.2109</v>
      </c>
      <c r="AL287" s="121"/>
    </row>
    <row r="288" spans="1:38" ht="25.35" customHeight="1">
      <c r="B288" s="119" t="s">
        <v>30</v>
      </c>
      <c r="C288" s="7" t="str">
        <f t="shared" si="25"/>
        <v>HD_10_3180_1245</v>
      </c>
      <c r="D288" s="7" t="str">
        <f>_xlfn.CONCAT(Table1[[#This Row],[ProductRecord.AccountReference]]," @ ",ROUND(Table1[[#This Row],[KG/M2]],2),$H$2)</f>
        <v>HD_10_3180_1245 @ 78.5Kg/m2</v>
      </c>
      <c r="E288" s="27">
        <v>3180</v>
      </c>
      <c r="F288" s="27">
        <v>1245</v>
      </c>
      <c r="G288" s="32">
        <v>10</v>
      </c>
      <c r="H288" s="109">
        <f>G288*[1]Density!$D$6/1000</f>
        <v>78.5</v>
      </c>
      <c r="I288" s="161">
        <f t="shared" si="28"/>
        <v>310.78935000000001</v>
      </c>
      <c r="J288" s="164">
        <v>3700</v>
      </c>
      <c r="K288" s="165">
        <v>1000</v>
      </c>
      <c r="L288" s="165">
        <v>1</v>
      </c>
      <c r="M288" s="196" t="s">
        <v>308</v>
      </c>
      <c r="N288" s="164">
        <v>2500</v>
      </c>
      <c r="O288" s="202">
        <v>390</v>
      </c>
      <c r="P288" s="202">
        <v>1</v>
      </c>
      <c r="Q288" s="203" t="s">
        <v>308</v>
      </c>
      <c r="R288" s="201">
        <v>1350</v>
      </c>
      <c r="S288" s="202">
        <v>710</v>
      </c>
      <c r="T288" s="202">
        <v>1</v>
      </c>
      <c r="U288" s="203" t="s">
        <v>308</v>
      </c>
      <c r="Z288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442.22974999999997</v>
      </c>
      <c r="AA288" s="17">
        <f t="shared" si="24"/>
        <v>535.09799750000002</v>
      </c>
      <c r="AB288" s="17"/>
      <c r="AC288" s="10" cm="1">
        <f t="array" ref="AC288">_xlfn.IFS(Table1[[#This Row],[Thickness]]=G$284,AC$284,Table1[[#This Row],[Thickness]]=G$313,AC$313)</f>
        <v>1210</v>
      </c>
      <c r="AD288" s="10">
        <f>Table1[[#This Row],[£/Tonne]]/1000*Table1[[#This Row],[KG/M2]]</f>
        <v>94.984999999999999</v>
      </c>
      <c r="AE288" s="10">
        <f>Table1[[#This Row],[£/Tonne]]/1000*Table1[[#This Row],[Kg/ Sheet]]</f>
        <v>376.0551135</v>
      </c>
      <c r="AF288" s="10"/>
      <c r="AG288" s="111">
        <f>Table1[[#This Row],[£Cost / SHEET]]*(1+AG$1)</f>
        <v>488.87164755000003</v>
      </c>
      <c r="AH288" s="111">
        <f>Table1[[#This Row],[£Cost / SHEET]]*(1+AH$1)</f>
        <v>507.67440322500005</v>
      </c>
      <c r="AI288" s="111">
        <f>Table1[[#This Row],[£Cost / SHEET]]*(1+AI$1)</f>
        <v>526.47715889999995</v>
      </c>
      <c r="AJ288" s="111">
        <f>Table1[[#This Row],[£Cost / SHEET]]*(1+AJ$1)</f>
        <v>564.08267024999998</v>
      </c>
      <c r="AK288" s="222">
        <f>(Table1[[#This Row],[Qty 1]]*IF(Table1[[#This Row],[Dimension L1]]&lt;1,(Table1[[#This Row],[Length]]*Table1[[#This Row],[Width]]),(Table1[[#This Row],[Dimension L1]]*Table1[[#This Row],[Dimension W1]])))/1000000</f>
        <v>3.7</v>
      </c>
      <c r="AL288" s="121"/>
    </row>
    <row r="289" spans="2:38" ht="25.35" customHeight="1">
      <c r="B289" s="119" t="s">
        <v>30</v>
      </c>
      <c r="C289" s="7" t="str">
        <f t="shared" si="25"/>
        <v>HD_10_2500_1470</v>
      </c>
      <c r="D289" s="7" t="str">
        <f>_xlfn.CONCAT(Table1[[#This Row],[ProductRecord.AccountReference]]," @ ",ROUND(Table1[[#This Row],[KG/M2]],2),$H$2)</f>
        <v>HD_10_2500_1470 @ 78.5Kg/m2</v>
      </c>
      <c r="E289" s="27">
        <v>2500</v>
      </c>
      <c r="F289" s="27">
        <v>1470</v>
      </c>
      <c r="G289" s="32">
        <v>10</v>
      </c>
      <c r="H289" s="109">
        <f>G289*[1]Density!$D$6/1000</f>
        <v>78.5</v>
      </c>
      <c r="I289" s="161">
        <f t="shared" si="28"/>
        <v>288.48750000000001</v>
      </c>
      <c r="J289" s="164">
        <v>4180</v>
      </c>
      <c r="K289" s="165">
        <v>370</v>
      </c>
      <c r="L289" s="165">
        <v>1</v>
      </c>
      <c r="M289" s="196" t="s">
        <v>308</v>
      </c>
      <c r="N289" s="164">
        <v>1250</v>
      </c>
      <c r="O289" s="202">
        <v>560</v>
      </c>
      <c r="P289" s="202">
        <v>1</v>
      </c>
      <c r="Q289" s="203" t="s">
        <v>308</v>
      </c>
      <c r="R289" s="201">
        <v>1250</v>
      </c>
      <c r="S289" s="202">
        <v>680</v>
      </c>
      <c r="T289" s="202">
        <v>1</v>
      </c>
      <c r="U289" s="203" t="s">
        <v>308</v>
      </c>
      <c r="Z289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243.0831</v>
      </c>
      <c r="AA289" s="17">
        <f t="shared" si="24"/>
        <v>294.13055099999997</v>
      </c>
      <c r="AB289" s="17"/>
      <c r="AC289" s="10" cm="1">
        <f t="array" ref="AC289">_xlfn.IFS(Table1[[#This Row],[Thickness]]=G$284,AC$284,Table1[[#This Row],[Thickness]]=G$313,AC$313)</f>
        <v>1210</v>
      </c>
      <c r="AD289" s="10">
        <f>Table1[[#This Row],[£/Tonne]]/1000*Table1[[#This Row],[KG/M2]]</f>
        <v>94.984999999999999</v>
      </c>
      <c r="AE289" s="10">
        <f>Table1[[#This Row],[£/Tonne]]/1000*Table1[[#This Row],[Kg/ Sheet]]</f>
        <v>349.06987500000002</v>
      </c>
      <c r="AF289" s="10"/>
      <c r="AG289" s="111">
        <f>Table1[[#This Row],[£Cost / SHEET]]*(1+AG$1)</f>
        <v>453.79083750000007</v>
      </c>
      <c r="AH289" s="111">
        <f>Table1[[#This Row],[£Cost / SHEET]]*(1+AH$1)</f>
        <v>471.24433125000007</v>
      </c>
      <c r="AI289" s="111">
        <f>Table1[[#This Row],[£Cost / SHEET]]*(1+AI$1)</f>
        <v>488.69782500000002</v>
      </c>
      <c r="AJ289" s="111">
        <f>Table1[[#This Row],[£Cost / SHEET]]*(1+AJ$1)</f>
        <v>523.60481249999998</v>
      </c>
      <c r="AK289" s="222">
        <f>(Table1[[#This Row],[Qty 1]]*IF(Table1[[#This Row],[Dimension L1]]&lt;1,(Table1[[#This Row],[Length]]*Table1[[#This Row],[Width]]),(Table1[[#This Row],[Dimension L1]]*Table1[[#This Row],[Dimension W1]])))/1000000</f>
        <v>1.5466</v>
      </c>
      <c r="AL289" s="121"/>
    </row>
    <row r="290" spans="2:38" ht="25.35" customHeight="1">
      <c r="B290" s="119" t="s">
        <v>30</v>
      </c>
      <c r="C290" s="7" t="str">
        <f t="shared" si="25"/>
        <v>HD_10_2590_1290</v>
      </c>
      <c r="D290" s="7" t="str">
        <f>_xlfn.CONCAT(Table1[[#This Row],[ProductRecord.AccountReference]]," @ ",ROUND(Table1[[#This Row],[KG/M2]],2),$H$2)</f>
        <v>HD_10_2590_1290 @ 78.5Kg/m2</v>
      </c>
      <c r="E290" s="27">
        <v>2590</v>
      </c>
      <c r="F290" s="27">
        <v>1290</v>
      </c>
      <c r="G290" s="32">
        <v>10</v>
      </c>
      <c r="H290" s="109">
        <f>G290*[1]Density!$D$6/1000</f>
        <v>78.5</v>
      </c>
      <c r="I290" s="161">
        <f t="shared" si="28"/>
        <v>262.27634999999998</v>
      </c>
      <c r="J290" s="164">
        <v>2500</v>
      </c>
      <c r="K290" s="165">
        <v>760</v>
      </c>
      <c r="L290" s="165">
        <v>1</v>
      </c>
      <c r="M290" s="196" t="s">
        <v>308</v>
      </c>
      <c r="N290" s="164">
        <v>1230</v>
      </c>
      <c r="O290" s="202">
        <v>920</v>
      </c>
      <c r="P290" s="202">
        <v>1</v>
      </c>
      <c r="Q290" s="203" t="s">
        <v>308</v>
      </c>
      <c r="R290" s="201">
        <v>1220</v>
      </c>
      <c r="S290" s="202">
        <v>310</v>
      </c>
      <c r="T290" s="202">
        <v>1</v>
      </c>
      <c r="U290" s="203" t="s">
        <v>308</v>
      </c>
      <c r="Z290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267.66930000000002</v>
      </c>
      <c r="AA290" s="17">
        <f t="shared" si="24"/>
        <v>323.87985300000003</v>
      </c>
      <c r="AB290" s="17"/>
      <c r="AC290" s="10" cm="1">
        <f t="array" ref="AC290">_xlfn.IFS(Table1[[#This Row],[Thickness]]=G$284,AC$284,Table1[[#This Row],[Thickness]]=G$313,AC$313)</f>
        <v>1210</v>
      </c>
      <c r="AD290" s="10">
        <f>Table1[[#This Row],[£/Tonne]]/1000*Table1[[#This Row],[KG/M2]]</f>
        <v>94.984999999999999</v>
      </c>
      <c r="AE290" s="10">
        <f>Table1[[#This Row],[£/Tonne]]/1000*Table1[[#This Row],[Kg/ Sheet]]</f>
        <v>317.35438349999998</v>
      </c>
      <c r="AF290" s="10"/>
      <c r="AG290" s="111">
        <f>Table1[[#This Row],[£Cost / SHEET]]*(1+AG$1)</f>
        <v>412.56069854999998</v>
      </c>
      <c r="AH290" s="111">
        <f>Table1[[#This Row],[£Cost / SHEET]]*(1+AH$1)</f>
        <v>428.42841772500003</v>
      </c>
      <c r="AI290" s="111">
        <f>Table1[[#This Row],[£Cost / SHEET]]*(1+AI$1)</f>
        <v>444.29613689999996</v>
      </c>
      <c r="AJ290" s="111">
        <f>Table1[[#This Row],[£Cost / SHEET]]*(1+AJ$1)</f>
        <v>476.03157524999995</v>
      </c>
      <c r="AK290" s="222">
        <f>(Table1[[#This Row],[Qty 1]]*IF(Table1[[#This Row],[Dimension L1]]&lt;1,(Table1[[#This Row],[Length]]*Table1[[#This Row],[Width]]),(Table1[[#This Row],[Dimension L1]]*Table1[[#This Row],[Dimension W1]])))/1000000</f>
        <v>1.9</v>
      </c>
      <c r="AL290" s="121"/>
    </row>
    <row r="291" spans="2:38" ht="25.35" customHeight="1">
      <c r="B291" s="119" t="s">
        <v>30</v>
      </c>
      <c r="C291" s="7" t="str">
        <f t="shared" si="25"/>
        <v>HD_10_2580_1250</v>
      </c>
      <c r="D291" s="7" t="str">
        <f>_xlfn.CONCAT(Table1[[#This Row],[ProductRecord.AccountReference]]," @ ",ROUND(Table1[[#This Row],[KG/M2]],2),$H$2)</f>
        <v>HD_10_2580_1250 @ 78.5Kg/m2</v>
      </c>
      <c r="E291" s="27">
        <v>2580</v>
      </c>
      <c r="F291" s="27">
        <v>1250</v>
      </c>
      <c r="G291" s="32">
        <v>10</v>
      </c>
      <c r="H291" s="109">
        <f>G291*[1]Density!$D$6/1000</f>
        <v>78.5</v>
      </c>
      <c r="I291" s="161">
        <f t="shared" si="28"/>
        <v>253.16249999999999</v>
      </c>
      <c r="J291" s="164">
        <v>3180</v>
      </c>
      <c r="K291" s="165">
        <v>1300</v>
      </c>
      <c r="L291" s="165">
        <v>1</v>
      </c>
      <c r="M291" s="196" t="s">
        <v>308</v>
      </c>
      <c r="N291" s="164">
        <v>1330</v>
      </c>
      <c r="O291" s="202">
        <v>860</v>
      </c>
      <c r="P291" s="202">
        <v>1</v>
      </c>
      <c r="Q291" s="203" t="s">
        <v>308</v>
      </c>
      <c r="R291" s="201">
        <v>1770</v>
      </c>
      <c r="S291" s="202">
        <v>1100</v>
      </c>
      <c r="T291" s="202">
        <v>1</v>
      </c>
      <c r="U291" s="203" t="s">
        <v>308</v>
      </c>
      <c r="Z291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567.14679999999998</v>
      </c>
      <c r="AA291" s="17">
        <f t="shared" si="24"/>
        <v>686.24762799999996</v>
      </c>
      <c r="AB291" s="17"/>
      <c r="AC291" s="10" cm="1">
        <f t="array" ref="AC291">_xlfn.IFS(Table1[[#This Row],[Thickness]]=G$284,AC$284,Table1[[#This Row],[Thickness]]=G$313,AC$313)</f>
        <v>1210</v>
      </c>
      <c r="AD291" s="10">
        <f>Table1[[#This Row],[£/Tonne]]/1000*Table1[[#This Row],[KG/M2]]</f>
        <v>94.984999999999999</v>
      </c>
      <c r="AE291" s="10">
        <f>Table1[[#This Row],[£/Tonne]]/1000*Table1[[#This Row],[Kg/ Sheet]]</f>
        <v>306.32662499999998</v>
      </c>
      <c r="AF291" s="10"/>
      <c r="AG291" s="111">
        <f>Table1[[#This Row],[£Cost / SHEET]]*(1+AG$1)</f>
        <v>398.22461249999998</v>
      </c>
      <c r="AH291" s="111">
        <f>Table1[[#This Row],[£Cost / SHEET]]*(1+AH$1)</f>
        <v>413.54094375</v>
      </c>
      <c r="AI291" s="111">
        <f>Table1[[#This Row],[£Cost / SHEET]]*(1+AI$1)</f>
        <v>428.85727499999996</v>
      </c>
      <c r="AJ291" s="111">
        <f>Table1[[#This Row],[£Cost / SHEET]]*(1+AJ$1)</f>
        <v>459.4899375</v>
      </c>
      <c r="AK291" s="222">
        <f>(Table1[[#This Row],[Qty 1]]*IF(Table1[[#This Row],[Dimension L1]]&lt;1,(Table1[[#This Row],[Length]]*Table1[[#This Row],[Width]]),(Table1[[#This Row],[Dimension L1]]*Table1[[#This Row],[Dimension W1]])))/1000000</f>
        <v>4.1340000000000003</v>
      </c>
      <c r="AL291" s="121"/>
    </row>
    <row r="292" spans="2:38" ht="25.35" customHeight="1">
      <c r="B292" s="119" t="s">
        <v>30</v>
      </c>
      <c r="C292" s="7" t="str">
        <f t="shared" si="25"/>
        <v>HD_10_2600_1240</v>
      </c>
      <c r="D292" s="7" t="str">
        <f>_xlfn.CONCAT(Table1[[#This Row],[ProductRecord.AccountReference]]," @ ",ROUND(Table1[[#This Row],[KG/M2]],2),$H$2)</f>
        <v>HD_10_2600_1240 @ 78.5Kg/m2</v>
      </c>
      <c r="E292" s="27">
        <v>2600</v>
      </c>
      <c r="F292" s="27">
        <v>1240</v>
      </c>
      <c r="G292" s="32">
        <v>10</v>
      </c>
      <c r="H292" s="109">
        <f>G292*[1]Density!$D$6/1000</f>
        <v>78.5</v>
      </c>
      <c r="I292" s="161">
        <f t="shared" si="28"/>
        <v>253.084</v>
      </c>
      <c r="J292" s="164">
        <v>2530</v>
      </c>
      <c r="K292" s="165">
        <v>1260</v>
      </c>
      <c r="L292" s="165">
        <v>1</v>
      </c>
      <c r="M292" s="196" t="s">
        <v>308</v>
      </c>
      <c r="N292" s="164">
        <v>2510</v>
      </c>
      <c r="O292" s="202">
        <v>810</v>
      </c>
      <c r="P292" s="202">
        <v>1</v>
      </c>
      <c r="Q292" s="203" t="s">
        <v>308</v>
      </c>
      <c r="R292" s="201">
        <v>1430</v>
      </c>
      <c r="S292" s="202">
        <v>510</v>
      </c>
      <c r="T292" s="202">
        <v>1</v>
      </c>
      <c r="U292" s="203" t="s">
        <v>308</v>
      </c>
      <c r="Z292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467.09070000000003</v>
      </c>
      <c r="AA292" s="17">
        <f t="shared" si="24"/>
        <v>565.17974700000002</v>
      </c>
      <c r="AB292" s="17"/>
      <c r="AC292" s="10" cm="1">
        <f t="array" ref="AC292">_xlfn.IFS(Table1[[#This Row],[Thickness]]=G$284,AC$284,Table1[[#This Row],[Thickness]]=G$313,AC$313)</f>
        <v>1210</v>
      </c>
      <c r="AD292" s="10">
        <f>Table1[[#This Row],[£/Tonne]]/1000*Table1[[#This Row],[KG/M2]]</f>
        <v>94.984999999999999</v>
      </c>
      <c r="AE292" s="10">
        <f>Table1[[#This Row],[£/Tonne]]/1000*Table1[[#This Row],[Kg/ Sheet]]</f>
        <v>306.23163999999997</v>
      </c>
      <c r="AF292" s="10"/>
      <c r="AG292" s="111">
        <f>Table1[[#This Row],[£Cost / SHEET]]*(1+AG$1)</f>
        <v>398.10113199999995</v>
      </c>
      <c r="AH292" s="111">
        <f>Table1[[#This Row],[£Cost / SHEET]]*(1+AH$1)</f>
        <v>413.41271399999999</v>
      </c>
      <c r="AI292" s="111">
        <f>Table1[[#This Row],[£Cost / SHEET]]*(1+AI$1)</f>
        <v>428.72429599999992</v>
      </c>
      <c r="AJ292" s="111">
        <f>Table1[[#This Row],[£Cost / SHEET]]*(1+AJ$1)</f>
        <v>459.34745999999996</v>
      </c>
      <c r="AK292" s="222">
        <f>(Table1[[#This Row],[Qty 1]]*IF(Table1[[#This Row],[Dimension L1]]&lt;1,(Table1[[#This Row],[Length]]*Table1[[#This Row],[Width]]),(Table1[[#This Row],[Dimension L1]]*Table1[[#This Row],[Dimension W1]])))/1000000</f>
        <v>3.1878000000000002</v>
      </c>
      <c r="AL292" s="121"/>
    </row>
    <row r="293" spans="2:38" ht="25.35" customHeight="1">
      <c r="B293" s="119" t="s">
        <v>30</v>
      </c>
      <c r="C293" s="7" t="str">
        <f t="shared" si="25"/>
        <v>HD_10_2595_1240</v>
      </c>
      <c r="D293" s="7" t="str">
        <f>_xlfn.CONCAT(Table1[[#This Row],[ProductRecord.AccountReference]]," @ ",ROUND(Table1[[#This Row],[KG/M2]],2),$H$2)</f>
        <v>HD_10_2595_1240 @ 78.5Kg/m2</v>
      </c>
      <c r="E293" s="27">
        <v>2595</v>
      </c>
      <c r="F293" s="27">
        <v>1240</v>
      </c>
      <c r="G293" s="32">
        <v>10</v>
      </c>
      <c r="H293" s="109">
        <f>G293*[1]Density!$D$6/1000</f>
        <v>78.5</v>
      </c>
      <c r="I293" s="161">
        <f t="shared" si="28"/>
        <v>252.59729999999999</v>
      </c>
      <c r="J293" s="164">
        <v>1980</v>
      </c>
      <c r="K293" s="165">
        <v>1250</v>
      </c>
      <c r="L293" s="165">
        <v>1</v>
      </c>
      <c r="M293" s="196" t="s">
        <v>308</v>
      </c>
      <c r="N293" s="164">
        <v>2500</v>
      </c>
      <c r="O293" s="202">
        <v>380</v>
      </c>
      <c r="P293" s="202">
        <v>1</v>
      </c>
      <c r="Q293" s="203" t="s">
        <v>308</v>
      </c>
      <c r="R293" s="201">
        <v>3200</v>
      </c>
      <c r="S293" s="202">
        <v>795</v>
      </c>
      <c r="T293" s="202">
        <v>1</v>
      </c>
      <c r="U293" s="203" t="s">
        <v>308</v>
      </c>
      <c r="Z293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468.56649999999996</v>
      </c>
      <c r="AA293" s="17">
        <f t="shared" si="24"/>
        <v>566.96546499999988</v>
      </c>
      <c r="AB293" s="17"/>
      <c r="AC293" s="10" cm="1">
        <f t="array" ref="AC293">_xlfn.IFS(Table1[[#This Row],[Thickness]]=G$284,AC$284,Table1[[#This Row],[Thickness]]=G$313,AC$313)</f>
        <v>1210</v>
      </c>
      <c r="AD293" s="10">
        <f>Table1[[#This Row],[£/Tonne]]/1000*Table1[[#This Row],[KG/M2]]</f>
        <v>94.984999999999999</v>
      </c>
      <c r="AE293" s="10">
        <f>Table1[[#This Row],[£/Tonne]]/1000*Table1[[#This Row],[Kg/ Sheet]]</f>
        <v>305.64273299999996</v>
      </c>
      <c r="AF293" s="10"/>
      <c r="AG293" s="111">
        <f>Table1[[#This Row],[£Cost / SHEET]]*(1+AG$1)</f>
        <v>397.33555289999998</v>
      </c>
      <c r="AH293" s="111">
        <f>Table1[[#This Row],[£Cost / SHEET]]*(1+AH$1)</f>
        <v>412.61768954999997</v>
      </c>
      <c r="AI293" s="111">
        <f>Table1[[#This Row],[£Cost / SHEET]]*(1+AI$1)</f>
        <v>427.89982619999995</v>
      </c>
      <c r="AJ293" s="111">
        <f>Table1[[#This Row],[£Cost / SHEET]]*(1+AJ$1)</f>
        <v>458.46409949999997</v>
      </c>
      <c r="AK293" s="222">
        <f>(Table1[[#This Row],[Qty 1]]*IF(Table1[[#This Row],[Dimension L1]]&lt;1,(Table1[[#This Row],[Length]]*Table1[[#This Row],[Width]]),(Table1[[#This Row],[Dimension L1]]*Table1[[#This Row],[Dimension W1]])))/1000000</f>
        <v>2.4750000000000001</v>
      </c>
      <c r="AL293" s="121"/>
    </row>
    <row r="294" spans="2:38" ht="25.35" customHeight="1">
      <c r="B294" s="119" t="s">
        <v>30</v>
      </c>
      <c r="C294" s="7" t="str">
        <f t="shared" si="25"/>
        <v>HD_10_2510_1175</v>
      </c>
      <c r="D294" s="7" t="str">
        <f>_xlfn.CONCAT(Table1[[#This Row],[ProductRecord.AccountReference]]," @ ",ROUND(Table1[[#This Row],[KG/M2]],2),$H$2)</f>
        <v>HD_10_2510_1175 @ 78.5Kg/m2</v>
      </c>
      <c r="E294" s="27">
        <v>2510</v>
      </c>
      <c r="F294" s="27">
        <v>1175</v>
      </c>
      <c r="G294" s="32">
        <v>10</v>
      </c>
      <c r="H294" s="109">
        <f>G294*[1]Density!$D$6/1000</f>
        <v>78.5</v>
      </c>
      <c r="I294" s="161">
        <f t="shared" si="28"/>
        <v>231.51612499999999</v>
      </c>
      <c r="J294" s="164">
        <v>2500</v>
      </c>
      <c r="K294" s="165">
        <v>790</v>
      </c>
      <c r="L294" s="165">
        <v>1</v>
      </c>
      <c r="M294" s="196" t="s">
        <v>308</v>
      </c>
      <c r="N294" s="164">
        <v>1230</v>
      </c>
      <c r="O294" s="202">
        <v>1070</v>
      </c>
      <c r="P294" s="202">
        <v>1</v>
      </c>
      <c r="Q294" s="203" t="s">
        <v>308</v>
      </c>
      <c r="R294" s="201">
        <v>2510</v>
      </c>
      <c r="S294" s="202">
        <v>385</v>
      </c>
      <c r="T294" s="202">
        <v>1</v>
      </c>
      <c r="U294" s="203" t="s">
        <v>308</v>
      </c>
      <c r="Z294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334.20982500000002</v>
      </c>
      <c r="AA294" s="17">
        <f t="shared" si="24"/>
        <v>404.39388825000003</v>
      </c>
      <c r="AB294" s="17"/>
      <c r="AC294" s="10" cm="1">
        <f t="array" ref="AC294">_xlfn.IFS(Table1[[#This Row],[Thickness]]=G$284,AC$284,Table1[[#This Row],[Thickness]]=G$313,AC$313)</f>
        <v>1210</v>
      </c>
      <c r="AD294" s="10">
        <f>Table1[[#This Row],[£/Tonne]]/1000*Table1[[#This Row],[KG/M2]]</f>
        <v>94.984999999999999</v>
      </c>
      <c r="AE294" s="10">
        <f>Table1[[#This Row],[£/Tonne]]/1000*Table1[[#This Row],[Kg/ Sheet]]</f>
        <v>280.13451125</v>
      </c>
      <c r="AF294" s="10"/>
      <c r="AG294" s="111">
        <f>Table1[[#This Row],[£Cost / SHEET]]*(1+AG$1)</f>
        <v>364.174864625</v>
      </c>
      <c r="AH294" s="111">
        <f>Table1[[#This Row],[£Cost / SHEET]]*(1+AH$1)</f>
        <v>378.18159018750003</v>
      </c>
      <c r="AI294" s="111">
        <f>Table1[[#This Row],[£Cost / SHEET]]*(1+AI$1)</f>
        <v>392.18831574999996</v>
      </c>
      <c r="AJ294" s="111">
        <f>Table1[[#This Row],[£Cost / SHEET]]*(1+AJ$1)</f>
        <v>420.20176687499998</v>
      </c>
      <c r="AK294" s="222">
        <f>(Table1[[#This Row],[Qty 1]]*IF(Table1[[#This Row],[Dimension L1]]&lt;1,(Table1[[#This Row],[Length]]*Table1[[#This Row],[Width]]),(Table1[[#This Row],[Dimension L1]]*Table1[[#This Row],[Dimension W1]])))/1000000</f>
        <v>1.9750000000000001</v>
      </c>
      <c r="AL294" s="121"/>
    </row>
    <row r="295" spans="2:38" ht="25.35" customHeight="1">
      <c r="B295" s="119" t="s">
        <v>30</v>
      </c>
      <c r="C295" s="7" t="str">
        <f t="shared" si="25"/>
        <v>HD_10_2500_1000</v>
      </c>
      <c r="D295" s="7" t="str">
        <f>_xlfn.CONCAT(Table1[[#This Row],[ProductRecord.AccountReference]]," @ ",ROUND(Table1[[#This Row],[KG/M2]],2),$H$2)</f>
        <v>HD_10_2500_1000 @ 78.5Kg/m2</v>
      </c>
      <c r="E295" s="27">
        <v>2500</v>
      </c>
      <c r="F295" s="27">
        <v>1000</v>
      </c>
      <c r="G295" s="32">
        <v>10</v>
      </c>
      <c r="H295" s="109">
        <f>G295*[1]Density!$D$6/1000</f>
        <v>78.5</v>
      </c>
      <c r="I295" s="161">
        <f t="shared" si="28"/>
        <v>196.25</v>
      </c>
      <c r="J295" s="164">
        <v>2500</v>
      </c>
      <c r="K295" s="165">
        <v>870</v>
      </c>
      <c r="L295" s="165">
        <v>1</v>
      </c>
      <c r="M295" s="196" t="s">
        <v>308</v>
      </c>
      <c r="N295" s="164">
        <v>1200</v>
      </c>
      <c r="O295" s="202">
        <v>600</v>
      </c>
      <c r="P295" s="202">
        <v>1</v>
      </c>
      <c r="Q295" s="203" t="s">
        <v>308</v>
      </c>
      <c r="R295" s="201">
        <v>2510</v>
      </c>
      <c r="S295" s="202">
        <v>410</v>
      </c>
      <c r="T295" s="202">
        <v>1</v>
      </c>
      <c r="U295" s="203" t="s">
        <v>308</v>
      </c>
      <c r="Z295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308.04184999999995</v>
      </c>
      <c r="AA295" s="17">
        <f t="shared" si="24"/>
        <v>372.73063849999994</v>
      </c>
      <c r="AB295" s="17"/>
      <c r="AC295" s="10" cm="1">
        <f t="array" ref="AC295">_xlfn.IFS(Table1[[#This Row],[Thickness]]=G$284,AC$284,Table1[[#This Row],[Thickness]]=G$313,AC$313)</f>
        <v>1210</v>
      </c>
      <c r="AD295" s="10">
        <f>Table1[[#This Row],[£/Tonne]]/1000*Table1[[#This Row],[KG/M2]]</f>
        <v>94.984999999999999</v>
      </c>
      <c r="AE295" s="10">
        <f>Table1[[#This Row],[£/Tonne]]/1000*Table1[[#This Row],[Kg/ Sheet]]</f>
        <v>237.46250000000001</v>
      </c>
      <c r="AF295" s="10"/>
      <c r="AG295" s="111">
        <f>Table1[[#This Row],[£Cost / SHEET]]*(1+AG$1)</f>
        <v>308.70125000000002</v>
      </c>
      <c r="AH295" s="111">
        <f>Table1[[#This Row],[£Cost / SHEET]]*(1+AH$1)</f>
        <v>320.57437500000003</v>
      </c>
      <c r="AI295" s="111">
        <f>Table1[[#This Row],[£Cost / SHEET]]*(1+AI$1)</f>
        <v>332.44749999999999</v>
      </c>
      <c r="AJ295" s="111">
        <f>Table1[[#This Row],[£Cost / SHEET]]*(1+AJ$1)</f>
        <v>356.19375000000002</v>
      </c>
      <c r="AK295" s="222">
        <f>(Table1[[#This Row],[Qty 1]]*IF(Table1[[#This Row],[Dimension L1]]&lt;1,(Table1[[#This Row],[Length]]*Table1[[#This Row],[Width]]),(Table1[[#This Row],[Dimension L1]]*Table1[[#This Row],[Dimension W1]])))/1000000</f>
        <v>2.1749999999999998</v>
      </c>
      <c r="AL295" s="121"/>
    </row>
    <row r="296" spans="2:38" ht="25.35" customHeight="1">
      <c r="B296" s="119" t="s">
        <v>30</v>
      </c>
      <c r="C296" s="7" t="str">
        <f t="shared" si="25"/>
        <v>HD_10_1940_1270</v>
      </c>
      <c r="D296" s="7" t="str">
        <f>_xlfn.CONCAT(Table1[[#This Row],[ProductRecord.AccountReference]]," @ ",ROUND(Table1[[#This Row],[KG/M2]],2),$H$2)</f>
        <v>HD_10_1940_1270 @ 78.5Kg/m2</v>
      </c>
      <c r="E296" s="27">
        <v>1940</v>
      </c>
      <c r="F296" s="27">
        <v>1270</v>
      </c>
      <c r="G296" s="32">
        <v>10</v>
      </c>
      <c r="H296" s="109">
        <f>G296*[1]Density!$D$6/1000</f>
        <v>78.5</v>
      </c>
      <c r="I296" s="161">
        <f t="shared" si="28"/>
        <v>193.4083</v>
      </c>
      <c r="J296" s="164">
        <v>2500</v>
      </c>
      <c r="K296" s="165">
        <v>380</v>
      </c>
      <c r="L296" s="165">
        <v>1</v>
      </c>
      <c r="M296" s="196" t="s">
        <v>308</v>
      </c>
      <c r="N296" s="164">
        <v>4600</v>
      </c>
      <c r="O296" s="202">
        <v>500</v>
      </c>
      <c r="P296" s="202">
        <v>2</v>
      </c>
      <c r="Q296" s="203" t="s">
        <v>308</v>
      </c>
      <c r="R296" s="201">
        <v>2510</v>
      </c>
      <c r="S296" s="202">
        <v>1000</v>
      </c>
      <c r="T296" s="202">
        <v>1</v>
      </c>
      <c r="U296" s="203" t="s">
        <v>308</v>
      </c>
      <c r="Z296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632.70999999999992</v>
      </c>
      <c r="AA296" s="17">
        <f t="shared" si="24"/>
        <v>765.57909999999981</v>
      </c>
      <c r="AB296" s="17"/>
      <c r="AC296" s="10" cm="1">
        <f t="array" ref="AC296">_xlfn.IFS(Table1[[#This Row],[Thickness]]=G$284,AC$284,Table1[[#This Row],[Thickness]]=G$313,AC$313)</f>
        <v>1210</v>
      </c>
      <c r="AD296" s="10">
        <f>Table1[[#This Row],[£/Tonne]]/1000*Table1[[#This Row],[KG/M2]]</f>
        <v>94.984999999999999</v>
      </c>
      <c r="AE296" s="10">
        <f>Table1[[#This Row],[£/Tonne]]/1000*Table1[[#This Row],[Kg/ Sheet]]</f>
        <v>234.02404299999998</v>
      </c>
      <c r="AF296" s="10"/>
      <c r="AG296" s="111">
        <f>Table1[[#This Row],[£Cost / SHEET]]*(1+AG$1)</f>
        <v>304.23125590000001</v>
      </c>
      <c r="AH296" s="111">
        <f>Table1[[#This Row],[£Cost / SHEET]]*(1+AH$1)</f>
        <v>315.93245804999998</v>
      </c>
      <c r="AI296" s="111">
        <f>Table1[[#This Row],[£Cost / SHEET]]*(1+AI$1)</f>
        <v>327.63366019999995</v>
      </c>
      <c r="AJ296" s="111">
        <f>Table1[[#This Row],[£Cost / SHEET]]*(1+AJ$1)</f>
        <v>351.03606449999995</v>
      </c>
      <c r="AK296" s="222">
        <f>(Table1[[#This Row],[Qty 1]]*IF(Table1[[#This Row],[Dimension L1]]&lt;1,(Table1[[#This Row],[Length]]*Table1[[#This Row],[Width]]),(Table1[[#This Row],[Dimension L1]]*Table1[[#This Row],[Dimension W1]])))/1000000</f>
        <v>0.95</v>
      </c>
      <c r="AL296" s="121"/>
    </row>
    <row r="297" spans="2:38" ht="25.35" customHeight="1">
      <c r="B297" s="119" t="s">
        <v>30</v>
      </c>
      <c r="C297" s="7" t="str">
        <f t="shared" si="25"/>
        <v>HD_10_1930_1235</v>
      </c>
      <c r="D297" s="7" t="str">
        <f>_xlfn.CONCAT(Table1[[#This Row],[ProductRecord.AccountReference]]," @ ",ROUND(Table1[[#This Row],[KG/M2]],2),$H$2)</f>
        <v>HD_10_1930_1235 @ 78.5Kg/m2</v>
      </c>
      <c r="E297" s="27">
        <v>1930</v>
      </c>
      <c r="F297" s="27">
        <v>1235</v>
      </c>
      <c r="G297" s="32">
        <v>10</v>
      </c>
      <c r="H297" s="109">
        <f>G297*[1]Density!$D$6/1000</f>
        <v>78.5</v>
      </c>
      <c r="I297" s="161">
        <f t="shared" si="28"/>
        <v>187.10867500000001</v>
      </c>
      <c r="J297" s="164">
        <v>2500</v>
      </c>
      <c r="K297" s="165">
        <v>520</v>
      </c>
      <c r="L297" s="165">
        <v>1</v>
      </c>
      <c r="M297" s="196" t="s">
        <v>308</v>
      </c>
      <c r="N297" s="164">
        <v>1460</v>
      </c>
      <c r="O297" s="202">
        <v>780</v>
      </c>
      <c r="P297" s="202">
        <v>1</v>
      </c>
      <c r="Q297" s="203" t="s">
        <v>308</v>
      </c>
      <c r="R297" s="201">
        <v>1245</v>
      </c>
      <c r="S297" s="202">
        <v>675</v>
      </c>
      <c r="T297" s="202">
        <v>1</v>
      </c>
      <c r="U297" s="203" t="s">
        <v>308</v>
      </c>
      <c r="Z297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257.41523749999999</v>
      </c>
      <c r="AA297" s="17">
        <f t="shared" si="24"/>
        <v>311.47243737500003</v>
      </c>
      <c r="AB297" s="17"/>
      <c r="AC297" s="10" cm="1">
        <f t="array" ref="AC297">_xlfn.IFS(Table1[[#This Row],[Thickness]]=G$284,AC$284,Table1[[#This Row],[Thickness]]=G$313,AC$313)</f>
        <v>1210</v>
      </c>
      <c r="AD297" s="10">
        <f>Table1[[#This Row],[£/Tonne]]/1000*Table1[[#This Row],[KG/M2]]</f>
        <v>94.984999999999999</v>
      </c>
      <c r="AE297" s="10">
        <f>Table1[[#This Row],[£/Tonne]]/1000*Table1[[#This Row],[Kg/ Sheet]]</f>
        <v>226.40149675000001</v>
      </c>
      <c r="AF297" s="10"/>
      <c r="AG297" s="111">
        <f>Table1[[#This Row],[£Cost / SHEET]]*(1+AG$1)</f>
        <v>294.32194577500002</v>
      </c>
      <c r="AH297" s="111">
        <f>Table1[[#This Row],[£Cost / SHEET]]*(1+AH$1)</f>
        <v>305.6420206125</v>
      </c>
      <c r="AI297" s="111">
        <f>Table1[[#This Row],[£Cost / SHEET]]*(1+AI$1)</f>
        <v>316.96209544999999</v>
      </c>
      <c r="AJ297" s="111">
        <f>Table1[[#This Row],[£Cost / SHEET]]*(1+AJ$1)</f>
        <v>339.60224512500002</v>
      </c>
      <c r="AK297" s="222">
        <f>(Table1[[#This Row],[Qty 1]]*IF(Table1[[#This Row],[Dimension L1]]&lt;1,(Table1[[#This Row],[Length]]*Table1[[#This Row],[Width]]),(Table1[[#This Row],[Dimension L1]]*Table1[[#This Row],[Dimension W1]])))/1000000</f>
        <v>1.3</v>
      </c>
      <c r="AL297" s="121"/>
    </row>
    <row r="298" spans="2:38" ht="25.35" customHeight="1">
      <c r="B298" s="119" t="s">
        <v>30</v>
      </c>
      <c r="C298" s="7" t="str">
        <f t="shared" si="25"/>
        <v>HD_10_1900_1250</v>
      </c>
      <c r="D298" s="7" t="str">
        <f>_xlfn.CONCAT(Table1[[#This Row],[ProductRecord.AccountReference]]," @ ",ROUND(Table1[[#This Row],[KG/M2]],2),$H$2)</f>
        <v>HD_10_1900_1250 @ 78.5Kg/m2</v>
      </c>
      <c r="E298" s="27">
        <v>1900</v>
      </c>
      <c r="F298" s="27">
        <v>1250</v>
      </c>
      <c r="G298" s="32">
        <v>10</v>
      </c>
      <c r="H298" s="109">
        <f>G298*[1]Density!$D$6/1000</f>
        <v>78.5</v>
      </c>
      <c r="I298" s="161">
        <f t="shared" si="28"/>
        <v>186.4375</v>
      </c>
      <c r="J298" s="209">
        <v>1650</v>
      </c>
      <c r="K298" s="165">
        <v>270</v>
      </c>
      <c r="L298" s="165">
        <v>1</v>
      </c>
      <c r="M298" s="196" t="s">
        <v>308</v>
      </c>
      <c r="N298" s="164">
        <v>1250</v>
      </c>
      <c r="O298" s="202">
        <v>530</v>
      </c>
      <c r="P298" s="202">
        <v>2</v>
      </c>
      <c r="Q298" s="203" t="s">
        <v>308</v>
      </c>
      <c r="R298" s="201">
        <v>1860</v>
      </c>
      <c r="S298" s="202">
        <v>290</v>
      </c>
      <c r="T298" s="202">
        <v>1</v>
      </c>
      <c r="U298" s="203" t="s">
        <v>308</v>
      </c>
      <c r="Z298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181.32714999999999</v>
      </c>
      <c r="AA298" s="17">
        <f t="shared" si="24"/>
        <v>219.40585149999998</v>
      </c>
      <c r="AB298" s="17"/>
      <c r="AC298" s="10" cm="1">
        <f t="array" ref="AC298">_xlfn.IFS(Table1[[#This Row],[Thickness]]=G$284,AC$284,Table1[[#This Row],[Thickness]]=G$313,AC$313)</f>
        <v>1210</v>
      </c>
      <c r="AD298" s="10">
        <f>Table1[[#This Row],[£/Tonne]]/1000*Table1[[#This Row],[KG/M2]]</f>
        <v>94.984999999999999</v>
      </c>
      <c r="AE298" s="10">
        <f>Table1[[#This Row],[£/Tonne]]/1000*Table1[[#This Row],[Kg/ Sheet]]</f>
        <v>225.58937499999999</v>
      </c>
      <c r="AF298" s="10"/>
      <c r="AG298" s="111">
        <f>Table1[[#This Row],[£Cost / SHEET]]*(1+AG$1)</f>
        <v>293.2661875</v>
      </c>
      <c r="AH298" s="111">
        <f>Table1[[#This Row],[£Cost / SHEET]]*(1+AH$1)</f>
        <v>304.54565624999998</v>
      </c>
      <c r="AI298" s="111">
        <f>Table1[[#This Row],[£Cost / SHEET]]*(1+AI$1)</f>
        <v>315.82512499999996</v>
      </c>
      <c r="AJ298" s="111">
        <f>Table1[[#This Row],[£Cost / SHEET]]*(1+AJ$1)</f>
        <v>338.38406249999997</v>
      </c>
      <c r="AK298" s="222">
        <f>(Table1[[#This Row],[Qty 1]]*IF(Table1[[#This Row],[Dimension L1]]&lt;1,(Table1[[#This Row],[Length]]*Table1[[#This Row],[Width]]),(Table1[[#This Row],[Dimension L1]]*Table1[[#This Row],[Dimension W1]])))/1000000</f>
        <v>0.44550000000000001</v>
      </c>
      <c r="AL298" s="121"/>
    </row>
    <row r="299" spans="2:38" ht="25.35" customHeight="1">
      <c r="B299" s="119" t="s">
        <v>30</v>
      </c>
      <c r="C299" s="7" t="str">
        <f t="shared" ref="C299:C319" si="29">_xlfn.CONCAT(B299,"_",G299,"_",E299,"_",F299,"")</f>
        <v>HD_10__</v>
      </c>
      <c r="D299" s="7" t="str">
        <f>_xlfn.CONCAT(Table1[[#This Row],[ProductRecord.AccountReference]]," @ ",ROUND(Table1[[#This Row],[KG/M2]],2),$H$2)</f>
        <v>HD_10__ @ 78.5Kg/m2</v>
      </c>
      <c r="G299" s="32">
        <v>10</v>
      </c>
      <c r="H299" s="109">
        <f>G299*[1]Density!$D$6/1000</f>
        <v>78.5</v>
      </c>
      <c r="I299" s="161">
        <f t="shared" si="28"/>
        <v>0</v>
      </c>
      <c r="J299" s="164">
        <v>2130</v>
      </c>
      <c r="K299" s="165">
        <v>520</v>
      </c>
      <c r="L299" s="165">
        <v>1</v>
      </c>
      <c r="M299" s="110" t="s">
        <v>308</v>
      </c>
      <c r="N299" s="164">
        <v>1230</v>
      </c>
      <c r="O299" s="202">
        <v>290</v>
      </c>
      <c r="P299" s="202">
        <v>1</v>
      </c>
      <c r="Q299" s="203" t="s">
        <v>308</v>
      </c>
      <c r="R299" s="201">
        <v>1230</v>
      </c>
      <c r="S299" s="202">
        <v>360</v>
      </c>
      <c r="T299" s="202">
        <v>1</v>
      </c>
      <c r="U299" s="203" t="s">
        <v>308</v>
      </c>
      <c r="Z299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149.70734999999999</v>
      </c>
      <c r="AA299" s="17">
        <f t="shared" si="24"/>
        <v>181.1458935</v>
      </c>
      <c r="AB299" s="17"/>
      <c r="AC299" s="10" cm="1">
        <f t="array" ref="AC299">_xlfn.IFS(Table1[[#This Row],[Thickness]]=G$284,AC$284,Table1[[#This Row],[Thickness]]=G$313,AC$313)</f>
        <v>1210</v>
      </c>
      <c r="AD299" s="10">
        <f>Table1[[#This Row],[£/Tonne]]/1000*Table1[[#This Row],[KG/M2]]</f>
        <v>94.984999999999999</v>
      </c>
      <c r="AE299" s="10">
        <f>Table1[[#This Row],[£/Tonne]]/1000*Table1[[#This Row],[Kg/ Sheet]]</f>
        <v>0</v>
      </c>
      <c r="AF299" s="10"/>
      <c r="AG299" s="111">
        <f>Table1[[#This Row],[£Cost / SHEET]]*(1+AG$1)</f>
        <v>0</v>
      </c>
      <c r="AH299" s="111">
        <f>Table1[[#This Row],[£Cost / SHEET]]*(1+AH$1)</f>
        <v>0</v>
      </c>
      <c r="AI299" s="111">
        <f>Table1[[#This Row],[£Cost / SHEET]]*(1+AI$1)</f>
        <v>0</v>
      </c>
      <c r="AJ299" s="111">
        <f>Table1[[#This Row],[£Cost / SHEET]]*(1+AJ$1)</f>
        <v>0</v>
      </c>
      <c r="AK299" s="222">
        <f>(Table1[[#This Row],[Qty 1]]*IF(Table1[[#This Row],[Dimension L1]]&lt;1,(Table1[[#This Row],[Length]]*Table1[[#This Row],[Width]]),(Table1[[#This Row],[Dimension L1]]*Table1[[#This Row],[Dimension W1]])))/1000000</f>
        <v>1.1075999999999999</v>
      </c>
      <c r="AL299" s="121"/>
    </row>
    <row r="300" spans="2:38" ht="25.35" customHeight="1">
      <c r="B300" s="119" t="s">
        <v>30</v>
      </c>
      <c r="C300" s="7" t="str">
        <f t="shared" si="29"/>
        <v>HD_10__</v>
      </c>
      <c r="D300" s="7" t="str">
        <f>_xlfn.CONCAT(Table1[[#This Row],[ProductRecord.AccountReference]]," @ ",ROUND(Table1[[#This Row],[KG/M2]],2),$H$2)</f>
        <v>HD_10__ @ 78.5Kg/m2</v>
      </c>
      <c r="G300" s="32">
        <v>10</v>
      </c>
      <c r="H300" s="109">
        <f>G300*[1]Density!$D$6/1000</f>
        <v>78.5</v>
      </c>
      <c r="I300" s="161">
        <f t="shared" si="28"/>
        <v>0</v>
      </c>
      <c r="J300" s="164">
        <v>1185</v>
      </c>
      <c r="K300" s="165">
        <v>840</v>
      </c>
      <c r="L300" s="165">
        <v>1</v>
      </c>
      <c r="M300" s="110" t="s">
        <v>308</v>
      </c>
      <c r="N300" s="164">
        <v>1670</v>
      </c>
      <c r="O300" s="202">
        <v>350</v>
      </c>
      <c r="P300" s="202">
        <v>1</v>
      </c>
      <c r="Q300" s="203" t="s">
        <v>318</v>
      </c>
      <c r="R300" s="201">
        <v>2350</v>
      </c>
      <c r="S300" s="202">
        <v>290</v>
      </c>
      <c r="T300" s="202">
        <v>1</v>
      </c>
      <c r="U300" s="203" t="s">
        <v>308</v>
      </c>
      <c r="Z300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177.51990000000001</v>
      </c>
      <c r="AA300" s="17">
        <f t="shared" si="24"/>
        <v>214.79907900000001</v>
      </c>
      <c r="AB300" s="17"/>
      <c r="AC300" s="10" cm="1">
        <f t="array" ref="AC300">_xlfn.IFS(Table1[[#This Row],[Thickness]]=G$284,AC$284,Table1[[#This Row],[Thickness]]=G$313,AC$313)</f>
        <v>1210</v>
      </c>
      <c r="AD300" s="10">
        <f>Table1[[#This Row],[£/Tonne]]/1000*Table1[[#This Row],[KG/M2]]</f>
        <v>94.984999999999999</v>
      </c>
      <c r="AE300" s="10">
        <f>Table1[[#This Row],[£/Tonne]]/1000*Table1[[#This Row],[Kg/ Sheet]]</f>
        <v>0</v>
      </c>
      <c r="AF300" s="10"/>
      <c r="AG300" s="111">
        <f>Table1[[#This Row],[£Cost / SHEET]]*(1+AG$1)</f>
        <v>0</v>
      </c>
      <c r="AH300" s="111">
        <f>Table1[[#This Row],[£Cost / SHEET]]*(1+AH$1)</f>
        <v>0</v>
      </c>
      <c r="AI300" s="111">
        <f>Table1[[#This Row],[£Cost / SHEET]]*(1+AI$1)</f>
        <v>0</v>
      </c>
      <c r="AJ300" s="111">
        <f>Table1[[#This Row],[£Cost / SHEET]]*(1+AJ$1)</f>
        <v>0</v>
      </c>
      <c r="AK300" s="222">
        <f>(Table1[[#This Row],[Qty 1]]*IF(Table1[[#This Row],[Dimension L1]]&lt;1,(Table1[[#This Row],[Length]]*Table1[[#This Row],[Width]]),(Table1[[#This Row],[Dimension L1]]*Table1[[#This Row],[Dimension W1]])))/1000000</f>
        <v>0.99539999999999995</v>
      </c>
      <c r="AL300" s="121"/>
    </row>
    <row r="301" spans="2:38" ht="25.35" customHeight="1">
      <c r="B301" s="119" t="s">
        <v>30</v>
      </c>
      <c r="C301" s="7" t="str">
        <f t="shared" si="29"/>
        <v>HD_10__</v>
      </c>
      <c r="D301" s="7" t="str">
        <f>_xlfn.CONCAT(Table1[[#This Row],[ProductRecord.AccountReference]]," @ ",ROUND(Table1[[#This Row],[KG/M2]],2),$H$2)</f>
        <v>HD_10__ @ 78.5Kg/m2</v>
      </c>
      <c r="G301" s="32">
        <v>10</v>
      </c>
      <c r="H301" s="109">
        <f>G301*[1]Density!$D$6/1000</f>
        <v>78.5</v>
      </c>
      <c r="I301" s="161">
        <f t="shared" si="28"/>
        <v>0</v>
      </c>
      <c r="J301" s="164">
        <v>2500</v>
      </c>
      <c r="K301" s="165">
        <v>350</v>
      </c>
      <c r="L301" s="165">
        <v>1</v>
      </c>
      <c r="M301" s="110" t="s">
        <v>308</v>
      </c>
      <c r="N301" s="164">
        <v>1920</v>
      </c>
      <c r="O301" s="202">
        <v>1270</v>
      </c>
      <c r="P301" s="202">
        <v>1</v>
      </c>
      <c r="Q301" s="203" t="s">
        <v>308</v>
      </c>
      <c r="R301" s="201">
        <v>1220</v>
      </c>
      <c r="S301" s="202">
        <v>670</v>
      </c>
      <c r="T301" s="202">
        <v>1</v>
      </c>
      <c r="U301" s="203" t="s">
        <v>308</v>
      </c>
      <c r="Z301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324.26779999999997</v>
      </c>
      <c r="AA301" s="17">
        <f t="shared" si="24"/>
        <v>392.36403799999994</v>
      </c>
      <c r="AB301" s="17"/>
      <c r="AC301" s="10" cm="1">
        <f t="array" ref="AC301">_xlfn.IFS(Table1[[#This Row],[Thickness]]=G$284,AC$284,Table1[[#This Row],[Thickness]]=G$313,AC$313)</f>
        <v>1210</v>
      </c>
      <c r="AD301" s="10">
        <f>Table1[[#This Row],[£/Tonne]]/1000*Table1[[#This Row],[KG/M2]]</f>
        <v>94.984999999999999</v>
      </c>
      <c r="AE301" s="10">
        <f>Table1[[#This Row],[£/Tonne]]/1000*Table1[[#This Row],[Kg/ Sheet]]</f>
        <v>0</v>
      </c>
      <c r="AF301" s="10"/>
      <c r="AG301" s="111">
        <f>Table1[[#This Row],[£Cost / SHEET]]*(1+AG$1)</f>
        <v>0</v>
      </c>
      <c r="AH301" s="111">
        <f>Table1[[#This Row],[£Cost / SHEET]]*(1+AH$1)</f>
        <v>0</v>
      </c>
      <c r="AI301" s="111">
        <f>Table1[[#This Row],[£Cost / SHEET]]*(1+AI$1)</f>
        <v>0</v>
      </c>
      <c r="AJ301" s="111">
        <f>Table1[[#This Row],[£Cost / SHEET]]*(1+AJ$1)</f>
        <v>0</v>
      </c>
      <c r="AK301" s="222">
        <f>(Table1[[#This Row],[Qty 1]]*IF(Table1[[#This Row],[Dimension L1]]&lt;1,(Table1[[#This Row],[Length]]*Table1[[#This Row],[Width]]),(Table1[[#This Row],[Dimension L1]]*Table1[[#This Row],[Dimension W1]])))/1000000</f>
        <v>0.875</v>
      </c>
      <c r="AL301" s="121"/>
    </row>
    <row r="302" spans="2:38" ht="25.35" customHeight="1">
      <c r="B302" s="119" t="s">
        <v>30</v>
      </c>
      <c r="C302" s="7" t="str">
        <f t="shared" si="29"/>
        <v>HD_10__</v>
      </c>
      <c r="D302" s="7" t="str">
        <f>_xlfn.CONCAT(Table1[[#This Row],[ProductRecord.AccountReference]]," @ ",ROUND(Table1[[#This Row],[KG/M2]],2),$H$2)</f>
        <v>HD_10__ @ 78.5Kg/m2</v>
      </c>
      <c r="G302" s="32">
        <v>10</v>
      </c>
      <c r="H302" s="109">
        <f>G302*[1]Density!$D$6/1000</f>
        <v>78.5</v>
      </c>
      <c r="I302" s="161">
        <f t="shared" si="28"/>
        <v>0</v>
      </c>
      <c r="J302" s="164">
        <v>1220</v>
      </c>
      <c r="K302" s="165">
        <v>670</v>
      </c>
      <c r="L302" s="165">
        <v>1</v>
      </c>
      <c r="M302" s="110" t="s">
        <v>308</v>
      </c>
      <c r="N302" s="164">
        <v>1250</v>
      </c>
      <c r="O302" s="202">
        <v>880</v>
      </c>
      <c r="P302" s="202">
        <v>1</v>
      </c>
      <c r="Q302" s="203" t="s">
        <v>308</v>
      </c>
      <c r="R302" s="201">
        <v>2170</v>
      </c>
      <c r="S302" s="202">
        <v>1260</v>
      </c>
      <c r="T302" s="202">
        <v>1</v>
      </c>
      <c r="U302" s="203" t="s">
        <v>308</v>
      </c>
      <c r="Z302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365.1506</v>
      </c>
      <c r="AA302" s="17">
        <f t="shared" si="24"/>
        <v>441.83222599999999</v>
      </c>
      <c r="AB302" s="17"/>
      <c r="AC302" s="10" cm="1">
        <f t="array" ref="AC302">_xlfn.IFS(Table1[[#This Row],[Thickness]]=G$284,AC$284,Table1[[#This Row],[Thickness]]=G$313,AC$313)</f>
        <v>1210</v>
      </c>
      <c r="AD302" s="10">
        <f>Table1[[#This Row],[£/Tonne]]/1000*Table1[[#This Row],[KG/M2]]</f>
        <v>94.984999999999999</v>
      </c>
      <c r="AE302" s="10">
        <f>Table1[[#This Row],[£/Tonne]]/1000*Table1[[#This Row],[Kg/ Sheet]]</f>
        <v>0</v>
      </c>
      <c r="AF302" s="10"/>
      <c r="AG302" s="111">
        <f>Table1[[#This Row],[£Cost / SHEET]]*(1+AG$1)</f>
        <v>0</v>
      </c>
      <c r="AH302" s="111">
        <f>Table1[[#This Row],[£Cost / SHEET]]*(1+AH$1)</f>
        <v>0</v>
      </c>
      <c r="AI302" s="111">
        <f>Table1[[#This Row],[£Cost / SHEET]]*(1+AI$1)</f>
        <v>0</v>
      </c>
      <c r="AJ302" s="111">
        <f>Table1[[#This Row],[£Cost / SHEET]]*(1+AJ$1)</f>
        <v>0</v>
      </c>
      <c r="AK302" s="222">
        <f>(Table1[[#This Row],[Qty 1]]*IF(Table1[[#This Row],[Dimension L1]]&lt;1,(Table1[[#This Row],[Length]]*Table1[[#This Row],[Width]]),(Table1[[#This Row],[Dimension L1]]*Table1[[#This Row],[Dimension W1]])))/1000000</f>
        <v>0.81740000000000002</v>
      </c>
      <c r="AL302" s="121"/>
    </row>
    <row r="303" spans="2:38" ht="25.35" customHeight="1">
      <c r="B303" s="119" t="s">
        <v>30</v>
      </c>
      <c r="C303" s="7" t="str">
        <f t="shared" si="29"/>
        <v>HD_10__</v>
      </c>
      <c r="D303" s="7" t="str">
        <f>_xlfn.CONCAT(Table1[[#This Row],[ProductRecord.AccountReference]]," @ ",ROUND(Table1[[#This Row],[KG/M2]],2),$H$2)</f>
        <v>HD_10__ @ 78.5Kg/m2</v>
      </c>
      <c r="G303" s="32">
        <v>10</v>
      </c>
      <c r="H303" s="109">
        <f>G303*[1]Density!$D$6/1000</f>
        <v>78.5</v>
      </c>
      <c r="I303" s="161">
        <f t="shared" si="28"/>
        <v>0</v>
      </c>
      <c r="J303" s="164">
        <v>1240</v>
      </c>
      <c r="K303" s="165">
        <v>920</v>
      </c>
      <c r="L303" s="165">
        <v>1</v>
      </c>
      <c r="M303" s="110" t="s">
        <v>308</v>
      </c>
      <c r="N303" s="164">
        <v>1310</v>
      </c>
      <c r="O303" s="202">
        <v>1240</v>
      </c>
      <c r="P303" s="202">
        <v>1</v>
      </c>
      <c r="Q303" s="203" t="s">
        <v>308</v>
      </c>
      <c r="R303" s="201">
        <v>1340</v>
      </c>
      <c r="S303" s="202">
        <v>1240</v>
      </c>
      <c r="T303" s="202">
        <v>1</v>
      </c>
      <c r="U303" s="203" t="s">
        <v>308</v>
      </c>
      <c r="Z303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347.50380000000001</v>
      </c>
      <c r="AA303" s="17">
        <f t="shared" si="24"/>
        <v>420.47959800000001</v>
      </c>
      <c r="AB303" s="17"/>
      <c r="AC303" s="10" cm="1">
        <f t="array" ref="AC303">_xlfn.IFS(Table1[[#This Row],[Thickness]]=G$284,AC$284,Table1[[#This Row],[Thickness]]=G$313,AC$313)</f>
        <v>1210</v>
      </c>
      <c r="AD303" s="10">
        <f>Table1[[#This Row],[£/Tonne]]/1000*Table1[[#This Row],[KG/M2]]</f>
        <v>94.984999999999999</v>
      </c>
      <c r="AE303" s="10">
        <f>Table1[[#This Row],[£/Tonne]]/1000*Table1[[#This Row],[Kg/ Sheet]]</f>
        <v>0</v>
      </c>
      <c r="AF303" s="10"/>
      <c r="AG303" s="111">
        <f>Table1[[#This Row],[£Cost / SHEET]]*(1+AG$1)</f>
        <v>0</v>
      </c>
      <c r="AH303" s="111">
        <f>Table1[[#This Row],[£Cost / SHEET]]*(1+AH$1)</f>
        <v>0</v>
      </c>
      <c r="AI303" s="111">
        <f>Table1[[#This Row],[£Cost / SHEET]]*(1+AI$1)</f>
        <v>0</v>
      </c>
      <c r="AJ303" s="111">
        <f>Table1[[#This Row],[£Cost / SHEET]]*(1+AJ$1)</f>
        <v>0</v>
      </c>
      <c r="AK303" s="222">
        <f>(Table1[[#This Row],[Qty 1]]*IF(Table1[[#This Row],[Dimension L1]]&lt;1,(Table1[[#This Row],[Length]]*Table1[[#This Row],[Width]]),(Table1[[#This Row],[Dimension L1]]*Table1[[#This Row],[Dimension W1]])))/1000000</f>
        <v>1.1408</v>
      </c>
      <c r="AL303" s="121"/>
    </row>
    <row r="304" spans="2:38" ht="25.35" customHeight="1">
      <c r="B304" s="119" t="s">
        <v>30</v>
      </c>
      <c r="C304" s="7" t="str">
        <f t="shared" si="29"/>
        <v>HD_10__</v>
      </c>
      <c r="D304" s="7" t="str">
        <f>_xlfn.CONCAT(Table1[[#This Row],[ProductRecord.AccountReference]]," @ ",ROUND(Table1[[#This Row],[KG/M2]],2),$H$2)</f>
        <v>HD_10__ @ 78.5Kg/m2</v>
      </c>
      <c r="G304" s="32">
        <v>10</v>
      </c>
      <c r="H304" s="109">
        <f>G304*[1]Density!$D$6/1000</f>
        <v>78.5</v>
      </c>
      <c r="I304" s="161">
        <f t="shared" si="28"/>
        <v>0</v>
      </c>
      <c r="J304" s="164">
        <v>2500</v>
      </c>
      <c r="K304" s="165">
        <v>910</v>
      </c>
      <c r="L304" s="165">
        <v>1</v>
      </c>
      <c r="M304" s="110" t="s">
        <v>308</v>
      </c>
      <c r="N304" s="164">
        <v>1260</v>
      </c>
      <c r="O304" s="202">
        <v>320</v>
      </c>
      <c r="P304" s="202">
        <v>1</v>
      </c>
      <c r="Q304" s="203" t="s">
        <v>308</v>
      </c>
      <c r="R304" s="201">
        <v>1270</v>
      </c>
      <c r="S304" s="202">
        <v>1230</v>
      </c>
      <c r="T304" s="202">
        <v>1</v>
      </c>
      <c r="U304" s="203" t="s">
        <v>308</v>
      </c>
      <c r="Z304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332.86354999999998</v>
      </c>
      <c r="AA304" s="17">
        <f t="shared" si="24"/>
        <v>402.76489549999997</v>
      </c>
      <c r="AB304" s="17"/>
      <c r="AC304" s="10" cm="1">
        <f t="array" ref="AC304">_xlfn.IFS(Table1[[#This Row],[Thickness]]=G$284,AC$284,Table1[[#This Row],[Thickness]]=G$313,AC$313)</f>
        <v>1210</v>
      </c>
      <c r="AD304" s="10">
        <f>Table1[[#This Row],[£/Tonne]]/1000*Table1[[#This Row],[KG/M2]]</f>
        <v>94.984999999999999</v>
      </c>
      <c r="AE304" s="10">
        <f>Table1[[#This Row],[£/Tonne]]/1000*Table1[[#This Row],[Kg/ Sheet]]</f>
        <v>0</v>
      </c>
      <c r="AF304" s="10"/>
      <c r="AG304" s="111">
        <f>Table1[[#This Row],[£Cost / SHEET]]*(1+AG$1)</f>
        <v>0</v>
      </c>
      <c r="AH304" s="111">
        <f>Table1[[#This Row],[£Cost / SHEET]]*(1+AH$1)</f>
        <v>0</v>
      </c>
      <c r="AI304" s="111">
        <f>Table1[[#This Row],[£Cost / SHEET]]*(1+AI$1)</f>
        <v>0</v>
      </c>
      <c r="AJ304" s="111">
        <f>Table1[[#This Row],[£Cost / SHEET]]*(1+AJ$1)</f>
        <v>0</v>
      </c>
      <c r="AK304" s="222">
        <f>(Table1[[#This Row],[Qty 1]]*IF(Table1[[#This Row],[Dimension L1]]&lt;1,(Table1[[#This Row],[Length]]*Table1[[#This Row],[Width]]),(Table1[[#This Row],[Dimension L1]]*Table1[[#This Row],[Dimension W1]])))/1000000</f>
        <v>2.2749999999999999</v>
      </c>
      <c r="AL304" s="121"/>
    </row>
    <row r="305" spans="2:38" ht="25.35" customHeight="1">
      <c r="B305" s="119" t="s">
        <v>30</v>
      </c>
      <c r="C305" s="7" t="str">
        <f t="shared" si="29"/>
        <v>HD_10__</v>
      </c>
      <c r="D305" s="7" t="str">
        <f>_xlfn.CONCAT(Table1[[#This Row],[ProductRecord.AccountReference]]," @ ",ROUND(Table1[[#This Row],[KG/M2]],2),$H$2)</f>
        <v>HD_10__ @ 78.5Kg/m2</v>
      </c>
      <c r="G305" s="32">
        <v>10</v>
      </c>
      <c r="H305" s="109">
        <f>G305*[1]Density!$D$6/1000</f>
        <v>78.5</v>
      </c>
      <c r="I305" s="161">
        <f t="shared" si="28"/>
        <v>0</v>
      </c>
      <c r="J305" s="164">
        <v>1270</v>
      </c>
      <c r="K305" s="165">
        <v>1260</v>
      </c>
      <c r="L305" s="165">
        <v>1</v>
      </c>
      <c r="M305" s="110" t="s">
        <v>308</v>
      </c>
      <c r="N305" s="164">
        <v>1770</v>
      </c>
      <c r="O305" s="202">
        <v>1440</v>
      </c>
      <c r="P305" s="202">
        <v>1</v>
      </c>
      <c r="Q305" s="203" t="s">
        <v>308</v>
      </c>
      <c r="R305" s="201">
        <v>1100</v>
      </c>
      <c r="S305" s="202">
        <v>740</v>
      </c>
      <c r="T305" s="202">
        <v>1</v>
      </c>
      <c r="U305" s="203" t="s">
        <v>308</v>
      </c>
      <c r="Z305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389.59550000000002</v>
      </c>
      <c r="AA305" s="17">
        <f t="shared" si="24"/>
        <v>471.41055500000004</v>
      </c>
      <c r="AB305" s="17"/>
      <c r="AC305" s="10" cm="1">
        <f t="array" ref="AC305">_xlfn.IFS(Table1[[#This Row],[Thickness]]=G$284,AC$284,Table1[[#This Row],[Thickness]]=G$313,AC$313)</f>
        <v>1210</v>
      </c>
      <c r="AD305" s="10">
        <f>Table1[[#This Row],[£/Tonne]]/1000*Table1[[#This Row],[KG/M2]]</f>
        <v>94.984999999999999</v>
      </c>
      <c r="AE305" s="10">
        <f>Table1[[#This Row],[£/Tonne]]/1000*Table1[[#This Row],[Kg/ Sheet]]</f>
        <v>0</v>
      </c>
      <c r="AF305" s="10"/>
      <c r="AG305" s="111">
        <f>Table1[[#This Row],[£Cost / SHEET]]*(1+AG$1)</f>
        <v>0</v>
      </c>
      <c r="AH305" s="111">
        <f>Table1[[#This Row],[£Cost / SHEET]]*(1+AH$1)</f>
        <v>0</v>
      </c>
      <c r="AI305" s="111">
        <f>Table1[[#This Row],[£Cost / SHEET]]*(1+AI$1)</f>
        <v>0</v>
      </c>
      <c r="AJ305" s="111">
        <f>Table1[[#This Row],[£Cost / SHEET]]*(1+AJ$1)</f>
        <v>0</v>
      </c>
      <c r="AK305" s="222">
        <f>(Table1[[#This Row],[Qty 1]]*IF(Table1[[#This Row],[Dimension L1]]&lt;1,(Table1[[#This Row],[Length]]*Table1[[#This Row],[Width]]),(Table1[[#This Row],[Dimension L1]]*Table1[[#This Row],[Dimension W1]])))/1000000</f>
        <v>1.6002000000000001</v>
      </c>
      <c r="AL305" s="121"/>
    </row>
    <row r="306" spans="2:38" ht="25.35" customHeight="1">
      <c r="B306" s="119" t="s">
        <v>30</v>
      </c>
      <c r="C306" s="7" t="str">
        <f t="shared" si="29"/>
        <v>HD_10__</v>
      </c>
      <c r="D306" s="7" t="str">
        <f>_xlfn.CONCAT(Table1[[#This Row],[ProductRecord.AccountReference]]," @ ",ROUND(Table1[[#This Row],[KG/M2]],2),$H$2)</f>
        <v>HD_10__ @ 78.5Kg/m2</v>
      </c>
      <c r="G306" s="32">
        <v>10</v>
      </c>
      <c r="H306" s="109">
        <f>G306*[1]Density!$D$6/1000</f>
        <v>78.5</v>
      </c>
      <c r="I306" s="161">
        <f t="shared" si="28"/>
        <v>0</v>
      </c>
      <c r="J306" s="164">
        <v>1970</v>
      </c>
      <c r="K306" s="165">
        <v>1170</v>
      </c>
      <c r="L306" s="165">
        <v>1</v>
      </c>
      <c r="M306" s="110" t="s">
        <v>308</v>
      </c>
      <c r="N306" s="164">
        <v>1300</v>
      </c>
      <c r="O306" s="202">
        <v>710</v>
      </c>
      <c r="P306" s="202">
        <v>1</v>
      </c>
      <c r="Q306" s="203" t="s">
        <v>308</v>
      </c>
      <c r="R306" s="201">
        <v>2580</v>
      </c>
      <c r="S306" s="202">
        <v>1200</v>
      </c>
      <c r="T306" s="202">
        <v>1</v>
      </c>
      <c r="U306" s="203" t="s">
        <v>308</v>
      </c>
      <c r="Z306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496.42615000000001</v>
      </c>
      <c r="AA306" s="17">
        <f t="shared" si="24"/>
        <v>600.67564149999998</v>
      </c>
      <c r="AB306" s="17"/>
      <c r="AC306" s="10" cm="1">
        <f t="array" ref="AC306">_xlfn.IFS(Table1[[#This Row],[Thickness]]=G$284,AC$284,Table1[[#This Row],[Thickness]]=G$313,AC$313)</f>
        <v>1210</v>
      </c>
      <c r="AD306" s="10">
        <f>Table1[[#This Row],[£/Tonne]]/1000*Table1[[#This Row],[KG/M2]]</f>
        <v>94.984999999999999</v>
      </c>
      <c r="AE306" s="10">
        <f>Table1[[#This Row],[£/Tonne]]/1000*Table1[[#This Row],[Kg/ Sheet]]</f>
        <v>0</v>
      </c>
      <c r="AF306" s="10"/>
      <c r="AG306" s="111">
        <f>Table1[[#This Row],[£Cost / SHEET]]*(1+AG$1)</f>
        <v>0</v>
      </c>
      <c r="AH306" s="111">
        <f>Table1[[#This Row],[£Cost / SHEET]]*(1+AH$1)</f>
        <v>0</v>
      </c>
      <c r="AI306" s="111">
        <f>Table1[[#This Row],[£Cost / SHEET]]*(1+AI$1)</f>
        <v>0</v>
      </c>
      <c r="AJ306" s="111">
        <f>Table1[[#This Row],[£Cost / SHEET]]*(1+AJ$1)</f>
        <v>0</v>
      </c>
      <c r="AK306" s="222">
        <f>(Table1[[#This Row],[Qty 1]]*IF(Table1[[#This Row],[Dimension L1]]&lt;1,(Table1[[#This Row],[Length]]*Table1[[#This Row],[Width]]),(Table1[[#This Row],[Dimension L1]]*Table1[[#This Row],[Dimension W1]])))/1000000</f>
        <v>2.3048999999999999</v>
      </c>
      <c r="AL306" s="121"/>
    </row>
    <row r="307" spans="2:38" ht="25.35" customHeight="1">
      <c r="B307" s="119" t="s">
        <v>30</v>
      </c>
      <c r="C307" s="7" t="str">
        <f t="shared" si="29"/>
        <v>HD_10__</v>
      </c>
      <c r="D307" s="7" t="str">
        <f>_xlfn.CONCAT(Table1[[#This Row],[ProductRecord.AccountReference]]," @ ",ROUND(Table1[[#This Row],[KG/M2]],2),$H$2)</f>
        <v>HD_10__ @ 78.5Kg/m2</v>
      </c>
      <c r="G307" s="32">
        <v>10</v>
      </c>
      <c r="H307" s="109">
        <f>G307*[1]Density!$D$6/1000</f>
        <v>78.5</v>
      </c>
      <c r="I307" s="161">
        <f t="shared" si="28"/>
        <v>0</v>
      </c>
      <c r="J307" s="164">
        <v>2580</v>
      </c>
      <c r="K307" s="165">
        <v>1200</v>
      </c>
      <c r="L307" s="165">
        <v>1</v>
      </c>
      <c r="M307" s="110" t="s">
        <v>308</v>
      </c>
      <c r="N307" s="164">
        <v>1260</v>
      </c>
      <c r="O307" s="202">
        <v>870</v>
      </c>
      <c r="P307" s="202">
        <v>1</v>
      </c>
      <c r="Q307" s="203" t="s">
        <v>308</v>
      </c>
      <c r="R307" s="201">
        <v>2260</v>
      </c>
      <c r="S307" s="202">
        <v>1090</v>
      </c>
      <c r="T307" s="202">
        <v>1</v>
      </c>
      <c r="U307" s="203" t="s">
        <v>308</v>
      </c>
      <c r="Z307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522.46460000000002</v>
      </c>
      <c r="AA307" s="17">
        <f t="shared" si="24"/>
        <v>632.18216600000005</v>
      </c>
      <c r="AB307" s="17"/>
      <c r="AC307" s="10" cm="1">
        <f t="array" ref="AC307">_xlfn.IFS(Table1[[#This Row],[Thickness]]=G$284,AC$284,Table1[[#This Row],[Thickness]]=G$313,AC$313)</f>
        <v>1210</v>
      </c>
      <c r="AD307" s="10">
        <f>Table1[[#This Row],[£/Tonne]]/1000*Table1[[#This Row],[KG/M2]]</f>
        <v>94.984999999999999</v>
      </c>
      <c r="AE307" s="10">
        <f>Table1[[#This Row],[£/Tonne]]/1000*Table1[[#This Row],[Kg/ Sheet]]</f>
        <v>0</v>
      </c>
      <c r="AF307" s="10"/>
      <c r="AG307" s="111">
        <f>Table1[[#This Row],[£Cost / SHEET]]*(1+AG$1)</f>
        <v>0</v>
      </c>
      <c r="AH307" s="111">
        <f>Table1[[#This Row],[£Cost / SHEET]]*(1+AH$1)</f>
        <v>0</v>
      </c>
      <c r="AI307" s="111">
        <f>Table1[[#This Row],[£Cost / SHEET]]*(1+AI$1)</f>
        <v>0</v>
      </c>
      <c r="AJ307" s="111">
        <f>Table1[[#This Row],[£Cost / SHEET]]*(1+AJ$1)</f>
        <v>0</v>
      </c>
      <c r="AK307" s="222">
        <f>(Table1[[#This Row],[Qty 1]]*IF(Table1[[#This Row],[Dimension L1]]&lt;1,(Table1[[#This Row],[Length]]*Table1[[#This Row],[Width]]),(Table1[[#This Row],[Dimension L1]]*Table1[[#This Row],[Dimension W1]])))/1000000</f>
        <v>3.0960000000000001</v>
      </c>
      <c r="AL307" s="121"/>
    </row>
    <row r="308" spans="2:38" ht="25.35" customHeight="1">
      <c r="B308" s="119" t="s">
        <v>30</v>
      </c>
      <c r="C308" s="7" t="str">
        <f t="shared" si="29"/>
        <v>HD_10__</v>
      </c>
      <c r="D308" s="7" t="str">
        <f>_xlfn.CONCAT(Table1[[#This Row],[ProductRecord.AccountReference]]," @ ",ROUND(Table1[[#This Row],[KG/M2]],2),$H$2)</f>
        <v>HD_10__ @ 78.5Kg/m2</v>
      </c>
      <c r="G308" s="32">
        <v>10</v>
      </c>
      <c r="H308" s="109">
        <f>G308*[1]Density!$D$6/1000</f>
        <v>78.5</v>
      </c>
      <c r="I308" s="161">
        <f t="shared" si="28"/>
        <v>0</v>
      </c>
      <c r="J308" s="164">
        <v>2510</v>
      </c>
      <c r="K308" s="165">
        <v>1150</v>
      </c>
      <c r="L308" s="165">
        <v>1</v>
      </c>
      <c r="M308" s="110" t="s">
        <v>308</v>
      </c>
      <c r="N308" s="164">
        <v>1400</v>
      </c>
      <c r="O308" s="202">
        <v>300</v>
      </c>
      <c r="P308" s="202">
        <v>1</v>
      </c>
      <c r="Q308" s="203" t="s">
        <v>308</v>
      </c>
      <c r="R308" s="201">
        <v>1320</v>
      </c>
      <c r="S308" s="202">
        <v>1290</v>
      </c>
      <c r="T308" s="202">
        <v>1</v>
      </c>
      <c r="U308" s="203" t="s">
        <v>308</v>
      </c>
      <c r="Z308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393.23004999999995</v>
      </c>
      <c r="AA308" s="17">
        <f t="shared" si="24"/>
        <v>475.80836049999994</v>
      </c>
      <c r="AB308" s="17"/>
      <c r="AC308" s="10" cm="1">
        <f t="array" ref="AC308">_xlfn.IFS(Table1[[#This Row],[Thickness]]=G$284,AC$284,Table1[[#This Row],[Thickness]]=G$313,AC$313)</f>
        <v>1210</v>
      </c>
      <c r="AD308" s="10">
        <f>Table1[[#This Row],[£/Tonne]]/1000*Table1[[#This Row],[KG/M2]]</f>
        <v>94.984999999999999</v>
      </c>
      <c r="AE308" s="10">
        <f>Table1[[#This Row],[£/Tonne]]/1000*Table1[[#This Row],[Kg/ Sheet]]</f>
        <v>0</v>
      </c>
      <c r="AF308" s="10"/>
      <c r="AG308" s="111">
        <f>Table1[[#This Row],[£Cost / SHEET]]*(1+AG$1)</f>
        <v>0</v>
      </c>
      <c r="AH308" s="111">
        <f>Table1[[#This Row],[£Cost / SHEET]]*(1+AH$1)</f>
        <v>0</v>
      </c>
      <c r="AI308" s="111">
        <f>Table1[[#This Row],[£Cost / SHEET]]*(1+AI$1)</f>
        <v>0</v>
      </c>
      <c r="AJ308" s="111">
        <f>Table1[[#This Row],[£Cost / SHEET]]*(1+AJ$1)</f>
        <v>0</v>
      </c>
      <c r="AK308" s="222">
        <f>(Table1[[#This Row],[Qty 1]]*IF(Table1[[#This Row],[Dimension L1]]&lt;1,(Table1[[#This Row],[Length]]*Table1[[#This Row],[Width]]),(Table1[[#This Row],[Dimension L1]]*Table1[[#This Row],[Dimension W1]])))/1000000</f>
        <v>2.8864999999999998</v>
      </c>
      <c r="AL308" s="121"/>
    </row>
    <row r="309" spans="2:38" ht="25.35" customHeight="1">
      <c r="B309" s="119" t="s">
        <v>30</v>
      </c>
      <c r="C309" s="7" t="str">
        <f t="shared" si="29"/>
        <v>HD_10__</v>
      </c>
      <c r="D309" s="7" t="str">
        <f>_xlfn.CONCAT(Table1[[#This Row],[ProductRecord.AccountReference]]," @ ",ROUND(Table1[[#This Row],[KG/M2]],2),$H$2)</f>
        <v>HD_10__ @ 78.5Kg/m2</v>
      </c>
      <c r="G309" s="32">
        <v>10</v>
      </c>
      <c r="H309" s="109">
        <f>G309*[1]Density!$D$6/1000</f>
        <v>78.5</v>
      </c>
      <c r="I309" s="161">
        <f t="shared" si="28"/>
        <v>0</v>
      </c>
      <c r="J309" s="164">
        <v>1920</v>
      </c>
      <c r="K309" s="165">
        <v>1200</v>
      </c>
      <c r="L309" s="165">
        <v>1</v>
      </c>
      <c r="M309" s="110" t="s">
        <v>308</v>
      </c>
      <c r="N309" s="164">
        <v>1200</v>
      </c>
      <c r="O309" s="202">
        <v>670</v>
      </c>
      <c r="P309" s="202">
        <v>1</v>
      </c>
      <c r="Q309" s="203" t="s">
        <v>308</v>
      </c>
      <c r="R309" s="201">
        <v>2570</v>
      </c>
      <c r="S309" s="202">
        <v>1240</v>
      </c>
      <c r="T309" s="202">
        <v>1</v>
      </c>
      <c r="U309" s="203" t="s">
        <v>308</v>
      </c>
      <c r="Z309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494.14179999999999</v>
      </c>
      <c r="AA309" s="17">
        <f t="shared" si="24"/>
        <v>597.91157799999996</v>
      </c>
      <c r="AB309" s="17"/>
      <c r="AC309" s="10" cm="1">
        <f t="array" ref="AC309">_xlfn.IFS(Table1[[#This Row],[Thickness]]=G$284,AC$284,Table1[[#This Row],[Thickness]]=G$313,AC$313)</f>
        <v>1210</v>
      </c>
      <c r="AD309" s="10">
        <f>Table1[[#This Row],[£/Tonne]]/1000*Table1[[#This Row],[KG/M2]]</f>
        <v>94.984999999999999</v>
      </c>
      <c r="AE309" s="10">
        <f>Table1[[#This Row],[£/Tonne]]/1000*Table1[[#This Row],[Kg/ Sheet]]</f>
        <v>0</v>
      </c>
      <c r="AF309" s="10"/>
      <c r="AG309" s="111">
        <f>Table1[[#This Row],[£Cost / SHEET]]*(1+AG$1)</f>
        <v>0</v>
      </c>
      <c r="AH309" s="111">
        <f>Table1[[#This Row],[£Cost / SHEET]]*(1+AH$1)</f>
        <v>0</v>
      </c>
      <c r="AI309" s="111">
        <f>Table1[[#This Row],[£Cost / SHEET]]*(1+AI$1)</f>
        <v>0</v>
      </c>
      <c r="AJ309" s="111">
        <f>Table1[[#This Row],[£Cost / SHEET]]*(1+AJ$1)</f>
        <v>0</v>
      </c>
      <c r="AK309" s="222">
        <f>(Table1[[#This Row],[Qty 1]]*IF(Table1[[#This Row],[Dimension L1]]&lt;1,(Table1[[#This Row],[Length]]*Table1[[#This Row],[Width]]),(Table1[[#This Row],[Dimension L1]]*Table1[[#This Row],[Dimension W1]])))/1000000</f>
        <v>2.3039999999999998</v>
      </c>
      <c r="AL309" s="121"/>
    </row>
    <row r="310" spans="2:38" ht="25.35" customHeight="1">
      <c r="B310" s="119" t="s">
        <v>30</v>
      </c>
      <c r="C310" s="7" t="str">
        <f t="shared" si="29"/>
        <v>HD_10__</v>
      </c>
      <c r="D310" s="7" t="str">
        <f>_xlfn.CONCAT(Table1[[#This Row],[ProductRecord.AccountReference]]," @ ",ROUND(Table1[[#This Row],[KG/M2]],2),$H$2)</f>
        <v>HD_10__ @ 78.5Kg/m2</v>
      </c>
      <c r="G310" s="32">
        <v>10</v>
      </c>
      <c r="H310" s="109">
        <f>G310*[1]Density!$D$6/1000</f>
        <v>78.5</v>
      </c>
      <c r="I310" s="161">
        <f t="shared" si="28"/>
        <v>0</v>
      </c>
      <c r="J310" s="164">
        <v>1250</v>
      </c>
      <c r="K310" s="165">
        <v>860</v>
      </c>
      <c r="L310" s="165">
        <v>1</v>
      </c>
      <c r="M310" s="110" t="s">
        <v>308</v>
      </c>
      <c r="N310" s="164">
        <v>2570</v>
      </c>
      <c r="O310" s="202">
        <v>1250</v>
      </c>
      <c r="P310" s="202">
        <v>1</v>
      </c>
      <c r="Q310" s="203" t="s">
        <v>308</v>
      </c>
      <c r="R310" s="201">
        <v>1220</v>
      </c>
      <c r="S310" s="202">
        <v>860</v>
      </c>
      <c r="T310" s="202">
        <v>1</v>
      </c>
      <c r="U310" s="203" t="s">
        <v>308</v>
      </c>
      <c r="Z310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418.93094999999994</v>
      </c>
      <c r="AA310" s="17">
        <f t="shared" si="24"/>
        <v>506.90644949999989</v>
      </c>
      <c r="AB310" s="17"/>
      <c r="AC310" s="10" cm="1">
        <f t="array" ref="AC310">_xlfn.IFS(Table1[[#This Row],[Thickness]]=G$284,AC$284,Table1[[#This Row],[Thickness]]=G$313,AC$313)</f>
        <v>1210</v>
      </c>
      <c r="AD310" s="10">
        <f>Table1[[#This Row],[£/Tonne]]/1000*Table1[[#This Row],[KG/M2]]</f>
        <v>94.984999999999999</v>
      </c>
      <c r="AE310" s="10">
        <f>Table1[[#This Row],[£/Tonne]]/1000*Table1[[#This Row],[Kg/ Sheet]]</f>
        <v>0</v>
      </c>
      <c r="AF310" s="10"/>
      <c r="AG310" s="111">
        <f>Table1[[#This Row],[£Cost / SHEET]]*(1+AG$1)</f>
        <v>0</v>
      </c>
      <c r="AH310" s="111">
        <f>Table1[[#This Row],[£Cost / SHEET]]*(1+AH$1)</f>
        <v>0</v>
      </c>
      <c r="AI310" s="111">
        <f>Table1[[#This Row],[£Cost / SHEET]]*(1+AI$1)</f>
        <v>0</v>
      </c>
      <c r="AJ310" s="111">
        <f>Table1[[#This Row],[£Cost / SHEET]]*(1+AJ$1)</f>
        <v>0</v>
      </c>
      <c r="AK310" s="222">
        <f>(Table1[[#This Row],[Qty 1]]*IF(Table1[[#This Row],[Dimension L1]]&lt;1,(Table1[[#This Row],[Length]]*Table1[[#This Row],[Width]]),(Table1[[#This Row],[Dimension L1]]*Table1[[#This Row],[Dimension W1]])))/1000000</f>
        <v>1.075</v>
      </c>
      <c r="AL310" s="121"/>
    </row>
    <row r="311" spans="2:38" ht="25.35" customHeight="1">
      <c r="B311" s="119" t="s">
        <v>30</v>
      </c>
      <c r="C311" s="7" t="str">
        <f t="shared" si="29"/>
        <v>HD_10__</v>
      </c>
      <c r="D311" s="7" t="str">
        <f>_xlfn.CONCAT(Table1[[#This Row],[ProductRecord.AccountReference]]," @ ",ROUND(Table1[[#This Row],[KG/M2]],2),$H$2)</f>
        <v>HD_10__ @ 78.5Kg/m2</v>
      </c>
      <c r="G311" s="32">
        <v>10</v>
      </c>
      <c r="H311" s="109">
        <f>G311*[1]Density!$D$6/1000</f>
        <v>78.5</v>
      </c>
      <c r="I311" s="161">
        <f t="shared" si="28"/>
        <v>0</v>
      </c>
      <c r="J311" s="164">
        <v>1960</v>
      </c>
      <c r="K311" s="165">
        <v>1250</v>
      </c>
      <c r="L311" s="165">
        <v>1</v>
      </c>
      <c r="M311" s="110" t="s">
        <v>308</v>
      </c>
      <c r="N311" s="164">
        <v>1300</v>
      </c>
      <c r="O311" s="202">
        <v>710</v>
      </c>
      <c r="P311" s="202">
        <v>1</v>
      </c>
      <c r="Q311" s="203" t="s">
        <v>308</v>
      </c>
      <c r="R311" s="201">
        <v>6000</v>
      </c>
      <c r="S311" s="202">
        <v>2500</v>
      </c>
      <c r="T311" s="202">
        <v>2</v>
      </c>
      <c r="U311" s="203" t="s">
        <v>239</v>
      </c>
      <c r="Z311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2619.7804999999998</v>
      </c>
      <c r="AA311" s="17">
        <f t="shared" si="24"/>
        <v>3169.934405</v>
      </c>
      <c r="AB311" s="17"/>
      <c r="AC311" s="10" cm="1">
        <f t="array" ref="AC311">_xlfn.IFS(Table1[[#This Row],[Thickness]]=G$284,AC$284,Table1[[#This Row],[Thickness]]=G$313,AC$313)</f>
        <v>1210</v>
      </c>
      <c r="AD311" s="10">
        <f>Table1[[#This Row],[£/Tonne]]/1000*Table1[[#This Row],[KG/M2]]</f>
        <v>94.984999999999999</v>
      </c>
      <c r="AE311" s="10">
        <f>Table1[[#This Row],[£/Tonne]]/1000*Table1[[#This Row],[Kg/ Sheet]]</f>
        <v>0</v>
      </c>
      <c r="AF311" s="10"/>
      <c r="AG311" s="111">
        <f>Table1[[#This Row],[£Cost / SHEET]]*(1+AG$1)</f>
        <v>0</v>
      </c>
      <c r="AH311" s="111">
        <f>Table1[[#This Row],[£Cost / SHEET]]*(1+AH$1)</f>
        <v>0</v>
      </c>
      <c r="AI311" s="111">
        <f>Table1[[#This Row],[£Cost / SHEET]]*(1+AI$1)</f>
        <v>0</v>
      </c>
      <c r="AJ311" s="111">
        <f>Table1[[#This Row],[£Cost / SHEET]]*(1+AJ$1)</f>
        <v>0</v>
      </c>
      <c r="AK311" s="222">
        <f>(Table1[[#This Row],[Qty 1]]*IF(Table1[[#This Row],[Dimension L1]]&lt;1,(Table1[[#This Row],[Length]]*Table1[[#This Row],[Width]]),(Table1[[#This Row],[Dimension L1]]*Table1[[#This Row],[Dimension W1]])))/1000000</f>
        <v>2.4500000000000002</v>
      </c>
      <c r="AL311" s="121"/>
    </row>
    <row r="312" spans="2:38" ht="25.35" customHeight="1">
      <c r="B312" s="119" t="s">
        <v>30</v>
      </c>
      <c r="C312" s="7" t="str">
        <f t="shared" si="29"/>
        <v>HD_10__</v>
      </c>
      <c r="D312" s="7" t="str">
        <f>_xlfn.CONCAT(Table1[[#This Row],[ProductRecord.AccountReference]]," @ ",ROUND(Table1[[#This Row],[KG/M2]],2),$H$2)</f>
        <v>HD_10__ @ 78.5Kg/m2</v>
      </c>
      <c r="G312" s="32">
        <v>10</v>
      </c>
      <c r="H312" s="109">
        <f>G312*[1]Density!$D$6/1000</f>
        <v>78.5</v>
      </c>
      <c r="I312" s="161">
        <f t="shared" si="28"/>
        <v>0</v>
      </c>
      <c r="J312" s="164">
        <v>2560</v>
      </c>
      <c r="K312" s="165">
        <v>1200</v>
      </c>
      <c r="L312" s="165">
        <v>1</v>
      </c>
      <c r="M312" s="110" t="s">
        <v>239</v>
      </c>
      <c r="N312" s="159"/>
      <c r="O312" s="202"/>
      <c r="P312" s="202"/>
      <c r="Q312" s="203"/>
      <c r="R312" s="201"/>
      <c r="S312" s="202"/>
      <c r="T312" s="202"/>
      <c r="U312" s="203"/>
      <c r="Z312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241.15200000000002</v>
      </c>
      <c r="AA312" s="17">
        <f t="shared" si="24"/>
        <v>291.79392000000001</v>
      </c>
      <c r="AB312" s="17"/>
      <c r="AC312" s="10" cm="1">
        <f t="array" ref="AC312">_xlfn.IFS(Table1[[#This Row],[Thickness]]=G$284,AC$284,Table1[[#This Row],[Thickness]]=G$313,AC$313)</f>
        <v>1210</v>
      </c>
      <c r="AD312" s="10">
        <f>Table1[[#This Row],[£/Tonne]]/1000*Table1[[#This Row],[KG/M2]]</f>
        <v>94.984999999999999</v>
      </c>
      <c r="AE312" s="10">
        <f>Table1[[#This Row],[£/Tonne]]/1000*Table1[[#This Row],[Kg/ Sheet]]</f>
        <v>0</v>
      </c>
      <c r="AF312" s="10"/>
      <c r="AG312" s="111">
        <f>Table1[[#This Row],[£Cost / SHEET]]*(1+AG$1)</f>
        <v>0</v>
      </c>
      <c r="AH312" s="111">
        <f>Table1[[#This Row],[£Cost / SHEET]]*(1+AH$1)</f>
        <v>0</v>
      </c>
      <c r="AI312" s="111">
        <f>Table1[[#This Row],[£Cost / SHEET]]*(1+AI$1)</f>
        <v>0</v>
      </c>
      <c r="AJ312" s="111">
        <f>Table1[[#This Row],[£Cost / SHEET]]*(1+AJ$1)</f>
        <v>0</v>
      </c>
      <c r="AK312" s="222">
        <f>(Table1[[#This Row],[Qty 1]]*IF(Table1[[#This Row],[Dimension L1]]&lt;1,(Table1[[#This Row],[Length]]*Table1[[#This Row],[Width]]),(Table1[[#This Row],[Dimension L1]]*Table1[[#This Row],[Dimension W1]])))/1000000</f>
        <v>3.0720000000000001</v>
      </c>
      <c r="AL312" s="121"/>
    </row>
    <row r="313" spans="2:38" ht="25.35" customHeight="1">
      <c r="B313" s="119" t="s">
        <v>30</v>
      </c>
      <c r="C313" s="7" t="str">
        <f t="shared" si="29"/>
        <v>HD_12__</v>
      </c>
      <c r="D313" s="7" t="str">
        <f>_xlfn.CONCAT(Table1[[#This Row],[ProductRecord.AccountReference]]," @ ",ROUND(Table1[[#This Row],[KG/M2]],2),$H$2)</f>
        <v>HD_12__ @ 94.2Kg/m2</v>
      </c>
      <c r="G313" s="32">
        <v>12</v>
      </c>
      <c r="H313" s="109">
        <f>G313*[1]Density!$D$6/1000</f>
        <v>94.2</v>
      </c>
      <c r="I313" s="161">
        <f t="shared" si="28"/>
        <v>0</v>
      </c>
      <c r="J313" s="164">
        <v>3300</v>
      </c>
      <c r="K313" s="165">
        <v>1140</v>
      </c>
      <c r="L313" s="165">
        <v>1</v>
      </c>
      <c r="M313" s="110" t="s">
        <v>308</v>
      </c>
      <c r="N313" s="164">
        <v>1200</v>
      </c>
      <c r="O313" s="202">
        <v>860</v>
      </c>
      <c r="P313" s="202">
        <v>1</v>
      </c>
      <c r="Q313" s="203" t="s">
        <v>308</v>
      </c>
      <c r="R313" s="201">
        <v>1020</v>
      </c>
      <c r="S313" s="202">
        <v>300</v>
      </c>
      <c r="T313" s="202">
        <v>1</v>
      </c>
      <c r="U313" s="203" t="s">
        <v>308</v>
      </c>
      <c r="Z313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480.42000000000007</v>
      </c>
      <c r="AA313" s="17">
        <f t="shared" si="24"/>
        <v>581.30820000000006</v>
      </c>
      <c r="AB313" s="17"/>
      <c r="AC313" s="10">
        <v>1210</v>
      </c>
      <c r="AD313" s="10">
        <f>Table1[[#This Row],[£/Tonne]]/1000*Table1[[#This Row],[KG/M2]]</f>
        <v>113.982</v>
      </c>
      <c r="AE313" s="10">
        <f>Table1[[#This Row],[£/Tonne]]/1000*Table1[[#This Row],[Kg/ Sheet]]</f>
        <v>0</v>
      </c>
      <c r="AF313" s="10"/>
      <c r="AG313" s="111">
        <f>Table1[[#This Row],[£Cost / SHEET]]*(1+AG$1)</f>
        <v>0</v>
      </c>
      <c r="AH313" s="111">
        <f>Table1[[#This Row],[£Cost / SHEET]]*(1+AH$1)</f>
        <v>0</v>
      </c>
      <c r="AI313" s="111">
        <f>Table1[[#This Row],[£Cost / SHEET]]*(1+AI$1)</f>
        <v>0</v>
      </c>
      <c r="AJ313" s="111">
        <f>Table1[[#This Row],[£Cost / SHEET]]*(1+AJ$1)</f>
        <v>0</v>
      </c>
      <c r="AK313" s="222">
        <f>(Table1[[#This Row],[Qty 1]]*IF(Table1[[#This Row],[Dimension L1]]&lt;1,(Table1[[#This Row],[Length]]*Table1[[#This Row],[Width]]),(Table1[[#This Row],[Dimension L1]]*Table1[[#This Row],[Dimension W1]])))/1000000</f>
        <v>3.762</v>
      </c>
      <c r="AL313" s="121"/>
    </row>
    <row r="314" spans="2:38" ht="25.35" customHeight="1">
      <c r="B314" s="119" t="s">
        <v>30</v>
      </c>
      <c r="C314" s="7" t="str">
        <f t="shared" si="29"/>
        <v>HD_12__</v>
      </c>
      <c r="D314" s="7" t="str">
        <f>_xlfn.CONCAT(Table1[[#This Row],[ProductRecord.AccountReference]]," @ ",ROUND(Table1[[#This Row],[KG/M2]],2),$H$2)</f>
        <v>HD_12__ @ 94.2Kg/m2</v>
      </c>
      <c r="G314" s="32">
        <v>12</v>
      </c>
      <c r="H314" s="109">
        <f>G314*[1]Density!$D$6/1000</f>
        <v>94.2</v>
      </c>
      <c r="I314" s="161">
        <f t="shared" si="28"/>
        <v>0</v>
      </c>
      <c r="J314" s="164">
        <v>760</v>
      </c>
      <c r="K314" s="165">
        <v>460</v>
      </c>
      <c r="L314" s="165">
        <v>1</v>
      </c>
      <c r="M314" s="110" t="s">
        <v>308</v>
      </c>
      <c r="N314" s="164">
        <v>2950</v>
      </c>
      <c r="O314" s="202">
        <v>1000</v>
      </c>
      <c r="P314" s="202">
        <v>1</v>
      </c>
      <c r="Q314" s="203" t="s">
        <v>308</v>
      </c>
      <c r="R314" s="201">
        <v>1500</v>
      </c>
      <c r="S314" s="202">
        <v>270</v>
      </c>
      <c r="T314" s="202">
        <v>1</v>
      </c>
      <c r="U314" s="203" t="s">
        <v>308</v>
      </c>
      <c r="Z314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348.97332</v>
      </c>
      <c r="AA314" s="17">
        <f t="shared" si="24"/>
        <v>422.25771719999995</v>
      </c>
      <c r="AB314" s="17"/>
      <c r="AC314" s="10" cm="1">
        <f t="array" ref="AC314">_xlfn.IFS(Table1[[#This Row],[Thickness]]=G$284,AC$284,Table1[[#This Row],[Thickness]]=G$313,AC$313)</f>
        <v>1210</v>
      </c>
      <c r="AD314" s="10">
        <f>Table1[[#This Row],[£/Tonne]]/1000*Table1[[#This Row],[KG/M2]]</f>
        <v>113.982</v>
      </c>
      <c r="AE314" s="10">
        <f>Table1[[#This Row],[£/Tonne]]/1000*Table1[[#This Row],[Kg/ Sheet]]</f>
        <v>0</v>
      </c>
      <c r="AF314" s="10"/>
      <c r="AG314" s="111">
        <f>Table1[[#This Row],[£Cost / SHEET]]*(1+AG$1)</f>
        <v>0</v>
      </c>
      <c r="AH314" s="111">
        <f>Table1[[#This Row],[£Cost / SHEET]]*(1+AH$1)</f>
        <v>0</v>
      </c>
      <c r="AI314" s="111">
        <f>Table1[[#This Row],[£Cost / SHEET]]*(1+AI$1)</f>
        <v>0</v>
      </c>
      <c r="AJ314" s="111">
        <f>Table1[[#This Row],[£Cost / SHEET]]*(1+AJ$1)</f>
        <v>0</v>
      </c>
      <c r="AK314" s="222">
        <f>(Table1[[#This Row],[Qty 1]]*IF(Table1[[#This Row],[Dimension L1]]&lt;1,(Table1[[#This Row],[Length]]*Table1[[#This Row],[Width]]),(Table1[[#This Row],[Dimension L1]]*Table1[[#This Row],[Dimension W1]])))/1000000</f>
        <v>0.34960000000000002</v>
      </c>
      <c r="AL314" s="121"/>
    </row>
    <row r="315" spans="2:38" ht="25.35" customHeight="1">
      <c r="B315" s="119" t="s">
        <v>30</v>
      </c>
      <c r="C315" s="7" t="str">
        <f t="shared" si="29"/>
        <v>HD_12__</v>
      </c>
      <c r="D315" s="7" t="str">
        <f>_xlfn.CONCAT(Table1[[#This Row],[ProductRecord.AccountReference]]," @ ",ROUND(Table1[[#This Row],[KG/M2]],2),$H$2)</f>
        <v>HD_12__ @ 94.2Kg/m2</v>
      </c>
      <c r="G315" s="32">
        <v>12</v>
      </c>
      <c r="H315" s="109">
        <f>G315*[1]Density!$D$6/1000</f>
        <v>94.2</v>
      </c>
      <c r="I315" s="161">
        <f t="shared" si="28"/>
        <v>0</v>
      </c>
      <c r="J315" s="164">
        <v>1200</v>
      </c>
      <c r="K315" s="165">
        <v>580</v>
      </c>
      <c r="L315" s="165">
        <v>1</v>
      </c>
      <c r="M315" s="110" t="s">
        <v>308</v>
      </c>
      <c r="N315" s="164">
        <v>2320</v>
      </c>
      <c r="O315" s="202">
        <v>430</v>
      </c>
      <c r="P315" s="202">
        <v>1</v>
      </c>
      <c r="Q315" s="203" t="s">
        <v>308</v>
      </c>
      <c r="R315" s="201"/>
      <c r="S315" s="202"/>
      <c r="T315" s="202"/>
      <c r="U315" s="203"/>
      <c r="Z315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159.53712000000002</v>
      </c>
      <c r="AA315" s="17">
        <f t="shared" si="24"/>
        <v>193.0399152</v>
      </c>
      <c r="AB315" s="17"/>
      <c r="AC315" s="10" cm="1">
        <f t="array" ref="AC315">_xlfn.IFS(Table1[[#This Row],[Thickness]]=G$284,AC$284,Table1[[#This Row],[Thickness]]=G$313,AC$313)</f>
        <v>1210</v>
      </c>
      <c r="AD315" s="10">
        <f>Table1[[#This Row],[£/Tonne]]/1000*Table1[[#This Row],[KG/M2]]</f>
        <v>113.982</v>
      </c>
      <c r="AE315" s="10">
        <f>Table1[[#This Row],[£/Tonne]]/1000*Table1[[#This Row],[Kg/ Sheet]]</f>
        <v>0</v>
      </c>
      <c r="AF315" s="10"/>
      <c r="AG315" s="111">
        <f>Table1[[#This Row],[£Cost / SHEET]]*(1+AG$1)</f>
        <v>0</v>
      </c>
      <c r="AH315" s="111">
        <f>Table1[[#This Row],[£Cost / SHEET]]*(1+AH$1)</f>
        <v>0</v>
      </c>
      <c r="AI315" s="111">
        <f>Table1[[#This Row],[£Cost / SHEET]]*(1+AI$1)</f>
        <v>0</v>
      </c>
      <c r="AJ315" s="111">
        <f>Table1[[#This Row],[£Cost / SHEET]]*(1+AJ$1)</f>
        <v>0</v>
      </c>
      <c r="AK315" s="222">
        <f>(Table1[[#This Row],[Qty 1]]*IF(Table1[[#This Row],[Dimension L1]]&lt;1,(Table1[[#This Row],[Length]]*Table1[[#This Row],[Width]]),(Table1[[#This Row],[Dimension L1]]*Table1[[#This Row],[Dimension W1]])))/1000000</f>
        <v>0.69599999999999995</v>
      </c>
      <c r="AL315" s="121"/>
    </row>
    <row r="316" spans="2:38" ht="25.35" customHeight="1">
      <c r="B316" s="119" t="s">
        <v>30</v>
      </c>
      <c r="C316" s="7" t="str">
        <f t="shared" si="29"/>
        <v>HD_15__</v>
      </c>
      <c r="D316" s="7" t="str">
        <f>_xlfn.CONCAT(Table1[[#This Row],[ProductRecord.AccountReference]]," @ ",ROUND(Table1[[#This Row],[KG/M2]],2),$H$2)</f>
        <v>HD_15__ @ 117.75Kg/m2</v>
      </c>
      <c r="G316" s="32">
        <v>15</v>
      </c>
      <c r="H316" s="109">
        <f>G316*[1]Density!$D$6/1000</f>
        <v>117.75</v>
      </c>
      <c r="I316" s="161">
        <f t="shared" si="28"/>
        <v>0</v>
      </c>
      <c r="J316" s="164">
        <v>2600</v>
      </c>
      <c r="K316" s="165">
        <v>850</v>
      </c>
      <c r="L316" s="165">
        <v>1</v>
      </c>
      <c r="M316" s="110" t="s">
        <v>308</v>
      </c>
      <c r="N316" s="164">
        <v>6000</v>
      </c>
      <c r="O316" s="202">
        <v>2500</v>
      </c>
      <c r="P316" s="202">
        <v>1</v>
      </c>
      <c r="Q316" s="203" t="s">
        <v>308</v>
      </c>
      <c r="R316" s="201"/>
      <c r="S316" s="202"/>
      <c r="T316" s="202"/>
      <c r="U316" s="203"/>
      <c r="Z316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2026.4775000000002</v>
      </c>
      <c r="AA316" s="17">
        <f t="shared" si="24"/>
        <v>2452.0377750000002</v>
      </c>
      <c r="AB316" s="17"/>
      <c r="AC316" s="10">
        <v>1210</v>
      </c>
      <c r="AD316" s="10">
        <f>Table1[[#This Row],[£/Tonne]]/1000*Table1[[#This Row],[KG/M2]]</f>
        <v>142.47749999999999</v>
      </c>
      <c r="AE316" s="10">
        <f>Table1[[#This Row],[£/Tonne]]/1000*Table1[[#This Row],[Kg/ Sheet]]</f>
        <v>0</v>
      </c>
      <c r="AF316" s="10"/>
      <c r="AG316" s="111">
        <f>Table1[[#This Row],[£Cost / SHEET]]*(1+AG$1)</f>
        <v>0</v>
      </c>
      <c r="AH316" s="111">
        <f>Table1[[#This Row],[£Cost / SHEET]]*(1+AH$1)</f>
        <v>0</v>
      </c>
      <c r="AI316" s="111">
        <f>Table1[[#This Row],[£Cost / SHEET]]*(1+AI$1)</f>
        <v>0</v>
      </c>
      <c r="AJ316" s="111">
        <f>Table1[[#This Row],[£Cost / SHEET]]*(1+AJ$1)</f>
        <v>0</v>
      </c>
      <c r="AK316" s="222">
        <f>(Table1[[#This Row],[Qty 1]]*IF(Table1[[#This Row],[Dimension L1]]&lt;1,(Table1[[#This Row],[Length]]*Table1[[#This Row],[Width]]),(Table1[[#This Row],[Dimension L1]]*Table1[[#This Row],[Dimension W1]])))/1000000</f>
        <v>2.21</v>
      </c>
      <c r="AL316" s="121"/>
    </row>
    <row r="317" spans="2:38" ht="25.35" customHeight="1">
      <c r="B317" s="119" t="s">
        <v>30</v>
      </c>
      <c r="C317" s="7" t="str">
        <f t="shared" si="29"/>
        <v>HD_20__</v>
      </c>
      <c r="D317" s="7" t="str">
        <f>_xlfn.CONCAT(Table1[[#This Row],[ProductRecord.AccountReference]]," @ ",ROUND(Table1[[#This Row],[KG/M2]],2),$H$2)</f>
        <v>HD_20__ @ 157Kg/m2</v>
      </c>
      <c r="G317" s="32">
        <v>20</v>
      </c>
      <c r="H317" s="109">
        <f>G317*[1]Density!$D$6/1000</f>
        <v>157</v>
      </c>
      <c r="I317" s="161">
        <f t="shared" si="28"/>
        <v>0</v>
      </c>
      <c r="J317" s="164">
        <v>2500</v>
      </c>
      <c r="K317" s="165">
        <v>1050</v>
      </c>
      <c r="L317" s="165">
        <v>1</v>
      </c>
      <c r="M317" s="110" t="s">
        <v>308</v>
      </c>
      <c r="N317" s="164">
        <v>6000</v>
      </c>
      <c r="O317" s="202">
        <v>2500</v>
      </c>
      <c r="P317" s="202">
        <v>1</v>
      </c>
      <c r="Q317" s="203" t="s">
        <v>308</v>
      </c>
      <c r="R317" s="201">
        <v>1300</v>
      </c>
      <c r="S317" s="202">
        <v>210</v>
      </c>
      <c r="T317" s="202">
        <v>1</v>
      </c>
      <c r="U317" s="203" t="s">
        <v>308</v>
      </c>
      <c r="Z317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2809.9859999999999</v>
      </c>
      <c r="AA317" s="17">
        <f t="shared" si="24"/>
        <v>3400.0830599999999</v>
      </c>
      <c r="AB317" s="17"/>
      <c r="AC317" s="10">
        <v>1210</v>
      </c>
      <c r="AD317" s="10">
        <f>Table1[[#This Row],[£/Tonne]]/1000*Table1[[#This Row],[KG/M2]]</f>
        <v>189.97</v>
      </c>
      <c r="AE317" s="10">
        <f>Table1[[#This Row],[£/Tonne]]/1000*Table1[[#This Row],[Kg/ Sheet]]</f>
        <v>0</v>
      </c>
      <c r="AF317" s="10"/>
      <c r="AG317" s="111">
        <f>Table1[[#This Row],[£Cost / SHEET]]*(1+AG$1)</f>
        <v>0</v>
      </c>
      <c r="AH317" s="111">
        <f>Table1[[#This Row],[£Cost / SHEET]]*(1+AH$1)</f>
        <v>0</v>
      </c>
      <c r="AI317" s="111">
        <f>Table1[[#This Row],[£Cost / SHEET]]*(1+AI$1)</f>
        <v>0</v>
      </c>
      <c r="AJ317" s="111">
        <f>Table1[[#This Row],[£Cost / SHEET]]*(1+AJ$1)</f>
        <v>0</v>
      </c>
      <c r="AK317" s="222">
        <f>(Table1[[#This Row],[Qty 1]]*IF(Table1[[#This Row],[Dimension L1]]&lt;1,(Table1[[#This Row],[Length]]*Table1[[#This Row],[Width]]),(Table1[[#This Row],[Dimension L1]]*Table1[[#This Row],[Dimension W1]])))/1000000</f>
        <v>2.625</v>
      </c>
      <c r="AL317" s="121"/>
    </row>
    <row r="318" spans="2:38" ht="25.35" customHeight="1">
      <c r="B318" s="119" t="s">
        <v>30</v>
      </c>
      <c r="C318" s="7" t="str">
        <f t="shared" si="29"/>
        <v>HD_20__</v>
      </c>
      <c r="D318" s="7" t="str">
        <f>_xlfn.CONCAT(Table1[[#This Row],[ProductRecord.AccountReference]]," @ ",ROUND(Table1[[#This Row],[KG/M2]],2),$H$2)</f>
        <v>HD_20__ @ 157Kg/m2</v>
      </c>
      <c r="G318" s="32">
        <v>20</v>
      </c>
      <c r="H318" s="109">
        <f>G318*[1]Density!$D$6/1000</f>
        <v>157</v>
      </c>
      <c r="I318" s="161">
        <f t="shared" si="28"/>
        <v>0</v>
      </c>
      <c r="J318" s="164">
        <v>2100</v>
      </c>
      <c r="K318" s="165">
        <v>370</v>
      </c>
      <c r="L318" s="165">
        <v>1</v>
      </c>
      <c r="M318" s="110" t="s">
        <v>308</v>
      </c>
      <c r="N318" s="164">
        <v>800</v>
      </c>
      <c r="O318" s="202">
        <v>400</v>
      </c>
      <c r="P318" s="202">
        <v>1</v>
      </c>
      <c r="Q318" s="203" t="s">
        <v>308</v>
      </c>
      <c r="R318" s="201">
        <v>920</v>
      </c>
      <c r="S318" s="202">
        <v>230</v>
      </c>
      <c r="T318" s="202">
        <v>1</v>
      </c>
      <c r="U318" s="203" t="s">
        <v>308</v>
      </c>
      <c r="Z318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205.4502</v>
      </c>
      <c r="AA318" s="17">
        <f t="shared" si="24"/>
        <v>248.594742</v>
      </c>
      <c r="AB318" s="17"/>
      <c r="AC318" s="10">
        <f>AC317</f>
        <v>1210</v>
      </c>
      <c r="AD318" s="10">
        <f>Table1[[#This Row],[£/Tonne]]/1000*Table1[[#This Row],[KG/M2]]</f>
        <v>189.97</v>
      </c>
      <c r="AE318" s="10">
        <f>Table1[[#This Row],[£/Tonne]]/1000*Table1[[#This Row],[Kg/ Sheet]]</f>
        <v>0</v>
      </c>
      <c r="AF318" s="10"/>
      <c r="AG318" s="111">
        <f>Table1[[#This Row],[£Cost / SHEET]]*(1+AG$1)</f>
        <v>0</v>
      </c>
      <c r="AH318" s="111">
        <f>Table1[[#This Row],[£Cost / SHEET]]*(1+AH$1)</f>
        <v>0</v>
      </c>
      <c r="AI318" s="111">
        <f>Table1[[#This Row],[£Cost / SHEET]]*(1+AI$1)</f>
        <v>0</v>
      </c>
      <c r="AJ318" s="111">
        <f>Table1[[#This Row],[£Cost / SHEET]]*(1+AJ$1)</f>
        <v>0</v>
      </c>
      <c r="AK318" s="222">
        <f>(Table1[[#This Row],[Qty 1]]*IF(Table1[[#This Row],[Dimension L1]]&lt;1,(Table1[[#This Row],[Length]]*Table1[[#This Row],[Width]]),(Table1[[#This Row],[Dimension L1]]*Table1[[#This Row],[Dimension W1]])))/1000000</f>
        <v>0.77700000000000002</v>
      </c>
      <c r="AL318" s="121"/>
    </row>
    <row r="319" spans="2:38" ht="25.35" customHeight="1">
      <c r="B319" s="119" t="s">
        <v>30</v>
      </c>
      <c r="C319" s="7" t="str">
        <f t="shared" si="29"/>
        <v>HD_25__</v>
      </c>
      <c r="D319" s="7" t="str">
        <f>_xlfn.CONCAT(Table1[[#This Row],[ProductRecord.AccountReference]]," @ ",ROUND(Table1[[#This Row],[KG/M2]],2),$H$2)</f>
        <v>HD_25__ @ 196.25Kg/m2</v>
      </c>
      <c r="G319" s="32">
        <v>25</v>
      </c>
      <c r="H319" s="109">
        <f>G319*[1]Density!$D$6/1000</f>
        <v>196.25</v>
      </c>
      <c r="I319" s="161">
        <f t="shared" si="28"/>
        <v>0</v>
      </c>
      <c r="J319" s="164">
        <v>6000</v>
      </c>
      <c r="K319" s="165">
        <v>2500</v>
      </c>
      <c r="L319" s="165">
        <v>1</v>
      </c>
      <c r="M319" s="110" t="s">
        <v>308</v>
      </c>
      <c r="N319" s="164"/>
      <c r="O319" s="202"/>
      <c r="P319" s="202"/>
      <c r="Q319" s="203"/>
      <c r="R319" s="201"/>
      <c r="S319" s="202"/>
      <c r="T319" s="202"/>
      <c r="U319" s="203"/>
      <c r="Z319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2943.75</v>
      </c>
      <c r="AA319" s="17">
        <f t="shared" si="24"/>
        <v>3561.9375</v>
      </c>
      <c r="AB319" s="17"/>
      <c r="AC319" s="10">
        <v>1210</v>
      </c>
      <c r="AD319" s="10">
        <f>Table1[[#This Row],[£/Tonne]]/1000*Table1[[#This Row],[KG/M2]]</f>
        <v>237.46250000000001</v>
      </c>
      <c r="AE319" s="10">
        <f>Table1[[#This Row],[£/Tonne]]/1000*Table1[[#This Row],[Kg/ Sheet]]</f>
        <v>0</v>
      </c>
      <c r="AF319" s="10"/>
      <c r="AG319" s="111">
        <f>Table1[[#This Row],[£Cost / SHEET]]*(1+AG$1)</f>
        <v>0</v>
      </c>
      <c r="AH319" s="111">
        <f>Table1[[#This Row],[£Cost / SHEET]]*(1+AH$1)</f>
        <v>0</v>
      </c>
      <c r="AI319" s="111">
        <f>Table1[[#This Row],[£Cost / SHEET]]*(1+AI$1)</f>
        <v>0</v>
      </c>
      <c r="AJ319" s="111">
        <f>Table1[[#This Row],[£Cost / SHEET]]*(1+AJ$1)</f>
        <v>0</v>
      </c>
      <c r="AK319" s="222">
        <f>(Table1[[#This Row],[Qty 1]]*IF(Table1[[#This Row],[Dimension L1]]&lt;1,(Table1[[#This Row],[Length]]*Table1[[#This Row],[Width]]),(Table1[[#This Row],[Dimension L1]]*Table1[[#This Row],[Dimension W1]])))/1000000</f>
        <v>15</v>
      </c>
      <c r="AL319" s="121"/>
    </row>
    <row r="320" spans="2:38" ht="25.35" customHeight="1">
      <c r="B320" s="119" t="s">
        <v>30</v>
      </c>
      <c r="C320" s="7" t="str">
        <f>_xlfn.CONCAT(B320,"_",G320,"_",E320,"_",F320,"")</f>
        <v>HD_30__</v>
      </c>
      <c r="D320" s="7" t="str">
        <f>_xlfn.CONCAT(Table1[[#This Row],[ProductRecord.AccountReference]]," @ ",ROUND(Table1[[#This Row],[KG/M2]],2),$H$2)</f>
        <v>HD_30__ @ 235.5Kg/m2</v>
      </c>
      <c r="G320" s="32">
        <v>30</v>
      </c>
      <c r="H320" s="109">
        <f>G320*[1]Density!$D$6/1000</f>
        <v>235.5</v>
      </c>
      <c r="I320" s="161">
        <f t="shared" si="28"/>
        <v>0</v>
      </c>
      <c r="J320" s="164">
        <v>5000</v>
      </c>
      <c r="K320" s="165">
        <v>2500</v>
      </c>
      <c r="L320" s="165">
        <v>1</v>
      </c>
      <c r="M320" s="110" t="s">
        <v>308</v>
      </c>
      <c r="N320" s="164"/>
      <c r="O320" s="202"/>
      <c r="P320" s="202"/>
      <c r="Q320" s="203"/>
      <c r="R320" s="201"/>
      <c r="S320" s="202"/>
      <c r="T320" s="202"/>
      <c r="U320" s="203"/>
      <c r="Z320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2943.75</v>
      </c>
      <c r="AA320" s="17">
        <f t="shared" si="24"/>
        <v>3561.9375</v>
      </c>
      <c r="AB320" s="17"/>
      <c r="AC320" s="10">
        <v>1210</v>
      </c>
      <c r="AD320" s="10">
        <f>Table1[[#This Row],[£/Tonne]]/1000*Table1[[#This Row],[KG/M2]]</f>
        <v>284.95499999999998</v>
      </c>
      <c r="AE320" s="10">
        <f>Table1[[#This Row],[£/Tonne]]/1000*Table1[[#This Row],[Kg/ Sheet]]</f>
        <v>0</v>
      </c>
      <c r="AF320" s="10"/>
      <c r="AG320" s="111">
        <f>Table1[[#This Row],[£Cost / SHEET]]*(1+AG$1)</f>
        <v>0</v>
      </c>
      <c r="AH320" s="111">
        <f>Table1[[#This Row],[£Cost / SHEET]]*(1+AH$1)</f>
        <v>0</v>
      </c>
      <c r="AI320" s="111">
        <f>Table1[[#This Row],[£Cost / SHEET]]*(1+AI$1)</f>
        <v>0</v>
      </c>
      <c r="AJ320" s="111">
        <f>Table1[[#This Row],[£Cost / SHEET]]*(1+AJ$1)</f>
        <v>0</v>
      </c>
      <c r="AK320" s="222">
        <f>(Table1[[#This Row],[Qty 1]]*IF(Table1[[#This Row],[Dimension L1]]&lt;1,(Table1[[#This Row],[Length]]*Table1[[#This Row],[Width]]),(Table1[[#This Row],[Dimension L1]]*Table1[[#This Row],[Dimension W1]])))/1000000</f>
        <v>12.5</v>
      </c>
      <c r="AL320" s="121"/>
    </row>
    <row r="321" spans="2:38" ht="25.35" customHeight="1">
      <c r="B321" s="119" t="s">
        <v>319</v>
      </c>
      <c r="C321" s="7" t="str">
        <f t="shared" ref="C321" si="30">_xlfn.CONCAT(B321,"_",G321,"_",E321,"_",F321,"")</f>
        <v>50D_10_6000_910</v>
      </c>
      <c r="D321" s="7" t="str">
        <f>_xlfn.CONCAT(Table1[[#This Row],[ProductRecord.AccountReference]]," @ ",ROUND(Table1[[#This Row],[KG/M2]],2),$H$2)</f>
        <v>50D_10_6000_910 @ 78.5Kg/m2</v>
      </c>
      <c r="E321" s="27">
        <v>6000</v>
      </c>
      <c r="F321" s="27">
        <v>910</v>
      </c>
      <c r="G321" s="32">
        <v>10</v>
      </c>
      <c r="H321" s="109">
        <f>G321*[1]Density!$D$6/1000</f>
        <v>78.5</v>
      </c>
      <c r="I321" s="161">
        <f t="shared" si="28"/>
        <v>428.61</v>
      </c>
      <c r="J321" s="164"/>
      <c r="K321" s="165"/>
      <c r="L321" s="165">
        <v>1</v>
      </c>
      <c r="M321" s="110" t="s">
        <v>308</v>
      </c>
      <c r="N321" s="164">
        <v>4300</v>
      </c>
      <c r="O321" s="202">
        <v>1500</v>
      </c>
      <c r="P321" s="202">
        <v>1</v>
      </c>
      <c r="Q321" s="203" t="s">
        <v>305</v>
      </c>
      <c r="R321" s="201"/>
      <c r="S321" s="202"/>
      <c r="T321" s="202"/>
      <c r="U321" s="203"/>
      <c r="Z321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934.93500000000006</v>
      </c>
      <c r="AA321" s="17">
        <f t="shared" si="24"/>
        <v>700.26631500000008</v>
      </c>
      <c r="AB321" s="17"/>
      <c r="AC321" s="10">
        <v>749</v>
      </c>
      <c r="AD321" s="10">
        <f>Table1[[#This Row],[£/Tonne]]/1000*Table1[[#This Row],[KG/M2]]</f>
        <v>58.796500000000002</v>
      </c>
      <c r="AE321" s="10">
        <f>Table1[[#This Row],[£/Tonne]]/1000*Table1[[#This Row],[Kg/ Sheet]]</f>
        <v>321.02888999999999</v>
      </c>
      <c r="AF321" s="10"/>
      <c r="AG321" s="111">
        <f>Table1[[#This Row],[£Cost / SHEET]]*(1+AG$1)</f>
        <v>417.337557</v>
      </c>
      <c r="AH321" s="111">
        <f>Table1[[#This Row],[£Cost / SHEET]]*(1+AH$1)</f>
        <v>433.38900150000001</v>
      </c>
      <c r="AI321" s="111">
        <f>Table1[[#This Row],[£Cost / SHEET]]*(1+AI$1)</f>
        <v>449.44044599999995</v>
      </c>
      <c r="AJ321" s="111">
        <f>Table1[[#This Row],[£Cost / SHEET]]*(1+AJ$1)</f>
        <v>481.54333499999996</v>
      </c>
      <c r="AK321" s="222">
        <f>(Table1[[#This Row],[Qty 1]]*IF(Table1[[#This Row],[Dimension L1]]&lt;1,(Table1[[#This Row],[Length]]*Table1[[#This Row],[Width]]),(Table1[[#This Row],[Dimension L1]]*Table1[[#This Row],[Dimension W1]])))/1000000</f>
        <v>5.46</v>
      </c>
      <c r="AL321" s="121"/>
    </row>
    <row r="322" spans="2:38" ht="25.35" customHeight="1">
      <c r="B322" s="119" t="s">
        <v>319</v>
      </c>
      <c r="C322" s="7" t="str">
        <f t="shared" ref="C322:C326" si="31">_xlfn.CONCAT(B322,"_",G322,"_",E322,"_",F322,"")</f>
        <v>50D_10_2770_ 370</v>
      </c>
      <c r="D322" s="7" t="str">
        <f>_xlfn.CONCAT(Table1[[#This Row],[ProductRecord.AccountReference]]," @ ",ROUND(Table1[[#This Row],[KG/M2]],2),$H$2)</f>
        <v>50D_10_2770_ 370 @ 78.5Kg/m2</v>
      </c>
      <c r="E322" s="27" t="s">
        <v>320</v>
      </c>
      <c r="F322" s="27" t="s">
        <v>321</v>
      </c>
      <c r="G322" s="32" t="s">
        <v>322</v>
      </c>
      <c r="H322" s="109">
        <f>G322*[1]Density!$D$6/1000</f>
        <v>78.5</v>
      </c>
      <c r="I322" s="161">
        <f t="shared" ref="I322:I323" si="32">E322*F322*H322/1000000</f>
        <v>80.454650000000001</v>
      </c>
      <c r="J322" s="159"/>
      <c r="K322" s="161"/>
      <c r="L322" s="165">
        <v>2</v>
      </c>
      <c r="M322" s="110" t="s">
        <v>308</v>
      </c>
      <c r="N322" s="164"/>
      <c r="O322" s="202"/>
      <c r="P322" s="202"/>
      <c r="Q322" s="203"/>
      <c r="R322" s="201"/>
      <c r="S322" s="202"/>
      <c r="T322" s="202"/>
      <c r="U322" s="203"/>
      <c r="Z322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160.9093</v>
      </c>
      <c r="AA322" s="17">
        <f t="shared" si="24"/>
        <v>120.52106570000001</v>
      </c>
      <c r="AB322" s="17"/>
      <c r="AC322" s="10">
        <f>AC321</f>
        <v>749</v>
      </c>
      <c r="AD322" s="10">
        <f>Table1[[#This Row],[£/Tonne]]/1000*Table1[[#This Row],[KG/M2]]</f>
        <v>58.796500000000002</v>
      </c>
      <c r="AE322" s="10">
        <f>Table1[[#This Row],[£/Tonne]]/1000*Table1[[#This Row],[Kg/ Sheet]]</f>
        <v>60.260532850000004</v>
      </c>
      <c r="AF322" s="10"/>
      <c r="AG322" s="111">
        <f>Table1[[#This Row],[£Cost / SHEET]]*(1+AG$1)</f>
        <v>78.338692705000014</v>
      </c>
      <c r="AH322" s="111">
        <f>Table1[[#This Row],[£Cost / SHEET]]*(1+AH$1)</f>
        <v>81.351719347500008</v>
      </c>
      <c r="AI322" s="111">
        <f>Table1[[#This Row],[£Cost / SHEET]]*(1+AI$1)</f>
        <v>84.364745990000003</v>
      </c>
      <c r="AJ322" s="111">
        <f>Table1[[#This Row],[£Cost / SHEET]]*(1+AJ$1)</f>
        <v>90.390799275000006</v>
      </c>
      <c r="AK322" s="222">
        <f>(Table1[[#This Row],[Qty 1]]*IF(Table1[[#This Row],[Dimension L1]]&lt;1,(Table1[[#This Row],[Length]]*Table1[[#This Row],[Width]]),(Table1[[#This Row],[Dimension L1]]*Table1[[#This Row],[Dimension W1]])))/1000000</f>
        <v>2.0497999999999998</v>
      </c>
      <c r="AL322" s="121"/>
    </row>
    <row r="323" spans="2:38" ht="25.35" customHeight="1">
      <c r="B323" s="119" t="s">
        <v>319</v>
      </c>
      <c r="C323" s="7" t="str">
        <f t="shared" si="31"/>
        <v>50D_10_5070_2300</v>
      </c>
      <c r="D323" s="7" t="str">
        <f>_xlfn.CONCAT(Table1[[#This Row],[ProductRecord.AccountReference]]," @ ",ROUND(Table1[[#This Row],[KG/M2]],2),$H$2)</f>
        <v>50D_10_5070_2300 @ 78.5Kg/m2</v>
      </c>
      <c r="E323" s="27" t="s">
        <v>323</v>
      </c>
      <c r="F323" s="27" t="s">
        <v>324</v>
      </c>
      <c r="G323" s="32" t="s">
        <v>322</v>
      </c>
      <c r="H323" s="109">
        <f>G323*[1]Density!$D$6/1000</f>
        <v>78.5</v>
      </c>
      <c r="I323" s="161">
        <f t="shared" si="32"/>
        <v>915.38850000000002</v>
      </c>
      <c r="J323" s="159"/>
      <c r="K323" s="161"/>
      <c r="L323" s="165">
        <v>1</v>
      </c>
      <c r="M323" s="110" t="s">
        <v>308</v>
      </c>
      <c r="N323" s="164"/>
      <c r="O323" s="202"/>
      <c r="P323" s="202"/>
      <c r="Q323" s="203"/>
      <c r="R323" s="201"/>
      <c r="S323" s="202"/>
      <c r="T323" s="202"/>
      <c r="U323" s="203"/>
      <c r="Z323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915.38850000000002</v>
      </c>
      <c r="AA323" s="17">
        <f t="shared" ref="AA323:AA327" si="33">Z323/1000*AC323</f>
        <v>685.62598650000007</v>
      </c>
      <c r="AB323" s="17"/>
      <c r="AC323" s="10">
        <f>AC321</f>
        <v>749</v>
      </c>
      <c r="AD323" s="10">
        <f>Table1[[#This Row],[£/Tonne]]/1000*Table1[[#This Row],[KG/M2]]</f>
        <v>58.796500000000002</v>
      </c>
      <c r="AE323" s="10">
        <f>Table1[[#This Row],[£/Tonne]]/1000*Table1[[#This Row],[Kg/ Sheet]]</f>
        <v>685.62598650000007</v>
      </c>
      <c r="AF323" s="10"/>
      <c r="AG323" s="111">
        <f>Table1[[#This Row],[£Cost / SHEET]]*(1+AG$1)</f>
        <v>891.31378245000008</v>
      </c>
      <c r="AH323" s="111">
        <f>Table1[[#This Row],[£Cost / SHEET]]*(1+AH$1)</f>
        <v>925.59508177500015</v>
      </c>
      <c r="AI323" s="111">
        <f>Table1[[#This Row],[£Cost / SHEET]]*(1+AI$1)</f>
        <v>959.8763811</v>
      </c>
      <c r="AJ323" s="111">
        <f>Table1[[#This Row],[£Cost / SHEET]]*(1+AJ$1)</f>
        <v>1028.43897975</v>
      </c>
      <c r="AK323" s="222">
        <f>(Table1[[#This Row],[Qty 1]]*IF(Table1[[#This Row],[Dimension L1]]&lt;1,(Table1[[#This Row],[Length]]*Table1[[#This Row],[Width]]),(Table1[[#This Row],[Dimension L1]]*Table1[[#This Row],[Dimension W1]])))/1000000</f>
        <v>11.661</v>
      </c>
      <c r="AL323" s="121"/>
    </row>
    <row r="324" spans="2:38" ht="25.35" customHeight="1">
      <c r="B324" s="119" t="s">
        <v>319</v>
      </c>
      <c r="C324" s="7" t="str">
        <f t="shared" si="31"/>
        <v>50D_12_1510_1300</v>
      </c>
      <c r="D324" s="7" t="str">
        <f>_xlfn.CONCAT(Table1[[#This Row],[ProductRecord.AccountReference]]," @ ",ROUND(Table1[[#This Row],[KG/M2]],2),$H$2)</f>
        <v>50D_12_1510_1300 @ 94.2Kg/m2</v>
      </c>
      <c r="E324" s="27" t="s">
        <v>325</v>
      </c>
      <c r="F324" s="27" t="s">
        <v>326</v>
      </c>
      <c r="G324" s="32" t="s">
        <v>327</v>
      </c>
      <c r="H324" s="109">
        <f>G324*[1]Density!$D$6/1000</f>
        <v>94.2</v>
      </c>
      <c r="I324" s="161">
        <f t="shared" si="28"/>
        <v>184.91460000000001</v>
      </c>
      <c r="J324" s="159"/>
      <c r="K324" s="161"/>
      <c r="L324" s="165">
        <v>1</v>
      </c>
      <c r="M324" s="110" t="s">
        <v>308</v>
      </c>
      <c r="N324" s="164"/>
      <c r="O324" s="202"/>
      <c r="P324" s="202"/>
      <c r="Q324" s="203"/>
      <c r="R324" s="201"/>
      <c r="S324" s="202"/>
      <c r="T324" s="202"/>
      <c r="U324" s="203"/>
      <c r="Z324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184.91460000000001</v>
      </c>
      <c r="AA324" s="17">
        <f t="shared" si="33"/>
        <v>134.8027434</v>
      </c>
      <c r="AB324" s="17"/>
      <c r="AC324" s="10">
        <v>729</v>
      </c>
      <c r="AD324" s="10">
        <f>Table1[[#This Row],[£/Tonne]]/1000*Table1[[#This Row],[KG/M2]]</f>
        <v>68.671800000000005</v>
      </c>
      <c r="AE324" s="10">
        <f>Table1[[#This Row],[£/Tonne]]/1000*Table1[[#This Row],[Kg/ Sheet]]</f>
        <v>134.8027434</v>
      </c>
      <c r="AF324" s="10"/>
      <c r="AG324" s="111">
        <f>Table1[[#This Row],[£Cost / SHEET]]*(1+AG$1)</f>
        <v>175.24356642000001</v>
      </c>
      <c r="AH324" s="111">
        <f>Table1[[#This Row],[£Cost / SHEET]]*(1+AH$1)</f>
        <v>181.98370359</v>
      </c>
      <c r="AI324" s="111">
        <f>Table1[[#This Row],[£Cost / SHEET]]*(1+AI$1)</f>
        <v>188.72384075999997</v>
      </c>
      <c r="AJ324" s="111">
        <f>Table1[[#This Row],[£Cost / SHEET]]*(1+AJ$1)</f>
        <v>202.2041151</v>
      </c>
      <c r="AK324" s="222">
        <f>(Table1[[#This Row],[Qty 1]]*IF(Table1[[#This Row],[Dimension L1]]&lt;1,(Table1[[#This Row],[Length]]*Table1[[#This Row],[Width]]),(Table1[[#This Row],[Dimension L1]]*Table1[[#This Row],[Dimension W1]])))/1000000</f>
        <v>1.9630000000000001</v>
      </c>
      <c r="AL324" s="121"/>
    </row>
    <row r="325" spans="2:38" ht="25.35" customHeight="1">
      <c r="B325" s="119" t="s">
        <v>319</v>
      </c>
      <c r="C325" s="7" t="str">
        <f t="shared" si="31"/>
        <v>50D_12_1850_ 650</v>
      </c>
      <c r="D325" s="7" t="str">
        <f>_xlfn.CONCAT(Table1[[#This Row],[ProductRecord.AccountReference]]," @ ",ROUND(Table1[[#This Row],[KG/M2]],2),$H$2)</f>
        <v>50D_12_1850_ 650 @ 94.2Kg/m2</v>
      </c>
      <c r="E325" s="27" t="s">
        <v>328</v>
      </c>
      <c r="F325" s="27" t="s">
        <v>329</v>
      </c>
      <c r="G325" s="32" t="s">
        <v>327</v>
      </c>
      <c r="H325" s="109">
        <f>G325*[1]Density!$D$6/1000</f>
        <v>94.2</v>
      </c>
      <c r="I325" s="161">
        <f t="shared" si="28"/>
        <v>113.27549999999999</v>
      </c>
      <c r="J325" s="159"/>
      <c r="K325" s="161"/>
      <c r="L325" s="165">
        <v>1</v>
      </c>
      <c r="M325" s="110" t="s">
        <v>308</v>
      </c>
      <c r="N325" s="164"/>
      <c r="O325" s="202"/>
      <c r="P325" s="202"/>
      <c r="Q325" s="203"/>
      <c r="R325" s="201"/>
      <c r="S325" s="202"/>
      <c r="T325" s="202"/>
      <c r="U325" s="203"/>
      <c r="Z325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113.27549999999999</v>
      </c>
      <c r="AA325" s="17">
        <f t="shared" si="33"/>
        <v>82.577839499999996</v>
      </c>
      <c r="AB325" s="17"/>
      <c r="AC325" s="10">
        <f>AC324</f>
        <v>729</v>
      </c>
      <c r="AD325" s="10">
        <f>Table1[[#This Row],[£/Tonne]]/1000*Table1[[#This Row],[KG/M2]]</f>
        <v>68.671800000000005</v>
      </c>
      <c r="AE325" s="10">
        <f>Table1[[#This Row],[£/Tonne]]/1000*Table1[[#This Row],[Kg/ Sheet]]</f>
        <v>82.577839499999996</v>
      </c>
      <c r="AF325" s="10"/>
      <c r="AG325" s="111">
        <f>Table1[[#This Row],[£Cost / SHEET]]*(1+AG$1)</f>
        <v>107.35119134999999</v>
      </c>
      <c r="AH325" s="111">
        <f>Table1[[#This Row],[£Cost / SHEET]]*(1+AH$1)</f>
        <v>111.480083325</v>
      </c>
      <c r="AI325" s="111">
        <f>Table1[[#This Row],[£Cost / SHEET]]*(1+AI$1)</f>
        <v>115.60897529999998</v>
      </c>
      <c r="AJ325" s="111">
        <f>Table1[[#This Row],[£Cost / SHEET]]*(1+AJ$1)</f>
        <v>123.86675925</v>
      </c>
      <c r="AK325" s="222">
        <f>(Table1[[#This Row],[Qty 1]]*IF(Table1[[#This Row],[Dimension L1]]&lt;1,(Table1[[#This Row],[Length]]*Table1[[#This Row],[Width]]),(Table1[[#This Row],[Dimension L1]]*Table1[[#This Row],[Dimension W1]])))/1000000</f>
        <v>1.2024999999999999</v>
      </c>
      <c r="AL325" s="121"/>
    </row>
    <row r="326" spans="2:38" ht="25.35" customHeight="1">
      <c r="B326" s="119" t="s">
        <v>319</v>
      </c>
      <c r="C326" s="7" t="str">
        <f t="shared" si="31"/>
        <v>50D_12_2300_ 380</v>
      </c>
      <c r="D326" s="7" t="str">
        <f>_xlfn.CONCAT(Table1[[#This Row],[ProductRecord.AccountReference]]," @ ",ROUND(Table1[[#This Row],[KG/M2]],2),$H$2)</f>
        <v>50D_12_2300_ 380 @ 94.2Kg/m2</v>
      </c>
      <c r="E326" s="27" t="s">
        <v>324</v>
      </c>
      <c r="F326" s="27" t="s">
        <v>330</v>
      </c>
      <c r="G326" s="32" t="s">
        <v>327</v>
      </c>
      <c r="H326" s="109">
        <f>G326*[1]Density!$D$6/1000</f>
        <v>94.2</v>
      </c>
      <c r="I326" s="161">
        <f t="shared" si="28"/>
        <v>82.330799999999996</v>
      </c>
      <c r="J326" s="159"/>
      <c r="K326" s="161"/>
      <c r="L326" s="165">
        <v>1</v>
      </c>
      <c r="M326" s="110" t="s">
        <v>308</v>
      </c>
      <c r="N326" s="159"/>
      <c r="O326" s="202"/>
      <c r="P326" s="202"/>
      <c r="Q326" s="203"/>
      <c r="R326" s="201"/>
      <c r="S326" s="202"/>
      <c r="T326" s="202"/>
      <c r="U326" s="203"/>
      <c r="Z326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82.330799999999996</v>
      </c>
      <c r="AA326" s="17">
        <f t="shared" si="33"/>
        <v>60.019153199999998</v>
      </c>
      <c r="AB326" s="17"/>
      <c r="AC326" s="10">
        <f>AC325</f>
        <v>729</v>
      </c>
      <c r="AD326" s="10">
        <f>Table1[[#This Row],[£/Tonne]]/1000*Table1[[#This Row],[KG/M2]]</f>
        <v>68.671800000000005</v>
      </c>
      <c r="AE326" s="10">
        <f>Table1[[#This Row],[£/Tonne]]/1000*Table1[[#This Row],[Kg/ Sheet]]</f>
        <v>60.019153199999998</v>
      </c>
      <c r="AF326" s="10"/>
      <c r="AG326" s="111">
        <f>Table1[[#This Row],[£Cost / SHEET]]*(1+AG$1)</f>
        <v>78.024899160000004</v>
      </c>
      <c r="AH326" s="111">
        <f>Table1[[#This Row],[£Cost / SHEET]]*(1+AH$1)</f>
        <v>81.025856820000001</v>
      </c>
      <c r="AI326" s="111">
        <f>Table1[[#This Row],[£Cost / SHEET]]*(1+AI$1)</f>
        <v>84.026814479999999</v>
      </c>
      <c r="AJ326" s="111">
        <f>Table1[[#This Row],[£Cost / SHEET]]*(1+AJ$1)</f>
        <v>90.028729799999994</v>
      </c>
      <c r="AK326" s="222">
        <f>(Table1[[#This Row],[Qty 1]]*IF(Table1[[#This Row],[Dimension L1]]&lt;1,(Table1[[#This Row],[Length]]*Table1[[#This Row],[Width]]),(Table1[[#This Row],[Dimension L1]]*Table1[[#This Row],[Dimension W1]])))/1000000</f>
        <v>0.874</v>
      </c>
      <c r="AL326" s="121"/>
    </row>
    <row r="327" spans="2:38" ht="25.35" customHeight="1">
      <c r="B327" s="119" t="s">
        <v>319</v>
      </c>
      <c r="C327" s="7" t="str">
        <f>_xlfn.CONCAT(B327,"_",G327,"_",E327,"_",F327,"")</f>
        <v>50D_12_4480_2470</v>
      </c>
      <c r="D327" s="7" t="str">
        <f>_xlfn.CONCAT(Table1[[#This Row],[ProductRecord.AccountReference]]," @ ",ROUND(Table1[[#This Row],[KG/M2]],2),$H$2)</f>
        <v>50D_12_4480_2470 @ 94.2Kg/m2</v>
      </c>
      <c r="E327" s="27" t="s">
        <v>331</v>
      </c>
      <c r="F327" s="27" t="s">
        <v>332</v>
      </c>
      <c r="G327" s="32" t="s">
        <v>327</v>
      </c>
      <c r="H327" s="109">
        <f>G327*[1]Density!$D$6/1000</f>
        <v>94.2</v>
      </c>
      <c r="I327" s="161">
        <f t="shared" si="28"/>
        <v>1042.37952</v>
      </c>
      <c r="J327" s="159"/>
      <c r="K327" s="161"/>
      <c r="L327" s="165">
        <v>1</v>
      </c>
      <c r="M327" s="110" t="s">
        <v>308</v>
      </c>
      <c r="N327" s="159"/>
      <c r="O327" s="202"/>
      <c r="P327" s="202"/>
      <c r="Q327" s="203"/>
      <c r="R327" s="201"/>
      <c r="S327" s="202"/>
      <c r="T327" s="202"/>
      <c r="U327" s="203"/>
      <c r="Z327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1042.37952</v>
      </c>
      <c r="AA327" s="17">
        <f t="shared" si="33"/>
        <v>759.89467007999997</v>
      </c>
      <c r="AB327" s="17"/>
      <c r="AC327" s="10">
        <f>AC324</f>
        <v>729</v>
      </c>
      <c r="AD327" s="10">
        <f>Table1[[#This Row],[£/Tonne]]/1000*Table1[[#This Row],[KG/M2]]</f>
        <v>68.671800000000005</v>
      </c>
      <c r="AE327" s="10">
        <f>Table1[[#This Row],[£/Tonne]]/1000*Table1[[#This Row],[Kg/ Sheet]]</f>
        <v>759.89467007999997</v>
      </c>
      <c r="AF327" s="10"/>
      <c r="AG327" s="111">
        <f>Table1[[#This Row],[£Cost / SHEET]]*(1+AG$1)</f>
        <v>987.86307110400003</v>
      </c>
      <c r="AH327" s="111">
        <f>Table1[[#This Row],[£Cost / SHEET]]*(1+AH$1)</f>
        <v>1025.8578046079999</v>
      </c>
      <c r="AI327" s="111">
        <f>Table1[[#This Row],[£Cost / SHEET]]*(1+AI$1)</f>
        <v>1063.8525381119998</v>
      </c>
      <c r="AJ327" s="111">
        <f>Table1[[#This Row],[£Cost / SHEET]]*(1+AJ$1)</f>
        <v>1139.8420051200001</v>
      </c>
      <c r="AK327" s="222">
        <f>(Table1[[#This Row],[Qty 1]]*IF(Table1[[#This Row],[Dimension L1]]&lt;1,(Table1[[#This Row],[Length]]*Table1[[#This Row],[Width]]),(Table1[[#This Row],[Dimension L1]]*Table1[[#This Row],[Dimension W1]])))/1000000</f>
        <v>11.0656</v>
      </c>
      <c r="AL327" s="121"/>
    </row>
    <row r="328" spans="2:38" ht="25.35" customHeight="1">
      <c r="B328" s="119"/>
      <c r="H328" s="109"/>
      <c r="I328" s="110"/>
      <c r="J328" s="159"/>
      <c r="K328" s="161"/>
      <c r="L328" s="161"/>
      <c r="M328" s="196"/>
      <c r="N328" s="159"/>
      <c r="O328" s="202"/>
      <c r="P328" s="202"/>
      <c r="Q328" s="203"/>
      <c r="R328" s="201"/>
      <c r="S328" s="202"/>
      <c r="T328" s="202"/>
      <c r="U328" s="203"/>
      <c r="Z328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328" s="17"/>
      <c r="AB328" s="17"/>
      <c r="AC328" s="10"/>
      <c r="AD328" s="10">
        <f>Table1[[#This Row],[£/Tonne]]/1000*Table1[[#This Row],[KG/M2]]</f>
        <v>0</v>
      </c>
      <c r="AE328" s="10">
        <f>Table1[[#This Row],[£/Tonne]]/1000*Table1[[#This Row],[Kg/ Sheet]]</f>
        <v>0</v>
      </c>
      <c r="AF328" s="10"/>
      <c r="AG328" s="111">
        <f>Table1[[#This Row],[£Cost / SHEET]]*(1+AG$1)</f>
        <v>0</v>
      </c>
      <c r="AH328" s="111">
        <f>Table1[[#This Row],[£Cost / SHEET]]*(1+AH$1)</f>
        <v>0</v>
      </c>
      <c r="AI328" s="111">
        <f>Table1[[#This Row],[£Cost / SHEET]]*(1+AI$1)</f>
        <v>0</v>
      </c>
      <c r="AJ328" s="111">
        <f>Table1[[#This Row],[£Cost / SHEET]]*(1+AJ$1)</f>
        <v>0</v>
      </c>
      <c r="AK328" s="222">
        <f>(Table1[[#This Row],[Qty 1]]*IF(Table1[[#This Row],[Dimension L1]]&lt;1,(Table1[[#This Row],[Length]]*Table1[[#This Row],[Width]]),(Table1[[#This Row],[Dimension L1]]*Table1[[#This Row],[Dimension W1]])))/1000000</f>
        <v>0</v>
      </c>
      <c r="AL328" s="121"/>
    </row>
    <row r="329" spans="2:38" ht="15">
      <c r="C329" s="7" t="str">
        <f t="shared" ref="C329" si="34">_xlfn.CONCAT(B329,"_",G329,"_",E329,"_",F329,"")</f>
        <v>__Total Stock Take Value_</v>
      </c>
      <c r="D329" s="7" t="str">
        <f>_xlfn.CONCAT(Table1[[#This Row],[ProductRecord.AccountReference]]," @ ",ROUND(Table1[[#This Row],[KG/M2]],2),$H$2)</f>
        <v>__Total Stock Take Value_ @ 0Kg/m2</v>
      </c>
      <c r="E329" s="15" t="s">
        <v>223</v>
      </c>
      <c r="N329" s="159"/>
      <c r="O329" s="161"/>
      <c r="P329" s="161"/>
      <c r="Q329" s="110"/>
      <c r="R329" s="160"/>
      <c r="S329" s="155"/>
      <c r="T329" s="155"/>
      <c r="U329" s="117"/>
      <c r="V329" s="155"/>
      <c r="W329" s="155"/>
      <c r="X329" s="155"/>
      <c r="Y329" s="155"/>
      <c r="Z329" s="224">
        <f>SUM(Z3:Z328)</f>
        <v>237160.581535</v>
      </c>
      <c r="AA329" s="120">
        <f>SUM(AA3:AA328)</f>
        <v>214457.93389724504</v>
      </c>
      <c r="AB329" s="120"/>
      <c r="AE329" s="10"/>
      <c r="AF329" s="10"/>
      <c r="AG329" s="111"/>
      <c r="AH329" s="111"/>
      <c r="AI329" s="111"/>
      <c r="AJ329" s="111"/>
      <c r="AK329" s="111" t="e">
        <f>(Table1[[#This Row],[Qty 1]]*IF(Table1[[#This Row],[Dimension L1]]&lt;1,(Table1[[#This Row],[Length]]*Table1[[#This Row],[Width]]),(Table1[[#This Row],[Dimension L1]]*Table1[[#This Row],[Dimension W1]])))/1000000</f>
        <v>#VALUE!</v>
      </c>
      <c r="AL329" s="121"/>
    </row>
    <row r="330" spans="2:38">
      <c r="I330" s="117"/>
      <c r="J330" s="159"/>
      <c r="K330" s="161"/>
      <c r="L330" s="161"/>
      <c r="M330" s="110"/>
      <c r="N330" s="160"/>
      <c r="Q330" s="117"/>
      <c r="AC330" s="10"/>
      <c r="AD330" s="10"/>
      <c r="AE330" s="10"/>
      <c r="AF330" s="10"/>
      <c r="AK330" s="222">
        <f>(Table1[[#This Row],[Qty 1]]*IF(Table1[[#This Row],[Dimension L1]]&lt;1,(Table1[[#This Row],[Length]]*Table1[[#This Row],[Width]]),(Table1[[#This Row],[Dimension L1]]*Table1[[#This Row],[Dimension W1]])))/1000000</f>
        <v>0</v>
      </c>
      <c r="AL330" s="121"/>
    </row>
    <row r="331" spans="2:38">
      <c r="C331" s="119"/>
      <c r="I331" s="117"/>
      <c r="J331" s="159"/>
      <c r="K331" s="161"/>
      <c r="L331" s="161"/>
      <c r="M331" s="110"/>
      <c r="N331" s="159"/>
      <c r="O331" s="161"/>
      <c r="P331" s="161"/>
      <c r="Q331" s="110"/>
      <c r="S331" s="161"/>
      <c r="X331" s="9" t="s">
        <v>333</v>
      </c>
      <c r="Y331" s="9" t="s">
        <v>334</v>
      </c>
      <c r="Z331" s="122" t="s">
        <v>295</v>
      </c>
      <c r="AA331" s="122" t="s">
        <v>335</v>
      </c>
      <c r="AB331" s="122"/>
      <c r="AC331" s="10" t="s">
        <v>336</v>
      </c>
      <c r="AD331" s="10"/>
      <c r="AE331" s="10"/>
      <c r="AF331" s="10"/>
      <c r="AK331" s="222">
        <f>(Table1[[#This Row],[Qty 1]]*IF(Table1[[#This Row],[Dimension L1]]&lt;1,(Table1[[#This Row],[Length]]*Table1[[#This Row],[Width]]),(Table1[[#This Row],[Dimension L1]]*Table1[[#This Row],[Dimension W1]])))/1000000</f>
        <v>0</v>
      </c>
      <c r="AL331" s="121"/>
    </row>
    <row r="332" spans="2:38">
      <c r="X332" s="243"/>
      <c r="Y332" s="244" t="str">
        <f>B$3</f>
        <v>PL</v>
      </c>
      <c r="Z332" s="245">
        <f>SUMIF($B$3:$B$328,$Y332,Z$3:AA$328)</f>
        <v>195002.78611249998</v>
      </c>
      <c r="AA332" s="244">
        <f>SUMIF($B$3:$B$328,$Y332,AA$3:AA$328)</f>
        <v>165232.18152039999</v>
      </c>
      <c r="AB332" s="244"/>
      <c r="AC332" s="246">
        <f>AA332/Z332*1000</f>
        <v>847.33241413830422</v>
      </c>
      <c r="AD332" s="74"/>
      <c r="AE332" s="10"/>
      <c r="AF332" s="10"/>
      <c r="AG332" s="7"/>
      <c r="AH332" s="7"/>
      <c r="AI332" s="7"/>
      <c r="AJ332" s="7"/>
      <c r="AK332" s="7"/>
    </row>
    <row r="333" spans="2:38">
      <c r="X333" s="24"/>
      <c r="Y333" s="9" t="str">
        <f>B$249</f>
        <v>PLCHQ</v>
      </c>
      <c r="Z333" s="247">
        <f>SUMIF($B$3:$B$328,$Y333,Z$3:AA$328)</f>
        <v>9008.7035600000017</v>
      </c>
      <c r="AA333" s="122">
        <f>SUMIF($B$3:$B$328,$Y333,AA$3:AA$328)</f>
        <v>10134.590145840002</v>
      </c>
      <c r="AB333" s="122"/>
      <c r="AC333" s="94">
        <f t="shared" ref="AC333:AC354" si="35">AA333/Z333*1000</f>
        <v>1124.9776483754117</v>
      </c>
      <c r="AD333" s="74"/>
      <c r="AE333" s="10"/>
      <c r="AF333" s="10"/>
      <c r="AG333" s="7"/>
      <c r="AH333" s="7"/>
      <c r="AI333" s="7"/>
      <c r="AJ333" s="7"/>
      <c r="AK333" s="7"/>
    </row>
    <row r="334" spans="2:38">
      <c r="X334" s="24"/>
      <c r="Y334" s="9" t="str">
        <f>B$262</f>
        <v>GS</v>
      </c>
      <c r="Z334" s="247">
        <f>SUMIF($B$3:$B$328,$Y334,Z$3:AA$328)</f>
        <v>0</v>
      </c>
      <c r="AA334" s="122">
        <f>SUMIF($B$3:$B$328,$Y334,AA$3:AA$328)</f>
        <v>0</v>
      </c>
      <c r="AB334" s="122"/>
      <c r="AC334" s="94"/>
      <c r="AD334" s="74"/>
      <c r="AE334" s="10"/>
      <c r="AF334" s="10"/>
      <c r="AG334" s="7"/>
      <c r="AH334" s="7"/>
      <c r="AI334" s="7"/>
      <c r="AJ334" s="7"/>
      <c r="AK334" s="7"/>
    </row>
    <row r="335" spans="2:38">
      <c r="X335" s="24"/>
      <c r="Y335" s="9" t="str">
        <f>B$270</f>
        <v>HD</v>
      </c>
      <c r="Z335" s="247">
        <f>SUMIF($B$3:$B$328,$Y335,Z$3:AA$328)</f>
        <v>29714.958642500002</v>
      </c>
      <c r="AA335" s="122">
        <f>SUMIF($B$3:$B$328,$Y335,AA$3:AA$328)</f>
        <v>36547.45445762499</v>
      </c>
      <c r="AB335" s="122"/>
      <c r="AC335" s="94">
        <f t="shared" si="35"/>
        <v>1229.9345557679078</v>
      </c>
      <c r="AD335" s="74"/>
      <c r="AE335" s="10"/>
      <c r="AF335" s="10"/>
      <c r="AG335" s="7"/>
      <c r="AH335" s="7"/>
      <c r="AI335" s="7"/>
      <c r="AJ335" s="7"/>
      <c r="AK335" s="7"/>
    </row>
    <row r="336" spans="2:38">
      <c r="X336" s="248"/>
      <c r="Y336" s="249" t="str">
        <f>B$321</f>
        <v>50D</v>
      </c>
      <c r="Z336" s="250">
        <f>SUMIF($B$3:$B$328,$Y336,Z$3:AA$328)</f>
        <v>3434.1332200000002</v>
      </c>
      <c r="AA336" s="251">
        <f>SUMIF($B$3:$B$328,$Y336,AA$3:AA$328)</f>
        <v>2543.7077733800002</v>
      </c>
      <c r="AB336" s="251"/>
      <c r="AC336" s="252">
        <f t="shared" si="35"/>
        <v>740.71319032288443</v>
      </c>
      <c r="AD336" s="74"/>
      <c r="AE336" s="10"/>
      <c r="AF336" s="10"/>
      <c r="AG336" s="7"/>
      <c r="AH336" s="7"/>
      <c r="AI336" s="7"/>
      <c r="AJ336" s="7"/>
      <c r="AK336" s="7"/>
    </row>
    <row r="337" spans="5:37">
      <c r="X337" s="243">
        <v>3</v>
      </c>
      <c r="Y337" s="244" t="str">
        <f t="shared" ref="Y337" si="36">B$3</f>
        <v>PL</v>
      </c>
      <c r="Z337" s="245">
        <f t="shared" ref="Z337:AA341" si="37">SUMIFS(Z$3:Z$328,$B$3:$B$328,$Y337,$G$3:$G$328,$X337)</f>
        <v>25593.713744999997</v>
      </c>
      <c r="AA337" s="244">
        <f t="shared" si="37"/>
        <v>26618.417289690009</v>
      </c>
      <c r="AB337" s="244"/>
      <c r="AC337" s="246">
        <f t="shared" si="35"/>
        <v>1040.0373136505129</v>
      </c>
      <c r="AD337" s="74"/>
      <c r="AE337" s="10"/>
      <c r="AF337" s="10"/>
      <c r="AG337" s="7"/>
      <c r="AH337" s="7"/>
      <c r="AI337" s="7"/>
      <c r="AJ337" s="7"/>
      <c r="AK337" s="7"/>
    </row>
    <row r="338" spans="5:37">
      <c r="X338" s="24">
        <v>4</v>
      </c>
      <c r="Y338" s="122" t="str">
        <f t="shared" ref="Y338:Y341" si="38">B$3</f>
        <v>PL</v>
      </c>
      <c r="Z338" s="247">
        <f t="shared" si="37"/>
        <v>6664.0973599999998</v>
      </c>
      <c r="AA338" s="122">
        <f t="shared" si="37"/>
        <v>7024.3485677599992</v>
      </c>
      <c r="AB338" s="122"/>
      <c r="AC338" s="94">
        <f t="shared" si="35"/>
        <v>1054.0585150994852</v>
      </c>
      <c r="AD338" s="74"/>
      <c r="AE338" s="10"/>
      <c r="AF338" s="10"/>
      <c r="AG338" s="7"/>
      <c r="AH338" s="7"/>
      <c r="AI338" s="7"/>
      <c r="AJ338" s="7"/>
      <c r="AK338" s="7"/>
    </row>
    <row r="339" spans="5:37">
      <c r="X339" s="24">
        <v>5</v>
      </c>
      <c r="Y339" s="122" t="str">
        <f t="shared" si="38"/>
        <v>PL</v>
      </c>
      <c r="Z339" s="247">
        <f t="shared" si="37"/>
        <v>23904.749350000002</v>
      </c>
      <c r="AA339" s="122">
        <f t="shared" si="37"/>
        <v>22677.801093150003</v>
      </c>
      <c r="AB339" s="122"/>
      <c r="AC339" s="94">
        <f t="shared" si="35"/>
        <v>948.67345233845765</v>
      </c>
      <c r="AD339" s="74"/>
      <c r="AE339" s="10"/>
      <c r="AF339" s="10"/>
      <c r="AG339" s="7"/>
      <c r="AH339" s="7"/>
      <c r="AI339" s="7"/>
      <c r="AJ339" s="7"/>
      <c r="AK339" s="7"/>
    </row>
    <row r="340" spans="5:37">
      <c r="X340" s="24">
        <v>6</v>
      </c>
      <c r="Y340" s="122" t="str">
        <f t="shared" si="38"/>
        <v>PL</v>
      </c>
      <c r="Z340" s="247">
        <f t="shared" si="37"/>
        <v>14406.08136</v>
      </c>
      <c r="AA340" s="122">
        <f t="shared" si="37"/>
        <v>14219.076462000001</v>
      </c>
      <c r="AB340" s="122"/>
      <c r="AC340" s="94">
        <f t="shared" si="35"/>
        <v>987.0190308296302</v>
      </c>
      <c r="AD340" s="74"/>
      <c r="AE340" s="10"/>
      <c r="AF340" s="10"/>
      <c r="AG340" s="7"/>
      <c r="AH340" s="7"/>
      <c r="AI340" s="7"/>
      <c r="AJ340" s="7"/>
      <c r="AK340" s="7"/>
    </row>
    <row r="341" spans="5:37">
      <c r="X341" s="24">
        <v>8</v>
      </c>
      <c r="Y341" s="122" t="str">
        <f t="shared" si="38"/>
        <v>PL</v>
      </c>
      <c r="Z341" s="247">
        <f t="shared" si="37"/>
        <v>28191.485199999996</v>
      </c>
      <c r="AA341" s="122">
        <f t="shared" si="37"/>
        <v>24725.22030976</v>
      </c>
      <c r="AB341" s="122"/>
      <c r="AC341" s="94">
        <f t="shared" si="35"/>
        <v>877.04568008215483</v>
      </c>
      <c r="AD341" s="74"/>
      <c r="AE341" s="10"/>
      <c r="AF341" s="10"/>
      <c r="AG341" s="7"/>
      <c r="AH341" s="7"/>
      <c r="AI341" s="7"/>
      <c r="AJ341" s="7"/>
      <c r="AK341" s="7"/>
    </row>
    <row r="342" spans="5:37">
      <c r="X342" s="24">
        <v>10</v>
      </c>
      <c r="Y342" s="122" t="str">
        <f>B$3</f>
        <v>PL</v>
      </c>
      <c r="Z342" s="247">
        <f>SUMIFS(Z$3:Z$328,$B$3:$B$328,$Y342,$G$3:$G$328,$X342)</f>
        <v>39178.486499999999</v>
      </c>
      <c r="AA342" s="122">
        <f>SUMIFS(AA$3:AA$328,$B$3:$B$328,$Y342,$G$3:$G$328,$X342)</f>
        <v>29617.387695500001</v>
      </c>
      <c r="AB342" s="122"/>
      <c r="AC342" s="94">
        <f t="shared" si="35"/>
        <v>755.96048600550205</v>
      </c>
      <c r="AD342" s="74"/>
      <c r="AE342" s="10"/>
      <c r="AF342" s="10"/>
      <c r="AG342" s="7"/>
      <c r="AH342" s="7"/>
      <c r="AI342" s="7"/>
      <c r="AJ342" s="7"/>
      <c r="AK342" s="7"/>
    </row>
    <row r="343" spans="5:37">
      <c r="X343" s="24">
        <v>12</v>
      </c>
      <c r="Y343" s="122" t="str">
        <f t="shared" ref="Y343:Y349" si="39">B$3</f>
        <v>PL</v>
      </c>
      <c r="Z343" s="247">
        <f t="shared" ref="Z343:Z354" si="40">SUMIFS(Z$3:Z$328,$B$3:$B$328,$Y343,$G$3:$G$328,$X343)</f>
        <v>29108.958659999993</v>
      </c>
      <c r="AA343" s="122">
        <f t="shared" ref="AA343:AA354" si="41">SUMIFS(AA$3:AA$328,$B$3:$B$328,$Y343,$G$3:$G$328,$X343)</f>
        <v>19721.252746739996</v>
      </c>
      <c r="AB343" s="122"/>
      <c r="AC343" s="94">
        <f t="shared" si="35"/>
        <v>677.49770704920161</v>
      </c>
      <c r="AD343" s="74"/>
      <c r="AE343" s="10"/>
      <c r="AF343" s="10"/>
      <c r="AG343" s="7"/>
      <c r="AH343" s="7"/>
      <c r="AI343" s="7"/>
      <c r="AJ343" s="7"/>
      <c r="AK343" s="7"/>
    </row>
    <row r="344" spans="5:37">
      <c r="X344" s="24">
        <v>15</v>
      </c>
      <c r="Y344" s="122" t="str">
        <f t="shared" si="39"/>
        <v>PL</v>
      </c>
      <c r="Z344" s="247">
        <f t="shared" si="40"/>
        <v>5522.2041750000008</v>
      </c>
      <c r="AA344" s="122">
        <f t="shared" si="41"/>
        <v>5330.2546365750004</v>
      </c>
      <c r="AB344" s="122"/>
      <c r="AC344" s="94">
        <f t="shared" si="35"/>
        <v>965.24041264283744</v>
      </c>
      <c r="AD344" s="74"/>
      <c r="AE344" s="10"/>
      <c r="AF344" s="10"/>
      <c r="AG344" s="7"/>
      <c r="AH344" s="7"/>
      <c r="AI344" s="7"/>
      <c r="AJ344" s="7"/>
      <c r="AK344" s="7"/>
    </row>
    <row r="345" spans="5:37">
      <c r="X345" s="24">
        <v>20</v>
      </c>
      <c r="Y345" s="122" t="str">
        <f t="shared" si="39"/>
        <v>PL</v>
      </c>
      <c r="Z345" s="247">
        <f t="shared" si="40"/>
        <v>4099.1444000000001</v>
      </c>
      <c r="AA345" s="122">
        <f t="shared" si="41"/>
        <v>3748.2454435999998</v>
      </c>
      <c r="AB345" s="122"/>
      <c r="AC345" s="94">
        <f t="shared" si="35"/>
        <v>914.39702480351752</v>
      </c>
      <c r="AD345" s="74"/>
      <c r="AE345" s="10"/>
      <c r="AF345" s="10"/>
      <c r="AG345" s="7"/>
      <c r="AH345" s="7"/>
      <c r="AI345" s="7"/>
      <c r="AJ345" s="7"/>
      <c r="AK345" s="7"/>
    </row>
    <row r="346" spans="5:37">
      <c r="X346" s="24">
        <v>25</v>
      </c>
      <c r="Y346" s="122" t="str">
        <f t="shared" si="39"/>
        <v>PL</v>
      </c>
      <c r="Z346" s="247">
        <f t="shared" si="40"/>
        <v>7648.1176249999999</v>
      </c>
      <c r="AA346" s="122">
        <f t="shared" si="41"/>
        <v>4921.5860936249992</v>
      </c>
      <c r="AB346" s="122"/>
      <c r="AC346" s="94">
        <f t="shared" si="35"/>
        <v>643.50292907857818</v>
      </c>
      <c r="AD346" s="74"/>
      <c r="AE346" s="10"/>
      <c r="AF346" s="10"/>
      <c r="AG346" s="7"/>
      <c r="AH346" s="7"/>
      <c r="AI346" s="7"/>
      <c r="AJ346" s="7"/>
      <c r="AK346" s="7"/>
    </row>
    <row r="347" spans="5:37" ht="12.75">
      <c r="E347" s="7"/>
      <c r="F347" s="7"/>
      <c r="G347" s="7"/>
      <c r="H347" s="7"/>
      <c r="I347" s="7"/>
      <c r="J347" s="45"/>
      <c r="K347" s="7"/>
      <c r="L347" s="7"/>
      <c r="M347" s="55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24">
        <v>30</v>
      </c>
      <c r="Y347" s="122" t="str">
        <f t="shared" si="39"/>
        <v>PL</v>
      </c>
      <c r="Z347" s="247">
        <f t="shared" si="40"/>
        <v>1182.7281</v>
      </c>
      <c r="AA347" s="122">
        <f t="shared" si="41"/>
        <v>1005.3188849999999</v>
      </c>
      <c r="AB347" s="122"/>
      <c r="AC347" s="94">
        <f t="shared" si="35"/>
        <v>849.99999999999989</v>
      </c>
      <c r="AD347" s="74"/>
      <c r="AE347" s="10"/>
      <c r="AF347" s="10"/>
      <c r="AG347" s="7"/>
      <c r="AH347" s="7"/>
      <c r="AI347" s="7"/>
      <c r="AJ347" s="7"/>
      <c r="AK347" s="7"/>
    </row>
    <row r="348" spans="5:37" ht="12.75">
      <c r="E348" s="7"/>
      <c r="F348" s="7"/>
      <c r="G348" s="7"/>
      <c r="H348" s="7"/>
      <c r="I348" s="7"/>
      <c r="J348" s="45"/>
      <c r="K348" s="7"/>
      <c r="L348" s="7"/>
      <c r="M348" s="55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24">
        <v>40</v>
      </c>
      <c r="Y348" s="122" t="str">
        <f t="shared" si="39"/>
        <v>PL</v>
      </c>
      <c r="Z348" s="247">
        <f t="shared" si="40"/>
        <v>2627.2065999999995</v>
      </c>
      <c r="AA348" s="122">
        <f t="shared" si="41"/>
        <v>1247.923135</v>
      </c>
      <c r="AB348" s="122"/>
      <c r="AC348" s="94">
        <f t="shared" si="35"/>
        <v>475.00000000000011</v>
      </c>
      <c r="AD348" s="74"/>
      <c r="AE348" s="10"/>
      <c r="AF348" s="10"/>
      <c r="AG348" s="7"/>
      <c r="AH348" s="7"/>
      <c r="AI348" s="7"/>
      <c r="AJ348" s="7"/>
      <c r="AK348" s="7"/>
    </row>
    <row r="349" spans="5:37" ht="12.75">
      <c r="E349" s="7"/>
      <c r="F349" s="7"/>
      <c r="G349" s="7"/>
      <c r="H349" s="7"/>
      <c r="I349" s="7"/>
      <c r="J349" s="45"/>
      <c r="K349" s="7"/>
      <c r="L349" s="7"/>
      <c r="M349" s="55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248">
        <v>50</v>
      </c>
      <c r="Y349" s="251" t="str">
        <f t="shared" si="39"/>
        <v>PL</v>
      </c>
      <c r="Z349" s="250">
        <f t="shared" si="40"/>
        <v>126.93450000000001</v>
      </c>
      <c r="AA349" s="251">
        <f t="shared" si="41"/>
        <v>60.293887500000004</v>
      </c>
      <c r="AB349" s="251"/>
      <c r="AC349" s="252">
        <f t="shared" si="35"/>
        <v>475</v>
      </c>
      <c r="AD349" s="74"/>
      <c r="AE349" s="10"/>
      <c r="AF349" s="10"/>
      <c r="AG349" s="7"/>
      <c r="AH349" s="7"/>
      <c r="AI349" s="7"/>
      <c r="AJ349" s="7"/>
      <c r="AK349" s="7"/>
    </row>
    <row r="350" spans="5:37" ht="12.75">
      <c r="E350" s="7"/>
      <c r="F350" s="7"/>
      <c r="G350" s="7"/>
      <c r="H350" s="7"/>
      <c r="I350" s="7"/>
      <c r="J350" s="45"/>
      <c r="K350" s="7"/>
      <c r="L350" s="7"/>
      <c r="M350" s="55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243">
        <v>10</v>
      </c>
      <c r="Y350" s="244" t="s">
        <v>30</v>
      </c>
      <c r="Z350" s="245">
        <f t="shared" si="40"/>
        <v>12606.254162499999</v>
      </c>
      <c r="AA350" s="244">
        <f t="shared" si="41"/>
        <v>15253.567536625</v>
      </c>
      <c r="AB350" s="244"/>
      <c r="AC350" s="246">
        <f t="shared" si="35"/>
        <v>1210</v>
      </c>
      <c r="AD350" s="74"/>
      <c r="AE350" s="10"/>
      <c r="AF350" s="10"/>
      <c r="AG350" s="7"/>
      <c r="AH350" s="7"/>
      <c r="AI350" s="7"/>
      <c r="AJ350" s="7"/>
      <c r="AK350" s="7"/>
    </row>
    <row r="351" spans="5:37" ht="12.75">
      <c r="E351" s="7"/>
      <c r="F351" s="7"/>
      <c r="G351" s="7"/>
      <c r="H351" s="7"/>
      <c r="I351" s="7"/>
      <c r="J351" s="45"/>
      <c r="K351" s="7"/>
      <c r="L351" s="7"/>
      <c r="M351" s="55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24">
        <v>12</v>
      </c>
      <c r="Y351" s="122" t="s">
        <v>30</v>
      </c>
      <c r="Z351" s="247">
        <f t="shared" si="40"/>
        <v>988.93044000000009</v>
      </c>
      <c r="AA351" s="122">
        <f t="shared" si="41"/>
        <v>1196.6058324000001</v>
      </c>
      <c r="AB351" s="122"/>
      <c r="AC351" s="94">
        <f t="shared" si="35"/>
        <v>1210</v>
      </c>
      <c r="AD351" s="74"/>
      <c r="AE351" s="10"/>
      <c r="AF351" s="10"/>
      <c r="AG351" s="7"/>
      <c r="AH351" s="7"/>
      <c r="AI351" s="7"/>
      <c r="AJ351" s="7"/>
      <c r="AK351" s="7"/>
    </row>
    <row r="352" spans="5:37" ht="12.75">
      <c r="E352" s="7"/>
      <c r="F352" s="7"/>
      <c r="G352" s="7"/>
      <c r="H352" s="7"/>
      <c r="I352" s="7"/>
      <c r="J352" s="45"/>
      <c r="K352" s="7"/>
      <c r="L352" s="7"/>
      <c r="M352" s="55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24">
        <v>20</v>
      </c>
      <c r="Y352" s="122" t="s">
        <v>30</v>
      </c>
      <c r="Z352" s="247">
        <f t="shared" si="40"/>
        <v>3015.4362000000001</v>
      </c>
      <c r="AA352" s="122">
        <f t="shared" si="41"/>
        <v>3648.6778020000002</v>
      </c>
      <c r="AB352" s="122"/>
      <c r="AC352" s="94">
        <f t="shared" si="35"/>
        <v>1210</v>
      </c>
      <c r="AD352" s="74"/>
      <c r="AE352" s="10"/>
      <c r="AF352" s="10"/>
      <c r="AG352" s="7"/>
      <c r="AH352" s="7"/>
      <c r="AI352" s="7"/>
      <c r="AJ352" s="7"/>
      <c r="AK352" s="7"/>
    </row>
    <row r="353" spans="10:32" s="7" customFormat="1" ht="12.75">
      <c r="J353" s="45"/>
      <c r="M353" s="55"/>
      <c r="X353" s="24">
        <v>25</v>
      </c>
      <c r="Y353" s="122" t="s">
        <v>30</v>
      </c>
      <c r="Z353" s="247">
        <f t="shared" si="40"/>
        <v>2943.75</v>
      </c>
      <c r="AA353" s="122">
        <f t="shared" si="41"/>
        <v>3561.9375</v>
      </c>
      <c r="AB353" s="122"/>
      <c r="AC353" s="94">
        <f t="shared" ref="AC353" si="42">AA353/Z353*1000</f>
        <v>1210</v>
      </c>
      <c r="AD353" s="74"/>
      <c r="AE353" s="10"/>
      <c r="AF353" s="10"/>
    </row>
    <row r="354" spans="10:32" s="7" customFormat="1" ht="12.75">
      <c r="J354" s="45"/>
      <c r="M354" s="55"/>
      <c r="X354" s="248">
        <v>30</v>
      </c>
      <c r="Y354" s="251" t="s">
        <v>30</v>
      </c>
      <c r="Z354" s="250">
        <f t="shared" si="40"/>
        <v>2943.75</v>
      </c>
      <c r="AA354" s="251">
        <f t="shared" si="41"/>
        <v>3561.9375</v>
      </c>
      <c r="AB354" s="251"/>
      <c r="AC354" s="252">
        <f t="shared" si="35"/>
        <v>1210</v>
      </c>
      <c r="AD354" s="74"/>
      <c r="AE354" s="10"/>
      <c r="AF354" s="10"/>
    </row>
    <row r="355" spans="10:32" s="7" customFormat="1" ht="12.75">
      <c r="J355" s="45"/>
      <c r="M355" s="55"/>
      <c r="AC355" s="10"/>
      <c r="AD355" s="10"/>
      <c r="AE355" s="10"/>
      <c r="AF355" s="10"/>
    </row>
    <row r="356" spans="10:32" s="7" customFormat="1" ht="12.75">
      <c r="J356" s="45"/>
      <c r="M356" s="55"/>
      <c r="AC356" s="10"/>
      <c r="AD356" s="10"/>
      <c r="AE356" s="10"/>
      <c r="AF356" s="10"/>
    </row>
    <row r="357" spans="10:32" s="7" customFormat="1" ht="12.75">
      <c r="J357" s="45"/>
      <c r="M357" s="55"/>
      <c r="AC357" s="10"/>
      <c r="AD357" s="10"/>
      <c r="AE357" s="10"/>
      <c r="AF357" s="10"/>
    </row>
    <row r="358" spans="10:32" s="7" customFormat="1" ht="12.75">
      <c r="J358" s="45"/>
      <c r="M358" s="55"/>
      <c r="AC358" s="10"/>
      <c r="AD358" s="10"/>
      <c r="AE358" s="10"/>
      <c r="AF358" s="10"/>
    </row>
    <row r="359" spans="10:32" s="7" customFormat="1" ht="12.75">
      <c r="J359" s="45"/>
      <c r="M359" s="55"/>
      <c r="AC359" s="10"/>
      <c r="AD359" s="10"/>
      <c r="AE359" s="10"/>
      <c r="AF359" s="10"/>
    </row>
    <row r="360" spans="10:32" s="7" customFormat="1" ht="12.75">
      <c r="J360" s="45"/>
      <c r="M360" s="55"/>
      <c r="AC360" s="10"/>
      <c r="AD360" s="10"/>
      <c r="AE360" s="10"/>
      <c r="AF360" s="10"/>
    </row>
    <row r="361" spans="10:32" s="7" customFormat="1" ht="12.75">
      <c r="J361" s="45"/>
      <c r="M361" s="55"/>
      <c r="AC361" s="10"/>
      <c r="AD361" s="10"/>
      <c r="AE361" s="10"/>
      <c r="AF361" s="10"/>
    </row>
    <row r="362" spans="10:32" s="7" customFormat="1" ht="12.75">
      <c r="J362" s="45"/>
      <c r="M362" s="55"/>
      <c r="AC362" s="10"/>
      <c r="AD362" s="10"/>
      <c r="AE362" s="10"/>
      <c r="AF362" s="10"/>
    </row>
    <row r="363" spans="10:32" s="7" customFormat="1" ht="12.75">
      <c r="J363" s="45"/>
      <c r="M363" s="55"/>
      <c r="AC363" s="10"/>
      <c r="AD363" s="10"/>
      <c r="AE363" s="10"/>
      <c r="AF363" s="10"/>
    </row>
    <row r="364" spans="10:32" s="7" customFormat="1" ht="12.75">
      <c r="J364" s="45"/>
      <c r="M364" s="55"/>
      <c r="AC364" s="10"/>
      <c r="AD364" s="10"/>
      <c r="AE364" s="10"/>
      <c r="AF364" s="10"/>
    </row>
  </sheetData>
  <phoneticPr fontId="3" type="noConversion"/>
  <dataValidations count="2">
    <dataValidation type="list" allowBlank="1" showInputMessage="1" showErrorMessage="1" sqref="Q3:Q13 U59:U85 U116 Q36 U251:U254 Y255:Y256 M127:M157 Y3:Y126 U3:U52 Q15:Q17 U172:U192 Y159:Y250" xr:uid="{9F07D66F-F1A7-4731-83D8-CDC3D1313F46}">
      <formula1>arealist3</formula1>
    </dataValidation>
    <dataValidation type="list" allowBlank="1" showInputMessage="1" showErrorMessage="1" sqref="U3:U14 U18:U35 U216:U250 U37:U214 M3:M250 Q3:Q250 V257:Y328 M252:M328 U255:U328 Q252:Q328" xr:uid="{AB735AA4-6DB1-4FB8-9736-4F7F4AC1BC24}">
      <formula1>AreaList2</formula1>
    </dataValidation>
  </dataValidations>
  <printOptions gridLines="1"/>
  <pageMargins left="0.70866141732283472" right="0.70866141732283472" top="0.74803149606299213" bottom="0.74803149606299213" header="0.31496062992125984" footer="0.31496062992125984"/>
  <pageSetup paperSize="9" scale="52" fitToHeight="6" orientation="landscape" r:id="rId1"/>
  <headerFooter alignWithMargins="0">
    <oddFooter>&amp;L&amp;D&amp;C&amp;A&amp;R&amp;P of &amp;N</oddFooter>
  </headerFooter>
  <rowBreaks count="8" manualBreakCount="8">
    <brk id="11" max="20" man="1"/>
    <brk id="33" max="20" man="1"/>
    <brk id="79" max="20" man="1"/>
    <brk id="109" max="20" man="1"/>
    <brk id="162" max="20" man="1"/>
    <brk id="248" max="20" man="1"/>
    <brk id="260" max="20" man="1"/>
    <brk id="267" max="20" man="1"/>
  </rowBreaks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160C8-B94E-444D-8154-273212A72D74}">
  <sheetPr>
    <pageSetUpPr fitToPage="1"/>
  </sheetPr>
  <dimension ref="A1:AG47"/>
  <sheetViews>
    <sheetView zoomScale="70" zoomScaleNormal="70" workbookViewId="0">
      <selection activeCell="P3" sqref="P3"/>
    </sheetView>
  </sheetViews>
  <sheetFormatPr defaultRowHeight="12.75"/>
  <cols>
    <col min="1" max="1" width="9" style="7"/>
    <col min="2" max="2" width="26.5703125" style="7" customWidth="1"/>
    <col min="3" max="3" width="30.140625" style="7" hidden="1" customWidth="1"/>
    <col min="4" max="4" width="18" style="7" customWidth="1"/>
    <col min="5" max="6" width="12.85546875" style="9" customWidth="1"/>
    <col min="7" max="7" width="8.42578125" style="9" customWidth="1"/>
    <col min="8" max="8" width="19.140625" style="141" customWidth="1"/>
    <col min="9" max="9" width="19.140625" style="7" customWidth="1"/>
    <col min="10" max="10" width="9.5703125" style="7" customWidth="1"/>
    <col min="11" max="11" width="9.5703125" style="142" customWidth="1"/>
    <col min="12" max="12" width="20.42578125" style="141" customWidth="1"/>
    <col min="13" max="13" width="20.42578125" style="7" customWidth="1"/>
    <col min="14" max="14" width="9.5703125" style="7" customWidth="1"/>
    <col min="15" max="15" width="9.5703125" style="142" customWidth="1"/>
    <col min="16" max="16" width="14.85546875" style="7" customWidth="1"/>
    <col min="17" max="17" width="17.85546875" style="9" customWidth="1"/>
    <col min="18" max="18" width="23.140625" style="7" customWidth="1"/>
    <col min="19" max="19" width="10.5703125" style="7" customWidth="1"/>
    <col min="20" max="20" width="10" style="7" customWidth="1"/>
    <col min="21" max="24" width="9" style="7"/>
    <col min="25" max="25" width="10.7109375" style="7" bestFit="1" customWidth="1"/>
    <col min="26" max="28" width="7.85546875" style="7" bestFit="1" customWidth="1"/>
    <col min="29" max="31" width="9" style="7"/>
    <col min="32" max="32" width="10.7109375" style="7" bestFit="1" customWidth="1"/>
    <col min="33" max="271" width="9" style="7"/>
    <col min="272" max="272" width="18" style="7" customWidth="1"/>
    <col min="273" max="274" width="12.85546875" style="7" customWidth="1"/>
    <col min="275" max="275" width="9" style="7" customWidth="1"/>
    <col min="276" max="276" width="10.140625" style="7" customWidth="1"/>
    <col min="277" max="277" width="6.140625" style="7" customWidth="1"/>
    <col min="278" max="527" width="9" style="7"/>
    <col min="528" max="528" width="18" style="7" customWidth="1"/>
    <col min="529" max="530" width="12.85546875" style="7" customWidth="1"/>
    <col min="531" max="531" width="9" style="7" customWidth="1"/>
    <col min="532" max="532" width="10.140625" style="7" customWidth="1"/>
    <col min="533" max="533" width="6.140625" style="7" customWidth="1"/>
    <col min="534" max="783" width="9" style="7"/>
    <col min="784" max="784" width="18" style="7" customWidth="1"/>
    <col min="785" max="786" width="12.85546875" style="7" customWidth="1"/>
    <col min="787" max="787" width="9" style="7" customWidth="1"/>
    <col min="788" max="788" width="10.140625" style="7" customWidth="1"/>
    <col min="789" max="789" width="6.140625" style="7" customWidth="1"/>
    <col min="790" max="1039" width="9" style="7"/>
    <col min="1040" max="1040" width="18" style="7" customWidth="1"/>
    <col min="1041" max="1042" width="12.85546875" style="7" customWidth="1"/>
    <col min="1043" max="1043" width="9" style="7" customWidth="1"/>
    <col min="1044" max="1044" width="10.140625" style="7" customWidth="1"/>
    <col min="1045" max="1045" width="6.140625" style="7" customWidth="1"/>
    <col min="1046" max="1295" width="9" style="7"/>
    <col min="1296" max="1296" width="18" style="7" customWidth="1"/>
    <col min="1297" max="1298" width="12.85546875" style="7" customWidth="1"/>
    <col min="1299" max="1299" width="9" style="7" customWidth="1"/>
    <col min="1300" max="1300" width="10.140625" style="7" customWidth="1"/>
    <col min="1301" max="1301" width="6.140625" style="7" customWidth="1"/>
    <col min="1302" max="1551" width="9" style="7"/>
    <col min="1552" max="1552" width="18" style="7" customWidth="1"/>
    <col min="1553" max="1554" width="12.85546875" style="7" customWidth="1"/>
    <col min="1555" max="1555" width="9" style="7" customWidth="1"/>
    <col min="1556" max="1556" width="10.140625" style="7" customWidth="1"/>
    <col min="1557" max="1557" width="6.140625" style="7" customWidth="1"/>
    <col min="1558" max="1807" width="9" style="7"/>
    <col min="1808" max="1808" width="18" style="7" customWidth="1"/>
    <col min="1809" max="1810" width="12.85546875" style="7" customWidth="1"/>
    <col min="1811" max="1811" width="9" style="7" customWidth="1"/>
    <col min="1812" max="1812" width="10.140625" style="7" customWidth="1"/>
    <col min="1813" max="1813" width="6.140625" style="7" customWidth="1"/>
    <col min="1814" max="2063" width="9" style="7"/>
    <col min="2064" max="2064" width="18" style="7" customWidth="1"/>
    <col min="2065" max="2066" width="12.85546875" style="7" customWidth="1"/>
    <col min="2067" max="2067" width="9" style="7" customWidth="1"/>
    <col min="2068" max="2068" width="10.140625" style="7" customWidth="1"/>
    <col min="2069" max="2069" width="6.140625" style="7" customWidth="1"/>
    <col min="2070" max="2319" width="9" style="7"/>
    <col min="2320" max="2320" width="18" style="7" customWidth="1"/>
    <col min="2321" max="2322" width="12.85546875" style="7" customWidth="1"/>
    <col min="2323" max="2323" width="9" style="7" customWidth="1"/>
    <col min="2324" max="2324" width="10.140625" style="7" customWidth="1"/>
    <col min="2325" max="2325" width="6.140625" style="7" customWidth="1"/>
    <col min="2326" max="2575" width="9" style="7"/>
    <col min="2576" max="2576" width="18" style="7" customWidth="1"/>
    <col min="2577" max="2578" width="12.85546875" style="7" customWidth="1"/>
    <col min="2579" max="2579" width="9" style="7" customWidth="1"/>
    <col min="2580" max="2580" width="10.140625" style="7" customWidth="1"/>
    <col min="2581" max="2581" width="6.140625" style="7" customWidth="1"/>
    <col min="2582" max="2831" width="9" style="7"/>
    <col min="2832" max="2832" width="18" style="7" customWidth="1"/>
    <col min="2833" max="2834" width="12.85546875" style="7" customWidth="1"/>
    <col min="2835" max="2835" width="9" style="7" customWidth="1"/>
    <col min="2836" max="2836" width="10.140625" style="7" customWidth="1"/>
    <col min="2837" max="2837" width="6.140625" style="7" customWidth="1"/>
    <col min="2838" max="3087" width="9" style="7"/>
    <col min="3088" max="3088" width="18" style="7" customWidth="1"/>
    <col min="3089" max="3090" width="12.85546875" style="7" customWidth="1"/>
    <col min="3091" max="3091" width="9" style="7" customWidth="1"/>
    <col min="3092" max="3092" width="10.140625" style="7" customWidth="1"/>
    <col min="3093" max="3093" width="6.140625" style="7" customWidth="1"/>
    <col min="3094" max="3343" width="9" style="7"/>
    <col min="3344" max="3344" width="18" style="7" customWidth="1"/>
    <col min="3345" max="3346" width="12.85546875" style="7" customWidth="1"/>
    <col min="3347" max="3347" width="9" style="7" customWidth="1"/>
    <col min="3348" max="3348" width="10.140625" style="7" customWidth="1"/>
    <col min="3349" max="3349" width="6.140625" style="7" customWidth="1"/>
    <col min="3350" max="3599" width="9" style="7"/>
    <col min="3600" max="3600" width="18" style="7" customWidth="1"/>
    <col min="3601" max="3602" width="12.85546875" style="7" customWidth="1"/>
    <col min="3603" max="3603" width="9" style="7" customWidth="1"/>
    <col min="3604" max="3604" width="10.140625" style="7" customWidth="1"/>
    <col min="3605" max="3605" width="6.140625" style="7" customWidth="1"/>
    <col min="3606" max="3855" width="9" style="7"/>
    <col min="3856" max="3856" width="18" style="7" customWidth="1"/>
    <col min="3857" max="3858" width="12.85546875" style="7" customWidth="1"/>
    <col min="3859" max="3859" width="9" style="7" customWidth="1"/>
    <col min="3860" max="3860" width="10.140625" style="7" customWidth="1"/>
    <col min="3861" max="3861" width="6.140625" style="7" customWidth="1"/>
    <col min="3862" max="4111" width="9" style="7"/>
    <col min="4112" max="4112" width="18" style="7" customWidth="1"/>
    <col min="4113" max="4114" width="12.85546875" style="7" customWidth="1"/>
    <col min="4115" max="4115" width="9" style="7" customWidth="1"/>
    <col min="4116" max="4116" width="10.140625" style="7" customWidth="1"/>
    <col min="4117" max="4117" width="6.140625" style="7" customWidth="1"/>
    <col min="4118" max="4367" width="9" style="7"/>
    <col min="4368" max="4368" width="18" style="7" customWidth="1"/>
    <col min="4369" max="4370" width="12.85546875" style="7" customWidth="1"/>
    <col min="4371" max="4371" width="9" style="7" customWidth="1"/>
    <col min="4372" max="4372" width="10.140625" style="7" customWidth="1"/>
    <col min="4373" max="4373" width="6.140625" style="7" customWidth="1"/>
    <col min="4374" max="4623" width="9" style="7"/>
    <col min="4624" max="4624" width="18" style="7" customWidth="1"/>
    <col min="4625" max="4626" width="12.85546875" style="7" customWidth="1"/>
    <col min="4627" max="4627" width="9" style="7" customWidth="1"/>
    <col min="4628" max="4628" width="10.140625" style="7" customWidth="1"/>
    <col min="4629" max="4629" width="6.140625" style="7" customWidth="1"/>
    <col min="4630" max="4879" width="9" style="7"/>
    <col min="4880" max="4880" width="18" style="7" customWidth="1"/>
    <col min="4881" max="4882" width="12.85546875" style="7" customWidth="1"/>
    <col min="4883" max="4883" width="9" style="7" customWidth="1"/>
    <col min="4884" max="4884" width="10.140625" style="7" customWidth="1"/>
    <col min="4885" max="4885" width="6.140625" style="7" customWidth="1"/>
    <col min="4886" max="5135" width="9" style="7"/>
    <col min="5136" max="5136" width="18" style="7" customWidth="1"/>
    <col min="5137" max="5138" width="12.85546875" style="7" customWidth="1"/>
    <col min="5139" max="5139" width="9" style="7" customWidth="1"/>
    <col min="5140" max="5140" width="10.140625" style="7" customWidth="1"/>
    <col min="5141" max="5141" width="6.140625" style="7" customWidth="1"/>
    <col min="5142" max="5391" width="9" style="7"/>
    <col min="5392" max="5392" width="18" style="7" customWidth="1"/>
    <col min="5393" max="5394" width="12.85546875" style="7" customWidth="1"/>
    <col min="5395" max="5395" width="9" style="7" customWidth="1"/>
    <col min="5396" max="5396" width="10.140625" style="7" customWidth="1"/>
    <col min="5397" max="5397" width="6.140625" style="7" customWidth="1"/>
    <col min="5398" max="5647" width="9" style="7"/>
    <col min="5648" max="5648" width="18" style="7" customWidth="1"/>
    <col min="5649" max="5650" width="12.85546875" style="7" customWidth="1"/>
    <col min="5651" max="5651" width="9" style="7" customWidth="1"/>
    <col min="5652" max="5652" width="10.140625" style="7" customWidth="1"/>
    <col min="5653" max="5653" width="6.140625" style="7" customWidth="1"/>
    <col min="5654" max="5903" width="9" style="7"/>
    <col min="5904" max="5904" width="18" style="7" customWidth="1"/>
    <col min="5905" max="5906" width="12.85546875" style="7" customWidth="1"/>
    <col min="5907" max="5907" width="9" style="7" customWidth="1"/>
    <col min="5908" max="5908" width="10.140625" style="7" customWidth="1"/>
    <col min="5909" max="5909" width="6.140625" style="7" customWidth="1"/>
    <col min="5910" max="6159" width="9" style="7"/>
    <col min="6160" max="6160" width="18" style="7" customWidth="1"/>
    <col min="6161" max="6162" width="12.85546875" style="7" customWidth="1"/>
    <col min="6163" max="6163" width="9" style="7" customWidth="1"/>
    <col min="6164" max="6164" width="10.140625" style="7" customWidth="1"/>
    <col min="6165" max="6165" width="6.140625" style="7" customWidth="1"/>
    <col min="6166" max="6415" width="9" style="7"/>
    <col min="6416" max="6416" width="18" style="7" customWidth="1"/>
    <col min="6417" max="6418" width="12.85546875" style="7" customWidth="1"/>
    <col min="6419" max="6419" width="9" style="7" customWidth="1"/>
    <col min="6420" max="6420" width="10.140625" style="7" customWidth="1"/>
    <col min="6421" max="6421" width="6.140625" style="7" customWidth="1"/>
    <col min="6422" max="6671" width="9" style="7"/>
    <col min="6672" max="6672" width="18" style="7" customWidth="1"/>
    <col min="6673" max="6674" width="12.85546875" style="7" customWidth="1"/>
    <col min="6675" max="6675" width="9" style="7" customWidth="1"/>
    <col min="6676" max="6676" width="10.140625" style="7" customWidth="1"/>
    <col min="6677" max="6677" width="6.140625" style="7" customWidth="1"/>
    <col min="6678" max="6927" width="9" style="7"/>
    <col min="6928" max="6928" width="18" style="7" customWidth="1"/>
    <col min="6929" max="6930" width="12.85546875" style="7" customWidth="1"/>
    <col min="6931" max="6931" width="9" style="7" customWidth="1"/>
    <col min="6932" max="6932" width="10.140625" style="7" customWidth="1"/>
    <col min="6933" max="6933" width="6.140625" style="7" customWidth="1"/>
    <col min="6934" max="7183" width="9" style="7"/>
    <col min="7184" max="7184" width="18" style="7" customWidth="1"/>
    <col min="7185" max="7186" width="12.85546875" style="7" customWidth="1"/>
    <col min="7187" max="7187" width="9" style="7" customWidth="1"/>
    <col min="7188" max="7188" width="10.140625" style="7" customWidth="1"/>
    <col min="7189" max="7189" width="6.140625" style="7" customWidth="1"/>
    <col min="7190" max="7439" width="9" style="7"/>
    <col min="7440" max="7440" width="18" style="7" customWidth="1"/>
    <col min="7441" max="7442" width="12.85546875" style="7" customWidth="1"/>
    <col min="7443" max="7443" width="9" style="7" customWidth="1"/>
    <col min="7444" max="7444" width="10.140625" style="7" customWidth="1"/>
    <col min="7445" max="7445" width="6.140625" style="7" customWidth="1"/>
    <col min="7446" max="7695" width="9" style="7"/>
    <col min="7696" max="7696" width="18" style="7" customWidth="1"/>
    <col min="7697" max="7698" width="12.85546875" style="7" customWidth="1"/>
    <col min="7699" max="7699" width="9" style="7" customWidth="1"/>
    <col min="7700" max="7700" width="10.140625" style="7" customWidth="1"/>
    <col min="7701" max="7701" width="6.140625" style="7" customWidth="1"/>
    <col min="7702" max="7951" width="9" style="7"/>
    <col min="7952" max="7952" width="18" style="7" customWidth="1"/>
    <col min="7953" max="7954" width="12.85546875" style="7" customWidth="1"/>
    <col min="7955" max="7955" width="9" style="7" customWidth="1"/>
    <col min="7956" max="7956" width="10.140625" style="7" customWidth="1"/>
    <col min="7957" max="7957" width="6.140625" style="7" customWidth="1"/>
    <col min="7958" max="8207" width="9" style="7"/>
    <col min="8208" max="8208" width="18" style="7" customWidth="1"/>
    <col min="8209" max="8210" width="12.85546875" style="7" customWidth="1"/>
    <col min="8211" max="8211" width="9" style="7" customWidth="1"/>
    <col min="8212" max="8212" width="10.140625" style="7" customWidth="1"/>
    <col min="8213" max="8213" width="6.140625" style="7" customWidth="1"/>
    <col min="8214" max="8463" width="9" style="7"/>
    <col min="8464" max="8464" width="18" style="7" customWidth="1"/>
    <col min="8465" max="8466" width="12.85546875" style="7" customWidth="1"/>
    <col min="8467" max="8467" width="9" style="7" customWidth="1"/>
    <col min="8468" max="8468" width="10.140625" style="7" customWidth="1"/>
    <col min="8469" max="8469" width="6.140625" style="7" customWidth="1"/>
    <col min="8470" max="8719" width="9" style="7"/>
    <col min="8720" max="8720" width="18" style="7" customWidth="1"/>
    <col min="8721" max="8722" width="12.85546875" style="7" customWidth="1"/>
    <col min="8723" max="8723" width="9" style="7" customWidth="1"/>
    <col min="8724" max="8724" width="10.140625" style="7" customWidth="1"/>
    <col min="8725" max="8725" width="6.140625" style="7" customWidth="1"/>
    <col min="8726" max="8975" width="9" style="7"/>
    <col min="8976" max="8976" width="18" style="7" customWidth="1"/>
    <col min="8977" max="8978" width="12.85546875" style="7" customWidth="1"/>
    <col min="8979" max="8979" width="9" style="7" customWidth="1"/>
    <col min="8980" max="8980" width="10.140625" style="7" customWidth="1"/>
    <col min="8981" max="8981" width="6.140625" style="7" customWidth="1"/>
    <col min="8982" max="9231" width="9" style="7"/>
    <col min="9232" max="9232" width="18" style="7" customWidth="1"/>
    <col min="9233" max="9234" width="12.85546875" style="7" customWidth="1"/>
    <col min="9235" max="9235" width="9" style="7" customWidth="1"/>
    <col min="9236" max="9236" width="10.140625" style="7" customWidth="1"/>
    <col min="9237" max="9237" width="6.140625" style="7" customWidth="1"/>
    <col min="9238" max="9487" width="9" style="7"/>
    <col min="9488" max="9488" width="18" style="7" customWidth="1"/>
    <col min="9489" max="9490" width="12.85546875" style="7" customWidth="1"/>
    <col min="9491" max="9491" width="9" style="7" customWidth="1"/>
    <col min="9492" max="9492" width="10.140625" style="7" customWidth="1"/>
    <col min="9493" max="9493" width="6.140625" style="7" customWidth="1"/>
    <col min="9494" max="9743" width="9" style="7"/>
    <col min="9744" max="9744" width="18" style="7" customWidth="1"/>
    <col min="9745" max="9746" width="12.85546875" style="7" customWidth="1"/>
    <col min="9747" max="9747" width="9" style="7" customWidth="1"/>
    <col min="9748" max="9748" width="10.140625" style="7" customWidth="1"/>
    <col min="9749" max="9749" width="6.140625" style="7" customWidth="1"/>
    <col min="9750" max="9999" width="9" style="7"/>
    <col min="10000" max="10000" width="18" style="7" customWidth="1"/>
    <col min="10001" max="10002" width="12.85546875" style="7" customWidth="1"/>
    <col min="10003" max="10003" width="9" style="7" customWidth="1"/>
    <col min="10004" max="10004" width="10.140625" style="7" customWidth="1"/>
    <col min="10005" max="10005" width="6.140625" style="7" customWidth="1"/>
    <col min="10006" max="10255" width="9" style="7"/>
    <col min="10256" max="10256" width="18" style="7" customWidth="1"/>
    <col min="10257" max="10258" width="12.85546875" style="7" customWidth="1"/>
    <col min="10259" max="10259" width="9" style="7" customWidth="1"/>
    <col min="10260" max="10260" width="10.140625" style="7" customWidth="1"/>
    <col min="10261" max="10261" width="6.140625" style="7" customWidth="1"/>
    <col min="10262" max="10511" width="9" style="7"/>
    <col min="10512" max="10512" width="18" style="7" customWidth="1"/>
    <col min="10513" max="10514" width="12.85546875" style="7" customWidth="1"/>
    <col min="10515" max="10515" width="9" style="7" customWidth="1"/>
    <col min="10516" max="10516" width="10.140625" style="7" customWidth="1"/>
    <col min="10517" max="10517" width="6.140625" style="7" customWidth="1"/>
    <col min="10518" max="10767" width="9" style="7"/>
    <col min="10768" max="10768" width="18" style="7" customWidth="1"/>
    <col min="10769" max="10770" width="12.85546875" style="7" customWidth="1"/>
    <col min="10771" max="10771" width="9" style="7" customWidth="1"/>
    <col min="10772" max="10772" width="10.140625" style="7" customWidth="1"/>
    <col min="10773" max="10773" width="6.140625" style="7" customWidth="1"/>
    <col min="10774" max="11023" width="9" style="7"/>
    <col min="11024" max="11024" width="18" style="7" customWidth="1"/>
    <col min="11025" max="11026" width="12.85546875" style="7" customWidth="1"/>
    <col min="11027" max="11027" width="9" style="7" customWidth="1"/>
    <col min="11028" max="11028" width="10.140625" style="7" customWidth="1"/>
    <col min="11029" max="11029" width="6.140625" style="7" customWidth="1"/>
    <col min="11030" max="11279" width="9" style="7"/>
    <col min="11280" max="11280" width="18" style="7" customWidth="1"/>
    <col min="11281" max="11282" width="12.85546875" style="7" customWidth="1"/>
    <col min="11283" max="11283" width="9" style="7" customWidth="1"/>
    <col min="11284" max="11284" width="10.140625" style="7" customWidth="1"/>
    <col min="11285" max="11285" width="6.140625" style="7" customWidth="1"/>
    <col min="11286" max="11535" width="9" style="7"/>
    <col min="11536" max="11536" width="18" style="7" customWidth="1"/>
    <col min="11537" max="11538" width="12.85546875" style="7" customWidth="1"/>
    <col min="11539" max="11539" width="9" style="7" customWidth="1"/>
    <col min="11540" max="11540" width="10.140625" style="7" customWidth="1"/>
    <col min="11541" max="11541" width="6.140625" style="7" customWidth="1"/>
    <col min="11542" max="11791" width="9" style="7"/>
    <col min="11792" max="11792" width="18" style="7" customWidth="1"/>
    <col min="11793" max="11794" width="12.85546875" style="7" customWidth="1"/>
    <col min="11795" max="11795" width="9" style="7" customWidth="1"/>
    <col min="11796" max="11796" width="10.140625" style="7" customWidth="1"/>
    <col min="11797" max="11797" width="6.140625" style="7" customWidth="1"/>
    <col min="11798" max="12047" width="9" style="7"/>
    <col min="12048" max="12048" width="18" style="7" customWidth="1"/>
    <col min="12049" max="12050" width="12.85546875" style="7" customWidth="1"/>
    <col min="12051" max="12051" width="9" style="7" customWidth="1"/>
    <col min="12052" max="12052" width="10.140625" style="7" customWidth="1"/>
    <col min="12053" max="12053" width="6.140625" style="7" customWidth="1"/>
    <col min="12054" max="12303" width="9" style="7"/>
    <col min="12304" max="12304" width="18" style="7" customWidth="1"/>
    <col min="12305" max="12306" width="12.85546875" style="7" customWidth="1"/>
    <col min="12307" max="12307" width="9" style="7" customWidth="1"/>
    <col min="12308" max="12308" width="10.140625" style="7" customWidth="1"/>
    <col min="12309" max="12309" width="6.140625" style="7" customWidth="1"/>
    <col min="12310" max="12559" width="9" style="7"/>
    <col min="12560" max="12560" width="18" style="7" customWidth="1"/>
    <col min="12561" max="12562" width="12.85546875" style="7" customWidth="1"/>
    <col min="12563" max="12563" width="9" style="7" customWidth="1"/>
    <col min="12564" max="12564" width="10.140625" style="7" customWidth="1"/>
    <col min="12565" max="12565" width="6.140625" style="7" customWidth="1"/>
    <col min="12566" max="12815" width="9" style="7"/>
    <col min="12816" max="12816" width="18" style="7" customWidth="1"/>
    <col min="12817" max="12818" width="12.85546875" style="7" customWidth="1"/>
    <col min="12819" max="12819" width="9" style="7" customWidth="1"/>
    <col min="12820" max="12820" width="10.140625" style="7" customWidth="1"/>
    <col min="12821" max="12821" width="6.140625" style="7" customWidth="1"/>
    <col min="12822" max="13071" width="9" style="7"/>
    <col min="13072" max="13072" width="18" style="7" customWidth="1"/>
    <col min="13073" max="13074" width="12.85546875" style="7" customWidth="1"/>
    <col min="13075" max="13075" width="9" style="7" customWidth="1"/>
    <col min="13076" max="13076" width="10.140625" style="7" customWidth="1"/>
    <col min="13077" max="13077" width="6.140625" style="7" customWidth="1"/>
    <col min="13078" max="13327" width="9" style="7"/>
    <col min="13328" max="13328" width="18" style="7" customWidth="1"/>
    <col min="13329" max="13330" width="12.85546875" style="7" customWidth="1"/>
    <col min="13331" max="13331" width="9" style="7" customWidth="1"/>
    <col min="13332" max="13332" width="10.140625" style="7" customWidth="1"/>
    <col min="13333" max="13333" width="6.140625" style="7" customWidth="1"/>
    <col min="13334" max="13583" width="9" style="7"/>
    <col min="13584" max="13584" width="18" style="7" customWidth="1"/>
    <col min="13585" max="13586" width="12.85546875" style="7" customWidth="1"/>
    <col min="13587" max="13587" width="9" style="7" customWidth="1"/>
    <col min="13588" max="13588" width="10.140625" style="7" customWidth="1"/>
    <col min="13589" max="13589" width="6.140625" style="7" customWidth="1"/>
    <col min="13590" max="13839" width="9" style="7"/>
    <col min="13840" max="13840" width="18" style="7" customWidth="1"/>
    <col min="13841" max="13842" width="12.85546875" style="7" customWidth="1"/>
    <col min="13843" max="13843" width="9" style="7" customWidth="1"/>
    <col min="13844" max="13844" width="10.140625" style="7" customWidth="1"/>
    <col min="13845" max="13845" width="6.140625" style="7" customWidth="1"/>
    <col min="13846" max="14095" width="9" style="7"/>
    <col min="14096" max="14096" width="18" style="7" customWidth="1"/>
    <col min="14097" max="14098" width="12.85546875" style="7" customWidth="1"/>
    <col min="14099" max="14099" width="9" style="7" customWidth="1"/>
    <col min="14100" max="14100" width="10.140625" style="7" customWidth="1"/>
    <col min="14101" max="14101" width="6.140625" style="7" customWidth="1"/>
    <col min="14102" max="14351" width="9" style="7"/>
    <col min="14352" max="14352" width="18" style="7" customWidth="1"/>
    <col min="14353" max="14354" width="12.85546875" style="7" customWidth="1"/>
    <col min="14355" max="14355" width="9" style="7" customWidth="1"/>
    <col min="14356" max="14356" width="10.140625" style="7" customWidth="1"/>
    <col min="14357" max="14357" width="6.140625" style="7" customWidth="1"/>
    <col min="14358" max="14607" width="9" style="7"/>
    <col min="14608" max="14608" width="18" style="7" customWidth="1"/>
    <col min="14609" max="14610" width="12.85546875" style="7" customWidth="1"/>
    <col min="14611" max="14611" width="9" style="7" customWidth="1"/>
    <col min="14612" max="14612" width="10.140625" style="7" customWidth="1"/>
    <col min="14613" max="14613" width="6.140625" style="7" customWidth="1"/>
    <col min="14614" max="14863" width="9" style="7"/>
    <col min="14864" max="14864" width="18" style="7" customWidth="1"/>
    <col min="14865" max="14866" width="12.85546875" style="7" customWidth="1"/>
    <col min="14867" max="14867" width="9" style="7" customWidth="1"/>
    <col min="14868" max="14868" width="10.140625" style="7" customWidth="1"/>
    <col min="14869" max="14869" width="6.140625" style="7" customWidth="1"/>
    <col min="14870" max="15119" width="9" style="7"/>
    <col min="15120" max="15120" width="18" style="7" customWidth="1"/>
    <col min="15121" max="15122" width="12.85546875" style="7" customWidth="1"/>
    <col min="15123" max="15123" width="9" style="7" customWidth="1"/>
    <col min="15124" max="15124" width="10.140625" style="7" customWidth="1"/>
    <col min="15125" max="15125" width="6.140625" style="7" customWidth="1"/>
    <col min="15126" max="15375" width="9" style="7"/>
    <col min="15376" max="15376" width="18" style="7" customWidth="1"/>
    <col min="15377" max="15378" width="12.85546875" style="7" customWidth="1"/>
    <col min="15379" max="15379" width="9" style="7" customWidth="1"/>
    <col min="15380" max="15380" width="10.140625" style="7" customWidth="1"/>
    <col min="15381" max="15381" width="6.140625" style="7" customWidth="1"/>
    <col min="15382" max="15631" width="9" style="7"/>
    <col min="15632" max="15632" width="18" style="7" customWidth="1"/>
    <col min="15633" max="15634" width="12.85546875" style="7" customWidth="1"/>
    <col min="15635" max="15635" width="9" style="7" customWidth="1"/>
    <col min="15636" max="15636" width="10.140625" style="7" customWidth="1"/>
    <col min="15637" max="15637" width="6.140625" style="7" customWidth="1"/>
    <col min="15638" max="15887" width="9" style="7"/>
    <col min="15888" max="15888" width="18" style="7" customWidth="1"/>
    <col min="15889" max="15890" width="12.85546875" style="7" customWidth="1"/>
    <col min="15891" max="15891" width="9" style="7" customWidth="1"/>
    <col min="15892" max="15892" width="10.140625" style="7" customWidth="1"/>
    <col min="15893" max="15893" width="6.140625" style="7" customWidth="1"/>
    <col min="15894" max="16143" width="9" style="7"/>
    <col min="16144" max="16144" width="18" style="7" customWidth="1"/>
    <col min="16145" max="16146" width="12.85546875" style="7" customWidth="1"/>
    <col min="16147" max="16147" width="9" style="7" customWidth="1"/>
    <col min="16148" max="16148" width="10.140625" style="7" customWidth="1"/>
    <col min="16149" max="16149" width="6.140625" style="7" customWidth="1"/>
    <col min="16150" max="16384" width="9" style="7"/>
  </cols>
  <sheetData>
    <row r="1" spans="1:33" ht="49.5" customHeight="1">
      <c r="A1" s="11" t="s">
        <v>337</v>
      </c>
      <c r="B1" s="3" t="s">
        <v>14</v>
      </c>
      <c r="C1" s="4" t="s">
        <v>15</v>
      </c>
      <c r="D1" s="125" t="s">
        <v>338</v>
      </c>
      <c r="E1" s="91" t="s">
        <v>339</v>
      </c>
      <c r="F1" s="91" t="s">
        <v>340</v>
      </c>
      <c r="G1" s="91" t="s">
        <v>139</v>
      </c>
      <c r="H1" s="134" t="s">
        <v>289</v>
      </c>
      <c r="I1" s="135" t="s">
        <v>290</v>
      </c>
      <c r="J1" s="135" t="s">
        <v>341</v>
      </c>
      <c r="K1" s="136" t="s">
        <v>342</v>
      </c>
      <c r="L1" s="134" t="s">
        <v>291</v>
      </c>
      <c r="M1" s="135" t="s">
        <v>292</v>
      </c>
      <c r="N1" s="135" t="s">
        <v>343</v>
      </c>
      <c r="O1" s="136" t="s">
        <v>344</v>
      </c>
      <c r="P1" s="129" t="s">
        <v>345</v>
      </c>
      <c r="Q1" s="125" t="s">
        <v>275</v>
      </c>
      <c r="R1" s="12" t="s">
        <v>346</v>
      </c>
      <c r="S1" s="13" t="s">
        <v>347</v>
      </c>
      <c r="T1" s="14" t="s">
        <v>348</v>
      </c>
      <c r="U1" s="14" t="s">
        <v>282</v>
      </c>
      <c r="V1" s="14" t="s">
        <v>283</v>
      </c>
      <c r="W1" s="14" t="s">
        <v>284</v>
      </c>
      <c r="AB1" s="11" t="s">
        <v>349</v>
      </c>
      <c r="AE1" s="11" t="s">
        <v>350</v>
      </c>
      <c r="AG1" s="7" t="s">
        <v>351</v>
      </c>
    </row>
    <row r="2" spans="1:33" ht="15">
      <c r="D2" s="15" t="s">
        <v>352</v>
      </c>
      <c r="E2" s="16" t="s">
        <v>259</v>
      </c>
      <c r="F2" s="16" t="s">
        <v>117</v>
      </c>
      <c r="G2" s="16" t="s">
        <v>139</v>
      </c>
      <c r="H2" s="137" t="s">
        <v>353</v>
      </c>
      <c r="I2" s="16" t="s">
        <v>354</v>
      </c>
      <c r="J2" s="16" t="s">
        <v>341</v>
      </c>
      <c r="K2" s="138" t="s">
        <v>342</v>
      </c>
      <c r="L2" s="137" t="s">
        <v>353</v>
      </c>
      <c r="M2" s="16" t="s">
        <v>354</v>
      </c>
      <c r="N2" s="16" t="s">
        <v>341</v>
      </c>
      <c r="O2" s="138" t="s">
        <v>342</v>
      </c>
      <c r="P2" s="35" t="s">
        <v>355</v>
      </c>
      <c r="Q2" s="9" t="s">
        <v>296</v>
      </c>
      <c r="R2" s="10" t="s">
        <v>356</v>
      </c>
    </row>
    <row r="3" spans="1:33" ht="40.35" customHeight="1">
      <c r="A3" s="7" t="s">
        <v>36</v>
      </c>
      <c r="B3" s="7" t="str">
        <f t="shared" ref="B3:B6" si="0">_xlfn.CONCAT(A3,"_",G3,"_",E3,"_",F3,"")</f>
        <v>ALSH_0.8_2500_1250</v>
      </c>
      <c r="C3" s="7" t="str">
        <f>B3</f>
        <v>ALSH_0.8_2500_1250</v>
      </c>
      <c r="D3" s="9" t="s">
        <v>357</v>
      </c>
      <c r="E3" s="9">
        <v>2500</v>
      </c>
      <c r="F3" s="9">
        <v>1250</v>
      </c>
      <c r="G3" s="9">
        <v>0.8</v>
      </c>
      <c r="H3" s="139">
        <v>2500</v>
      </c>
      <c r="I3" s="9">
        <v>600</v>
      </c>
      <c r="J3" s="9">
        <v>1</v>
      </c>
      <c r="K3" s="140" t="s">
        <v>299</v>
      </c>
      <c r="L3" s="139">
        <v>2500</v>
      </c>
      <c r="M3" s="9">
        <v>400</v>
      </c>
      <c r="N3" s="9">
        <v>1</v>
      </c>
      <c r="O3" s="140" t="s">
        <v>299</v>
      </c>
      <c r="P3" s="221">
        <f>((Table11[[#This Row],[Qty.]]*(IF(Table11[[#This Row],[Length 1]]&lt;1,(Table11[[#This Row],[Std Length]]*Table11[[#This Row],[Std Width]]),(Table11[[#This Row],[Length 1]]*Table11[[#This Row],[Width 1]]))))+(Table11[[#This Row],[Qty2]]*(IF(Table11[[#This Row],[Length 2]]&lt;1,(Table11[[#This Row],[Std Length]]*Table11[[#This Row],[Std Width]]),(Table11[[#This Row],[Length 2]]*Table11[[#This Row],[Width 2]])))))/1000000</f>
        <v>2.5</v>
      </c>
      <c r="Q3" s="17">
        <f>Table11[[#This Row],[Total Sq Metres]]*(Table11[[#This Row],[Cost 
£ / SHEET]]/(Table11[[#This Row],[Std Length]]*Table11[[#This Row],[Std Width]]/1000000))</f>
        <v>17.600000000000001</v>
      </c>
      <c r="R3" s="10">
        <v>22</v>
      </c>
      <c r="Y3" s="221">
        <f>((Table11[[#This Row],[Qty.]]*(IF(Table11[[#This Row],[Length 1]]&lt;1,(Table11[[#This Row],[Std Length]]*Table11[[#This Row],[Std Width]]),(Table11[[#This Row],[Length 1]]*Table11[[#This Row],[Width 1]]))))+(Table11[[#This Row],[Qty2]]*(IF(Table11[[#This Row],[Length 2]]&lt;1,(Table11[[#This Row],[Std Length]]*Table11[[#This Row],[Std Width]]),(Table11[[#This Row],[Length 2]]*Table11[[#This Row],[Width 2]])))))/1000000</f>
        <v>2.5</v>
      </c>
      <c r="Z3" s="175">
        <f>Table11[[#This Row],[Length 1]]*Table11[[#This Row],[Width 1]]*Table11[[#This Row],[Qty.]]</f>
        <v>1500000</v>
      </c>
      <c r="AA3" s="167">
        <f>Table11[[#This Row],[Length 2]]*Table11[[#This Row],[Width 2]]*Table11[[#This Row],[Qty2]]</f>
        <v>1000000</v>
      </c>
      <c r="AB3" s="219">
        <f>Z3+AA3</f>
        <v>2500000</v>
      </c>
      <c r="AC3" s="7">
        <f>Table11[[#This Row],[Std Length]]*Table11[[#This Row],[Std Width]]*Table11[[#This Row],[Qty.]]</f>
        <v>3125000</v>
      </c>
      <c r="AD3" s="7">
        <f>Table11[[#This Row],[Std Length]]*Table11[[#This Row],[Std Width]]*Table11[[#This Row],[Qty2]]</f>
        <v>3125000</v>
      </c>
      <c r="AE3" s="7">
        <f>AD3+AC3</f>
        <v>6250000</v>
      </c>
      <c r="AG3" s="7">
        <f>Table11[[#This Row],[Length 1]]*Table11[[#This Row],[Width 1]]*Table11[[#This Row],[Qty.]]+Table11[[#This Row],[Length 2]]*Table11[[#This Row],[Width 2]]*Table11[[#This Row],[Qty2]]</f>
        <v>2500000</v>
      </c>
    </row>
    <row r="4" spans="1:33" ht="40.35" customHeight="1">
      <c r="A4" s="7" t="s">
        <v>36</v>
      </c>
      <c r="B4" s="7" t="str">
        <f t="shared" si="0"/>
        <v>ALSH_2_2500_1250</v>
      </c>
      <c r="C4" s="7" t="str">
        <f t="shared" ref="C4:C18" si="1">B4</f>
        <v>ALSH_2_2500_1250</v>
      </c>
      <c r="D4" s="9" t="s">
        <v>358</v>
      </c>
      <c r="E4" s="9">
        <v>2500</v>
      </c>
      <c r="F4" s="9">
        <v>1250</v>
      </c>
      <c r="G4" s="9">
        <v>2</v>
      </c>
      <c r="H4" s="139"/>
      <c r="I4" s="9"/>
      <c r="J4" s="9">
        <v>3</v>
      </c>
      <c r="K4" s="140" t="s">
        <v>299</v>
      </c>
      <c r="L4" s="139">
        <v>1250</v>
      </c>
      <c r="M4" s="9">
        <v>960</v>
      </c>
      <c r="N4" s="9">
        <v>1</v>
      </c>
      <c r="O4" s="140" t="s">
        <v>299</v>
      </c>
      <c r="P4" s="221">
        <f>((Table11[[#This Row],[Qty.]]*(IF(Table11[[#This Row],[Length 1]]&lt;1,(Table11[[#This Row],[Std Length]]*Table11[[#This Row],[Std Width]]),(Table11[[#This Row],[Length 1]]*Table11[[#This Row],[Width 1]]))))+(Table11[[#This Row],[Qty2]]*(IF(Table11[[#This Row],[Length 2]]&lt;1,(Table11[[#This Row],[Std Length]]*Table11[[#This Row],[Std Width]]),(Table11[[#This Row],[Length 2]]*Table11[[#This Row],[Width 2]])))))/1000000</f>
        <v>10.574999999999999</v>
      </c>
      <c r="Q4" s="17">
        <f>Table11[[#This Row],[Total Sq Metres]]*(Table11[[#This Row],[Cost 
£ / SHEET]]/(Table11[[#This Row],[Std Length]]*Table11[[#This Row],[Std Width]]/1000000))</f>
        <v>167.16959999999997</v>
      </c>
      <c r="R4" s="10">
        <v>49.4</v>
      </c>
      <c r="T4" s="18">
        <f>R4*1.3</f>
        <v>64.22</v>
      </c>
      <c r="U4" s="18">
        <f>R4*1.35</f>
        <v>66.69</v>
      </c>
      <c r="V4" s="18">
        <f>R4*1.4</f>
        <v>69.16</v>
      </c>
      <c r="W4" s="18">
        <f>R4*1.5</f>
        <v>74.099999999999994</v>
      </c>
      <c r="Y4" s="221">
        <f>((Table11[[#This Row],[Qty.]]*(IF(Table11[[#This Row],[Length 1]]&lt;1,(Table11[[#This Row],[Std Length]]*Table11[[#This Row],[Std Width]]),(Table11[[#This Row],[Length 1]]*Table11[[#This Row],[Width 1]]))))+(Table11[[#This Row],[Qty2]]*(IF(Table11[[#This Row],[Length 2]]&lt;1,(Table11[[#This Row],[Std Length]]*Table11[[#This Row],[Std Width]]),(Table11[[#This Row],[Length 2]]*Table11[[#This Row],[Width 2]])))))/1000000</f>
        <v>10.574999999999999</v>
      </c>
      <c r="Z4" s="45">
        <f>Table11[[#This Row],[Length 1]]*Table11[[#This Row],[Width 1]]*Table11[[#This Row],[Qty.]]</f>
        <v>0</v>
      </c>
      <c r="AA4" s="7">
        <f>Table11[[#This Row],[Length 2]]*Table11[[#This Row],[Width 2]]*Table11[[#This Row],[Qty2]]</f>
        <v>1200000</v>
      </c>
      <c r="AB4" s="219">
        <f t="shared" ref="AB4:AB10" si="2">Z4+AA4</f>
        <v>1200000</v>
      </c>
      <c r="AC4" s="7">
        <f>Table11[[#This Row],[Std Length]]*Table11[[#This Row],[Std Width]]*Table11[[#This Row],[Qty.]]</f>
        <v>9375000</v>
      </c>
      <c r="AD4" s="7">
        <f>Table11[[#This Row],[Std Length]]*Table11[[#This Row],[Std Width]]*Table11[[#This Row],[Qty2]]</f>
        <v>3125000</v>
      </c>
      <c r="AE4" s="7">
        <f t="shared" ref="AE4:AE19" si="3">AD4+AC4</f>
        <v>12500000</v>
      </c>
      <c r="AG4" s="7">
        <f>Table11[[#This Row],[Qty.]]*Table11[[#This Row],[Std Width]]*Table11[[#This Row],[Std Length]]+Table11[[#This Row],[Length 2]]*Table11[[#This Row],[Width 2]]*Table11[[#This Row],[Qty2]]</f>
        <v>10575000</v>
      </c>
    </row>
    <row r="5" spans="1:33" ht="40.35" customHeight="1">
      <c r="A5" s="7" t="s">
        <v>36</v>
      </c>
      <c r="B5" s="7" t="str">
        <f t="shared" si="0"/>
        <v>ALSH_2_3000_1500</v>
      </c>
      <c r="C5" s="7" t="str">
        <f t="shared" si="1"/>
        <v>ALSH_2_3000_1500</v>
      </c>
      <c r="D5" s="9" t="s">
        <v>358</v>
      </c>
      <c r="E5" s="9">
        <v>3000</v>
      </c>
      <c r="F5" s="9">
        <v>1500</v>
      </c>
      <c r="G5" s="9">
        <v>2</v>
      </c>
      <c r="H5" s="139"/>
      <c r="I5" s="9"/>
      <c r="J5" s="9"/>
      <c r="K5" s="140"/>
      <c r="L5" s="139"/>
      <c r="M5" s="9"/>
      <c r="N5" s="9"/>
      <c r="O5" s="140"/>
      <c r="P5" s="221">
        <f>((Table11[[#This Row],[Qty.]]*(IF(Table11[[#This Row],[Length 1]]&lt;1,(Table11[[#This Row],[Std Length]]*Table11[[#This Row],[Std Width]]),(Table11[[#This Row],[Length 1]]*Table11[[#This Row],[Width 1]]))))+(Table11[[#This Row],[Qty2]]*(IF(Table11[[#This Row],[Length 2]]&lt;1,(Table11[[#This Row],[Std Length]]*Table11[[#This Row],[Std Width]]),(Table11[[#This Row],[Length 2]]*Table11[[#This Row],[Width 2]])))))/1000000</f>
        <v>0</v>
      </c>
      <c r="Q5" s="17">
        <f>Table11[[#This Row],[Total Sq Metres]]*(Table11[[#This Row],[Cost 
£ / SHEET]]/(Table11[[#This Row],[Std Length]]*Table11[[#This Row],[Std Width]]/1000000))</f>
        <v>0</v>
      </c>
      <c r="R5" s="10"/>
      <c r="T5" s="18">
        <f>R5*1.3</f>
        <v>0</v>
      </c>
      <c r="U5" s="18">
        <f>R5*1.35</f>
        <v>0</v>
      </c>
      <c r="V5" s="18">
        <f>R5*1.4</f>
        <v>0</v>
      </c>
      <c r="W5" s="18">
        <f>R5*1.5</f>
        <v>0</v>
      </c>
      <c r="Y5" s="221">
        <f>((Table11[[#This Row],[Qty.]]*(IF(Table11[[#This Row],[Length 1]]&lt;1,(Table11[[#This Row],[Std Length]]*Table11[[#This Row],[Std Width]]),(Table11[[#This Row],[Length 1]]*Table11[[#This Row],[Width 1]]))))+(Table11[[#This Row],[Qty2]]*(IF(Table11[[#This Row],[Length 2]]&lt;1,(Table11[[#This Row],[Std Length]]*Table11[[#This Row],[Std Width]]),(Table11[[#This Row],[Length 2]]*Table11[[#This Row],[Width 2]])))))/1000000</f>
        <v>0</v>
      </c>
      <c r="Z5" s="45">
        <f>Table11[[#This Row],[Length 1]]*Table11[[#This Row],[Width 1]]*Table11[[#This Row],[Qty.]]</f>
        <v>0</v>
      </c>
      <c r="AA5" s="7">
        <f>Table11[[#This Row],[Length 2]]*Table11[[#This Row],[Width 2]]*Table11[[#This Row],[Qty2]]</f>
        <v>0</v>
      </c>
      <c r="AB5" s="219">
        <f t="shared" si="2"/>
        <v>0</v>
      </c>
      <c r="AC5" s="7">
        <f>Table11[[#This Row],[Std Length]]*Table11[[#This Row],[Std Width]]*Table11[[#This Row],[Qty.]]</f>
        <v>0</v>
      </c>
      <c r="AD5" s="7">
        <f>Table11[[#This Row],[Std Length]]*Table11[[#This Row],[Std Width]]*Table11[[#This Row],[Qty2]]</f>
        <v>0</v>
      </c>
      <c r="AE5" s="7">
        <f t="shared" si="3"/>
        <v>0</v>
      </c>
    </row>
    <row r="6" spans="1:33" ht="40.35" customHeight="1">
      <c r="A6" s="7" t="s">
        <v>36</v>
      </c>
      <c r="B6" s="7" t="str">
        <f t="shared" si="0"/>
        <v>ALSH_3_2500_1250</v>
      </c>
      <c r="C6" s="7" t="str">
        <f t="shared" si="1"/>
        <v>ALSH_3_2500_1250</v>
      </c>
      <c r="D6" s="9" t="s">
        <v>359</v>
      </c>
      <c r="E6" s="9">
        <v>2500</v>
      </c>
      <c r="F6" s="9">
        <v>1250</v>
      </c>
      <c r="G6" s="9">
        <v>3</v>
      </c>
      <c r="H6" s="139"/>
      <c r="I6" s="9"/>
      <c r="J6" s="9">
        <v>1</v>
      </c>
      <c r="K6" s="140" t="s">
        <v>299</v>
      </c>
      <c r="L6" s="139">
        <v>1500</v>
      </c>
      <c r="M6" s="9">
        <v>900</v>
      </c>
      <c r="N6" s="9">
        <v>1</v>
      </c>
      <c r="O6" s="140" t="s">
        <v>299</v>
      </c>
      <c r="P6" s="221">
        <f>((Table11[[#This Row],[Qty.]]*(IF(Table11[[#This Row],[Length 1]]&lt;1,(Table11[[#This Row],[Std Length]]*Table11[[#This Row],[Std Width]]),(Table11[[#This Row],[Length 1]]*Table11[[#This Row],[Width 1]]))))+(Table11[[#This Row],[Qty2]]*(IF(Table11[[#This Row],[Length 2]]&lt;1,(Table11[[#This Row],[Std Length]]*Table11[[#This Row],[Std Width]]),(Table11[[#This Row],[Length 2]]*Table11[[#This Row],[Width 2]])))))/1000000</f>
        <v>4.4749999999999996</v>
      </c>
      <c r="Q6" s="17">
        <f>Table11[[#This Row],[Total Sq Metres]]*(Table11[[#This Row],[Cost 
£ / SHEET]]/(Table11[[#This Row],[Std Length]]*Table11[[#This Row],[Std Width]]/1000000))</f>
        <v>83.771999999999991</v>
      </c>
      <c r="R6" s="10">
        <v>58.5</v>
      </c>
      <c r="T6" s="18">
        <f>R6*1.3</f>
        <v>76.05</v>
      </c>
      <c r="U6" s="18">
        <f>R6*1.35</f>
        <v>78.975000000000009</v>
      </c>
      <c r="V6" s="18">
        <f>R6*1.4</f>
        <v>81.899999999999991</v>
      </c>
      <c r="W6" s="18">
        <f>R6*1.5</f>
        <v>87.75</v>
      </c>
      <c r="Y6" s="221">
        <f>((Table11[[#This Row],[Qty.]]*(IF(Table11[[#This Row],[Length 1]]&lt;1,(Table11[[#This Row],[Std Length]]*Table11[[#This Row],[Std Width]]),(Table11[[#This Row],[Length 1]]*Table11[[#This Row],[Width 1]]))))+(Table11[[#This Row],[Qty2]]*(IF(Table11[[#This Row],[Length 2]]&lt;1,(Table11[[#This Row],[Std Length]]*Table11[[#This Row],[Std Width]]),(Table11[[#This Row],[Length 2]]*Table11[[#This Row],[Width 2]])))))/1000000</f>
        <v>4.4749999999999996</v>
      </c>
      <c r="Z6" s="45">
        <f>Table11[[#This Row],[Length 1]]*Table11[[#This Row],[Width 1]]*Table11[[#This Row],[Qty.]]</f>
        <v>0</v>
      </c>
      <c r="AA6" s="7">
        <f>Table11[[#This Row],[Length 2]]*Table11[[#This Row],[Width 2]]*Table11[[#This Row],[Qty2]]</f>
        <v>1350000</v>
      </c>
      <c r="AB6" s="219">
        <f t="shared" si="2"/>
        <v>1350000</v>
      </c>
      <c r="AC6" s="7">
        <f>Table11[[#This Row],[Std Length]]*Table11[[#This Row],[Std Width]]*Table11[[#This Row],[Qty.]]</f>
        <v>3125000</v>
      </c>
      <c r="AD6" s="7">
        <f>Table11[[#This Row],[Std Length]]*Table11[[#This Row],[Std Width]]*Table11[[#This Row],[Qty2]]</f>
        <v>3125000</v>
      </c>
      <c r="AE6" s="7">
        <f t="shared" si="3"/>
        <v>6250000</v>
      </c>
      <c r="AG6" s="7">
        <f>Table11[[#This Row],[Qty.]]*Table11[[#This Row],[Std Width]]*Table11[[#This Row],[Std Length]]+Table11[[#This Row],[Length 2]]*Table11[[#This Row],[Width 2]]*Table11[[#This Row],[Qty2]]</f>
        <v>4475000</v>
      </c>
    </row>
    <row r="7" spans="1:33" ht="40.35" customHeight="1">
      <c r="A7" s="7" t="s">
        <v>36</v>
      </c>
      <c r="B7" s="7" t="str">
        <f t="shared" ref="B7" si="4">_xlfn.CONCAT(A7,"_",G7,"_",E7,"_",F7,"")</f>
        <v>ALSH_3_2500_1250</v>
      </c>
      <c r="C7" s="7" t="str">
        <f t="shared" ref="C7" si="5">B7</f>
        <v>ALSH_3_2500_1250</v>
      </c>
      <c r="D7" s="9" t="s">
        <v>359</v>
      </c>
      <c r="E7" s="9">
        <v>2500</v>
      </c>
      <c r="F7" s="9">
        <v>1250</v>
      </c>
      <c r="G7" s="9">
        <v>3</v>
      </c>
      <c r="H7" s="139">
        <v>2080</v>
      </c>
      <c r="I7" s="9">
        <v>1250</v>
      </c>
      <c r="J7" s="9">
        <v>1</v>
      </c>
      <c r="K7" s="140" t="s">
        <v>299</v>
      </c>
      <c r="L7" s="139"/>
      <c r="M7" s="9"/>
      <c r="N7" s="9"/>
      <c r="O7" s="140"/>
      <c r="P7" s="221">
        <f>((Table11[[#This Row],[Qty.]]*(IF(Table11[[#This Row],[Length 1]]&lt;1,(Table11[[#This Row],[Std Length]]*Table11[[#This Row],[Std Width]]),(Table11[[#This Row],[Length 1]]*Table11[[#This Row],[Width 1]]))))+(Table11[[#This Row],[Qty2]]*(IF(Table11[[#This Row],[Length 2]]&lt;1,(Table11[[#This Row],[Std Length]]*Table11[[#This Row],[Std Width]]),(Table11[[#This Row],[Length 2]]*Table11[[#This Row],[Width 2]])))))/1000000</f>
        <v>2.6</v>
      </c>
      <c r="Q7" s="17">
        <f>Table11[[#This Row],[Total Sq Metres]]*(Table11[[#This Row],[Cost 
£ / SHEET]]/(Table11[[#This Row],[Std Length]]*Table11[[#This Row],[Std Width]]/1000000))</f>
        <v>48.671999999999997</v>
      </c>
      <c r="R7" s="10">
        <f>R6</f>
        <v>58.5</v>
      </c>
      <c r="T7" s="18"/>
      <c r="U7" s="18"/>
      <c r="V7" s="18"/>
      <c r="W7" s="18"/>
      <c r="Y7" s="221">
        <f>((Table11[[#This Row],[Qty.]]*(IF(Table11[[#This Row],[Length 1]]&lt;1,(Table11[[#This Row],[Std Length]]*Table11[[#This Row],[Std Width]]),(Table11[[#This Row],[Length 1]]*Table11[[#This Row],[Width 1]]))))+(Table11[[#This Row],[Qty2]]*(IF(Table11[[#This Row],[Length 2]]&lt;1,(Table11[[#This Row],[Std Length]]*Table11[[#This Row],[Std Width]]),(Table11[[#This Row],[Length 2]]*Table11[[#This Row],[Width 2]])))))/1000000</f>
        <v>2.6</v>
      </c>
      <c r="Z7" s="45">
        <f>Table11[[#This Row],[Length 1]]*Table11[[#This Row],[Width 1]]*Table11[[#This Row],[Qty.]]</f>
        <v>2600000</v>
      </c>
      <c r="AA7" s="7">
        <f>Table11[[#This Row],[Length 2]]*Table11[[#This Row],[Width 2]]*Table11[[#This Row],[Qty2]]</f>
        <v>0</v>
      </c>
      <c r="AB7" s="219">
        <f t="shared" si="2"/>
        <v>2600000</v>
      </c>
      <c r="AC7" s="7">
        <f>Table11[[#This Row],[Std Length]]*Table11[[#This Row],[Std Width]]*Table11[[#This Row],[Qty.]]</f>
        <v>3125000</v>
      </c>
      <c r="AD7" s="7">
        <f>Table11[[#This Row],[Std Length]]*Table11[[#This Row],[Std Width]]*Table11[[#This Row],[Qty2]]</f>
        <v>0</v>
      </c>
      <c r="AE7" s="7">
        <f t="shared" si="3"/>
        <v>3125000</v>
      </c>
      <c r="AG7" s="7">
        <f>Table11[[#This Row],[Length 1]]*Table11[[#This Row],[Width 1]]*Table11[[#This Row],[Qty.]]+Table11[[#This Row],[Length 2]]*Table11[[#This Row],[Width 2]]*Table11[[#This Row],[Qty2]]</f>
        <v>2600000</v>
      </c>
    </row>
    <row r="8" spans="1:33" ht="40.35" customHeight="1">
      <c r="A8" s="7" t="s">
        <v>36</v>
      </c>
      <c r="B8" s="7" t="str">
        <f t="shared" ref="B8:B18" si="6">_xlfn.CONCAT(A8,"_",G8,"_",E8,"_",F8,"")</f>
        <v>ALSH_4_2500_1250</v>
      </c>
      <c r="C8" s="7" t="str">
        <f t="shared" si="1"/>
        <v>ALSH_4_2500_1250</v>
      </c>
      <c r="D8" s="9" t="s">
        <v>360</v>
      </c>
      <c r="E8" s="9">
        <v>2500</v>
      </c>
      <c r="F8" s="9">
        <v>1250</v>
      </c>
      <c r="G8" s="9">
        <v>4</v>
      </c>
      <c r="H8" s="139"/>
      <c r="I8" s="9"/>
      <c r="J8" s="9">
        <v>3</v>
      </c>
      <c r="K8" s="140" t="s">
        <v>299</v>
      </c>
      <c r="L8" s="139"/>
      <c r="M8" s="9"/>
      <c r="N8" s="9"/>
      <c r="O8" s="140"/>
      <c r="P8" s="221">
        <f>((Table11[[#This Row],[Qty.]]*(IF(Table11[[#This Row],[Length 1]]&lt;1,(Table11[[#This Row],[Std Length]]*Table11[[#This Row],[Std Width]]),(Table11[[#This Row],[Length 1]]*Table11[[#This Row],[Width 1]]))))+(Table11[[#This Row],[Qty2]]*(IF(Table11[[#This Row],[Length 2]]&lt;1,(Table11[[#This Row],[Std Length]]*Table11[[#This Row],[Std Width]]),(Table11[[#This Row],[Length 2]]*Table11[[#This Row],[Width 2]])))))/1000000</f>
        <v>9.375</v>
      </c>
      <c r="Q8" s="17">
        <f>Table11[[#This Row],[Total Sq Metres]]*(Table11[[#This Row],[Cost 
£ / SHEET]]/(Table11[[#This Row],[Std Length]]*Table11[[#This Row],[Std Width]]/1000000))</f>
        <v>280.5</v>
      </c>
      <c r="R8" s="10">
        <v>93.5</v>
      </c>
      <c r="T8" s="18">
        <f>R8*1.3</f>
        <v>121.55</v>
      </c>
      <c r="U8" s="18">
        <f>R8*1.35</f>
        <v>126.22500000000001</v>
      </c>
      <c r="V8" s="18">
        <f>R8*1.4</f>
        <v>130.9</v>
      </c>
      <c r="W8" s="18">
        <f>R8*1.5</f>
        <v>140.25</v>
      </c>
      <c r="Y8" s="221">
        <f>((Table11[[#This Row],[Qty.]]*(IF(Table11[[#This Row],[Length 1]]&lt;1,(Table11[[#This Row],[Std Length]]*Table11[[#This Row],[Std Width]]),(Table11[[#This Row],[Length 1]]*Table11[[#This Row],[Width 1]]))))+(Table11[[#This Row],[Qty2]]*(IF(Table11[[#This Row],[Length 2]]&lt;1,(Table11[[#This Row],[Std Length]]*Table11[[#This Row],[Std Width]]),(Table11[[#This Row],[Length 2]]*Table11[[#This Row],[Width 2]])))))/1000000</f>
        <v>9.375</v>
      </c>
      <c r="Z8" s="45">
        <f>Table11[[#This Row],[Length 1]]*Table11[[#This Row],[Width 1]]*Table11[[#This Row],[Qty.]]</f>
        <v>0</v>
      </c>
      <c r="AA8" s="7">
        <f>Table11[[#This Row],[Length 2]]*Table11[[#This Row],[Width 2]]*Table11[[#This Row],[Qty2]]</f>
        <v>0</v>
      </c>
      <c r="AB8" s="219">
        <f t="shared" si="2"/>
        <v>0</v>
      </c>
      <c r="AC8" s="7">
        <f>Table11[[#This Row],[Std Length]]*Table11[[#This Row],[Std Width]]*Table11[[#This Row],[Qty.]]</f>
        <v>9375000</v>
      </c>
      <c r="AD8" s="7">
        <f>Table11[[#This Row],[Std Length]]*Table11[[#This Row],[Std Width]]*Table11[[#This Row],[Qty2]]</f>
        <v>0</v>
      </c>
      <c r="AE8" s="7">
        <f t="shared" si="3"/>
        <v>9375000</v>
      </c>
      <c r="AG8" s="7">
        <f>Table11[[#This Row],[Qty.]]*Table11[[#This Row],[Std Length]]*Table11[[#This Row],[Std Width]]</f>
        <v>9375000</v>
      </c>
    </row>
    <row r="9" spans="1:33" ht="40.35" customHeight="1">
      <c r="A9" s="7" t="s">
        <v>36</v>
      </c>
      <c r="B9" s="7" t="str">
        <f t="shared" si="6"/>
        <v>ALSH_5_2500_1250</v>
      </c>
      <c r="C9" s="7" t="str">
        <f t="shared" si="1"/>
        <v>ALSH_5_2500_1250</v>
      </c>
      <c r="D9" s="9" t="s">
        <v>361</v>
      </c>
      <c r="E9" s="9">
        <v>2500</v>
      </c>
      <c r="F9" s="9">
        <v>1250</v>
      </c>
      <c r="G9" s="9">
        <v>5</v>
      </c>
      <c r="H9" s="139"/>
      <c r="I9" s="9"/>
      <c r="J9" s="9"/>
      <c r="K9" s="140"/>
      <c r="L9" s="139"/>
      <c r="M9" s="9"/>
      <c r="N9" s="9"/>
      <c r="O9" s="140"/>
      <c r="P9" s="221">
        <f>((Table11[[#This Row],[Qty.]]*(IF(Table11[[#This Row],[Length 1]]&lt;1,(Table11[[#This Row],[Std Length]]*Table11[[#This Row],[Std Width]]),(Table11[[#This Row],[Length 1]]*Table11[[#This Row],[Width 1]]))))+(Table11[[#This Row],[Qty2]]*(IF(Table11[[#This Row],[Length 2]]&lt;1,(Table11[[#This Row],[Std Length]]*Table11[[#This Row],[Std Width]]),(Table11[[#This Row],[Length 2]]*Table11[[#This Row],[Width 2]])))))/1000000</f>
        <v>0</v>
      </c>
      <c r="Q9" s="17">
        <f>Table11[[#This Row],[Total Sq Metres]]*(Table11[[#This Row],[Cost 
£ / SHEET]]/(Table11[[#This Row],[Std Length]]*Table11[[#This Row],[Std Width]]/1000000))</f>
        <v>0</v>
      </c>
      <c r="R9" s="10"/>
      <c r="T9" s="18">
        <f>R9*1.3</f>
        <v>0</v>
      </c>
      <c r="U9" s="18">
        <f>R9*1.35</f>
        <v>0</v>
      </c>
      <c r="V9" s="18">
        <f>R9*1.4</f>
        <v>0</v>
      </c>
      <c r="W9" s="18">
        <f>R9*1.5</f>
        <v>0</v>
      </c>
      <c r="Y9" s="221">
        <f>((Table11[[#This Row],[Qty.]]*(IF(Table11[[#This Row],[Length 1]]&lt;1,(Table11[[#This Row],[Std Length]]*Table11[[#This Row],[Std Width]]),(Table11[[#This Row],[Length 1]]*Table11[[#This Row],[Width 1]]))))+(Table11[[#This Row],[Qty2]]*(IF(Table11[[#This Row],[Length 2]]&lt;1,(Table11[[#This Row],[Std Length]]*Table11[[#This Row],[Std Width]]),(Table11[[#This Row],[Length 2]]*Table11[[#This Row],[Width 2]])))))/1000000</f>
        <v>0</v>
      </c>
      <c r="Z9" s="45">
        <f>Table11[[#This Row],[Length 1]]*Table11[[#This Row],[Width 1]]*Table11[[#This Row],[Qty.]]</f>
        <v>0</v>
      </c>
      <c r="AA9" s="7">
        <f>Table11[[#This Row],[Length 2]]*Table11[[#This Row],[Width 2]]*Table11[[#This Row],[Qty2]]</f>
        <v>0</v>
      </c>
      <c r="AB9" s="219">
        <f t="shared" si="2"/>
        <v>0</v>
      </c>
      <c r="AC9" s="7">
        <f>Table11[[#This Row],[Std Length]]*Table11[[#This Row],[Std Width]]*Table11[[#This Row],[Qty.]]</f>
        <v>0</v>
      </c>
      <c r="AD9" s="7">
        <f>Table11[[#This Row],[Std Length]]*Table11[[#This Row],[Std Width]]*Table11[[#This Row],[Qty2]]</f>
        <v>0</v>
      </c>
      <c r="AE9" s="7">
        <f t="shared" si="3"/>
        <v>0</v>
      </c>
    </row>
    <row r="10" spans="1:33" ht="40.35" customHeight="1">
      <c r="B10" s="7" t="str">
        <f t="shared" si="6"/>
        <v>___</v>
      </c>
      <c r="D10" s="7" t="s">
        <v>362</v>
      </c>
      <c r="H10" s="139"/>
      <c r="I10" s="9"/>
      <c r="J10" s="9"/>
      <c r="K10" s="140"/>
      <c r="L10" s="139"/>
      <c r="M10" s="9"/>
      <c r="N10" s="9"/>
      <c r="O10" s="140"/>
      <c r="P10" s="221"/>
      <c r="Q10" s="17"/>
      <c r="R10" s="10">
        <v>0</v>
      </c>
      <c r="T10" s="18"/>
      <c r="U10" s="18"/>
      <c r="V10" s="18"/>
      <c r="W10" s="18"/>
      <c r="Y10" s="221">
        <f>((Table11[[#This Row],[Qty.]]*(IF(Table11[[#This Row],[Length 1]]&lt;1,(Table11[[#This Row],[Std Length]]*Table11[[#This Row],[Std Width]]),(Table11[[#This Row],[Length 1]]*Table11[[#This Row],[Width 1]]))))+(Table11[[#This Row],[Qty2]]*(IF(Table11[[#This Row],[Length 2]]&lt;1,(Table11[[#This Row],[Std Length]]*Table11[[#This Row],[Std Width]]),(Table11[[#This Row],[Length 2]]*Table11[[#This Row],[Width 2]])))))/1000000</f>
        <v>0</v>
      </c>
      <c r="Z10" s="45">
        <f>Table11[[#This Row],[Length 1]]*Table11[[#This Row],[Width 1]]*Table11[[#This Row],[Qty.]]</f>
        <v>0</v>
      </c>
      <c r="AA10" s="7">
        <f>Table11[[#This Row],[Length 2]]*Table11[[#This Row],[Width 2]]*Table11[[#This Row],[Qty2]]</f>
        <v>0</v>
      </c>
      <c r="AB10" s="219">
        <f t="shared" si="2"/>
        <v>0</v>
      </c>
      <c r="AC10" s="7">
        <f>Table11[[#This Row],[Std Length]]*Table11[[#This Row],[Std Width]]*Table11[[#This Row],[Qty.]]</f>
        <v>0</v>
      </c>
      <c r="AD10" s="7">
        <f>Table11[[#This Row],[Std Length]]*Table11[[#This Row],[Std Width]]*Table11[[#This Row],[Qty2]]</f>
        <v>0</v>
      </c>
      <c r="AE10" s="7">
        <f t="shared" si="3"/>
        <v>0</v>
      </c>
    </row>
    <row r="11" spans="1:33" ht="40.35" customHeight="1">
      <c r="A11" s="19" t="s">
        <v>39</v>
      </c>
      <c r="B11" s="7" t="str">
        <f t="shared" si="6"/>
        <v>ALCHQ_3_2500_1250</v>
      </c>
      <c r="C11" s="7" t="str">
        <f t="shared" si="1"/>
        <v>ALCHQ_3_2500_1250</v>
      </c>
      <c r="D11" s="7" t="s">
        <v>363</v>
      </c>
      <c r="E11" s="9">
        <v>2500</v>
      </c>
      <c r="F11" s="9">
        <v>1250</v>
      </c>
      <c r="G11" s="9">
        <v>3</v>
      </c>
      <c r="H11" s="139"/>
      <c r="I11" s="9"/>
      <c r="J11" s="9">
        <v>5</v>
      </c>
      <c r="K11" s="140" t="s">
        <v>299</v>
      </c>
      <c r="L11" s="139">
        <v>2300</v>
      </c>
      <c r="M11" s="9">
        <v>560</v>
      </c>
      <c r="N11" s="9">
        <v>1</v>
      </c>
      <c r="O11" s="140" t="s">
        <v>299</v>
      </c>
      <c r="P11" s="221">
        <f>((Table11[[#This Row],[Qty.]]*(IF(Table11[[#This Row],[Length 1]]&lt;1,(Table11[[#This Row],[Std Length]]*Table11[[#This Row],[Std Width]]),(Table11[[#This Row],[Length 1]]*Table11[[#This Row],[Width 1]]))))+(Table11[[#This Row],[Qty2]]*(IF(Table11[[#This Row],[Length 2]]&lt;1,(Table11[[#This Row],[Std Length]]*Table11[[#This Row],[Std Width]]),(Table11[[#This Row],[Length 2]]*Table11[[#This Row],[Width 2]])))))/1000000</f>
        <v>16.913</v>
      </c>
      <c r="Q11" s="17">
        <f>Table11[[#This Row],[Total Sq Metres]]*(Table11[[#This Row],[Cost 
£ / SHEET]]/(Table11[[#This Row],[Std Length]]*Table11[[#This Row],[Std Width]]/1000000))</f>
        <v>514.15520000000004</v>
      </c>
      <c r="R11" s="10">
        <v>95</v>
      </c>
      <c r="T11" s="18">
        <f>R11*1.3</f>
        <v>123.5</v>
      </c>
      <c r="U11" s="18">
        <f>R11*1.35</f>
        <v>128.25</v>
      </c>
      <c r="V11" s="18">
        <f>R11*1.4</f>
        <v>133</v>
      </c>
      <c r="W11" s="18">
        <f>R11*1.5</f>
        <v>142.5</v>
      </c>
      <c r="Y11" s="221">
        <f>((Table11[[#This Row],[Qty.]]*(IF(Table11[[#This Row],[Length 1]]&lt;1,(Table11[[#This Row],[Std Length]]*Table11[[#This Row],[Std Width]]),(Table11[[#This Row],[Length 1]]*Table11[[#This Row],[Width 1]]))))+(Table11[[#This Row],[Qty2]]*(IF(Table11[[#This Row],[Length 2]]&lt;1,(Table11[[#This Row],[Std Length]]*Table11[[#This Row],[Std Width]]),(Table11[[#This Row],[Length 2]]*Table11[[#This Row],[Width 2]])))))/1000000</f>
        <v>16.913</v>
      </c>
      <c r="Z11" s="45">
        <f>Table11[[#This Row],[Length 1]]*Table11[[#This Row],[Width 1]]*Table11[[#This Row],[Qty.]]</f>
        <v>0</v>
      </c>
      <c r="AA11" s="7">
        <f>Table11[[#This Row],[Length 2]]*Table11[[#This Row],[Width 2]]*Table11[[#This Row],[Qty2]]</f>
        <v>1288000</v>
      </c>
      <c r="AB11" s="219">
        <f>Z11+AA11</f>
        <v>1288000</v>
      </c>
      <c r="AC11" s="7">
        <f>Table11[[#This Row],[Std Length]]*Table11[[#This Row],[Std Width]]*Table11[[#This Row],[Qty.]]</f>
        <v>15625000</v>
      </c>
      <c r="AD11" s="7">
        <f>Table11[[#This Row],[Std Length]]*Table11[[#This Row],[Std Width]]*Table11[[#This Row],[Qty2]]</f>
        <v>3125000</v>
      </c>
      <c r="AE11" s="7">
        <f t="shared" si="3"/>
        <v>18750000</v>
      </c>
      <c r="AG11" s="7">
        <f>Table11[[#This Row],[Qty.]]*Table11[[#This Row],[Std Width]]*Table11[[#This Row],[Std Length]]+Table11[[#This Row],[Length 2]]*Table11[[#This Row],[Width 2]]*Table11[[#This Row],[Qty2]]</f>
        <v>16913000</v>
      </c>
    </row>
    <row r="12" spans="1:33" ht="40.35" customHeight="1">
      <c r="A12" s="19" t="s">
        <v>39</v>
      </c>
      <c r="B12" s="7" t="str">
        <f t="shared" ref="B12" si="7">_xlfn.CONCAT(A12,"_",G12,"_",E12,"_",F12,"")</f>
        <v>ALCHQ_3_2500_1250</v>
      </c>
      <c r="C12" s="7" t="str">
        <f t="shared" ref="C12" si="8">B12</f>
        <v>ALCHQ_3_2500_1250</v>
      </c>
      <c r="D12" s="7" t="s">
        <v>363</v>
      </c>
      <c r="E12" s="9">
        <v>2500</v>
      </c>
      <c r="F12" s="9">
        <v>1250</v>
      </c>
      <c r="G12" s="9">
        <v>3</v>
      </c>
      <c r="H12" s="139">
        <v>1250</v>
      </c>
      <c r="I12" s="9">
        <v>900</v>
      </c>
      <c r="J12" s="9">
        <v>1</v>
      </c>
      <c r="K12" s="140" t="s">
        <v>299</v>
      </c>
      <c r="L12" s="139">
        <v>3000</v>
      </c>
      <c r="M12" s="9">
        <v>680</v>
      </c>
      <c r="N12" s="9">
        <v>1</v>
      </c>
      <c r="O12" s="140" t="s">
        <v>299</v>
      </c>
      <c r="P12" s="221">
        <f>((Table11[[#This Row],[Qty.]]*(IF(Table11[[#This Row],[Length 1]]&lt;1,(Table11[[#This Row],[Std Length]]*Table11[[#This Row],[Std Width]]),(Table11[[#This Row],[Length 1]]*Table11[[#This Row],[Width 1]]))))+(Table11[[#This Row],[Qty2]]*(IF(Table11[[#This Row],[Length 2]]&lt;1,(Table11[[#This Row],[Std Length]]*Table11[[#This Row],[Std Width]]),(Table11[[#This Row],[Length 2]]*Table11[[#This Row],[Width 2]])))))/1000000</f>
        <v>3.165</v>
      </c>
      <c r="Q12" s="17">
        <f>Table11[[#This Row],[Total Sq Metres]]*(Table11[[#This Row],[Cost 
£ / SHEET]]/(Table11[[#This Row],[Std Length]]*Table11[[#This Row],[Std Width]]/1000000))</f>
        <v>96.215999999999994</v>
      </c>
      <c r="R12" s="10">
        <f>R11</f>
        <v>95</v>
      </c>
      <c r="T12" s="18"/>
      <c r="U12" s="18"/>
      <c r="V12" s="18"/>
      <c r="W12" s="18"/>
      <c r="Y12" s="221">
        <f>((Table11[[#This Row],[Qty.]]*(IF(Table11[[#This Row],[Length 1]]&lt;1,(Table11[[#This Row],[Std Length]]*Table11[[#This Row],[Std Width]]),(Table11[[#This Row],[Length 1]]*Table11[[#This Row],[Width 1]]))))+(Table11[[#This Row],[Qty2]]*(IF(Table11[[#This Row],[Length 2]]&lt;1,(Table11[[#This Row],[Std Length]]*Table11[[#This Row],[Std Width]]),(Table11[[#This Row],[Length 2]]*Table11[[#This Row],[Width 2]])))))/1000000</f>
        <v>3.165</v>
      </c>
      <c r="Z12" s="45">
        <f>Table11[[#This Row],[Length 1]]*Table11[[#This Row],[Width 1]]*Table11[[#This Row],[Qty.]]</f>
        <v>1125000</v>
      </c>
      <c r="AA12" s="7">
        <f>Table11[[#This Row],[Length 2]]*Table11[[#This Row],[Width 2]]*Table11[[#This Row],[Qty2]]</f>
        <v>2040000</v>
      </c>
      <c r="AB12" s="219">
        <f>Z12+AA12</f>
        <v>3165000</v>
      </c>
      <c r="AC12" s="7">
        <f>Table11[[#This Row],[Std Length]]*Table11[[#This Row],[Std Width]]*Table11[[#This Row],[Qty.]]</f>
        <v>3125000</v>
      </c>
      <c r="AD12" s="7">
        <f>Table11[[#This Row],[Std Length]]*Table11[[#This Row],[Std Width]]*Table11[[#This Row],[Qty2]]</f>
        <v>3125000</v>
      </c>
      <c r="AE12" s="7">
        <f t="shared" si="3"/>
        <v>6250000</v>
      </c>
      <c r="AG12" s="7">
        <f>Table11[[#This Row],[Length 1]]*Table11[[#This Row],[Width 1]]*Table11[[#This Row],[Qty.]]+Table11[[#This Row],[Length 2]]*Table11[[#This Row],[Width 2]]*Table11[[#This Row],[Qty2]]</f>
        <v>3165000</v>
      </c>
    </row>
    <row r="13" spans="1:33" ht="40.35" customHeight="1">
      <c r="A13" s="19" t="s">
        <v>39</v>
      </c>
      <c r="B13" s="7" t="str">
        <f t="shared" ref="B13" si="9">_xlfn.CONCAT(A13,"_",G13,"_",E13,"_",F13,"")</f>
        <v>ALCHQ_3_2500_1250</v>
      </c>
      <c r="C13" s="7" t="str">
        <f t="shared" ref="C13" si="10">B13</f>
        <v>ALCHQ_3_2500_1250</v>
      </c>
      <c r="D13" s="7" t="s">
        <v>363</v>
      </c>
      <c r="E13" s="9">
        <v>2500</v>
      </c>
      <c r="F13" s="9">
        <v>1250</v>
      </c>
      <c r="G13" s="9">
        <v>3</v>
      </c>
      <c r="H13" s="139">
        <v>1830</v>
      </c>
      <c r="I13" s="9">
        <v>480</v>
      </c>
      <c r="J13" s="9">
        <v>1</v>
      </c>
      <c r="K13" s="140" t="s">
        <v>299</v>
      </c>
      <c r="L13" s="139">
        <v>1250</v>
      </c>
      <c r="M13" s="9">
        <v>880</v>
      </c>
      <c r="N13" s="9">
        <v>1</v>
      </c>
      <c r="O13" s="140" t="s">
        <v>299</v>
      </c>
      <c r="P13" s="221">
        <f>((Table11[[#This Row],[Qty.]]*(IF(Table11[[#This Row],[Length 1]]&lt;1,(Table11[[#This Row],[Std Length]]*Table11[[#This Row],[Std Width]]),(Table11[[#This Row],[Length 1]]*Table11[[#This Row],[Width 1]]))))+(Table11[[#This Row],[Qty2]]*(IF(Table11[[#This Row],[Length 2]]&lt;1,(Table11[[#This Row],[Std Length]]*Table11[[#This Row],[Std Width]]),(Table11[[#This Row],[Length 2]]*Table11[[#This Row],[Width 2]])))))/1000000</f>
        <v>1.9783999999999999</v>
      </c>
      <c r="Q13" s="17">
        <f>Table11[[#This Row],[Total Sq Metres]]*(Table11[[#This Row],[Cost 
£ / SHEET]]/(Table11[[#This Row],[Std Length]]*Table11[[#This Row],[Std Width]]/1000000))</f>
        <v>60.143359999999994</v>
      </c>
      <c r="R13" s="10">
        <f>R11</f>
        <v>95</v>
      </c>
      <c r="T13" s="18"/>
      <c r="U13" s="18"/>
      <c r="V13" s="18"/>
      <c r="W13" s="18"/>
      <c r="Y13" s="221">
        <f>((Table11[[#This Row],[Qty.]]*(IF(Table11[[#This Row],[Length 1]]&lt;1,(Table11[[#This Row],[Std Length]]*Table11[[#This Row],[Std Width]]),(Table11[[#This Row],[Length 1]]*Table11[[#This Row],[Width 1]]))))+(Table11[[#This Row],[Qty2]]*(IF(Table11[[#This Row],[Length 2]]&lt;1,(Table11[[#This Row],[Std Length]]*Table11[[#This Row],[Std Width]]),(Table11[[#This Row],[Length 2]]*Table11[[#This Row],[Width 2]])))))/1000000</f>
        <v>1.9783999999999999</v>
      </c>
      <c r="Z13" s="45">
        <f>Table11[[#This Row],[Length 1]]*Table11[[#This Row],[Width 1]]*Table11[[#This Row],[Qty.]]</f>
        <v>878400</v>
      </c>
      <c r="AA13" s="7">
        <f>Table11[[#This Row],[Length 2]]*Table11[[#This Row],[Width 2]]*Table11[[#This Row],[Qty2]]</f>
        <v>1100000</v>
      </c>
      <c r="AB13" s="219">
        <f t="shared" ref="AB13:AB19" si="11">Z13+AA13</f>
        <v>1978400</v>
      </c>
      <c r="AC13" s="7">
        <f>Table11[[#This Row],[Std Length]]*Table11[[#This Row],[Std Width]]*Table11[[#This Row],[Qty.]]</f>
        <v>3125000</v>
      </c>
      <c r="AD13" s="7">
        <f>Table11[[#This Row],[Std Length]]*Table11[[#This Row],[Std Width]]*Table11[[#This Row],[Qty2]]</f>
        <v>3125000</v>
      </c>
      <c r="AE13" s="7">
        <f t="shared" si="3"/>
        <v>6250000</v>
      </c>
      <c r="AG13" s="7">
        <f>Table11[[#This Row],[Length 1]]*Table11[[#This Row],[Width 1]]*Table11[[#This Row],[Qty.]]+Table11[[#This Row],[Length 2]]*Table11[[#This Row],[Width 2]]*Table11[[#This Row],[Qty2]]</f>
        <v>1978400</v>
      </c>
    </row>
    <row r="14" spans="1:33" ht="40.35" customHeight="1">
      <c r="A14" s="19" t="s">
        <v>39</v>
      </c>
      <c r="B14" s="7" t="str">
        <f t="shared" ref="B14" si="12">_xlfn.CONCAT(A14,"_",G14,"_",E14,"_",F14,"")</f>
        <v>ALCHQ_2_2500_1250</v>
      </c>
      <c r="C14" s="7" t="str">
        <f t="shared" ref="C14" si="13">B14</f>
        <v>ALCHQ_2_2500_1250</v>
      </c>
      <c r="D14" s="7" t="s">
        <v>364</v>
      </c>
      <c r="E14" s="9">
        <v>2500</v>
      </c>
      <c r="F14" s="9">
        <v>1250</v>
      </c>
      <c r="G14" s="9">
        <v>2</v>
      </c>
      <c r="H14" s="139"/>
      <c r="I14" s="9"/>
      <c r="J14" s="9">
        <v>2</v>
      </c>
      <c r="K14" s="140" t="s">
        <v>299</v>
      </c>
      <c r="L14" s="139"/>
      <c r="M14" s="9"/>
      <c r="N14" s="9"/>
      <c r="O14" s="140"/>
      <c r="P14" s="221">
        <f>((Table11[[#This Row],[Qty.]]*(IF(Table11[[#This Row],[Length 1]]&lt;1,(Table11[[#This Row],[Std Length]]*Table11[[#This Row],[Std Width]]),(Table11[[#This Row],[Length 1]]*Table11[[#This Row],[Width 1]]))))+(Table11[[#This Row],[Qty2]]*(IF(Table11[[#This Row],[Length 2]]&lt;1,(Table11[[#This Row],[Std Length]]*Table11[[#This Row],[Std Width]]),(Table11[[#This Row],[Length 2]]*Table11[[#This Row],[Width 2]])))))/1000000</f>
        <v>6.25</v>
      </c>
      <c r="Q14" s="17">
        <f>Table11[[#This Row],[Total Sq Metres]]*(Table11[[#This Row],[Cost 
£ / SHEET]]/(Table11[[#This Row],[Std Length]]*Table11[[#This Row],[Std Width]]/1000000))</f>
        <v>88.88</v>
      </c>
      <c r="R14" s="10">
        <v>44.44</v>
      </c>
      <c r="T14" s="18">
        <f>R14*1.3</f>
        <v>57.771999999999998</v>
      </c>
      <c r="U14" s="18">
        <f>R14*1.35</f>
        <v>59.994</v>
      </c>
      <c r="V14" s="18">
        <f>R14*1.4</f>
        <v>62.215999999999994</v>
      </c>
      <c r="W14" s="18">
        <f>R14*1.5</f>
        <v>66.66</v>
      </c>
      <c r="Y14" s="221">
        <f>((Table11[[#This Row],[Qty.]]*(IF(Table11[[#This Row],[Length 1]]&lt;1,(Table11[[#This Row],[Std Length]]*Table11[[#This Row],[Std Width]]),(Table11[[#This Row],[Length 1]]*Table11[[#This Row],[Width 1]]))))+(Table11[[#This Row],[Qty2]]*(IF(Table11[[#This Row],[Length 2]]&lt;1,(Table11[[#This Row],[Std Length]]*Table11[[#This Row],[Std Width]]),(Table11[[#This Row],[Length 2]]*Table11[[#This Row],[Width 2]])))))/1000000</f>
        <v>6.25</v>
      </c>
      <c r="Z14" s="45">
        <f>Table11[[#This Row],[Length 1]]*Table11[[#This Row],[Width 1]]*Table11[[#This Row],[Qty.]]</f>
        <v>0</v>
      </c>
      <c r="AA14" s="7">
        <f>Table11[[#This Row],[Length 2]]*Table11[[#This Row],[Width 2]]*Table11[[#This Row],[Qty2]]</f>
        <v>0</v>
      </c>
      <c r="AB14" s="219">
        <f t="shared" si="11"/>
        <v>0</v>
      </c>
      <c r="AC14" s="7">
        <f>Table11[[#This Row],[Std Length]]*Table11[[#This Row],[Std Width]]*Table11[[#This Row],[Qty.]]</f>
        <v>6250000</v>
      </c>
      <c r="AD14" s="7">
        <f>Table11[[#This Row],[Std Length]]*Table11[[#This Row],[Std Width]]*Table11[[#This Row],[Qty2]]</f>
        <v>0</v>
      </c>
      <c r="AE14" s="7">
        <f t="shared" si="3"/>
        <v>6250000</v>
      </c>
      <c r="AG14" s="7">
        <f>Table11[[#This Row],[Length 1]]*Table11[[#This Row],[Width 1]]*Table11[[#This Row],[Qty.]]+Table11[[#This Row],[Length 2]]*Table11[[#This Row],[Width 2]]*Table11[[#This Row],[Qty2]]</f>
        <v>0</v>
      </c>
    </row>
    <row r="15" spans="1:33" ht="40.35" customHeight="1">
      <c r="A15" s="19" t="s">
        <v>39</v>
      </c>
      <c r="B15" s="7" t="str">
        <f t="shared" si="6"/>
        <v>ALCHQ_3_3000_1500</v>
      </c>
      <c r="C15" s="7" t="str">
        <f t="shared" si="1"/>
        <v>ALCHQ_3_3000_1500</v>
      </c>
      <c r="D15" s="7" t="s">
        <v>363</v>
      </c>
      <c r="E15" s="9">
        <v>3000</v>
      </c>
      <c r="F15" s="9">
        <v>1500</v>
      </c>
      <c r="G15" s="9">
        <v>3</v>
      </c>
      <c r="H15" s="139"/>
      <c r="I15" s="9"/>
      <c r="J15" s="9">
        <v>2</v>
      </c>
      <c r="K15" s="140" t="s">
        <v>299</v>
      </c>
      <c r="L15" s="139">
        <v>1500</v>
      </c>
      <c r="M15" s="9">
        <v>1250</v>
      </c>
      <c r="N15" s="9">
        <v>1</v>
      </c>
      <c r="O15" s="140" t="s">
        <v>299</v>
      </c>
      <c r="P15" s="221">
        <f>((Table11[[#This Row],[Qty.]]*(IF(Table11[[#This Row],[Length 1]]&lt;1,(Table11[[#This Row],[Std Length]]*Table11[[#This Row],[Std Width]]),(Table11[[#This Row],[Length 1]]*Table11[[#This Row],[Width 1]]))))+(Table11[[#This Row],[Qty2]]*(IF(Table11[[#This Row],[Length 2]]&lt;1,(Table11[[#This Row],[Std Length]]*Table11[[#This Row],[Std Width]]),(Table11[[#This Row],[Length 2]]*Table11[[#This Row],[Width 2]])))))/1000000</f>
        <v>10.875</v>
      </c>
      <c r="Q15" s="17">
        <f>Table11[[#This Row],[Total Sq Metres]]*(Table11[[#This Row],[Cost 
£ / SHEET]]/(Table11[[#This Row],[Std Length]]*Table11[[#This Row],[Std Width]]/1000000))</f>
        <v>352.83333333333331</v>
      </c>
      <c r="R15" s="10">
        <v>146</v>
      </c>
      <c r="T15" s="18">
        <f>R15*1.3</f>
        <v>189.8</v>
      </c>
      <c r="U15" s="18">
        <f>R15*1.35</f>
        <v>197.10000000000002</v>
      </c>
      <c r="V15" s="18">
        <f>R15*1.4</f>
        <v>204.39999999999998</v>
      </c>
      <c r="W15" s="18">
        <f>R15*1.5</f>
        <v>219</v>
      </c>
      <c r="Y15" s="221">
        <f>((Table11[[#This Row],[Qty.]]*(IF(Table11[[#This Row],[Length 1]]&lt;1,(Table11[[#This Row],[Std Length]]*Table11[[#This Row],[Std Width]]),(Table11[[#This Row],[Length 1]]*Table11[[#This Row],[Width 1]]))))+(Table11[[#This Row],[Qty2]]*(IF(Table11[[#This Row],[Length 2]]&lt;1,(Table11[[#This Row],[Std Length]]*Table11[[#This Row],[Std Width]]),(Table11[[#This Row],[Length 2]]*Table11[[#This Row],[Width 2]])))))/1000000</f>
        <v>10.875</v>
      </c>
      <c r="Z15" s="45">
        <f>Table11[[#This Row],[Length 1]]*Table11[[#This Row],[Width 1]]*Table11[[#This Row],[Qty.]]</f>
        <v>0</v>
      </c>
      <c r="AA15" s="7">
        <f>Table11[[#This Row],[Length 2]]*Table11[[#This Row],[Width 2]]*Table11[[#This Row],[Qty2]]</f>
        <v>1875000</v>
      </c>
      <c r="AB15" s="219">
        <f t="shared" si="11"/>
        <v>1875000</v>
      </c>
      <c r="AC15" s="7">
        <f>Table11[[#This Row],[Std Length]]*Table11[[#This Row],[Std Width]]*Table11[[#This Row],[Qty.]]</f>
        <v>9000000</v>
      </c>
      <c r="AD15" s="7">
        <f>Table11[[#This Row],[Std Length]]*Table11[[#This Row],[Std Width]]*Table11[[#This Row],[Qty2]]</f>
        <v>4500000</v>
      </c>
      <c r="AE15" s="7">
        <f t="shared" si="3"/>
        <v>13500000</v>
      </c>
      <c r="AG15" s="7">
        <f>Table11[[#This Row],[Qty.]]*Table11[[#This Row],[Std Width]]*Table11[[#This Row],[Std Length]]+Table11[[#This Row],[Length 2]]*Table11[[#This Row],[Width 2]]*Table11[[#This Row],[Qty2]]</f>
        <v>10875000</v>
      </c>
    </row>
    <row r="16" spans="1:33" ht="40.35" customHeight="1">
      <c r="A16" s="19" t="s">
        <v>39</v>
      </c>
      <c r="B16" s="7" t="str">
        <f t="shared" ref="B16" si="14">_xlfn.CONCAT(A16,"_",G16,"_",E16,"_",F16,"")</f>
        <v>ALCHQ_3_3000_1500</v>
      </c>
      <c r="C16" s="7" t="str">
        <f t="shared" ref="C16" si="15">B16</f>
        <v>ALCHQ_3_3000_1500</v>
      </c>
      <c r="D16" s="7" t="s">
        <v>363</v>
      </c>
      <c r="E16" s="9">
        <v>3000</v>
      </c>
      <c r="F16" s="9">
        <v>1500</v>
      </c>
      <c r="G16" s="9">
        <v>3</v>
      </c>
      <c r="H16" s="139">
        <v>1370</v>
      </c>
      <c r="I16" s="9">
        <v>1500</v>
      </c>
      <c r="J16" s="9">
        <v>1</v>
      </c>
      <c r="K16" s="140" t="s">
        <v>299</v>
      </c>
      <c r="L16" s="139">
        <v>1380</v>
      </c>
      <c r="M16" s="9">
        <v>760</v>
      </c>
      <c r="N16" s="9">
        <v>1</v>
      </c>
      <c r="O16" s="140" t="s">
        <v>299</v>
      </c>
      <c r="P16" s="221">
        <f>((Table11[[#This Row],[Qty.]]*(IF(Table11[[#This Row],[Length 1]]&lt;1,(Table11[[#This Row],[Std Length]]*Table11[[#This Row],[Std Width]]),(Table11[[#This Row],[Length 1]]*Table11[[#This Row],[Width 1]]))))+(Table11[[#This Row],[Qty2]]*(IF(Table11[[#This Row],[Length 2]]&lt;1,(Table11[[#This Row],[Std Length]]*Table11[[#This Row],[Std Width]]),(Table11[[#This Row],[Length 2]]*Table11[[#This Row],[Width 2]])))))/1000000</f>
        <v>3.1038000000000001</v>
      </c>
      <c r="Q16" s="17">
        <f>Table11[[#This Row],[Total Sq Metres]]*(Table11[[#This Row],[Cost 
£ / SHEET]]/(Table11[[#This Row],[Std Length]]*Table11[[#This Row],[Std Width]]/1000000))</f>
        <v>100.70106666666666</v>
      </c>
      <c r="R16" s="10">
        <f>R15</f>
        <v>146</v>
      </c>
      <c r="T16" s="18">
        <f>R16*1.3</f>
        <v>189.8</v>
      </c>
      <c r="U16" s="18">
        <f>R16*1.35</f>
        <v>197.10000000000002</v>
      </c>
      <c r="V16" s="18">
        <f>R16*1.4</f>
        <v>204.39999999999998</v>
      </c>
      <c r="W16" s="18">
        <f>R16*1.5</f>
        <v>219</v>
      </c>
      <c r="Y16" s="221">
        <f>((Table11[[#This Row],[Qty.]]*(IF(Table11[[#This Row],[Length 1]]&lt;1,(Table11[[#This Row],[Std Length]]*Table11[[#This Row],[Std Width]]),(Table11[[#This Row],[Length 1]]*Table11[[#This Row],[Width 1]]))))+(Table11[[#This Row],[Qty2]]*(IF(Table11[[#This Row],[Length 2]]&lt;1,(Table11[[#This Row],[Std Length]]*Table11[[#This Row],[Std Width]]),(Table11[[#This Row],[Length 2]]*Table11[[#This Row],[Width 2]])))))/1000000</f>
        <v>3.1038000000000001</v>
      </c>
      <c r="Z16" s="45">
        <f>Table11[[#This Row],[Length 1]]*Table11[[#This Row],[Width 1]]*Table11[[#This Row],[Qty.]]</f>
        <v>2055000</v>
      </c>
      <c r="AA16" s="7">
        <f>Table11[[#This Row],[Length 2]]*Table11[[#This Row],[Width 2]]*Table11[[#This Row],[Qty2]]</f>
        <v>1048800</v>
      </c>
      <c r="AB16" s="219">
        <f t="shared" si="11"/>
        <v>3103800</v>
      </c>
      <c r="AC16" s="7">
        <f>Table11[[#This Row],[Std Length]]*Table11[[#This Row],[Std Width]]*Table11[[#This Row],[Qty.]]</f>
        <v>4500000</v>
      </c>
      <c r="AD16" s="7">
        <f>Table11[[#This Row],[Std Length]]*Table11[[#This Row],[Std Width]]*Table11[[#This Row],[Qty2]]</f>
        <v>4500000</v>
      </c>
      <c r="AE16" s="7">
        <f t="shared" si="3"/>
        <v>9000000</v>
      </c>
      <c r="AG16" s="7">
        <f>Table11[[#This Row],[Length 1]]*Table11[[#This Row],[Width 1]]*Table11[[#This Row],[Qty.]]+Table11[[#This Row],[Length 2]]*Table11[[#This Row],[Width 2]]*Table11[[#This Row],[Qty2]]</f>
        <v>3103800</v>
      </c>
    </row>
    <row r="17" spans="1:33" ht="40.35" customHeight="1">
      <c r="A17" s="19" t="s">
        <v>39</v>
      </c>
      <c r="B17" s="7" t="str">
        <f t="shared" ref="B17" si="16">_xlfn.CONCAT(A17,"_",G17,"_",E17,"_",F17,"")</f>
        <v>ALCHQ_3_2500_1250</v>
      </c>
      <c r="C17" s="7" t="str">
        <f t="shared" ref="C17" si="17">B17</f>
        <v>ALCHQ_3_2500_1250</v>
      </c>
      <c r="D17" s="7" t="s">
        <v>363</v>
      </c>
      <c r="E17" s="9">
        <v>2500</v>
      </c>
      <c r="F17" s="9">
        <v>1250</v>
      </c>
      <c r="G17" s="9">
        <v>3</v>
      </c>
      <c r="H17" s="139">
        <v>1670</v>
      </c>
      <c r="I17" s="9">
        <v>1250</v>
      </c>
      <c r="J17" s="9">
        <v>1</v>
      </c>
      <c r="K17" s="140" t="s">
        <v>299</v>
      </c>
      <c r="L17" s="139">
        <v>1250</v>
      </c>
      <c r="M17" s="9">
        <v>900</v>
      </c>
      <c r="N17" s="9">
        <v>1</v>
      </c>
      <c r="O17" s="140" t="s">
        <v>299</v>
      </c>
      <c r="P17" s="221">
        <f>((Table11[[#This Row],[Qty.]]*(IF(Table11[[#This Row],[Length 1]]&lt;1,(Table11[[#This Row],[Std Length]]*Table11[[#This Row],[Std Width]]),(Table11[[#This Row],[Length 1]]*Table11[[#This Row],[Width 1]]))))+(Table11[[#This Row],[Qty2]]*(IF(Table11[[#This Row],[Length 2]]&lt;1,(Table11[[#This Row],[Std Length]]*Table11[[#This Row],[Std Width]]),(Table11[[#This Row],[Length 2]]*Table11[[#This Row],[Width 2]])))))/1000000</f>
        <v>3.2124999999999999</v>
      </c>
      <c r="Q17" s="17">
        <f>Table11[[#This Row],[Total Sq Metres]]*(Table11[[#This Row],[Cost 
£ / SHEET]]/(Table11[[#This Row],[Std Length]]*Table11[[#This Row],[Std Width]]/1000000))</f>
        <v>97.66</v>
      </c>
      <c r="R17" s="10">
        <f>R13</f>
        <v>95</v>
      </c>
      <c r="T17" s="18"/>
      <c r="U17" s="18"/>
      <c r="V17" s="18"/>
      <c r="W17" s="18"/>
      <c r="Y17" s="221">
        <f>((Table11[[#This Row],[Qty.]]*(IF(Table11[[#This Row],[Length 1]]&lt;1,(Table11[[#This Row],[Std Length]]*Table11[[#This Row],[Std Width]]),(Table11[[#This Row],[Length 1]]*Table11[[#This Row],[Width 1]]))))+(Table11[[#This Row],[Qty2]]*(IF(Table11[[#This Row],[Length 2]]&lt;1,(Table11[[#This Row],[Std Length]]*Table11[[#This Row],[Std Width]]),(Table11[[#This Row],[Length 2]]*Table11[[#This Row],[Width 2]])))))/1000000</f>
        <v>3.2124999999999999</v>
      </c>
      <c r="Z17" s="45">
        <f>Table11[[#This Row],[Length 1]]*Table11[[#This Row],[Width 1]]*Table11[[#This Row],[Qty.]]</f>
        <v>2087500</v>
      </c>
      <c r="AA17" s="7">
        <f>Table11[[#This Row],[Length 2]]*Table11[[#This Row],[Width 2]]*Table11[[#This Row],[Qty2]]</f>
        <v>1125000</v>
      </c>
      <c r="AB17" s="219">
        <f t="shared" si="11"/>
        <v>3212500</v>
      </c>
      <c r="AC17" s="7">
        <f>Table11[[#This Row],[Std Length]]*Table11[[#This Row],[Std Width]]*Table11[[#This Row],[Qty.]]</f>
        <v>3125000</v>
      </c>
      <c r="AD17" s="7">
        <f>Table11[[#This Row],[Std Length]]*Table11[[#This Row],[Std Width]]*Table11[[#This Row],[Qty2]]</f>
        <v>3125000</v>
      </c>
      <c r="AE17" s="7">
        <f t="shared" si="3"/>
        <v>6250000</v>
      </c>
      <c r="AG17" s="7">
        <f>Table11[[#This Row],[Length 1]]*Table11[[#This Row],[Width 1]]*Table11[[#This Row],[Qty.]]+Table11[[#This Row],[Length 2]]*Table11[[#This Row],[Width 2]]*Table11[[#This Row],[Qty2]]</f>
        <v>3212500</v>
      </c>
    </row>
    <row r="18" spans="1:33" ht="40.35" customHeight="1">
      <c r="A18" s="19" t="s">
        <v>39</v>
      </c>
      <c r="B18" s="7" t="str">
        <f t="shared" si="6"/>
        <v>ALCHQ_4.5_2500_1250</v>
      </c>
      <c r="C18" s="7" t="str">
        <f t="shared" si="1"/>
        <v>ALCHQ_4.5_2500_1250</v>
      </c>
      <c r="D18" s="7" t="s">
        <v>365</v>
      </c>
      <c r="E18" s="9">
        <v>2500</v>
      </c>
      <c r="F18" s="9">
        <v>1250</v>
      </c>
      <c r="G18" s="9">
        <v>4.5</v>
      </c>
      <c r="H18" s="139"/>
      <c r="I18" s="9"/>
      <c r="J18" s="9">
        <v>1</v>
      </c>
      <c r="K18" s="140" t="s">
        <v>299</v>
      </c>
      <c r="L18" s="139">
        <v>1250</v>
      </c>
      <c r="M18" s="9">
        <v>900</v>
      </c>
      <c r="N18" s="9">
        <v>1</v>
      </c>
      <c r="O18" s="140" t="s">
        <v>299</v>
      </c>
      <c r="P18" s="221">
        <f>((Table11[[#This Row],[Qty.]]*(IF(Table11[[#This Row],[Length 1]]&lt;1,(Table11[[#This Row],[Std Length]]*Table11[[#This Row],[Std Width]]),(Table11[[#This Row],[Length 1]]*Table11[[#This Row],[Width 1]]))))+(Table11[[#This Row],[Qty2]]*(IF(Table11[[#This Row],[Length 2]]&lt;1,(Table11[[#This Row],[Std Length]]*Table11[[#This Row],[Std Width]]),(Table11[[#This Row],[Length 2]]*Table11[[#This Row],[Width 2]])))))/1000000</f>
        <v>4.25</v>
      </c>
      <c r="Q18" s="17">
        <f>Table11[[#This Row],[Total Sq Metres]]*(Table11[[#This Row],[Cost 
£ / SHEET]]/(Table11[[#This Row],[Std Length]]*Table11[[#This Row],[Std Width]]/1000000))</f>
        <v>152.32000000000002</v>
      </c>
      <c r="R18" s="10">
        <v>112</v>
      </c>
      <c r="T18" s="18">
        <f>R18*1.3</f>
        <v>145.6</v>
      </c>
      <c r="U18" s="18">
        <f>R18*1.35</f>
        <v>151.20000000000002</v>
      </c>
      <c r="V18" s="18">
        <f>R18*1.4</f>
        <v>156.79999999999998</v>
      </c>
      <c r="W18" s="18">
        <f>R18*1.5</f>
        <v>168</v>
      </c>
      <c r="Y18" s="221">
        <f>((Table11[[#This Row],[Qty.]]*(IF(Table11[[#This Row],[Length 1]]&lt;1,(Table11[[#This Row],[Std Length]]*Table11[[#This Row],[Std Width]]),(Table11[[#This Row],[Length 1]]*Table11[[#This Row],[Width 1]]))))+(Table11[[#This Row],[Qty2]]*(IF(Table11[[#This Row],[Length 2]]&lt;1,(Table11[[#This Row],[Std Length]]*Table11[[#This Row],[Std Width]]),(Table11[[#This Row],[Length 2]]*Table11[[#This Row],[Width 2]])))))/1000000</f>
        <v>4.25</v>
      </c>
      <c r="Z18" s="45">
        <f>Table11[[#This Row],[Length 1]]*Table11[[#This Row],[Width 1]]*Table11[[#This Row],[Qty.]]</f>
        <v>0</v>
      </c>
      <c r="AA18" s="7">
        <f>Table11[[#This Row],[Length 2]]*Table11[[#This Row],[Width 2]]*Table11[[#This Row],[Qty2]]</f>
        <v>1125000</v>
      </c>
      <c r="AB18" s="219">
        <f t="shared" si="11"/>
        <v>1125000</v>
      </c>
      <c r="AC18" s="7">
        <f>Table11[[#This Row],[Std Length]]*Table11[[#This Row],[Std Width]]*Table11[[#This Row],[Qty.]]</f>
        <v>3125000</v>
      </c>
      <c r="AD18" s="7">
        <f>Table11[[#This Row],[Std Length]]*Table11[[#This Row],[Std Width]]*Table11[[#This Row],[Qty2]]</f>
        <v>3125000</v>
      </c>
      <c r="AE18" s="7">
        <f t="shared" si="3"/>
        <v>6250000</v>
      </c>
      <c r="AF18" s="7">
        <f>IF(Table11[[#This Row],[Length 1]]&lt;1,Table11[[#This Row],[Length 1]],Table11[[#This Row],[Length 2]])</f>
        <v>0</v>
      </c>
      <c r="AG18" s="7">
        <f>Table11[[#This Row],[Qty.]]*Table11[[#This Row],[Std Width]]*Table11[[#This Row],[Std Length]]+Table11[[#This Row],[Length 2]]*Table11[[#This Row],[Width 2]]*Table11[[#This Row],[Qty2]]</f>
        <v>4250000</v>
      </c>
    </row>
    <row r="19" spans="1:33" ht="40.35" customHeight="1">
      <c r="A19" s="19" t="s">
        <v>39</v>
      </c>
      <c r="B19" s="7" t="str">
        <f t="shared" ref="B19" si="18">_xlfn.CONCAT(A19,"_",G19,"_",E19,"_",F19,"")</f>
        <v>ALCHQ_4.5_2500_1250</v>
      </c>
      <c r="C19" s="7" t="str">
        <f t="shared" ref="C19" si="19">B19</f>
        <v>ALCHQ_4.5_2500_1250</v>
      </c>
      <c r="D19" s="7" t="s">
        <v>365</v>
      </c>
      <c r="E19" s="9">
        <v>2500</v>
      </c>
      <c r="F19" s="9">
        <v>1250</v>
      </c>
      <c r="G19" s="9">
        <v>4.5</v>
      </c>
      <c r="H19" s="139">
        <v>1250</v>
      </c>
      <c r="I19" s="9">
        <v>980</v>
      </c>
      <c r="J19" s="9">
        <v>1</v>
      </c>
      <c r="K19" s="140" t="s">
        <v>299</v>
      </c>
      <c r="L19" s="139">
        <v>1250</v>
      </c>
      <c r="M19" s="9">
        <v>1240</v>
      </c>
      <c r="N19" s="9">
        <v>1</v>
      </c>
      <c r="O19" s="140" t="s">
        <v>299</v>
      </c>
      <c r="P19" s="221">
        <f>((Table11[[#This Row],[Qty.]]*(IF(Table11[[#This Row],[Length 1]]&lt;1,(Table11[[#This Row],[Std Length]]*Table11[[#This Row],[Std Width]]),(Table11[[#This Row],[Length 1]]*Table11[[#This Row],[Width 1]]))))+(Table11[[#This Row],[Qty2]]*(IF(Table11[[#This Row],[Length 2]]&lt;1,(Table11[[#This Row],[Std Length]]*Table11[[#This Row],[Std Width]]),(Table11[[#This Row],[Length 2]]*Table11[[#This Row],[Width 2]])))))/1000000</f>
        <v>2.7749999999999999</v>
      </c>
      <c r="Q19" s="17">
        <f>Table11[[#This Row],[Total Sq Metres]]*(Table11[[#This Row],[Cost 
£ / SHEET]]/(Table11[[#This Row],[Std Length]]*Table11[[#This Row],[Std Width]]/1000000))</f>
        <v>99.456000000000003</v>
      </c>
      <c r="R19" s="10">
        <f>R18</f>
        <v>112</v>
      </c>
      <c r="T19" s="18"/>
      <c r="U19" s="18"/>
      <c r="V19" s="18"/>
      <c r="W19" s="18"/>
      <c r="Y19" s="221">
        <f>((Table11[[#This Row],[Qty.]]*(IF(Table11[[#This Row],[Length 1]]&lt;1,(Table11[[#This Row],[Std Length]]*Table11[[#This Row],[Std Width]]),(Table11[[#This Row],[Length 1]]*Table11[[#This Row],[Width 1]]))))+(Table11[[#This Row],[Qty2]]*(IF(Table11[[#This Row],[Length 2]]&lt;1,(Table11[[#This Row],[Std Length]]*Table11[[#This Row],[Std Width]]),(Table11[[#This Row],[Length 2]]*Table11[[#This Row],[Width 2]])))))/1000000</f>
        <v>2.7749999999999999</v>
      </c>
      <c r="Z19" s="176">
        <f>Table11[[#This Row],[Length 1]]*Table11[[#This Row],[Width 1]]*Table11[[#This Row],[Qty.]]</f>
        <v>1225000</v>
      </c>
      <c r="AA19" s="220">
        <f>Table11[[#This Row],[Length 2]]*Table11[[#This Row],[Width 2]]*Table11[[#This Row],[Qty2]]</f>
        <v>1550000</v>
      </c>
      <c r="AB19" s="219">
        <f t="shared" si="11"/>
        <v>2775000</v>
      </c>
      <c r="AC19" s="7">
        <f>Table11[[#This Row],[Std Length]]*Table11[[#This Row],[Std Width]]*Table11[[#This Row],[Qty.]]</f>
        <v>3125000</v>
      </c>
      <c r="AD19" s="7">
        <f>Table11[[#This Row],[Std Length]]*Table11[[#This Row],[Std Width]]*Table11[[#This Row],[Qty2]]</f>
        <v>3125000</v>
      </c>
      <c r="AE19" s="7">
        <f t="shared" si="3"/>
        <v>6250000</v>
      </c>
      <c r="AG19" s="7">
        <f>Table11[[#This Row],[Length 1]]*Table11[[#This Row],[Width 1]]*Table11[[#This Row],[Qty.]]+Table11[[#This Row],[Length 2]]*Table11[[#This Row],[Width 2]]*Table11[[#This Row],[Qty2]]</f>
        <v>2775000</v>
      </c>
    </row>
    <row r="20" spans="1:33" ht="50.85" customHeight="1">
      <c r="D20" s="7" t="s">
        <v>366</v>
      </c>
      <c r="H20" s="139"/>
      <c r="I20" s="9"/>
      <c r="J20" s="9"/>
      <c r="K20" s="140"/>
      <c r="L20" s="139"/>
      <c r="M20" s="9"/>
      <c r="N20" s="9"/>
      <c r="O20" s="140"/>
      <c r="P20" s="37"/>
      <c r="Q20" s="17">
        <v>100</v>
      </c>
      <c r="R20" s="10">
        <v>100</v>
      </c>
      <c r="T20" s="18"/>
      <c r="U20" s="18"/>
      <c r="V20" s="18"/>
      <c r="W20" s="18"/>
    </row>
    <row r="21" spans="1:33">
      <c r="H21" s="139"/>
      <c r="I21" s="9"/>
      <c r="J21" s="9"/>
      <c r="K21" s="140"/>
      <c r="L21" s="139"/>
      <c r="M21" s="9"/>
      <c r="N21" s="9"/>
      <c r="O21" s="140"/>
      <c r="P21" s="37"/>
      <c r="R21" s="10"/>
      <c r="T21" s="18"/>
      <c r="U21" s="18"/>
      <c r="V21" s="18"/>
      <c r="W21" s="18"/>
    </row>
    <row r="22" spans="1:33" ht="15">
      <c r="H22" s="139"/>
      <c r="I22" s="9"/>
      <c r="J22" s="9"/>
      <c r="K22" s="140"/>
      <c r="L22" s="139"/>
      <c r="M22" s="9"/>
      <c r="N22" s="9"/>
      <c r="O22" s="140"/>
      <c r="P22" s="37"/>
      <c r="Q22" s="21">
        <f>SUM(Q3:Q21)</f>
        <v>2260.0785599999999</v>
      </c>
      <c r="R22" s="10"/>
      <c r="T22" s="18"/>
      <c r="U22" s="18"/>
      <c r="V22" s="18"/>
      <c r="W22" s="18"/>
    </row>
    <row r="23" spans="1:33">
      <c r="H23" s="139"/>
      <c r="I23" s="9"/>
      <c r="J23" s="9"/>
      <c r="K23" s="140"/>
      <c r="L23" s="139"/>
      <c r="M23" s="9"/>
      <c r="N23" s="9"/>
      <c r="O23" s="140"/>
      <c r="P23" s="9"/>
      <c r="R23" s="10"/>
      <c r="T23" s="18"/>
      <c r="U23" s="18"/>
      <c r="V23" s="18"/>
      <c r="W23" s="18"/>
    </row>
    <row r="24" spans="1:33">
      <c r="H24" s="139"/>
      <c r="I24" s="9"/>
      <c r="J24" s="9"/>
      <c r="K24" s="140"/>
      <c r="L24" s="139"/>
      <c r="M24" s="9"/>
      <c r="N24" s="9"/>
      <c r="O24" s="140"/>
      <c r="P24" s="9"/>
      <c r="R24" s="10"/>
      <c r="T24" s="18"/>
      <c r="U24" s="18"/>
      <c r="V24" s="18"/>
      <c r="W24" s="18"/>
    </row>
    <row r="25" spans="1:33">
      <c r="H25" s="139"/>
      <c r="I25" s="9"/>
      <c r="J25" s="9"/>
      <c r="K25" s="140"/>
      <c r="L25" s="139"/>
      <c r="M25" s="9"/>
      <c r="N25" s="9"/>
      <c r="O25" s="140"/>
      <c r="P25" s="9"/>
      <c r="R25" s="10"/>
      <c r="T25" s="18"/>
      <c r="U25" s="18"/>
      <c r="V25" s="18"/>
      <c r="W25" s="18"/>
    </row>
    <row r="26" spans="1:33">
      <c r="H26" s="139"/>
      <c r="I26" s="9"/>
      <c r="J26" s="9"/>
      <c r="K26" s="140"/>
      <c r="L26" s="139"/>
      <c r="M26" s="9"/>
      <c r="N26" s="9"/>
      <c r="O26" s="140"/>
      <c r="P26" s="9"/>
      <c r="R26" s="10"/>
      <c r="T26" s="18"/>
      <c r="U26" s="18"/>
      <c r="V26" s="18"/>
      <c r="W26" s="18"/>
    </row>
    <row r="27" spans="1:33">
      <c r="H27" s="139"/>
      <c r="I27" s="9"/>
      <c r="J27" s="9"/>
      <c r="K27" s="140"/>
      <c r="L27" s="139"/>
      <c r="M27" s="9"/>
      <c r="N27" s="9"/>
      <c r="O27" s="140"/>
      <c r="P27" s="9"/>
      <c r="R27" s="10"/>
      <c r="T27" s="18"/>
      <c r="U27" s="18"/>
      <c r="V27" s="18"/>
      <c r="W27" s="18"/>
    </row>
    <row r="28" spans="1:33">
      <c r="H28" s="139"/>
      <c r="I28" s="9"/>
      <c r="J28" s="9"/>
      <c r="K28" s="140"/>
      <c r="L28" s="139"/>
      <c r="M28" s="9"/>
      <c r="N28" s="9"/>
      <c r="O28" s="140"/>
      <c r="P28" s="9"/>
      <c r="R28" s="10"/>
      <c r="T28" s="18"/>
      <c r="U28" s="18"/>
      <c r="V28" s="18"/>
      <c r="W28" s="18"/>
    </row>
    <row r="29" spans="1:33">
      <c r="H29" s="139"/>
      <c r="I29" s="9"/>
      <c r="J29" s="9"/>
      <c r="K29" s="140"/>
      <c r="L29" s="139"/>
      <c r="M29" s="9"/>
      <c r="N29" s="9"/>
      <c r="O29" s="140"/>
      <c r="P29" s="9"/>
      <c r="R29" s="10"/>
      <c r="T29" s="18"/>
      <c r="U29" s="18"/>
      <c r="V29" s="18"/>
      <c r="W29" s="18"/>
    </row>
    <row r="30" spans="1:33">
      <c r="H30" s="139"/>
      <c r="I30" s="9"/>
      <c r="J30" s="9"/>
      <c r="K30" s="140"/>
      <c r="L30" s="139"/>
      <c r="M30" s="9"/>
      <c r="N30" s="9"/>
      <c r="O30" s="140"/>
      <c r="P30" s="9"/>
      <c r="R30" s="10"/>
      <c r="T30" s="18"/>
      <c r="U30" s="18"/>
      <c r="V30" s="18"/>
      <c r="W30" s="18"/>
    </row>
    <row r="31" spans="1:33">
      <c r="H31" s="139"/>
      <c r="I31" s="9"/>
      <c r="J31" s="9"/>
      <c r="K31" s="140"/>
      <c r="L31" s="139"/>
      <c r="M31" s="9"/>
      <c r="N31" s="9"/>
      <c r="O31" s="140"/>
      <c r="P31" s="9"/>
      <c r="R31" s="10"/>
      <c r="T31" s="18"/>
      <c r="U31" s="18"/>
      <c r="V31" s="18"/>
      <c r="W31" s="18"/>
    </row>
    <row r="32" spans="1:33">
      <c r="H32" s="139"/>
      <c r="I32" s="9"/>
      <c r="J32" s="9"/>
      <c r="K32" s="140"/>
      <c r="L32" s="139"/>
      <c r="M32" s="9"/>
      <c r="N32" s="9"/>
      <c r="O32" s="140"/>
      <c r="P32" s="9"/>
      <c r="R32" s="10"/>
      <c r="T32" s="18"/>
      <c r="U32" s="18"/>
      <c r="V32" s="18"/>
      <c r="W32" s="18"/>
    </row>
    <row r="33" spans="8:23">
      <c r="H33" s="139"/>
      <c r="I33" s="9"/>
      <c r="J33" s="9"/>
      <c r="K33" s="140"/>
      <c r="L33" s="139"/>
      <c r="M33" s="9"/>
      <c r="N33" s="9"/>
      <c r="O33" s="140"/>
      <c r="P33" s="9"/>
      <c r="R33" s="10"/>
      <c r="T33" s="18"/>
      <c r="U33" s="18"/>
      <c r="V33" s="18"/>
      <c r="W33" s="18"/>
    </row>
    <row r="34" spans="8:23">
      <c r="H34" s="139"/>
      <c r="I34" s="9"/>
      <c r="J34" s="9"/>
      <c r="K34" s="140"/>
      <c r="L34" s="139"/>
      <c r="M34" s="9"/>
      <c r="N34" s="9"/>
      <c r="O34" s="140"/>
      <c r="P34" s="9"/>
      <c r="R34" s="10"/>
      <c r="T34" s="18"/>
      <c r="U34" s="18"/>
      <c r="V34" s="18"/>
      <c r="W34" s="18"/>
    </row>
    <row r="35" spans="8:23">
      <c r="H35" s="139"/>
      <c r="I35" s="9"/>
      <c r="J35" s="9"/>
      <c r="K35" s="140"/>
      <c r="L35" s="139"/>
      <c r="M35" s="9"/>
      <c r="N35" s="9"/>
      <c r="O35" s="140"/>
      <c r="P35" s="9"/>
      <c r="R35" s="10"/>
      <c r="T35" s="18"/>
      <c r="U35" s="18"/>
      <c r="V35" s="18"/>
      <c r="W35" s="18"/>
    </row>
    <row r="36" spans="8:23">
      <c r="H36" s="139"/>
      <c r="I36" s="9"/>
      <c r="J36" s="9"/>
      <c r="K36" s="140"/>
      <c r="L36" s="139"/>
      <c r="M36" s="9"/>
      <c r="N36" s="9"/>
      <c r="O36" s="140"/>
      <c r="P36" s="9"/>
      <c r="R36" s="10"/>
      <c r="T36" s="18"/>
      <c r="U36" s="18"/>
      <c r="V36" s="18"/>
      <c r="W36" s="18"/>
    </row>
    <row r="37" spans="8:23">
      <c r="H37" s="139"/>
      <c r="I37" s="9"/>
      <c r="J37" s="9"/>
      <c r="K37" s="140"/>
      <c r="L37" s="139"/>
      <c r="M37" s="9"/>
      <c r="N37" s="9"/>
      <c r="O37" s="140"/>
      <c r="P37" s="9"/>
      <c r="R37" s="10"/>
      <c r="T37" s="18"/>
      <c r="U37" s="18"/>
      <c r="V37" s="18"/>
      <c r="W37" s="18"/>
    </row>
    <row r="38" spans="8:23">
      <c r="H38" s="139"/>
      <c r="I38" s="9"/>
      <c r="J38" s="9"/>
      <c r="K38" s="140"/>
      <c r="L38" s="139"/>
      <c r="M38" s="9"/>
      <c r="N38" s="9"/>
      <c r="O38" s="140"/>
      <c r="P38" s="9"/>
      <c r="R38" s="10"/>
      <c r="T38" s="18"/>
      <c r="U38" s="18"/>
      <c r="V38" s="18"/>
      <c r="W38" s="18"/>
    </row>
    <row r="39" spans="8:23">
      <c r="H39" s="139"/>
      <c r="I39" s="9"/>
      <c r="J39" s="9"/>
      <c r="K39" s="140"/>
      <c r="L39" s="139"/>
      <c r="M39" s="9"/>
      <c r="N39" s="9"/>
      <c r="O39" s="140"/>
      <c r="P39" s="9"/>
      <c r="R39" s="10"/>
      <c r="T39" s="18"/>
      <c r="U39" s="18"/>
      <c r="V39" s="18"/>
      <c r="W39" s="18"/>
    </row>
    <row r="40" spans="8:23">
      <c r="H40" s="139"/>
      <c r="I40" s="9"/>
      <c r="J40" s="9"/>
      <c r="K40" s="140"/>
      <c r="L40" s="139"/>
      <c r="M40" s="9"/>
      <c r="N40" s="9"/>
      <c r="O40" s="140"/>
      <c r="P40" s="9"/>
      <c r="R40" s="10"/>
      <c r="T40" s="18"/>
      <c r="U40" s="18"/>
      <c r="V40" s="18"/>
      <c r="W40" s="18"/>
    </row>
    <row r="41" spans="8:23">
      <c r="H41" s="139"/>
      <c r="I41" s="9"/>
      <c r="J41" s="9"/>
      <c r="K41" s="140"/>
      <c r="L41" s="139"/>
      <c r="M41" s="9"/>
      <c r="N41" s="9"/>
      <c r="O41" s="140"/>
      <c r="P41" s="9"/>
    </row>
    <row r="42" spans="8:23">
      <c r="H42" s="139"/>
      <c r="I42" s="9"/>
      <c r="J42" s="9"/>
      <c r="K42" s="140"/>
      <c r="L42" s="139"/>
      <c r="M42" s="9"/>
      <c r="N42" s="9"/>
      <c r="O42" s="140"/>
      <c r="P42" s="9"/>
    </row>
    <row r="43" spans="8:23">
      <c r="H43" s="139"/>
      <c r="I43" s="9"/>
      <c r="J43" s="9"/>
      <c r="K43" s="140"/>
      <c r="L43" s="139"/>
      <c r="M43" s="9"/>
      <c r="N43" s="9"/>
      <c r="O43" s="140"/>
      <c r="P43" s="9"/>
    </row>
    <row r="44" spans="8:23">
      <c r="H44" s="139"/>
      <c r="I44" s="9"/>
      <c r="J44" s="9"/>
      <c r="K44" s="140"/>
      <c r="L44" s="139"/>
      <c r="M44" s="9"/>
      <c r="N44" s="9"/>
      <c r="O44" s="140"/>
      <c r="P44" s="9"/>
    </row>
    <row r="45" spans="8:23">
      <c r="H45" s="139"/>
      <c r="I45" s="9"/>
      <c r="J45" s="9"/>
      <c r="K45" s="140"/>
      <c r="L45" s="139"/>
      <c r="M45" s="9"/>
      <c r="N45" s="9"/>
      <c r="O45" s="140"/>
      <c r="P45" s="9"/>
    </row>
    <row r="46" spans="8:23">
      <c r="H46" s="139"/>
      <c r="I46" s="9"/>
      <c r="J46" s="9"/>
      <c r="K46" s="140"/>
      <c r="L46" s="139"/>
      <c r="M46" s="9"/>
      <c r="N46" s="9"/>
      <c r="O46" s="140"/>
      <c r="P46" s="9"/>
    </row>
    <row r="47" spans="8:23">
      <c r="H47" s="139"/>
      <c r="I47" s="9"/>
      <c r="J47" s="9"/>
      <c r="K47" s="140"/>
      <c r="L47" s="139"/>
      <c r="M47" s="9"/>
      <c r="N47" s="9"/>
      <c r="O47" s="140"/>
      <c r="P47" s="9"/>
    </row>
  </sheetData>
  <phoneticPr fontId="3" type="noConversion"/>
  <dataValidations disablePrompts="1" count="1">
    <dataValidation type="list" allowBlank="1" showInputMessage="1" showErrorMessage="1" error="Select Area from Tab 'Area List'" sqref="P23:P47 O3:O47 K3:K47" xr:uid="{A1D7FFED-4441-4F1E-96D4-321C53E80868}">
      <formula1>AreaList2</formula1>
    </dataValidation>
  </dataValidations>
  <printOptions gridLines="1"/>
  <pageMargins left="0.35433070866141736" right="0.47244094488188981" top="0.98425196850393704" bottom="0.98425196850393704" header="0.51181102362204722" footer="0.51181102362204722"/>
  <pageSetup paperSize="9" scale="54" orientation="landscape" r:id="rId1"/>
  <headerFooter alignWithMargins="0">
    <oddFooter>&amp;L&amp;D&amp;C&amp;A&amp;R&amp;P of &amp;N</oddFooter>
  </headerFooter>
  <drawing r:id="rId2"/>
  <legacyDrawing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AE908-7730-466A-90BC-450920BA29EC}">
  <sheetPr>
    <pageSetUpPr fitToPage="1"/>
  </sheetPr>
  <dimension ref="A1:AA41"/>
  <sheetViews>
    <sheetView topLeftCell="P1" zoomScale="85" zoomScaleNormal="85" workbookViewId="0">
      <selection activeCell="Z6" sqref="Z6"/>
    </sheetView>
  </sheetViews>
  <sheetFormatPr defaultRowHeight="12.75"/>
  <cols>
    <col min="1" max="1" width="7.85546875" style="7" bestFit="1" customWidth="1"/>
    <col min="2" max="2" width="40.5703125" style="7" customWidth="1"/>
    <col min="3" max="3" width="33.42578125" style="7" hidden="1" customWidth="1"/>
    <col min="4" max="4" width="18.85546875" style="7" customWidth="1"/>
    <col min="5" max="5" width="22" style="9" customWidth="1"/>
    <col min="6" max="6" width="15.140625" style="9" customWidth="1"/>
    <col min="7" max="8" width="8.85546875" style="9" customWidth="1"/>
    <col min="9" max="9" width="19.140625" style="141" customWidth="1"/>
    <col min="10" max="10" width="19.140625" style="7" customWidth="1"/>
    <col min="11" max="11" width="9.5703125" style="7" customWidth="1"/>
    <col min="12" max="12" width="9.5703125" style="142" customWidth="1"/>
    <col min="13" max="13" width="14.140625" style="141" customWidth="1"/>
    <col min="14" max="14" width="14.140625" style="7" customWidth="1"/>
    <col min="15" max="15" width="9.5703125" style="7" customWidth="1"/>
    <col min="16" max="16" width="9.5703125" style="142" customWidth="1"/>
    <col min="17" max="17" width="20.42578125" style="141" customWidth="1"/>
    <col min="18" max="18" width="18" style="7" customWidth="1"/>
    <col min="19" max="19" width="9.5703125" style="7" customWidth="1"/>
    <col min="20" max="20" width="16.85546875" style="9" customWidth="1"/>
    <col min="21" max="22" width="14.85546875" style="10" customWidth="1"/>
    <col min="23" max="23" width="11.85546875" style="7" customWidth="1"/>
    <col min="24" max="24" width="11.140625" style="7" customWidth="1"/>
    <col min="25" max="267" width="9" style="7"/>
    <col min="268" max="268" width="22" style="7" customWidth="1"/>
    <col min="269" max="269" width="10.5703125" style="7" customWidth="1"/>
    <col min="270" max="271" width="8.85546875" style="7" customWidth="1"/>
    <col min="272" max="272" width="8.140625" style="7" customWidth="1"/>
    <col min="273" max="273" width="13.140625" style="7" customWidth="1"/>
    <col min="274" max="274" width="9" style="7" customWidth="1"/>
    <col min="275" max="275" width="9.42578125" style="7" customWidth="1"/>
    <col min="276" max="276" width="10" style="7" customWidth="1"/>
    <col min="277" max="277" width="8.140625" style="7" customWidth="1"/>
    <col min="278" max="278" width="9.140625" style="7" customWidth="1"/>
    <col min="279" max="523" width="9" style="7"/>
    <col min="524" max="524" width="22" style="7" customWidth="1"/>
    <col min="525" max="525" width="10.5703125" style="7" customWidth="1"/>
    <col min="526" max="527" width="8.85546875" style="7" customWidth="1"/>
    <col min="528" max="528" width="8.140625" style="7" customWidth="1"/>
    <col min="529" max="529" width="13.140625" style="7" customWidth="1"/>
    <col min="530" max="530" width="9" style="7" customWidth="1"/>
    <col min="531" max="531" width="9.42578125" style="7" customWidth="1"/>
    <col min="532" max="532" width="10" style="7" customWidth="1"/>
    <col min="533" max="533" width="8.140625" style="7" customWidth="1"/>
    <col min="534" max="534" width="9.140625" style="7" customWidth="1"/>
    <col min="535" max="779" width="9" style="7"/>
    <col min="780" max="780" width="22" style="7" customWidth="1"/>
    <col min="781" max="781" width="10.5703125" style="7" customWidth="1"/>
    <col min="782" max="783" width="8.85546875" style="7" customWidth="1"/>
    <col min="784" max="784" width="8.140625" style="7" customWidth="1"/>
    <col min="785" max="785" width="13.140625" style="7" customWidth="1"/>
    <col min="786" max="786" width="9" style="7" customWidth="1"/>
    <col min="787" max="787" width="9.42578125" style="7" customWidth="1"/>
    <col min="788" max="788" width="10" style="7" customWidth="1"/>
    <col min="789" max="789" width="8.140625" style="7" customWidth="1"/>
    <col min="790" max="790" width="9.140625" style="7" customWidth="1"/>
    <col min="791" max="1035" width="9" style="7"/>
    <col min="1036" max="1036" width="22" style="7" customWidth="1"/>
    <col min="1037" max="1037" width="10.5703125" style="7" customWidth="1"/>
    <col min="1038" max="1039" width="8.85546875" style="7" customWidth="1"/>
    <col min="1040" max="1040" width="8.140625" style="7" customWidth="1"/>
    <col min="1041" max="1041" width="13.140625" style="7" customWidth="1"/>
    <col min="1042" max="1042" width="9" style="7" customWidth="1"/>
    <col min="1043" max="1043" width="9.42578125" style="7" customWidth="1"/>
    <col min="1044" max="1044" width="10" style="7" customWidth="1"/>
    <col min="1045" max="1045" width="8.140625" style="7" customWidth="1"/>
    <col min="1046" max="1046" width="9.140625" style="7" customWidth="1"/>
    <col min="1047" max="1291" width="9" style="7"/>
    <col min="1292" max="1292" width="22" style="7" customWidth="1"/>
    <col min="1293" max="1293" width="10.5703125" style="7" customWidth="1"/>
    <col min="1294" max="1295" width="8.85546875" style="7" customWidth="1"/>
    <col min="1296" max="1296" width="8.140625" style="7" customWidth="1"/>
    <col min="1297" max="1297" width="13.140625" style="7" customWidth="1"/>
    <col min="1298" max="1298" width="9" style="7" customWidth="1"/>
    <col min="1299" max="1299" width="9.42578125" style="7" customWidth="1"/>
    <col min="1300" max="1300" width="10" style="7" customWidth="1"/>
    <col min="1301" max="1301" width="8.140625" style="7" customWidth="1"/>
    <col min="1302" max="1302" width="9.140625" style="7" customWidth="1"/>
    <col min="1303" max="1547" width="9" style="7"/>
    <col min="1548" max="1548" width="22" style="7" customWidth="1"/>
    <col min="1549" max="1549" width="10.5703125" style="7" customWidth="1"/>
    <col min="1550" max="1551" width="8.85546875" style="7" customWidth="1"/>
    <col min="1552" max="1552" width="8.140625" style="7" customWidth="1"/>
    <col min="1553" max="1553" width="13.140625" style="7" customWidth="1"/>
    <col min="1554" max="1554" width="9" style="7" customWidth="1"/>
    <col min="1555" max="1555" width="9.42578125" style="7" customWidth="1"/>
    <col min="1556" max="1556" width="10" style="7" customWidth="1"/>
    <col min="1557" max="1557" width="8.140625" style="7" customWidth="1"/>
    <col min="1558" max="1558" width="9.140625" style="7" customWidth="1"/>
    <col min="1559" max="1803" width="9" style="7"/>
    <col min="1804" max="1804" width="22" style="7" customWidth="1"/>
    <col min="1805" max="1805" width="10.5703125" style="7" customWidth="1"/>
    <col min="1806" max="1807" width="8.85546875" style="7" customWidth="1"/>
    <col min="1808" max="1808" width="8.140625" style="7" customWidth="1"/>
    <col min="1809" max="1809" width="13.140625" style="7" customWidth="1"/>
    <col min="1810" max="1810" width="9" style="7" customWidth="1"/>
    <col min="1811" max="1811" width="9.42578125" style="7" customWidth="1"/>
    <col min="1812" max="1812" width="10" style="7" customWidth="1"/>
    <col min="1813" max="1813" width="8.140625" style="7" customWidth="1"/>
    <col min="1814" max="1814" width="9.140625" style="7" customWidth="1"/>
    <col min="1815" max="2059" width="9" style="7"/>
    <col min="2060" max="2060" width="22" style="7" customWidth="1"/>
    <col min="2061" max="2061" width="10.5703125" style="7" customWidth="1"/>
    <col min="2062" max="2063" width="8.85546875" style="7" customWidth="1"/>
    <col min="2064" max="2064" width="8.140625" style="7" customWidth="1"/>
    <col min="2065" max="2065" width="13.140625" style="7" customWidth="1"/>
    <col min="2066" max="2066" width="9" style="7" customWidth="1"/>
    <col min="2067" max="2067" width="9.42578125" style="7" customWidth="1"/>
    <col min="2068" max="2068" width="10" style="7" customWidth="1"/>
    <col min="2069" max="2069" width="8.140625" style="7" customWidth="1"/>
    <col min="2070" max="2070" width="9.140625" style="7" customWidth="1"/>
    <col min="2071" max="2315" width="9" style="7"/>
    <col min="2316" max="2316" width="22" style="7" customWidth="1"/>
    <col min="2317" max="2317" width="10.5703125" style="7" customWidth="1"/>
    <col min="2318" max="2319" width="8.85546875" style="7" customWidth="1"/>
    <col min="2320" max="2320" width="8.140625" style="7" customWidth="1"/>
    <col min="2321" max="2321" width="13.140625" style="7" customWidth="1"/>
    <col min="2322" max="2322" width="9" style="7" customWidth="1"/>
    <col min="2323" max="2323" width="9.42578125" style="7" customWidth="1"/>
    <col min="2324" max="2324" width="10" style="7" customWidth="1"/>
    <col min="2325" max="2325" width="8.140625" style="7" customWidth="1"/>
    <col min="2326" max="2326" width="9.140625" style="7" customWidth="1"/>
    <col min="2327" max="2571" width="9" style="7"/>
    <col min="2572" max="2572" width="22" style="7" customWidth="1"/>
    <col min="2573" max="2573" width="10.5703125" style="7" customWidth="1"/>
    <col min="2574" max="2575" width="8.85546875" style="7" customWidth="1"/>
    <col min="2576" max="2576" width="8.140625" style="7" customWidth="1"/>
    <col min="2577" max="2577" width="13.140625" style="7" customWidth="1"/>
    <col min="2578" max="2578" width="9" style="7" customWidth="1"/>
    <col min="2579" max="2579" width="9.42578125" style="7" customWidth="1"/>
    <col min="2580" max="2580" width="10" style="7" customWidth="1"/>
    <col min="2581" max="2581" width="8.140625" style="7" customWidth="1"/>
    <col min="2582" max="2582" width="9.140625" style="7" customWidth="1"/>
    <col min="2583" max="2827" width="9" style="7"/>
    <col min="2828" max="2828" width="22" style="7" customWidth="1"/>
    <col min="2829" max="2829" width="10.5703125" style="7" customWidth="1"/>
    <col min="2830" max="2831" width="8.85546875" style="7" customWidth="1"/>
    <col min="2832" max="2832" width="8.140625" style="7" customWidth="1"/>
    <col min="2833" max="2833" width="13.140625" style="7" customWidth="1"/>
    <col min="2834" max="2834" width="9" style="7" customWidth="1"/>
    <col min="2835" max="2835" width="9.42578125" style="7" customWidth="1"/>
    <col min="2836" max="2836" width="10" style="7" customWidth="1"/>
    <col min="2837" max="2837" width="8.140625" style="7" customWidth="1"/>
    <col min="2838" max="2838" width="9.140625" style="7" customWidth="1"/>
    <col min="2839" max="3083" width="9" style="7"/>
    <col min="3084" max="3084" width="22" style="7" customWidth="1"/>
    <col min="3085" max="3085" width="10.5703125" style="7" customWidth="1"/>
    <col min="3086" max="3087" width="8.85546875" style="7" customWidth="1"/>
    <col min="3088" max="3088" width="8.140625" style="7" customWidth="1"/>
    <col min="3089" max="3089" width="13.140625" style="7" customWidth="1"/>
    <col min="3090" max="3090" width="9" style="7" customWidth="1"/>
    <col min="3091" max="3091" width="9.42578125" style="7" customWidth="1"/>
    <col min="3092" max="3092" width="10" style="7" customWidth="1"/>
    <col min="3093" max="3093" width="8.140625" style="7" customWidth="1"/>
    <col min="3094" max="3094" width="9.140625" style="7" customWidth="1"/>
    <col min="3095" max="3339" width="9" style="7"/>
    <col min="3340" max="3340" width="22" style="7" customWidth="1"/>
    <col min="3341" max="3341" width="10.5703125" style="7" customWidth="1"/>
    <col min="3342" max="3343" width="8.85546875" style="7" customWidth="1"/>
    <col min="3344" max="3344" width="8.140625" style="7" customWidth="1"/>
    <col min="3345" max="3345" width="13.140625" style="7" customWidth="1"/>
    <col min="3346" max="3346" width="9" style="7" customWidth="1"/>
    <col min="3347" max="3347" width="9.42578125" style="7" customWidth="1"/>
    <col min="3348" max="3348" width="10" style="7" customWidth="1"/>
    <col min="3349" max="3349" width="8.140625" style="7" customWidth="1"/>
    <col min="3350" max="3350" width="9.140625" style="7" customWidth="1"/>
    <col min="3351" max="3595" width="9" style="7"/>
    <col min="3596" max="3596" width="22" style="7" customWidth="1"/>
    <col min="3597" max="3597" width="10.5703125" style="7" customWidth="1"/>
    <col min="3598" max="3599" width="8.85546875" style="7" customWidth="1"/>
    <col min="3600" max="3600" width="8.140625" style="7" customWidth="1"/>
    <col min="3601" max="3601" width="13.140625" style="7" customWidth="1"/>
    <col min="3602" max="3602" width="9" style="7" customWidth="1"/>
    <col min="3603" max="3603" width="9.42578125" style="7" customWidth="1"/>
    <col min="3604" max="3604" width="10" style="7" customWidth="1"/>
    <col min="3605" max="3605" width="8.140625" style="7" customWidth="1"/>
    <col min="3606" max="3606" width="9.140625" style="7" customWidth="1"/>
    <col min="3607" max="3851" width="9" style="7"/>
    <col min="3852" max="3852" width="22" style="7" customWidth="1"/>
    <col min="3853" max="3853" width="10.5703125" style="7" customWidth="1"/>
    <col min="3854" max="3855" width="8.85546875" style="7" customWidth="1"/>
    <col min="3856" max="3856" width="8.140625" style="7" customWidth="1"/>
    <col min="3857" max="3857" width="13.140625" style="7" customWidth="1"/>
    <col min="3858" max="3858" width="9" style="7" customWidth="1"/>
    <col min="3859" max="3859" width="9.42578125" style="7" customWidth="1"/>
    <col min="3860" max="3860" width="10" style="7" customWidth="1"/>
    <col min="3861" max="3861" width="8.140625" style="7" customWidth="1"/>
    <col min="3862" max="3862" width="9.140625" style="7" customWidth="1"/>
    <col min="3863" max="4107" width="9" style="7"/>
    <col min="4108" max="4108" width="22" style="7" customWidth="1"/>
    <col min="4109" max="4109" width="10.5703125" style="7" customWidth="1"/>
    <col min="4110" max="4111" width="8.85546875" style="7" customWidth="1"/>
    <col min="4112" max="4112" width="8.140625" style="7" customWidth="1"/>
    <col min="4113" max="4113" width="13.140625" style="7" customWidth="1"/>
    <col min="4114" max="4114" width="9" style="7" customWidth="1"/>
    <col min="4115" max="4115" width="9.42578125" style="7" customWidth="1"/>
    <col min="4116" max="4116" width="10" style="7" customWidth="1"/>
    <col min="4117" max="4117" width="8.140625" style="7" customWidth="1"/>
    <col min="4118" max="4118" width="9.140625" style="7" customWidth="1"/>
    <col min="4119" max="4363" width="9" style="7"/>
    <col min="4364" max="4364" width="22" style="7" customWidth="1"/>
    <col min="4365" max="4365" width="10.5703125" style="7" customWidth="1"/>
    <col min="4366" max="4367" width="8.85546875" style="7" customWidth="1"/>
    <col min="4368" max="4368" width="8.140625" style="7" customWidth="1"/>
    <col min="4369" max="4369" width="13.140625" style="7" customWidth="1"/>
    <col min="4370" max="4370" width="9" style="7" customWidth="1"/>
    <col min="4371" max="4371" width="9.42578125" style="7" customWidth="1"/>
    <col min="4372" max="4372" width="10" style="7" customWidth="1"/>
    <col min="4373" max="4373" width="8.140625" style="7" customWidth="1"/>
    <col min="4374" max="4374" width="9.140625" style="7" customWidth="1"/>
    <col min="4375" max="4619" width="9" style="7"/>
    <col min="4620" max="4620" width="22" style="7" customWidth="1"/>
    <col min="4621" max="4621" width="10.5703125" style="7" customWidth="1"/>
    <col min="4622" max="4623" width="8.85546875" style="7" customWidth="1"/>
    <col min="4624" max="4624" width="8.140625" style="7" customWidth="1"/>
    <col min="4625" max="4625" width="13.140625" style="7" customWidth="1"/>
    <col min="4626" max="4626" width="9" style="7" customWidth="1"/>
    <col min="4627" max="4627" width="9.42578125" style="7" customWidth="1"/>
    <col min="4628" max="4628" width="10" style="7" customWidth="1"/>
    <col min="4629" max="4629" width="8.140625" style="7" customWidth="1"/>
    <col min="4630" max="4630" width="9.140625" style="7" customWidth="1"/>
    <col min="4631" max="4875" width="9" style="7"/>
    <col min="4876" max="4876" width="22" style="7" customWidth="1"/>
    <col min="4877" max="4877" width="10.5703125" style="7" customWidth="1"/>
    <col min="4878" max="4879" width="8.85546875" style="7" customWidth="1"/>
    <col min="4880" max="4880" width="8.140625" style="7" customWidth="1"/>
    <col min="4881" max="4881" width="13.140625" style="7" customWidth="1"/>
    <col min="4882" max="4882" width="9" style="7" customWidth="1"/>
    <col min="4883" max="4883" width="9.42578125" style="7" customWidth="1"/>
    <col min="4884" max="4884" width="10" style="7" customWidth="1"/>
    <col min="4885" max="4885" width="8.140625" style="7" customWidth="1"/>
    <col min="4886" max="4886" width="9.140625" style="7" customWidth="1"/>
    <col min="4887" max="5131" width="9" style="7"/>
    <col min="5132" max="5132" width="22" style="7" customWidth="1"/>
    <col min="5133" max="5133" width="10.5703125" style="7" customWidth="1"/>
    <col min="5134" max="5135" width="8.85546875" style="7" customWidth="1"/>
    <col min="5136" max="5136" width="8.140625" style="7" customWidth="1"/>
    <col min="5137" max="5137" width="13.140625" style="7" customWidth="1"/>
    <col min="5138" max="5138" width="9" style="7" customWidth="1"/>
    <col min="5139" max="5139" width="9.42578125" style="7" customWidth="1"/>
    <col min="5140" max="5140" width="10" style="7" customWidth="1"/>
    <col min="5141" max="5141" width="8.140625" style="7" customWidth="1"/>
    <col min="5142" max="5142" width="9.140625" style="7" customWidth="1"/>
    <col min="5143" max="5387" width="9" style="7"/>
    <col min="5388" max="5388" width="22" style="7" customWidth="1"/>
    <col min="5389" max="5389" width="10.5703125" style="7" customWidth="1"/>
    <col min="5390" max="5391" width="8.85546875" style="7" customWidth="1"/>
    <col min="5392" max="5392" width="8.140625" style="7" customWidth="1"/>
    <col min="5393" max="5393" width="13.140625" style="7" customWidth="1"/>
    <col min="5394" max="5394" width="9" style="7" customWidth="1"/>
    <col min="5395" max="5395" width="9.42578125" style="7" customWidth="1"/>
    <col min="5396" max="5396" width="10" style="7" customWidth="1"/>
    <col min="5397" max="5397" width="8.140625" style="7" customWidth="1"/>
    <col min="5398" max="5398" width="9.140625" style="7" customWidth="1"/>
    <col min="5399" max="5643" width="9" style="7"/>
    <col min="5644" max="5644" width="22" style="7" customWidth="1"/>
    <col min="5645" max="5645" width="10.5703125" style="7" customWidth="1"/>
    <col min="5646" max="5647" width="8.85546875" style="7" customWidth="1"/>
    <col min="5648" max="5648" width="8.140625" style="7" customWidth="1"/>
    <col min="5649" max="5649" width="13.140625" style="7" customWidth="1"/>
    <col min="5650" max="5650" width="9" style="7" customWidth="1"/>
    <col min="5651" max="5651" width="9.42578125" style="7" customWidth="1"/>
    <col min="5652" max="5652" width="10" style="7" customWidth="1"/>
    <col min="5653" max="5653" width="8.140625" style="7" customWidth="1"/>
    <col min="5654" max="5654" width="9.140625" style="7" customWidth="1"/>
    <col min="5655" max="5899" width="9" style="7"/>
    <col min="5900" max="5900" width="22" style="7" customWidth="1"/>
    <col min="5901" max="5901" width="10.5703125" style="7" customWidth="1"/>
    <col min="5902" max="5903" width="8.85546875" style="7" customWidth="1"/>
    <col min="5904" max="5904" width="8.140625" style="7" customWidth="1"/>
    <col min="5905" max="5905" width="13.140625" style="7" customWidth="1"/>
    <col min="5906" max="5906" width="9" style="7" customWidth="1"/>
    <col min="5907" max="5907" width="9.42578125" style="7" customWidth="1"/>
    <col min="5908" max="5908" width="10" style="7" customWidth="1"/>
    <col min="5909" max="5909" width="8.140625" style="7" customWidth="1"/>
    <col min="5910" max="5910" width="9.140625" style="7" customWidth="1"/>
    <col min="5911" max="6155" width="9" style="7"/>
    <col min="6156" max="6156" width="22" style="7" customWidth="1"/>
    <col min="6157" max="6157" width="10.5703125" style="7" customWidth="1"/>
    <col min="6158" max="6159" width="8.85546875" style="7" customWidth="1"/>
    <col min="6160" max="6160" width="8.140625" style="7" customWidth="1"/>
    <col min="6161" max="6161" width="13.140625" style="7" customWidth="1"/>
    <col min="6162" max="6162" width="9" style="7" customWidth="1"/>
    <col min="6163" max="6163" width="9.42578125" style="7" customWidth="1"/>
    <col min="6164" max="6164" width="10" style="7" customWidth="1"/>
    <col min="6165" max="6165" width="8.140625" style="7" customWidth="1"/>
    <col min="6166" max="6166" width="9.140625" style="7" customWidth="1"/>
    <col min="6167" max="6411" width="9" style="7"/>
    <col min="6412" max="6412" width="22" style="7" customWidth="1"/>
    <col min="6413" max="6413" width="10.5703125" style="7" customWidth="1"/>
    <col min="6414" max="6415" width="8.85546875" style="7" customWidth="1"/>
    <col min="6416" max="6416" width="8.140625" style="7" customWidth="1"/>
    <col min="6417" max="6417" width="13.140625" style="7" customWidth="1"/>
    <col min="6418" max="6418" width="9" style="7" customWidth="1"/>
    <col min="6419" max="6419" width="9.42578125" style="7" customWidth="1"/>
    <col min="6420" max="6420" width="10" style="7" customWidth="1"/>
    <col min="6421" max="6421" width="8.140625" style="7" customWidth="1"/>
    <col min="6422" max="6422" width="9.140625" style="7" customWidth="1"/>
    <col min="6423" max="6667" width="9" style="7"/>
    <col min="6668" max="6668" width="22" style="7" customWidth="1"/>
    <col min="6669" max="6669" width="10.5703125" style="7" customWidth="1"/>
    <col min="6670" max="6671" width="8.85546875" style="7" customWidth="1"/>
    <col min="6672" max="6672" width="8.140625" style="7" customWidth="1"/>
    <col min="6673" max="6673" width="13.140625" style="7" customWidth="1"/>
    <col min="6674" max="6674" width="9" style="7" customWidth="1"/>
    <col min="6675" max="6675" width="9.42578125" style="7" customWidth="1"/>
    <col min="6676" max="6676" width="10" style="7" customWidth="1"/>
    <col min="6677" max="6677" width="8.140625" style="7" customWidth="1"/>
    <col min="6678" max="6678" width="9.140625" style="7" customWidth="1"/>
    <col min="6679" max="6923" width="9" style="7"/>
    <col min="6924" max="6924" width="22" style="7" customWidth="1"/>
    <col min="6925" max="6925" width="10.5703125" style="7" customWidth="1"/>
    <col min="6926" max="6927" width="8.85546875" style="7" customWidth="1"/>
    <col min="6928" max="6928" width="8.140625" style="7" customWidth="1"/>
    <col min="6929" max="6929" width="13.140625" style="7" customWidth="1"/>
    <col min="6930" max="6930" width="9" style="7" customWidth="1"/>
    <col min="6931" max="6931" width="9.42578125" style="7" customWidth="1"/>
    <col min="6932" max="6932" width="10" style="7" customWidth="1"/>
    <col min="6933" max="6933" width="8.140625" style="7" customWidth="1"/>
    <col min="6934" max="6934" width="9.140625" style="7" customWidth="1"/>
    <col min="6935" max="7179" width="9" style="7"/>
    <col min="7180" max="7180" width="22" style="7" customWidth="1"/>
    <col min="7181" max="7181" width="10.5703125" style="7" customWidth="1"/>
    <col min="7182" max="7183" width="8.85546875" style="7" customWidth="1"/>
    <col min="7184" max="7184" width="8.140625" style="7" customWidth="1"/>
    <col min="7185" max="7185" width="13.140625" style="7" customWidth="1"/>
    <col min="7186" max="7186" width="9" style="7" customWidth="1"/>
    <col min="7187" max="7187" width="9.42578125" style="7" customWidth="1"/>
    <col min="7188" max="7188" width="10" style="7" customWidth="1"/>
    <col min="7189" max="7189" width="8.140625" style="7" customWidth="1"/>
    <col min="7190" max="7190" width="9.140625" style="7" customWidth="1"/>
    <col min="7191" max="7435" width="9" style="7"/>
    <col min="7436" max="7436" width="22" style="7" customWidth="1"/>
    <col min="7437" max="7437" width="10.5703125" style="7" customWidth="1"/>
    <col min="7438" max="7439" width="8.85546875" style="7" customWidth="1"/>
    <col min="7440" max="7440" width="8.140625" style="7" customWidth="1"/>
    <col min="7441" max="7441" width="13.140625" style="7" customWidth="1"/>
    <col min="7442" max="7442" width="9" style="7" customWidth="1"/>
    <col min="7443" max="7443" width="9.42578125" style="7" customWidth="1"/>
    <col min="7444" max="7444" width="10" style="7" customWidth="1"/>
    <col min="7445" max="7445" width="8.140625" style="7" customWidth="1"/>
    <col min="7446" max="7446" width="9.140625" style="7" customWidth="1"/>
    <col min="7447" max="7691" width="9" style="7"/>
    <col min="7692" max="7692" width="22" style="7" customWidth="1"/>
    <col min="7693" max="7693" width="10.5703125" style="7" customWidth="1"/>
    <col min="7694" max="7695" width="8.85546875" style="7" customWidth="1"/>
    <col min="7696" max="7696" width="8.140625" style="7" customWidth="1"/>
    <col min="7697" max="7697" width="13.140625" style="7" customWidth="1"/>
    <col min="7698" max="7698" width="9" style="7" customWidth="1"/>
    <col min="7699" max="7699" width="9.42578125" style="7" customWidth="1"/>
    <col min="7700" max="7700" width="10" style="7" customWidth="1"/>
    <col min="7701" max="7701" width="8.140625" style="7" customWidth="1"/>
    <col min="7702" max="7702" width="9.140625" style="7" customWidth="1"/>
    <col min="7703" max="7947" width="9" style="7"/>
    <col min="7948" max="7948" width="22" style="7" customWidth="1"/>
    <col min="7949" max="7949" width="10.5703125" style="7" customWidth="1"/>
    <col min="7950" max="7951" width="8.85546875" style="7" customWidth="1"/>
    <col min="7952" max="7952" width="8.140625" style="7" customWidth="1"/>
    <col min="7953" max="7953" width="13.140625" style="7" customWidth="1"/>
    <col min="7954" max="7954" width="9" style="7" customWidth="1"/>
    <col min="7955" max="7955" width="9.42578125" style="7" customWidth="1"/>
    <col min="7956" max="7956" width="10" style="7" customWidth="1"/>
    <col min="7957" max="7957" width="8.140625" style="7" customWidth="1"/>
    <col min="7958" max="7958" width="9.140625" style="7" customWidth="1"/>
    <col min="7959" max="8203" width="9" style="7"/>
    <col min="8204" max="8204" width="22" style="7" customWidth="1"/>
    <col min="8205" max="8205" width="10.5703125" style="7" customWidth="1"/>
    <col min="8206" max="8207" width="8.85546875" style="7" customWidth="1"/>
    <col min="8208" max="8208" width="8.140625" style="7" customWidth="1"/>
    <col min="8209" max="8209" width="13.140625" style="7" customWidth="1"/>
    <col min="8210" max="8210" width="9" style="7" customWidth="1"/>
    <col min="8211" max="8211" width="9.42578125" style="7" customWidth="1"/>
    <col min="8212" max="8212" width="10" style="7" customWidth="1"/>
    <col min="8213" max="8213" width="8.140625" style="7" customWidth="1"/>
    <col min="8214" max="8214" width="9.140625" style="7" customWidth="1"/>
    <col min="8215" max="8459" width="9" style="7"/>
    <col min="8460" max="8460" width="22" style="7" customWidth="1"/>
    <col min="8461" max="8461" width="10.5703125" style="7" customWidth="1"/>
    <col min="8462" max="8463" width="8.85546875" style="7" customWidth="1"/>
    <col min="8464" max="8464" width="8.140625" style="7" customWidth="1"/>
    <col min="8465" max="8465" width="13.140625" style="7" customWidth="1"/>
    <col min="8466" max="8466" width="9" style="7" customWidth="1"/>
    <col min="8467" max="8467" width="9.42578125" style="7" customWidth="1"/>
    <col min="8468" max="8468" width="10" style="7" customWidth="1"/>
    <col min="8469" max="8469" width="8.140625" style="7" customWidth="1"/>
    <col min="8470" max="8470" width="9.140625" style="7" customWidth="1"/>
    <col min="8471" max="8715" width="9" style="7"/>
    <col min="8716" max="8716" width="22" style="7" customWidth="1"/>
    <col min="8717" max="8717" width="10.5703125" style="7" customWidth="1"/>
    <col min="8718" max="8719" width="8.85546875" style="7" customWidth="1"/>
    <col min="8720" max="8720" width="8.140625" style="7" customWidth="1"/>
    <col min="8721" max="8721" width="13.140625" style="7" customWidth="1"/>
    <col min="8722" max="8722" width="9" style="7" customWidth="1"/>
    <col min="8723" max="8723" width="9.42578125" style="7" customWidth="1"/>
    <col min="8724" max="8724" width="10" style="7" customWidth="1"/>
    <col min="8725" max="8725" width="8.140625" style="7" customWidth="1"/>
    <col min="8726" max="8726" width="9.140625" style="7" customWidth="1"/>
    <col min="8727" max="8971" width="9" style="7"/>
    <col min="8972" max="8972" width="22" style="7" customWidth="1"/>
    <col min="8973" max="8973" width="10.5703125" style="7" customWidth="1"/>
    <col min="8974" max="8975" width="8.85546875" style="7" customWidth="1"/>
    <col min="8976" max="8976" width="8.140625" style="7" customWidth="1"/>
    <col min="8977" max="8977" width="13.140625" style="7" customWidth="1"/>
    <col min="8978" max="8978" width="9" style="7" customWidth="1"/>
    <col min="8979" max="8979" width="9.42578125" style="7" customWidth="1"/>
    <col min="8980" max="8980" width="10" style="7" customWidth="1"/>
    <col min="8981" max="8981" width="8.140625" style="7" customWidth="1"/>
    <col min="8982" max="8982" width="9.140625" style="7" customWidth="1"/>
    <col min="8983" max="9227" width="9" style="7"/>
    <col min="9228" max="9228" width="22" style="7" customWidth="1"/>
    <col min="9229" max="9229" width="10.5703125" style="7" customWidth="1"/>
    <col min="9230" max="9231" width="8.85546875" style="7" customWidth="1"/>
    <col min="9232" max="9232" width="8.140625" style="7" customWidth="1"/>
    <col min="9233" max="9233" width="13.140625" style="7" customWidth="1"/>
    <col min="9234" max="9234" width="9" style="7" customWidth="1"/>
    <col min="9235" max="9235" width="9.42578125" style="7" customWidth="1"/>
    <col min="9236" max="9236" width="10" style="7" customWidth="1"/>
    <col min="9237" max="9237" width="8.140625" style="7" customWidth="1"/>
    <col min="9238" max="9238" width="9.140625" style="7" customWidth="1"/>
    <col min="9239" max="9483" width="9" style="7"/>
    <col min="9484" max="9484" width="22" style="7" customWidth="1"/>
    <col min="9485" max="9485" width="10.5703125" style="7" customWidth="1"/>
    <col min="9486" max="9487" width="8.85546875" style="7" customWidth="1"/>
    <col min="9488" max="9488" width="8.140625" style="7" customWidth="1"/>
    <col min="9489" max="9489" width="13.140625" style="7" customWidth="1"/>
    <col min="9490" max="9490" width="9" style="7" customWidth="1"/>
    <col min="9491" max="9491" width="9.42578125" style="7" customWidth="1"/>
    <col min="9492" max="9492" width="10" style="7" customWidth="1"/>
    <col min="9493" max="9493" width="8.140625" style="7" customWidth="1"/>
    <col min="9494" max="9494" width="9.140625" style="7" customWidth="1"/>
    <col min="9495" max="9739" width="9" style="7"/>
    <col min="9740" max="9740" width="22" style="7" customWidth="1"/>
    <col min="9741" max="9741" width="10.5703125" style="7" customWidth="1"/>
    <col min="9742" max="9743" width="8.85546875" style="7" customWidth="1"/>
    <col min="9744" max="9744" width="8.140625" style="7" customWidth="1"/>
    <col min="9745" max="9745" width="13.140625" style="7" customWidth="1"/>
    <col min="9746" max="9746" width="9" style="7" customWidth="1"/>
    <col min="9747" max="9747" width="9.42578125" style="7" customWidth="1"/>
    <col min="9748" max="9748" width="10" style="7" customWidth="1"/>
    <col min="9749" max="9749" width="8.140625" style="7" customWidth="1"/>
    <col min="9750" max="9750" width="9.140625" style="7" customWidth="1"/>
    <col min="9751" max="9995" width="9" style="7"/>
    <col min="9996" max="9996" width="22" style="7" customWidth="1"/>
    <col min="9997" max="9997" width="10.5703125" style="7" customWidth="1"/>
    <col min="9998" max="9999" width="8.85546875" style="7" customWidth="1"/>
    <col min="10000" max="10000" width="8.140625" style="7" customWidth="1"/>
    <col min="10001" max="10001" width="13.140625" style="7" customWidth="1"/>
    <col min="10002" max="10002" width="9" style="7" customWidth="1"/>
    <col min="10003" max="10003" width="9.42578125" style="7" customWidth="1"/>
    <col min="10004" max="10004" width="10" style="7" customWidth="1"/>
    <col min="10005" max="10005" width="8.140625" style="7" customWidth="1"/>
    <col min="10006" max="10006" width="9.140625" style="7" customWidth="1"/>
    <col min="10007" max="10251" width="9" style="7"/>
    <col min="10252" max="10252" width="22" style="7" customWidth="1"/>
    <col min="10253" max="10253" width="10.5703125" style="7" customWidth="1"/>
    <col min="10254" max="10255" width="8.85546875" style="7" customWidth="1"/>
    <col min="10256" max="10256" width="8.140625" style="7" customWidth="1"/>
    <col min="10257" max="10257" width="13.140625" style="7" customWidth="1"/>
    <col min="10258" max="10258" width="9" style="7" customWidth="1"/>
    <col min="10259" max="10259" width="9.42578125" style="7" customWidth="1"/>
    <col min="10260" max="10260" width="10" style="7" customWidth="1"/>
    <col min="10261" max="10261" width="8.140625" style="7" customWidth="1"/>
    <col min="10262" max="10262" width="9.140625" style="7" customWidth="1"/>
    <col min="10263" max="10507" width="9" style="7"/>
    <col min="10508" max="10508" width="22" style="7" customWidth="1"/>
    <col min="10509" max="10509" width="10.5703125" style="7" customWidth="1"/>
    <col min="10510" max="10511" width="8.85546875" style="7" customWidth="1"/>
    <col min="10512" max="10512" width="8.140625" style="7" customWidth="1"/>
    <col min="10513" max="10513" width="13.140625" style="7" customWidth="1"/>
    <col min="10514" max="10514" width="9" style="7" customWidth="1"/>
    <col min="10515" max="10515" width="9.42578125" style="7" customWidth="1"/>
    <col min="10516" max="10516" width="10" style="7" customWidth="1"/>
    <col min="10517" max="10517" width="8.140625" style="7" customWidth="1"/>
    <col min="10518" max="10518" width="9.140625" style="7" customWidth="1"/>
    <col min="10519" max="10763" width="9" style="7"/>
    <col min="10764" max="10764" width="22" style="7" customWidth="1"/>
    <col min="10765" max="10765" width="10.5703125" style="7" customWidth="1"/>
    <col min="10766" max="10767" width="8.85546875" style="7" customWidth="1"/>
    <col min="10768" max="10768" width="8.140625" style="7" customWidth="1"/>
    <col min="10769" max="10769" width="13.140625" style="7" customWidth="1"/>
    <col min="10770" max="10770" width="9" style="7" customWidth="1"/>
    <col min="10771" max="10771" width="9.42578125" style="7" customWidth="1"/>
    <col min="10772" max="10772" width="10" style="7" customWidth="1"/>
    <col min="10773" max="10773" width="8.140625" style="7" customWidth="1"/>
    <col min="10774" max="10774" width="9.140625" style="7" customWidth="1"/>
    <col min="10775" max="11019" width="9" style="7"/>
    <col min="11020" max="11020" width="22" style="7" customWidth="1"/>
    <col min="11021" max="11021" width="10.5703125" style="7" customWidth="1"/>
    <col min="11022" max="11023" width="8.85546875" style="7" customWidth="1"/>
    <col min="11024" max="11024" width="8.140625" style="7" customWidth="1"/>
    <col min="11025" max="11025" width="13.140625" style="7" customWidth="1"/>
    <col min="11026" max="11026" width="9" style="7" customWidth="1"/>
    <col min="11027" max="11027" width="9.42578125" style="7" customWidth="1"/>
    <col min="11028" max="11028" width="10" style="7" customWidth="1"/>
    <col min="11029" max="11029" width="8.140625" style="7" customWidth="1"/>
    <col min="11030" max="11030" width="9.140625" style="7" customWidth="1"/>
    <col min="11031" max="11275" width="9" style="7"/>
    <col min="11276" max="11276" width="22" style="7" customWidth="1"/>
    <col min="11277" max="11277" width="10.5703125" style="7" customWidth="1"/>
    <col min="11278" max="11279" width="8.85546875" style="7" customWidth="1"/>
    <col min="11280" max="11280" width="8.140625" style="7" customWidth="1"/>
    <col min="11281" max="11281" width="13.140625" style="7" customWidth="1"/>
    <col min="11282" max="11282" width="9" style="7" customWidth="1"/>
    <col min="11283" max="11283" width="9.42578125" style="7" customWidth="1"/>
    <col min="11284" max="11284" width="10" style="7" customWidth="1"/>
    <col min="11285" max="11285" width="8.140625" style="7" customWidth="1"/>
    <col min="11286" max="11286" width="9.140625" style="7" customWidth="1"/>
    <col min="11287" max="11531" width="9" style="7"/>
    <col min="11532" max="11532" width="22" style="7" customWidth="1"/>
    <col min="11533" max="11533" width="10.5703125" style="7" customWidth="1"/>
    <col min="11534" max="11535" width="8.85546875" style="7" customWidth="1"/>
    <col min="11536" max="11536" width="8.140625" style="7" customWidth="1"/>
    <col min="11537" max="11537" width="13.140625" style="7" customWidth="1"/>
    <col min="11538" max="11538" width="9" style="7" customWidth="1"/>
    <col min="11539" max="11539" width="9.42578125" style="7" customWidth="1"/>
    <col min="11540" max="11540" width="10" style="7" customWidth="1"/>
    <col min="11541" max="11541" width="8.140625" style="7" customWidth="1"/>
    <col min="11542" max="11542" width="9.140625" style="7" customWidth="1"/>
    <col min="11543" max="11787" width="9" style="7"/>
    <col min="11788" max="11788" width="22" style="7" customWidth="1"/>
    <col min="11789" max="11789" width="10.5703125" style="7" customWidth="1"/>
    <col min="11790" max="11791" width="8.85546875" style="7" customWidth="1"/>
    <col min="11792" max="11792" width="8.140625" style="7" customWidth="1"/>
    <col min="11793" max="11793" width="13.140625" style="7" customWidth="1"/>
    <col min="11794" max="11794" width="9" style="7" customWidth="1"/>
    <col min="11795" max="11795" width="9.42578125" style="7" customWidth="1"/>
    <col min="11796" max="11796" width="10" style="7" customWidth="1"/>
    <col min="11797" max="11797" width="8.140625" style="7" customWidth="1"/>
    <col min="11798" max="11798" width="9.140625" style="7" customWidth="1"/>
    <col min="11799" max="12043" width="9" style="7"/>
    <col min="12044" max="12044" width="22" style="7" customWidth="1"/>
    <col min="12045" max="12045" width="10.5703125" style="7" customWidth="1"/>
    <col min="12046" max="12047" width="8.85546875" style="7" customWidth="1"/>
    <col min="12048" max="12048" width="8.140625" style="7" customWidth="1"/>
    <col min="12049" max="12049" width="13.140625" style="7" customWidth="1"/>
    <col min="12050" max="12050" width="9" style="7" customWidth="1"/>
    <col min="12051" max="12051" width="9.42578125" style="7" customWidth="1"/>
    <col min="12052" max="12052" width="10" style="7" customWidth="1"/>
    <col min="12053" max="12053" width="8.140625" style="7" customWidth="1"/>
    <col min="12054" max="12054" width="9.140625" style="7" customWidth="1"/>
    <col min="12055" max="12299" width="9" style="7"/>
    <col min="12300" max="12300" width="22" style="7" customWidth="1"/>
    <col min="12301" max="12301" width="10.5703125" style="7" customWidth="1"/>
    <col min="12302" max="12303" width="8.85546875" style="7" customWidth="1"/>
    <col min="12304" max="12304" width="8.140625" style="7" customWidth="1"/>
    <col min="12305" max="12305" width="13.140625" style="7" customWidth="1"/>
    <col min="12306" max="12306" width="9" style="7" customWidth="1"/>
    <col min="12307" max="12307" width="9.42578125" style="7" customWidth="1"/>
    <col min="12308" max="12308" width="10" style="7" customWidth="1"/>
    <col min="12309" max="12309" width="8.140625" style="7" customWidth="1"/>
    <col min="12310" max="12310" width="9.140625" style="7" customWidth="1"/>
    <col min="12311" max="12555" width="9" style="7"/>
    <col min="12556" max="12556" width="22" style="7" customWidth="1"/>
    <col min="12557" max="12557" width="10.5703125" style="7" customWidth="1"/>
    <col min="12558" max="12559" width="8.85546875" style="7" customWidth="1"/>
    <col min="12560" max="12560" width="8.140625" style="7" customWidth="1"/>
    <col min="12561" max="12561" width="13.140625" style="7" customWidth="1"/>
    <col min="12562" max="12562" width="9" style="7" customWidth="1"/>
    <col min="12563" max="12563" width="9.42578125" style="7" customWidth="1"/>
    <col min="12564" max="12564" width="10" style="7" customWidth="1"/>
    <col min="12565" max="12565" width="8.140625" style="7" customWidth="1"/>
    <col min="12566" max="12566" width="9.140625" style="7" customWidth="1"/>
    <col min="12567" max="12811" width="9" style="7"/>
    <col min="12812" max="12812" width="22" style="7" customWidth="1"/>
    <col min="12813" max="12813" width="10.5703125" style="7" customWidth="1"/>
    <col min="12814" max="12815" width="8.85546875" style="7" customWidth="1"/>
    <col min="12816" max="12816" width="8.140625" style="7" customWidth="1"/>
    <col min="12817" max="12817" width="13.140625" style="7" customWidth="1"/>
    <col min="12818" max="12818" width="9" style="7" customWidth="1"/>
    <col min="12819" max="12819" width="9.42578125" style="7" customWidth="1"/>
    <col min="12820" max="12820" width="10" style="7" customWidth="1"/>
    <col min="12821" max="12821" width="8.140625" style="7" customWidth="1"/>
    <col min="12822" max="12822" width="9.140625" style="7" customWidth="1"/>
    <col min="12823" max="13067" width="9" style="7"/>
    <col min="13068" max="13068" width="22" style="7" customWidth="1"/>
    <col min="13069" max="13069" width="10.5703125" style="7" customWidth="1"/>
    <col min="13070" max="13071" width="8.85546875" style="7" customWidth="1"/>
    <col min="13072" max="13072" width="8.140625" style="7" customWidth="1"/>
    <col min="13073" max="13073" width="13.140625" style="7" customWidth="1"/>
    <col min="13074" max="13074" width="9" style="7" customWidth="1"/>
    <col min="13075" max="13075" width="9.42578125" style="7" customWidth="1"/>
    <col min="13076" max="13076" width="10" style="7" customWidth="1"/>
    <col min="13077" max="13077" width="8.140625" style="7" customWidth="1"/>
    <col min="13078" max="13078" width="9.140625" style="7" customWidth="1"/>
    <col min="13079" max="13323" width="9" style="7"/>
    <col min="13324" max="13324" width="22" style="7" customWidth="1"/>
    <col min="13325" max="13325" width="10.5703125" style="7" customWidth="1"/>
    <col min="13326" max="13327" width="8.85546875" style="7" customWidth="1"/>
    <col min="13328" max="13328" width="8.140625" style="7" customWidth="1"/>
    <col min="13329" max="13329" width="13.140625" style="7" customWidth="1"/>
    <col min="13330" max="13330" width="9" style="7" customWidth="1"/>
    <col min="13331" max="13331" width="9.42578125" style="7" customWidth="1"/>
    <col min="13332" max="13332" width="10" style="7" customWidth="1"/>
    <col min="13333" max="13333" width="8.140625" style="7" customWidth="1"/>
    <col min="13334" max="13334" width="9.140625" style="7" customWidth="1"/>
    <col min="13335" max="13579" width="9" style="7"/>
    <col min="13580" max="13580" width="22" style="7" customWidth="1"/>
    <col min="13581" max="13581" width="10.5703125" style="7" customWidth="1"/>
    <col min="13582" max="13583" width="8.85546875" style="7" customWidth="1"/>
    <col min="13584" max="13584" width="8.140625" style="7" customWidth="1"/>
    <col min="13585" max="13585" width="13.140625" style="7" customWidth="1"/>
    <col min="13586" max="13586" width="9" style="7" customWidth="1"/>
    <col min="13587" max="13587" width="9.42578125" style="7" customWidth="1"/>
    <col min="13588" max="13588" width="10" style="7" customWidth="1"/>
    <col min="13589" max="13589" width="8.140625" style="7" customWidth="1"/>
    <col min="13590" max="13590" width="9.140625" style="7" customWidth="1"/>
    <col min="13591" max="13835" width="9" style="7"/>
    <col min="13836" max="13836" width="22" style="7" customWidth="1"/>
    <col min="13837" max="13837" width="10.5703125" style="7" customWidth="1"/>
    <col min="13838" max="13839" width="8.85546875" style="7" customWidth="1"/>
    <col min="13840" max="13840" width="8.140625" style="7" customWidth="1"/>
    <col min="13841" max="13841" width="13.140625" style="7" customWidth="1"/>
    <col min="13842" max="13842" width="9" style="7" customWidth="1"/>
    <col min="13843" max="13843" width="9.42578125" style="7" customWidth="1"/>
    <col min="13844" max="13844" width="10" style="7" customWidth="1"/>
    <col min="13845" max="13845" width="8.140625" style="7" customWidth="1"/>
    <col min="13846" max="13846" width="9.140625" style="7" customWidth="1"/>
    <col min="13847" max="14091" width="9" style="7"/>
    <col min="14092" max="14092" width="22" style="7" customWidth="1"/>
    <col min="14093" max="14093" width="10.5703125" style="7" customWidth="1"/>
    <col min="14094" max="14095" width="8.85546875" style="7" customWidth="1"/>
    <col min="14096" max="14096" width="8.140625" style="7" customWidth="1"/>
    <col min="14097" max="14097" width="13.140625" style="7" customWidth="1"/>
    <col min="14098" max="14098" width="9" style="7" customWidth="1"/>
    <col min="14099" max="14099" width="9.42578125" style="7" customWidth="1"/>
    <col min="14100" max="14100" width="10" style="7" customWidth="1"/>
    <col min="14101" max="14101" width="8.140625" style="7" customWidth="1"/>
    <col min="14102" max="14102" width="9.140625" style="7" customWidth="1"/>
    <col min="14103" max="14347" width="9" style="7"/>
    <col min="14348" max="14348" width="22" style="7" customWidth="1"/>
    <col min="14349" max="14349" width="10.5703125" style="7" customWidth="1"/>
    <col min="14350" max="14351" width="8.85546875" style="7" customWidth="1"/>
    <col min="14352" max="14352" width="8.140625" style="7" customWidth="1"/>
    <col min="14353" max="14353" width="13.140625" style="7" customWidth="1"/>
    <col min="14354" max="14354" width="9" style="7" customWidth="1"/>
    <col min="14355" max="14355" width="9.42578125" style="7" customWidth="1"/>
    <col min="14356" max="14356" width="10" style="7" customWidth="1"/>
    <col min="14357" max="14357" width="8.140625" style="7" customWidth="1"/>
    <col min="14358" max="14358" width="9.140625" style="7" customWidth="1"/>
    <col min="14359" max="14603" width="9" style="7"/>
    <col min="14604" max="14604" width="22" style="7" customWidth="1"/>
    <col min="14605" max="14605" width="10.5703125" style="7" customWidth="1"/>
    <col min="14606" max="14607" width="8.85546875" style="7" customWidth="1"/>
    <col min="14608" max="14608" width="8.140625" style="7" customWidth="1"/>
    <col min="14609" max="14609" width="13.140625" style="7" customWidth="1"/>
    <col min="14610" max="14610" width="9" style="7" customWidth="1"/>
    <col min="14611" max="14611" width="9.42578125" style="7" customWidth="1"/>
    <col min="14612" max="14612" width="10" style="7" customWidth="1"/>
    <col min="14613" max="14613" width="8.140625" style="7" customWidth="1"/>
    <col min="14614" max="14614" width="9.140625" style="7" customWidth="1"/>
    <col min="14615" max="14859" width="9" style="7"/>
    <col min="14860" max="14860" width="22" style="7" customWidth="1"/>
    <col min="14861" max="14861" width="10.5703125" style="7" customWidth="1"/>
    <col min="14862" max="14863" width="8.85546875" style="7" customWidth="1"/>
    <col min="14864" max="14864" width="8.140625" style="7" customWidth="1"/>
    <col min="14865" max="14865" width="13.140625" style="7" customWidth="1"/>
    <col min="14866" max="14866" width="9" style="7" customWidth="1"/>
    <col min="14867" max="14867" width="9.42578125" style="7" customWidth="1"/>
    <col min="14868" max="14868" width="10" style="7" customWidth="1"/>
    <col min="14869" max="14869" width="8.140625" style="7" customWidth="1"/>
    <col min="14870" max="14870" width="9.140625" style="7" customWidth="1"/>
    <col min="14871" max="15115" width="9" style="7"/>
    <col min="15116" max="15116" width="22" style="7" customWidth="1"/>
    <col min="15117" max="15117" width="10.5703125" style="7" customWidth="1"/>
    <col min="15118" max="15119" width="8.85546875" style="7" customWidth="1"/>
    <col min="15120" max="15120" width="8.140625" style="7" customWidth="1"/>
    <col min="15121" max="15121" width="13.140625" style="7" customWidth="1"/>
    <col min="15122" max="15122" width="9" style="7" customWidth="1"/>
    <col min="15123" max="15123" width="9.42578125" style="7" customWidth="1"/>
    <col min="15124" max="15124" width="10" style="7" customWidth="1"/>
    <col min="15125" max="15125" width="8.140625" style="7" customWidth="1"/>
    <col min="15126" max="15126" width="9.140625" style="7" customWidth="1"/>
    <col min="15127" max="15371" width="9" style="7"/>
    <col min="15372" max="15372" width="22" style="7" customWidth="1"/>
    <col min="15373" max="15373" width="10.5703125" style="7" customWidth="1"/>
    <col min="15374" max="15375" width="8.85546875" style="7" customWidth="1"/>
    <col min="15376" max="15376" width="8.140625" style="7" customWidth="1"/>
    <col min="15377" max="15377" width="13.140625" style="7" customWidth="1"/>
    <col min="15378" max="15378" width="9" style="7" customWidth="1"/>
    <col min="15379" max="15379" width="9.42578125" style="7" customWidth="1"/>
    <col min="15380" max="15380" width="10" style="7" customWidth="1"/>
    <col min="15381" max="15381" width="8.140625" style="7" customWidth="1"/>
    <col min="15382" max="15382" width="9.140625" style="7" customWidth="1"/>
    <col min="15383" max="15627" width="9" style="7"/>
    <col min="15628" max="15628" width="22" style="7" customWidth="1"/>
    <col min="15629" max="15629" width="10.5703125" style="7" customWidth="1"/>
    <col min="15630" max="15631" width="8.85546875" style="7" customWidth="1"/>
    <col min="15632" max="15632" width="8.140625" style="7" customWidth="1"/>
    <col min="15633" max="15633" width="13.140625" style="7" customWidth="1"/>
    <col min="15634" max="15634" width="9" style="7" customWidth="1"/>
    <col min="15635" max="15635" width="9.42578125" style="7" customWidth="1"/>
    <col min="15636" max="15636" width="10" style="7" customWidth="1"/>
    <col min="15637" max="15637" width="8.140625" style="7" customWidth="1"/>
    <col min="15638" max="15638" width="9.140625" style="7" customWidth="1"/>
    <col min="15639" max="15883" width="9" style="7"/>
    <col min="15884" max="15884" width="22" style="7" customWidth="1"/>
    <col min="15885" max="15885" width="10.5703125" style="7" customWidth="1"/>
    <col min="15886" max="15887" width="8.85546875" style="7" customWidth="1"/>
    <col min="15888" max="15888" width="8.140625" style="7" customWidth="1"/>
    <col min="15889" max="15889" width="13.140625" style="7" customWidth="1"/>
    <col min="15890" max="15890" width="9" style="7" customWidth="1"/>
    <col min="15891" max="15891" width="9.42578125" style="7" customWidth="1"/>
    <col min="15892" max="15892" width="10" style="7" customWidth="1"/>
    <col min="15893" max="15893" width="8.140625" style="7" customWidth="1"/>
    <col min="15894" max="15894" width="9.140625" style="7" customWidth="1"/>
    <col min="15895" max="16139" width="9" style="7"/>
    <col min="16140" max="16140" width="22" style="7" customWidth="1"/>
    <col min="16141" max="16141" width="10.5703125" style="7" customWidth="1"/>
    <col min="16142" max="16143" width="8.85546875" style="7" customWidth="1"/>
    <col min="16144" max="16144" width="8.140625" style="7" customWidth="1"/>
    <col min="16145" max="16145" width="13.140625" style="7" customWidth="1"/>
    <col min="16146" max="16146" width="9" style="7" customWidth="1"/>
    <col min="16147" max="16147" width="9.42578125" style="7" customWidth="1"/>
    <col min="16148" max="16148" width="10" style="7" customWidth="1"/>
    <col min="16149" max="16149" width="8.140625" style="7" customWidth="1"/>
    <col min="16150" max="16150" width="9.140625" style="7" customWidth="1"/>
    <col min="16151" max="16384" width="9" style="7"/>
  </cols>
  <sheetData>
    <row r="1" spans="1:27" ht="26.25" customHeight="1">
      <c r="A1" s="11" t="s">
        <v>337</v>
      </c>
      <c r="B1" s="3" t="s">
        <v>14</v>
      </c>
      <c r="C1" s="4" t="s">
        <v>15</v>
      </c>
      <c r="D1" s="11" t="s">
        <v>367</v>
      </c>
      <c r="E1" s="125" t="s">
        <v>338</v>
      </c>
      <c r="F1" s="125" t="s">
        <v>368</v>
      </c>
      <c r="G1" s="91" t="s">
        <v>339</v>
      </c>
      <c r="H1" s="91" t="s">
        <v>340</v>
      </c>
      <c r="I1" s="134" t="s">
        <v>289</v>
      </c>
      <c r="J1" s="135" t="s">
        <v>290</v>
      </c>
      <c r="K1" s="135" t="s">
        <v>341</v>
      </c>
      <c r="L1" s="136" t="s">
        <v>342</v>
      </c>
      <c r="M1" s="134" t="s">
        <v>291</v>
      </c>
      <c r="N1" s="135" t="s">
        <v>292</v>
      </c>
      <c r="O1" s="135" t="s">
        <v>343</v>
      </c>
      <c r="P1" s="136" t="s">
        <v>344</v>
      </c>
      <c r="Q1" s="129" t="s">
        <v>345</v>
      </c>
      <c r="R1" s="125" t="s">
        <v>275</v>
      </c>
      <c r="S1" s="129" t="s">
        <v>276</v>
      </c>
      <c r="T1" s="125" t="s">
        <v>369</v>
      </c>
      <c r="U1" s="22" t="s">
        <v>370</v>
      </c>
      <c r="V1" s="22" t="s">
        <v>297</v>
      </c>
      <c r="W1" s="13" t="s">
        <v>285</v>
      </c>
      <c r="X1" s="14" t="s">
        <v>348</v>
      </c>
      <c r="Y1" s="14" t="s">
        <v>282</v>
      </c>
      <c r="Z1" s="14" t="s">
        <v>283</v>
      </c>
      <c r="AA1" s="14" t="s">
        <v>284</v>
      </c>
    </row>
    <row r="2" spans="1:27" ht="15">
      <c r="E2" s="23" t="s">
        <v>371</v>
      </c>
      <c r="G2" s="16" t="s">
        <v>259</v>
      </c>
      <c r="H2" s="16" t="s">
        <v>117</v>
      </c>
      <c r="I2" s="137" t="s">
        <v>353</v>
      </c>
      <c r="J2" s="16" t="s">
        <v>354</v>
      </c>
      <c r="K2" s="16" t="s">
        <v>341</v>
      </c>
      <c r="L2" s="138" t="s">
        <v>342</v>
      </c>
      <c r="M2" s="137" t="s">
        <v>353</v>
      </c>
      <c r="N2" s="16" t="s">
        <v>354</v>
      </c>
      <c r="O2" s="16" t="s">
        <v>341</v>
      </c>
      <c r="P2" s="138" t="s">
        <v>342</v>
      </c>
      <c r="Q2" s="35" t="s">
        <v>355</v>
      </c>
      <c r="R2" s="9" t="s">
        <v>296</v>
      </c>
      <c r="S2" s="35"/>
      <c r="V2" s="10" t="s">
        <v>297</v>
      </c>
      <c r="X2" s="258">
        <v>0.3</v>
      </c>
      <c r="Y2" s="258">
        <v>0.35</v>
      </c>
      <c r="Z2" s="258">
        <v>0.4</v>
      </c>
      <c r="AA2" s="7">
        <v>0.5</v>
      </c>
    </row>
    <row r="3" spans="1:27" ht="40.35" customHeight="1">
      <c r="A3" s="7" t="s">
        <v>42</v>
      </c>
      <c r="B3" s="7" t="str">
        <f>_xlfn.CONCAT(A3,"_",D3,"_",G3,"_",H3,"")</f>
        <v>MSH_25x25x10G_2500_1250</v>
      </c>
      <c r="C3" s="7" t="str">
        <f>B3</f>
        <v>MSH_25x25x10G_2500_1250</v>
      </c>
      <c r="D3" s="7" t="s">
        <v>372</v>
      </c>
      <c r="E3" s="9" t="s">
        <v>373</v>
      </c>
      <c r="F3" s="9" t="s">
        <v>374</v>
      </c>
      <c r="G3" s="9">
        <v>2500</v>
      </c>
      <c r="H3" s="9">
        <v>1250</v>
      </c>
      <c r="I3" s="139"/>
      <c r="J3" s="9"/>
      <c r="K3" s="9">
        <v>27</v>
      </c>
      <c r="L3" s="140" t="s">
        <v>302</v>
      </c>
      <c r="M3" s="139"/>
      <c r="N3" s="9"/>
      <c r="O3" s="9"/>
      <c r="P3" s="140"/>
      <c r="Q3" s="139">
        <f>((Table10[[#This Row],[Qty.]]*(IF(Table10[[#This Row],[Length 1]]&lt;1,(Table10[[#This Row],[Std Length]]*Table10[[#This Row],[Std Width]]),(Table10[[#This Row],[Length 1]]*Table10[[#This Row],[Width 1]]))))+(Table10[[#This Row],[Qty2]]*(IF(Table10[[#This Row],[Length 2]]&lt;1,(Table10[[#This Row],[Std Length]]*Table10[[#This Row],[Std Width]]),(Table10[[#This Row],[Length 2]]*Table10[[#This Row],[Width 2]])))))/1000000</f>
        <v>84.375</v>
      </c>
      <c r="R3" s="17">
        <f>Table10[[#This Row],[Total Sq Metres]]*Table10[[#This Row],[£/m2]]</f>
        <v>621</v>
      </c>
      <c r="S3" s="37"/>
      <c r="T3" s="17"/>
      <c r="U3" s="10">
        <v>23</v>
      </c>
      <c r="V3" s="10">
        <f>Table10[[#This Row],[£ / SHEET]]/(Table10[[#This Row],[Std Length]]*Table10[[#This Row],[Std Width]]/1000000)</f>
        <v>7.36</v>
      </c>
      <c r="X3" s="18">
        <f>Table10[[#This Row],[£ / SHEET]]*(1+X$2)</f>
        <v>29.900000000000002</v>
      </c>
      <c r="Y3" s="18">
        <f>Table10[[#This Row],[£ / SHEET]]*(1+Y$2)</f>
        <v>31.05</v>
      </c>
      <c r="Z3" s="18">
        <f>Table10[[#This Row],[£ / SHEET]]*(1+Z$2)</f>
        <v>32.199999999999996</v>
      </c>
      <c r="AA3" s="18">
        <f>Table10[[#This Row],[£ / SHEET]]*(1+AA$2)</f>
        <v>34.5</v>
      </c>
    </row>
    <row r="4" spans="1:27" ht="40.35" customHeight="1">
      <c r="A4" s="7" t="s">
        <v>42</v>
      </c>
      <c r="B4" s="7" t="str">
        <f t="shared" ref="B4:B16" si="0">_xlfn.CONCAT(A4,"_",D4,"_",G4,"_",H4,"")</f>
        <v>MSH_25x25x10G_2500_1250</v>
      </c>
      <c r="C4" s="7" t="str">
        <f t="shared" ref="C4:C16" si="1">B4</f>
        <v>MSH_25x25x10G_2500_1250</v>
      </c>
      <c r="D4" s="7" t="s">
        <v>372</v>
      </c>
      <c r="E4" s="9" t="s">
        <v>373</v>
      </c>
      <c r="F4" s="26" t="s">
        <v>375</v>
      </c>
      <c r="G4" s="9">
        <v>2500</v>
      </c>
      <c r="H4" s="9">
        <v>1250</v>
      </c>
      <c r="I4" s="139"/>
      <c r="J4" s="9"/>
      <c r="K4" s="9"/>
      <c r="L4" s="140"/>
      <c r="M4" s="139"/>
      <c r="N4" s="9"/>
      <c r="O4" s="9"/>
      <c r="P4" s="140"/>
      <c r="Q4" s="139">
        <f>((Table10[[#This Row],[Qty.]]*(IF(Table10[[#This Row],[Length 1]]&lt;1,(Table10[[#This Row],[Std Length]]*Table10[[#This Row],[Std Width]]),(Table10[[#This Row],[Length 1]]*Table10[[#This Row],[Width 1]]))))+(Table10[[#This Row],[Qty2]]*(IF(Table10[[#This Row],[Length 2]]&lt;1,(Table10[[#This Row],[Std Length]]*Table10[[#This Row],[Std Width]]),(Table10[[#This Row],[Length 2]]*Table10[[#This Row],[Width 2]])))))/1000000</f>
        <v>0</v>
      </c>
      <c r="R4" s="17">
        <f>Table10[[#This Row],[Total Sq Metres]]*Table10[[#This Row],[£/m2]]</f>
        <v>0</v>
      </c>
      <c r="S4" s="37"/>
      <c r="T4" s="17"/>
      <c r="U4" s="10">
        <f>U3*2</f>
        <v>46</v>
      </c>
      <c r="V4" s="10">
        <f>Table10[[#This Row],[£ / SHEET]]/(Table10[[#This Row],[Std Length]]*Table10[[#This Row],[Std Width]]/1000000)</f>
        <v>14.72</v>
      </c>
      <c r="X4" s="18">
        <f>Table10[[#This Row],[£ / SHEET]]*(1+X$2)</f>
        <v>59.800000000000004</v>
      </c>
      <c r="Y4" s="18">
        <f>Table10[[#This Row],[£ / SHEET]]*(1+Y$2)</f>
        <v>62.1</v>
      </c>
      <c r="Z4" s="18">
        <f>Table10[[#This Row],[£ / SHEET]]*(1+Z$2)</f>
        <v>64.399999999999991</v>
      </c>
      <c r="AA4" s="18">
        <f>Table10[[#This Row],[£ / SHEET]]*(1+AA$2)</f>
        <v>69</v>
      </c>
    </row>
    <row r="5" spans="1:27" ht="40.35" customHeight="1">
      <c r="A5" s="7" t="s">
        <v>42</v>
      </c>
      <c r="B5" s="7" t="str">
        <f t="shared" si="0"/>
        <v>MSH_50x25x10G_2500_1250</v>
      </c>
      <c r="C5" s="7" t="str">
        <f t="shared" si="1"/>
        <v>MSH_50x25x10G_2500_1250</v>
      </c>
      <c r="D5" s="7" t="s">
        <v>376</v>
      </c>
      <c r="E5" s="9" t="s">
        <v>377</v>
      </c>
      <c r="F5" s="9" t="s">
        <v>374</v>
      </c>
      <c r="G5" s="9">
        <v>2500</v>
      </c>
      <c r="H5" s="9">
        <v>1250</v>
      </c>
      <c r="I5" s="139"/>
      <c r="J5" s="9"/>
      <c r="K5" s="9">
        <v>5</v>
      </c>
      <c r="L5" s="140" t="s">
        <v>302</v>
      </c>
      <c r="M5" s="139"/>
      <c r="N5" s="9"/>
      <c r="O5" s="9"/>
      <c r="P5" s="140"/>
      <c r="Q5" s="139">
        <f>((Table10[[#This Row],[Qty.]]*(IF(Table10[[#This Row],[Length 1]]&lt;1,(Table10[[#This Row],[Std Length]]*Table10[[#This Row],[Std Width]]),(Table10[[#This Row],[Length 1]]*Table10[[#This Row],[Width 1]]))))+(Table10[[#This Row],[Qty2]]*(IF(Table10[[#This Row],[Length 2]]&lt;1,(Table10[[#This Row],[Std Length]]*Table10[[#This Row],[Std Width]]),(Table10[[#This Row],[Length 2]]*Table10[[#This Row],[Width 2]])))))/1000000</f>
        <v>15.625</v>
      </c>
      <c r="R5" s="17">
        <f>Table10[[#This Row],[Total Sq Metres]]*Table10[[#This Row],[£/m2]]</f>
        <v>80</v>
      </c>
      <c r="S5" s="37"/>
      <c r="T5" s="17"/>
      <c r="U5" s="10">
        <v>16</v>
      </c>
      <c r="V5" s="10">
        <f>Table10[[#This Row],[£ / SHEET]]/(Table10[[#This Row],[Std Length]]*Table10[[#This Row],[Std Width]]/1000000)</f>
        <v>5.12</v>
      </c>
      <c r="X5" s="18">
        <f>Table10[[#This Row],[£ / SHEET]]*(1+X$2)</f>
        <v>20.8</v>
      </c>
      <c r="Y5" s="18">
        <f>Table10[[#This Row],[£ / SHEET]]*(1+Y$2)</f>
        <v>21.6</v>
      </c>
      <c r="Z5" s="18">
        <f>Table10[[#This Row],[£ / SHEET]]*(1+Z$2)</f>
        <v>22.4</v>
      </c>
      <c r="AA5" s="18">
        <f>Table10[[#This Row],[£ / SHEET]]*(1+AA$2)</f>
        <v>24</v>
      </c>
    </row>
    <row r="6" spans="1:27" ht="40.35" customHeight="1">
      <c r="A6" s="7" t="s">
        <v>42</v>
      </c>
      <c r="B6" s="7" t="str">
        <f t="shared" si="0"/>
        <v>MSH_50x50x10G_2500_1250</v>
      </c>
      <c r="C6" s="7" t="str">
        <f t="shared" si="1"/>
        <v>MSH_50x50x10G_2500_1250</v>
      </c>
      <c r="D6" s="7" t="s">
        <v>378</v>
      </c>
      <c r="E6" s="9" t="s">
        <v>379</v>
      </c>
      <c r="F6" s="9" t="s">
        <v>374</v>
      </c>
      <c r="G6" s="9">
        <v>2500</v>
      </c>
      <c r="H6" s="9">
        <v>1250</v>
      </c>
      <c r="I6" s="139"/>
      <c r="J6" s="9"/>
      <c r="K6" s="9">
        <v>27</v>
      </c>
      <c r="L6" s="140" t="s">
        <v>302</v>
      </c>
      <c r="M6" s="139"/>
      <c r="N6" s="9"/>
      <c r="O6" s="9"/>
      <c r="P6" s="140"/>
      <c r="Q6" s="139">
        <f>((Table10[[#This Row],[Qty.]]*(IF(Table10[[#This Row],[Length 1]]&lt;1,(Table10[[#This Row],[Std Length]]*Table10[[#This Row],[Std Width]]),(Table10[[#This Row],[Length 1]]*Table10[[#This Row],[Width 1]]))))+(Table10[[#This Row],[Qty2]]*(IF(Table10[[#This Row],[Length 2]]&lt;1,(Table10[[#This Row],[Std Length]]*Table10[[#This Row],[Std Width]]),(Table10[[#This Row],[Length 2]]*Table10[[#This Row],[Width 2]])))))/1000000</f>
        <v>84.375</v>
      </c>
      <c r="R6" s="17">
        <f>Table10[[#This Row],[Total Sq Metres]]*Table10[[#This Row],[£/m2]]</f>
        <v>321.3</v>
      </c>
      <c r="S6" s="37"/>
      <c r="T6" s="17"/>
      <c r="U6" s="10">
        <v>11.9</v>
      </c>
      <c r="V6" s="10">
        <f>Table10[[#This Row],[£ / SHEET]]/(Table10[[#This Row],[Std Length]]*Table10[[#This Row],[Std Width]]/1000000)</f>
        <v>3.8080000000000003</v>
      </c>
      <c r="X6" s="18">
        <f>Table10[[#This Row],[£ / SHEET]]*(1+X$2)</f>
        <v>15.47</v>
      </c>
      <c r="Y6" s="18">
        <f>Table10[[#This Row],[£ / SHEET]]*(1+Y$2)</f>
        <v>16.065000000000001</v>
      </c>
      <c r="Z6" s="18">
        <f>Table10[[#This Row],[£ / SHEET]]*(1+Z$2)</f>
        <v>16.66</v>
      </c>
      <c r="AA6" s="18">
        <f>Table10[[#This Row],[£ / SHEET]]*(1+AA$2)</f>
        <v>17.850000000000001</v>
      </c>
    </row>
    <row r="7" spans="1:27" ht="40.35" customHeight="1">
      <c r="A7" s="198" t="s">
        <v>380</v>
      </c>
      <c r="B7" s="7" t="str">
        <f t="shared" si="0"/>
        <v>GALV MSH_50x50x8G_2500_1250</v>
      </c>
      <c r="C7" s="7" t="str">
        <f t="shared" si="1"/>
        <v>GALV MSH_50x50x8G_2500_1250</v>
      </c>
      <c r="D7" s="7" t="s">
        <v>381</v>
      </c>
      <c r="E7" s="9" t="s">
        <v>382</v>
      </c>
      <c r="F7" s="9" t="s">
        <v>374</v>
      </c>
      <c r="G7" s="9">
        <v>2500</v>
      </c>
      <c r="H7" s="9">
        <v>1250</v>
      </c>
      <c r="I7" s="139"/>
      <c r="J7" s="9"/>
      <c r="K7" s="9">
        <v>1</v>
      </c>
      <c r="L7" s="140" t="s">
        <v>302</v>
      </c>
      <c r="M7" s="139"/>
      <c r="N7" s="9"/>
      <c r="O7" s="9"/>
      <c r="P7" s="140"/>
      <c r="Q7" s="139">
        <f>((Table10[[#This Row],[Qty.]]*(IF(Table10[[#This Row],[Length 1]]&lt;1,(Table10[[#This Row],[Std Length]]*Table10[[#This Row],[Std Width]]),(Table10[[#This Row],[Length 1]]*Table10[[#This Row],[Width 1]]))))+(Table10[[#This Row],[Qty2]]*(IF(Table10[[#This Row],[Length 2]]&lt;1,(Table10[[#This Row],[Std Length]]*Table10[[#This Row],[Std Width]]),(Table10[[#This Row],[Length 2]]*Table10[[#This Row],[Width 2]])))))/1000000</f>
        <v>3.125</v>
      </c>
      <c r="R7" s="17">
        <f>Table10[[#This Row],[Total Sq Metres]]*Table10[[#This Row],[£/m2]]</f>
        <v>14.000000000000002</v>
      </c>
      <c r="S7" s="37"/>
      <c r="T7" s="17"/>
      <c r="U7" s="10">
        <v>14</v>
      </c>
      <c r="V7" s="10">
        <f>Table10[[#This Row],[£ / SHEET]]/(Table10[[#This Row],[Std Length]]*Table10[[#This Row],[Std Width]]/1000000)</f>
        <v>4.4800000000000004</v>
      </c>
      <c r="X7" s="18">
        <f>Table10[[#This Row],[£ / SHEET]]*(1+X$2)</f>
        <v>18.2</v>
      </c>
      <c r="Y7" s="18">
        <f>Table10[[#This Row],[£ / SHEET]]*(1+Y$2)</f>
        <v>18.900000000000002</v>
      </c>
      <c r="Z7" s="18">
        <f>Table10[[#This Row],[£ / SHEET]]*(1+Z$2)</f>
        <v>19.599999999999998</v>
      </c>
      <c r="AA7" s="18">
        <f>Table10[[#This Row],[£ / SHEET]]*(1+AA$2)</f>
        <v>21</v>
      </c>
    </row>
    <row r="8" spans="1:27" ht="40.35" customHeight="1">
      <c r="A8" s="7" t="s">
        <v>42</v>
      </c>
      <c r="B8" s="7" t="str">
        <f t="shared" si="0"/>
        <v>MSH_50x50x8G_3600_1800</v>
      </c>
      <c r="C8" s="7" t="str">
        <f t="shared" si="1"/>
        <v>MSH_50x50x8G_3600_1800</v>
      </c>
      <c r="D8" s="7" t="s">
        <v>381</v>
      </c>
      <c r="E8" s="9" t="s">
        <v>382</v>
      </c>
      <c r="F8" s="26" t="s">
        <v>383</v>
      </c>
      <c r="G8" s="9">
        <v>3600</v>
      </c>
      <c r="H8" s="9">
        <v>1800</v>
      </c>
      <c r="I8" s="139"/>
      <c r="J8" s="9"/>
      <c r="K8" s="9">
        <v>3</v>
      </c>
      <c r="L8" s="140" t="s">
        <v>302</v>
      </c>
      <c r="M8" s="139"/>
      <c r="N8" s="9"/>
      <c r="O8" s="9"/>
      <c r="P8" s="140"/>
      <c r="Q8" s="139">
        <f>((Table10[[#This Row],[Qty.]]*(IF(Table10[[#This Row],[Length 1]]&lt;1,(Table10[[#This Row],[Std Length]]*Table10[[#This Row],[Std Width]]),(Table10[[#This Row],[Length 1]]*Table10[[#This Row],[Width 1]]))))+(Table10[[#This Row],[Qty2]]*(IF(Table10[[#This Row],[Length 2]]&lt;1,(Table10[[#This Row],[Std Length]]*Table10[[#This Row],[Std Width]]),(Table10[[#This Row],[Length 2]]*Table10[[#This Row],[Width 2]])))))/1000000</f>
        <v>19.440000000000001</v>
      </c>
      <c r="R8" s="17">
        <f>Table10[[#This Row],[Total Sq Metres]]*Table10[[#This Row],[£/m2]]</f>
        <v>129</v>
      </c>
      <c r="S8" s="37"/>
      <c r="T8" s="17"/>
      <c r="U8" s="10">
        <v>43</v>
      </c>
      <c r="V8" s="10">
        <f>Table10[[#This Row],[£ / SHEET]]/(Table10[[#This Row],[Std Length]]*Table10[[#This Row],[Std Width]]/1000000)</f>
        <v>6.6358024691358022</v>
      </c>
      <c r="X8" s="18">
        <f>Table10[[#This Row],[£ / SHEET]]*(1+X$2)</f>
        <v>55.9</v>
      </c>
      <c r="Y8" s="18">
        <f>Table10[[#This Row],[£ / SHEET]]*(1+Y$2)</f>
        <v>58.050000000000004</v>
      </c>
      <c r="Z8" s="18">
        <f>Table10[[#This Row],[£ / SHEET]]*(1+Z$2)</f>
        <v>60.199999999999996</v>
      </c>
      <c r="AA8" s="18">
        <f>Table10[[#This Row],[£ / SHEET]]*(1+AA$2)</f>
        <v>64.5</v>
      </c>
    </row>
    <row r="9" spans="1:27" ht="40.35" customHeight="1">
      <c r="A9" s="7" t="s">
        <v>42</v>
      </c>
      <c r="B9" s="7" t="str">
        <f t="shared" si="0"/>
        <v>MSH_75x75x8G_2500_1250</v>
      </c>
      <c r="C9" s="7" t="str">
        <f t="shared" si="1"/>
        <v>MSH_75x75x8G_2500_1250</v>
      </c>
      <c r="D9" s="7" t="s">
        <v>384</v>
      </c>
      <c r="E9" s="9" t="s">
        <v>385</v>
      </c>
      <c r="F9" s="9" t="s">
        <v>374</v>
      </c>
      <c r="G9" s="9">
        <v>2500</v>
      </c>
      <c r="H9" s="9">
        <v>1250</v>
      </c>
      <c r="I9" s="139"/>
      <c r="J9" s="9"/>
      <c r="K9" s="9"/>
      <c r="L9" s="140"/>
      <c r="M9" s="139"/>
      <c r="N9" s="9"/>
      <c r="O9" s="9"/>
      <c r="P9" s="140"/>
      <c r="Q9" s="139">
        <f>((Table10[[#This Row],[Qty.]]*(IF(Table10[[#This Row],[Length 1]]&lt;1,(Table10[[#This Row],[Std Length]]*Table10[[#This Row],[Std Width]]),(Table10[[#This Row],[Length 1]]*Table10[[#This Row],[Width 1]]))))+(Table10[[#This Row],[Qty2]]*(IF(Table10[[#This Row],[Length 2]]&lt;1,(Table10[[#This Row],[Std Length]]*Table10[[#This Row],[Std Width]]),(Table10[[#This Row],[Length 2]]*Table10[[#This Row],[Width 2]])))))/1000000</f>
        <v>0</v>
      </c>
      <c r="R9" s="17">
        <f>Table10[[#This Row],[Total Sq Metres]]*Table10[[#This Row],[£/m2]]</f>
        <v>0</v>
      </c>
      <c r="S9" s="37"/>
      <c r="T9" s="17"/>
      <c r="U9" s="10">
        <v>10</v>
      </c>
      <c r="V9" s="10">
        <f>Table10[[#This Row],[£ / SHEET]]/(Table10[[#This Row],[Std Length]]*Table10[[#This Row],[Std Width]]/1000000)</f>
        <v>3.2</v>
      </c>
      <c r="X9" s="18">
        <f>Table10[[#This Row],[£ / SHEET]]*(1+X$2)</f>
        <v>13</v>
      </c>
      <c r="Y9" s="18">
        <f>Table10[[#This Row],[£ / SHEET]]*(1+Y$2)</f>
        <v>13.5</v>
      </c>
      <c r="Z9" s="18">
        <f>Table10[[#This Row],[£ / SHEET]]*(1+Z$2)</f>
        <v>14</v>
      </c>
      <c r="AA9" s="18">
        <f>Table10[[#This Row],[£ / SHEET]]*(1+AA$2)</f>
        <v>15</v>
      </c>
    </row>
    <row r="10" spans="1:27" ht="40.35" customHeight="1">
      <c r="A10" s="7" t="s">
        <v>42</v>
      </c>
      <c r="B10" s="7" t="str">
        <f t="shared" si="0"/>
        <v>MSH_75x75x6G_2500_1250</v>
      </c>
      <c r="C10" s="7" t="str">
        <f t="shared" si="1"/>
        <v>MSH_75x75x6G_2500_1250</v>
      </c>
      <c r="D10" s="7" t="s">
        <v>386</v>
      </c>
      <c r="E10" s="9" t="s">
        <v>387</v>
      </c>
      <c r="F10" s="9" t="s">
        <v>374</v>
      </c>
      <c r="G10" s="9">
        <v>2500</v>
      </c>
      <c r="H10" s="9">
        <v>1250</v>
      </c>
      <c r="I10" s="139"/>
      <c r="J10" s="9"/>
      <c r="K10" s="9">
        <v>14</v>
      </c>
      <c r="L10" s="140" t="s">
        <v>302</v>
      </c>
      <c r="M10" s="139"/>
      <c r="N10" s="9"/>
      <c r="O10" s="9"/>
      <c r="P10" s="140"/>
      <c r="Q10" s="139">
        <f>((Table10[[#This Row],[Qty.]]*(IF(Table10[[#This Row],[Length 1]]&lt;1,(Table10[[#This Row],[Std Length]]*Table10[[#This Row],[Std Width]]),(Table10[[#This Row],[Length 1]]*Table10[[#This Row],[Width 1]]))))+(Table10[[#This Row],[Qty2]]*(IF(Table10[[#This Row],[Length 2]]&lt;1,(Table10[[#This Row],[Std Length]]*Table10[[#This Row],[Std Width]]),(Table10[[#This Row],[Length 2]]*Table10[[#This Row],[Width 2]])))))/1000000</f>
        <v>43.75</v>
      </c>
      <c r="R10" s="17">
        <f>Table10[[#This Row],[Total Sq Metres]]*Table10[[#This Row],[£/m2]]</f>
        <v>258.3</v>
      </c>
      <c r="S10" s="37"/>
      <c r="T10" s="17"/>
      <c r="U10" s="10">
        <v>18.45</v>
      </c>
      <c r="V10" s="10">
        <f>Table10[[#This Row],[£ / SHEET]]/(Table10[[#This Row],[Std Length]]*Table10[[#This Row],[Std Width]]/1000000)</f>
        <v>5.9039999999999999</v>
      </c>
      <c r="X10" s="18">
        <f>Table10[[#This Row],[£ / SHEET]]*(1+X$2)</f>
        <v>23.984999999999999</v>
      </c>
      <c r="Y10" s="18">
        <f>Table10[[#This Row],[£ / SHEET]]*(1+Y$2)</f>
        <v>24.907500000000002</v>
      </c>
      <c r="Z10" s="18">
        <f>Table10[[#This Row],[£ / SHEET]]*(1+Z$2)</f>
        <v>25.83</v>
      </c>
      <c r="AA10" s="18">
        <f>Table10[[#This Row],[£ / SHEET]]*(1+AA$2)</f>
        <v>27.674999999999997</v>
      </c>
    </row>
    <row r="11" spans="1:27" ht="40.35" customHeight="1">
      <c r="A11" s="7" t="s">
        <v>45</v>
      </c>
      <c r="B11" s="7" t="str">
        <f t="shared" si="0"/>
        <v>EX_MET_Ref.4896_3000_610</v>
      </c>
      <c r="C11" s="7" t="str">
        <f t="shared" si="1"/>
        <v>EX_MET_Ref.4896_3000_610</v>
      </c>
      <c r="D11" s="7" t="s">
        <v>388</v>
      </c>
      <c r="E11" s="27" t="s">
        <v>389</v>
      </c>
      <c r="G11" s="9">
        <v>3000</v>
      </c>
      <c r="H11" s="9">
        <v>610</v>
      </c>
      <c r="I11" s="139"/>
      <c r="J11" s="9"/>
      <c r="K11" s="9">
        <v>4</v>
      </c>
      <c r="L11" s="140" t="s">
        <v>302</v>
      </c>
      <c r="M11" s="139"/>
      <c r="N11" s="9"/>
      <c r="O11" s="9"/>
      <c r="P11" s="140"/>
      <c r="Q11" s="139">
        <f>((Table10[[#This Row],[Qty.]]*(IF(Table10[[#This Row],[Length 1]]&lt;1,(Table10[[#This Row],[Std Length]]*Table10[[#This Row],[Std Width]]),(Table10[[#This Row],[Length 1]]*Table10[[#This Row],[Width 1]]))))+(Table10[[#This Row],[Qty2]]*(IF(Table10[[#This Row],[Length 2]]&lt;1,(Table10[[#This Row],[Std Length]]*Table10[[#This Row],[Std Width]]),(Table10[[#This Row],[Length 2]]*Table10[[#This Row],[Width 2]])))))/1000000</f>
        <v>7.32</v>
      </c>
      <c r="R11" s="17">
        <f>Table10[[#This Row],[Total Sq Metres]]*Table10[[#This Row],[£/m2]]</f>
        <v>86</v>
      </c>
      <c r="S11" s="37"/>
      <c r="T11" s="17"/>
      <c r="U11" s="10">
        <v>21.5</v>
      </c>
      <c r="V11" s="10">
        <f>Table10[[#This Row],[£ / SHEET]]/(Table10[[#This Row],[Std Length]]*Table10[[#This Row],[Std Width]]/1000000)</f>
        <v>11.748633879781421</v>
      </c>
      <c r="X11" s="18">
        <f>Table10[[#This Row],[£ / SHEET]]*(1+X$2)</f>
        <v>27.95</v>
      </c>
      <c r="Y11" s="18">
        <f>Table10[[#This Row],[£ / SHEET]]*(1+Y$2)</f>
        <v>29.025000000000002</v>
      </c>
      <c r="Z11" s="18">
        <f>Table10[[#This Row],[£ / SHEET]]*(1+Z$2)</f>
        <v>30.099999999999998</v>
      </c>
      <c r="AA11" s="18">
        <f>Table10[[#This Row],[£ / SHEET]]*(1+AA$2)</f>
        <v>32.25</v>
      </c>
    </row>
    <row r="12" spans="1:27" ht="40.35" customHeight="1">
      <c r="A12" s="7" t="s">
        <v>45</v>
      </c>
      <c r="B12" s="7" t="str">
        <f t="shared" si="0"/>
        <v>EX_MET_Ref.2089_2500_1250</v>
      </c>
      <c r="C12" s="7" t="str">
        <f t="shared" si="1"/>
        <v>EX_MET_Ref.2089_2500_1250</v>
      </c>
      <c r="D12" s="7" t="s">
        <v>390</v>
      </c>
      <c r="E12" s="27" t="s">
        <v>391</v>
      </c>
      <c r="F12" s="9" t="s">
        <v>374</v>
      </c>
      <c r="G12" s="9">
        <v>2500</v>
      </c>
      <c r="H12" s="9">
        <v>1250</v>
      </c>
      <c r="I12" s="139"/>
      <c r="J12" s="9"/>
      <c r="K12" s="9"/>
      <c r="L12" s="140"/>
      <c r="M12" s="139"/>
      <c r="N12" s="9"/>
      <c r="O12" s="9"/>
      <c r="P12" s="140"/>
      <c r="Q12" s="139">
        <f>((Table10[[#This Row],[Qty.]]*(IF(Table10[[#This Row],[Length 1]]&lt;1,(Table10[[#This Row],[Std Length]]*Table10[[#This Row],[Std Width]]),(Table10[[#This Row],[Length 1]]*Table10[[#This Row],[Width 1]]))))+(Table10[[#This Row],[Qty2]]*(IF(Table10[[#This Row],[Length 2]]&lt;1,(Table10[[#This Row],[Std Length]]*Table10[[#This Row],[Std Width]]),(Table10[[#This Row],[Length 2]]*Table10[[#This Row],[Width 2]])))))/1000000</f>
        <v>0</v>
      </c>
      <c r="R12" s="17">
        <f>Table10[[#This Row],[Total Sq Metres]]*Table10[[#This Row],[£/m2]]</f>
        <v>0</v>
      </c>
      <c r="S12" s="37"/>
      <c r="T12" s="17"/>
      <c r="U12" s="10">
        <v>19</v>
      </c>
      <c r="V12" s="10">
        <f>Table10[[#This Row],[£ / SHEET]]/(Table10[[#This Row],[Std Length]]*Table10[[#This Row],[Std Width]]/1000000)</f>
        <v>6.08</v>
      </c>
      <c r="X12" s="18">
        <f>Table10[[#This Row],[£ / SHEET]]*(1+X$2)</f>
        <v>24.7</v>
      </c>
      <c r="Y12" s="18">
        <f>Table10[[#This Row],[£ / SHEET]]*(1+Y$2)</f>
        <v>25.650000000000002</v>
      </c>
      <c r="Z12" s="18">
        <f>Table10[[#This Row],[£ / SHEET]]*(1+Z$2)</f>
        <v>26.599999999999998</v>
      </c>
      <c r="AA12" s="18">
        <f>Table10[[#This Row],[£ / SHEET]]*(1+AA$2)</f>
        <v>28.5</v>
      </c>
    </row>
    <row r="13" spans="1:27" ht="40.35" customHeight="1">
      <c r="A13" s="7" t="s">
        <v>45</v>
      </c>
      <c r="B13" s="7" t="str">
        <f t="shared" si="0"/>
        <v>EX_MET_Ref.2089_2500_1250</v>
      </c>
      <c r="C13" s="7" t="str">
        <f t="shared" si="1"/>
        <v>EX_MET_Ref.2089_2500_1250</v>
      </c>
      <c r="D13" s="7" t="s">
        <v>390</v>
      </c>
      <c r="E13" s="27" t="s">
        <v>391</v>
      </c>
      <c r="F13" s="9" t="s">
        <v>375</v>
      </c>
      <c r="G13" s="9">
        <v>2500</v>
      </c>
      <c r="H13" s="9">
        <v>1250</v>
      </c>
      <c r="I13" s="139"/>
      <c r="J13" s="9"/>
      <c r="K13" s="9"/>
      <c r="L13" s="140"/>
      <c r="M13" s="139"/>
      <c r="N13" s="9"/>
      <c r="O13" s="9"/>
      <c r="P13" s="140"/>
      <c r="Q13" s="139">
        <f>((Table10[[#This Row],[Qty.]]*(IF(Table10[[#This Row],[Length 1]]&lt;1,(Table10[[#This Row],[Std Length]]*Table10[[#This Row],[Std Width]]),(Table10[[#This Row],[Length 1]]*Table10[[#This Row],[Width 1]]))))+(Table10[[#This Row],[Qty2]]*(IF(Table10[[#This Row],[Length 2]]&lt;1,(Table10[[#This Row],[Std Length]]*Table10[[#This Row],[Std Width]]),(Table10[[#This Row],[Length 2]]*Table10[[#This Row],[Width 2]])))))/1000000</f>
        <v>0</v>
      </c>
      <c r="R13" s="17">
        <f>Table10[[#This Row],[Total Sq Metres]]*Table10[[#This Row],[£/m2]]</f>
        <v>0</v>
      </c>
      <c r="S13" s="37"/>
      <c r="T13" s="17"/>
      <c r="U13" s="10">
        <f>U12*2</f>
        <v>38</v>
      </c>
      <c r="V13" s="10">
        <f>Table10[[#This Row],[£ / SHEET]]/(Table10[[#This Row],[Std Length]]*Table10[[#This Row],[Std Width]]/1000000)</f>
        <v>12.16</v>
      </c>
      <c r="X13" s="18">
        <f>Table10[[#This Row],[£ / SHEET]]*(1+X$2)</f>
        <v>49.4</v>
      </c>
      <c r="Y13" s="18">
        <f>Table10[[#This Row],[£ / SHEET]]*(1+Y$2)</f>
        <v>51.300000000000004</v>
      </c>
      <c r="Z13" s="18">
        <f>Table10[[#This Row],[£ / SHEET]]*(1+Z$2)</f>
        <v>53.199999999999996</v>
      </c>
      <c r="AA13" s="18">
        <f>Table10[[#This Row],[£ / SHEET]]*(1+AA$2)</f>
        <v>57</v>
      </c>
    </row>
    <row r="14" spans="1:27" ht="40.35" customHeight="1">
      <c r="A14" s="7" t="s">
        <v>45</v>
      </c>
      <c r="B14" s="7" t="str">
        <f t="shared" si="0"/>
        <v>EX_MET_Ref.2074F_2500_1250</v>
      </c>
      <c r="C14" s="7" t="str">
        <f t="shared" si="1"/>
        <v>EX_MET_Ref.2074F_2500_1250</v>
      </c>
      <c r="D14" s="7" t="s">
        <v>392</v>
      </c>
      <c r="E14" s="27" t="s">
        <v>393</v>
      </c>
      <c r="F14" s="9" t="s">
        <v>374</v>
      </c>
      <c r="G14" s="9">
        <v>2500</v>
      </c>
      <c r="H14" s="9">
        <v>1250</v>
      </c>
      <c r="I14" s="139"/>
      <c r="J14" s="9"/>
      <c r="K14" s="9"/>
      <c r="L14" s="140"/>
      <c r="M14" s="139"/>
      <c r="N14" s="9"/>
      <c r="O14" s="9"/>
      <c r="P14" s="140"/>
      <c r="Q14" s="139">
        <f>((Table10[[#This Row],[Qty.]]*(IF(Table10[[#This Row],[Length 1]]&lt;1,(Table10[[#This Row],[Std Length]]*Table10[[#This Row],[Std Width]]),(Table10[[#This Row],[Length 1]]*Table10[[#This Row],[Width 1]]))))+(Table10[[#This Row],[Qty2]]*(IF(Table10[[#This Row],[Length 2]]&lt;1,(Table10[[#This Row],[Std Length]]*Table10[[#This Row],[Std Width]]),(Table10[[#This Row],[Length 2]]*Table10[[#This Row],[Width 2]])))))/1000000</f>
        <v>0</v>
      </c>
      <c r="R14" s="17">
        <f>Table10[[#This Row],[Total Sq Metres]]*Table10[[#This Row],[£/m2]]</f>
        <v>0</v>
      </c>
      <c r="S14" s="37"/>
      <c r="T14" s="17"/>
      <c r="V14" s="10">
        <f>Table10[[#This Row],[£ / SHEET]]/(Table10[[#This Row],[Std Length]]*Table10[[#This Row],[Std Width]]/1000000)</f>
        <v>0</v>
      </c>
      <c r="X14" s="18">
        <f>Table10[[#This Row],[£ / SHEET]]*(1+X$2)</f>
        <v>0</v>
      </c>
      <c r="Y14" s="18">
        <f>Table10[[#This Row],[£ / SHEET]]*(1+Y$2)</f>
        <v>0</v>
      </c>
      <c r="Z14" s="18">
        <f>Table10[[#This Row],[£ / SHEET]]*(1+Z$2)</f>
        <v>0</v>
      </c>
      <c r="AA14" s="18">
        <f>Table10[[#This Row],[£ / SHEET]]*(1+AA$2)</f>
        <v>0</v>
      </c>
    </row>
    <row r="15" spans="1:27" ht="40.35" customHeight="1">
      <c r="A15" s="7" t="s">
        <v>45</v>
      </c>
      <c r="B15" s="7" t="str">
        <f t="shared" si="0"/>
        <v>EX_MET_FF_25x3_6000_1000</v>
      </c>
      <c r="C15" s="7" t="str">
        <f t="shared" si="1"/>
        <v>EX_MET_FF_25x3_6000_1000</v>
      </c>
      <c r="D15" s="7" t="s">
        <v>394</v>
      </c>
      <c r="E15" s="27" t="s">
        <v>395</v>
      </c>
      <c r="F15" s="9" t="s">
        <v>396</v>
      </c>
      <c r="G15" s="9">
        <v>6000</v>
      </c>
      <c r="H15" s="9">
        <v>1000</v>
      </c>
      <c r="I15" s="139"/>
      <c r="J15" s="9"/>
      <c r="K15" s="9"/>
      <c r="L15" s="140"/>
      <c r="M15" s="139"/>
      <c r="N15" s="9"/>
      <c r="O15" s="9"/>
      <c r="P15" s="140"/>
      <c r="Q15" s="139">
        <f>((Table10[[#This Row],[Qty.]]*(IF(Table10[[#This Row],[Length 1]]&lt;1,(Table10[[#This Row],[Std Length]]*Table10[[#This Row],[Std Width]]),(Table10[[#This Row],[Length 1]]*Table10[[#This Row],[Width 1]]))))+(Table10[[#This Row],[Qty2]]*(IF(Table10[[#This Row],[Length 2]]&lt;1,(Table10[[#This Row],[Std Length]]*Table10[[#This Row],[Std Width]]),(Table10[[#This Row],[Length 2]]*Table10[[#This Row],[Width 2]])))))/1000000</f>
        <v>0</v>
      </c>
      <c r="R15" s="17">
        <f>Table10[[#This Row],[Total Sq Metres]]*Table10[[#This Row],[£/m2]]</f>
        <v>0</v>
      </c>
      <c r="S15" s="37"/>
      <c r="T15" s="17"/>
      <c r="V15" s="10">
        <f>Table10[[#This Row],[£ / SHEET]]/(Table10[[#This Row],[Std Length]]*Table10[[#This Row],[Std Width]]/1000000)</f>
        <v>0</v>
      </c>
      <c r="X15" s="18">
        <f>Table10[[#This Row],[£ / SHEET]]*(1+X$2)</f>
        <v>0</v>
      </c>
      <c r="Y15" s="18">
        <f>Table10[[#This Row],[£ / SHEET]]*(1+Y$2)</f>
        <v>0</v>
      </c>
      <c r="Z15" s="18">
        <f>Table10[[#This Row],[£ / SHEET]]*(1+Z$2)</f>
        <v>0</v>
      </c>
      <c r="AA15" s="18">
        <f>Table10[[#This Row],[£ / SHEET]]*(1+AA$2)</f>
        <v>0</v>
      </c>
    </row>
    <row r="16" spans="1:27" ht="40.35" customHeight="1">
      <c r="A16" s="7" t="s">
        <v>45</v>
      </c>
      <c r="B16" s="7" t="str">
        <f t="shared" si="0"/>
        <v>EX_MET_FF_25x5_6000_1000</v>
      </c>
      <c r="C16" s="7" t="str">
        <f t="shared" si="1"/>
        <v>EX_MET_FF_25x5_6000_1000</v>
      </c>
      <c r="D16" s="7" t="s">
        <v>397</v>
      </c>
      <c r="E16" s="27" t="s">
        <v>398</v>
      </c>
      <c r="F16" s="9" t="s">
        <v>396</v>
      </c>
      <c r="G16" s="9">
        <v>6000</v>
      </c>
      <c r="H16" s="9">
        <v>1000</v>
      </c>
      <c r="I16" s="139"/>
      <c r="J16" s="9"/>
      <c r="K16" s="9"/>
      <c r="L16" s="140"/>
      <c r="M16" s="139"/>
      <c r="N16" s="9"/>
      <c r="O16" s="9"/>
      <c r="P16" s="140"/>
      <c r="Q16" s="139">
        <f>((Table10[[#This Row],[Qty.]]*(IF(Table10[[#This Row],[Length 1]]&lt;1,(Table10[[#This Row],[Std Length]]*Table10[[#This Row],[Std Width]]),(Table10[[#This Row],[Length 1]]*Table10[[#This Row],[Width 1]]))))+(Table10[[#This Row],[Qty2]]*(IF(Table10[[#This Row],[Length 2]]&lt;1,(Table10[[#This Row],[Std Length]]*Table10[[#This Row],[Std Width]]),(Table10[[#This Row],[Length 2]]*Table10[[#This Row],[Width 2]])))))/1000000</f>
        <v>0</v>
      </c>
      <c r="R16" s="17">
        <f>Table10[[#This Row],[Total Sq Metres]]*Table10[[#This Row],[£/m2]]</f>
        <v>0</v>
      </c>
      <c r="S16" s="37"/>
      <c r="T16" s="17"/>
      <c r="V16" s="10">
        <f>Table10[[#This Row],[£ / SHEET]]/(Table10[[#This Row],[Std Length]]*Table10[[#This Row],[Std Width]]/1000000)</f>
        <v>0</v>
      </c>
      <c r="X16" s="18">
        <f>Table10[[#This Row],[£ / SHEET]]*(1+X$2)</f>
        <v>0</v>
      </c>
      <c r="Y16" s="18">
        <f>Table10[[#This Row],[£ / SHEET]]*(1+Y$2)</f>
        <v>0</v>
      </c>
      <c r="Z16" s="18">
        <f>Table10[[#This Row],[£ / SHEET]]*(1+Z$2)</f>
        <v>0</v>
      </c>
      <c r="AA16" s="18">
        <f>Table10[[#This Row],[£ / SHEET]]*(1+AA$2)</f>
        <v>0</v>
      </c>
    </row>
    <row r="17" spans="1:19" ht="15">
      <c r="E17" s="27"/>
      <c r="I17" s="139"/>
      <c r="J17" s="9"/>
      <c r="K17" s="9"/>
      <c r="L17" s="140"/>
      <c r="M17" s="139"/>
      <c r="N17" s="9"/>
      <c r="O17" s="9"/>
      <c r="P17" s="140"/>
      <c r="Q17" s="139"/>
      <c r="R17" s="21">
        <f t="shared" ref="R17" si="2">SUM(R3:R16)</f>
        <v>1509.6</v>
      </c>
      <c r="S17" s="9"/>
    </row>
    <row r="18" spans="1:19">
      <c r="E18" s="27"/>
      <c r="I18" s="139"/>
      <c r="J18" s="9"/>
      <c r="K18" s="9"/>
      <c r="L18" s="140"/>
      <c r="M18" s="139"/>
      <c r="N18" s="9"/>
      <c r="O18" s="9"/>
      <c r="P18" s="140"/>
      <c r="Q18" s="139"/>
      <c r="R18" s="9"/>
      <c r="S18" s="9"/>
    </row>
    <row r="19" spans="1:19">
      <c r="E19" s="27"/>
      <c r="I19" s="139"/>
      <c r="J19" s="9"/>
      <c r="K19" s="9"/>
      <c r="L19" s="140"/>
      <c r="M19" s="139"/>
      <c r="N19" s="9"/>
      <c r="O19" s="9"/>
      <c r="P19" s="140"/>
      <c r="Q19" s="139"/>
      <c r="R19" s="9"/>
      <c r="S19" s="9"/>
    </row>
    <row r="20" spans="1:19">
      <c r="E20" s="27"/>
      <c r="I20" s="139"/>
      <c r="J20" s="9"/>
      <c r="K20" s="9"/>
      <c r="L20" s="140"/>
      <c r="M20" s="139"/>
      <c r="N20" s="9"/>
      <c r="O20" s="9"/>
      <c r="P20" s="140"/>
      <c r="Q20" s="139"/>
      <c r="R20" s="9"/>
      <c r="S20" s="9"/>
    </row>
    <row r="21" spans="1:19">
      <c r="A21" s="9"/>
      <c r="B21" s="9"/>
      <c r="C21" s="9"/>
      <c r="D21" s="9"/>
      <c r="E21" s="27"/>
      <c r="I21" s="139"/>
      <c r="J21" s="9"/>
      <c r="K21" s="9"/>
      <c r="L21" s="140"/>
      <c r="M21" s="139"/>
      <c r="N21" s="9"/>
      <c r="O21" s="9"/>
      <c r="P21" s="140"/>
      <c r="Q21" s="139"/>
      <c r="R21" s="9"/>
      <c r="S21" s="9"/>
    </row>
    <row r="22" spans="1:19">
      <c r="A22" s="9"/>
      <c r="B22" s="9"/>
      <c r="C22" s="9"/>
      <c r="D22" s="9"/>
      <c r="E22" s="27"/>
      <c r="I22" s="139"/>
      <c r="J22" s="9"/>
      <c r="K22" s="9"/>
      <c r="L22" s="140"/>
      <c r="M22" s="139"/>
      <c r="N22" s="9"/>
      <c r="O22" s="9"/>
      <c r="P22" s="140"/>
      <c r="Q22" s="139"/>
      <c r="R22" s="9"/>
      <c r="S22" s="9"/>
    </row>
    <row r="23" spans="1:19">
      <c r="A23" s="9"/>
      <c r="B23" s="9"/>
      <c r="C23" s="9"/>
      <c r="D23" s="9"/>
      <c r="E23" s="27"/>
      <c r="I23" s="139"/>
      <c r="J23" s="9"/>
      <c r="K23" s="9"/>
      <c r="L23" s="140"/>
      <c r="M23" s="139"/>
      <c r="N23" s="9"/>
      <c r="O23" s="9"/>
      <c r="P23" s="140"/>
      <c r="Q23" s="139"/>
      <c r="R23" s="9"/>
      <c r="S23" s="9"/>
    </row>
    <row r="24" spans="1:19">
      <c r="A24" s="9"/>
      <c r="B24" s="9"/>
      <c r="C24" s="9"/>
      <c r="D24" s="9"/>
      <c r="E24" s="27"/>
      <c r="I24" s="139"/>
      <c r="J24" s="9"/>
      <c r="K24" s="9"/>
      <c r="L24" s="140"/>
      <c r="M24" s="139"/>
      <c r="N24" s="9"/>
      <c r="O24" s="9"/>
      <c r="P24" s="140"/>
      <c r="Q24" s="139"/>
      <c r="R24" s="9"/>
      <c r="S24" s="9"/>
    </row>
    <row r="25" spans="1:19">
      <c r="A25" s="9"/>
      <c r="B25" s="9"/>
      <c r="C25" s="9"/>
      <c r="D25" s="9"/>
      <c r="E25" s="27"/>
      <c r="I25" s="139"/>
      <c r="J25" s="9"/>
      <c r="K25" s="9"/>
      <c r="L25" s="140"/>
      <c r="M25" s="139"/>
      <c r="N25" s="9"/>
      <c r="O25" s="9"/>
      <c r="P25" s="140"/>
      <c r="Q25" s="139"/>
      <c r="R25" s="9"/>
      <c r="S25" s="9"/>
    </row>
    <row r="26" spans="1:19">
      <c r="I26" s="139"/>
      <c r="J26" s="9"/>
      <c r="K26" s="9"/>
      <c r="L26" s="140"/>
      <c r="M26" s="139"/>
      <c r="N26" s="9"/>
      <c r="O26" s="9"/>
      <c r="P26" s="140"/>
      <c r="Q26" s="139"/>
      <c r="R26" s="9"/>
      <c r="S26" s="9"/>
    </row>
    <row r="27" spans="1:19">
      <c r="I27" s="139"/>
      <c r="J27" s="9"/>
      <c r="K27" s="9"/>
      <c r="L27" s="140"/>
      <c r="M27" s="139"/>
      <c r="N27" s="9"/>
      <c r="O27" s="9"/>
      <c r="P27" s="140"/>
      <c r="Q27" s="139"/>
      <c r="R27" s="9"/>
      <c r="S27" s="9"/>
    </row>
    <row r="28" spans="1:19">
      <c r="I28" s="139"/>
      <c r="J28" s="9"/>
      <c r="K28" s="9"/>
      <c r="L28" s="140"/>
      <c r="M28" s="139"/>
      <c r="N28" s="9"/>
      <c r="O28" s="9"/>
      <c r="P28" s="140"/>
      <c r="Q28" s="139"/>
      <c r="R28" s="9"/>
      <c r="S28" s="9"/>
    </row>
    <row r="29" spans="1:19">
      <c r="I29" s="139"/>
      <c r="J29" s="9"/>
      <c r="K29" s="9"/>
      <c r="L29" s="140"/>
      <c r="M29" s="139"/>
      <c r="N29" s="9"/>
      <c r="O29" s="9"/>
      <c r="P29" s="140"/>
      <c r="Q29" s="139"/>
      <c r="R29" s="9"/>
      <c r="S29" s="9"/>
    </row>
    <row r="30" spans="1:19">
      <c r="I30" s="139"/>
      <c r="J30" s="9"/>
      <c r="K30" s="9"/>
      <c r="L30" s="140"/>
      <c r="M30" s="139"/>
      <c r="N30" s="9"/>
      <c r="O30" s="9"/>
      <c r="P30" s="140"/>
      <c r="Q30" s="139"/>
      <c r="R30" s="9"/>
      <c r="S30" s="9"/>
    </row>
    <row r="31" spans="1:19">
      <c r="I31" s="139"/>
      <c r="J31" s="9"/>
      <c r="K31" s="9"/>
      <c r="L31" s="140"/>
      <c r="M31" s="139"/>
      <c r="N31" s="9"/>
      <c r="O31" s="9"/>
      <c r="P31" s="140"/>
      <c r="Q31" s="139"/>
      <c r="R31" s="9"/>
      <c r="S31" s="9"/>
    </row>
    <row r="32" spans="1:19">
      <c r="I32" s="139"/>
      <c r="J32" s="9"/>
      <c r="K32" s="9"/>
      <c r="L32" s="140"/>
      <c r="M32" s="139"/>
      <c r="N32" s="9"/>
      <c r="O32" s="9"/>
      <c r="P32" s="140"/>
      <c r="Q32" s="139"/>
      <c r="R32" s="9"/>
      <c r="S32" s="9"/>
    </row>
    <row r="33" spans="9:19">
      <c r="I33" s="139"/>
      <c r="J33" s="9"/>
      <c r="K33" s="9"/>
      <c r="L33" s="140"/>
      <c r="M33" s="139"/>
      <c r="N33" s="9"/>
      <c r="O33" s="9"/>
      <c r="P33" s="140"/>
      <c r="Q33" s="139"/>
      <c r="R33" s="9"/>
      <c r="S33" s="9"/>
    </row>
    <row r="34" spans="9:19">
      <c r="I34" s="139"/>
      <c r="J34" s="9"/>
      <c r="K34" s="9"/>
      <c r="L34" s="140"/>
      <c r="M34" s="139"/>
      <c r="N34" s="9"/>
      <c r="O34" s="9"/>
      <c r="P34" s="140"/>
      <c r="Q34" s="139"/>
      <c r="R34" s="9"/>
      <c r="S34" s="9"/>
    </row>
    <row r="35" spans="9:19">
      <c r="I35" s="139"/>
      <c r="J35" s="9"/>
      <c r="K35" s="9"/>
      <c r="L35" s="140"/>
      <c r="M35" s="139"/>
      <c r="N35" s="9"/>
      <c r="O35" s="9"/>
      <c r="P35" s="140"/>
      <c r="Q35" s="139"/>
      <c r="R35" s="9"/>
      <c r="S35" s="9"/>
    </row>
    <row r="36" spans="9:19">
      <c r="I36" s="139"/>
      <c r="J36" s="9"/>
      <c r="K36" s="9"/>
      <c r="L36" s="140"/>
      <c r="M36" s="139"/>
      <c r="N36" s="9"/>
      <c r="O36" s="9"/>
      <c r="P36" s="140"/>
      <c r="Q36" s="139"/>
      <c r="R36" s="9"/>
      <c r="S36" s="9"/>
    </row>
    <row r="37" spans="9:19">
      <c r="I37" s="139"/>
      <c r="J37" s="9"/>
      <c r="K37" s="9"/>
      <c r="L37" s="140"/>
      <c r="M37" s="139"/>
      <c r="N37" s="9"/>
      <c r="O37" s="9"/>
      <c r="P37" s="140"/>
      <c r="Q37" s="139"/>
      <c r="R37" s="9"/>
      <c r="S37" s="9"/>
    </row>
    <row r="38" spans="9:19">
      <c r="I38" s="139"/>
      <c r="J38" s="9"/>
      <c r="K38" s="9"/>
      <c r="L38" s="140"/>
      <c r="M38" s="139"/>
      <c r="N38" s="9"/>
      <c r="O38" s="9"/>
      <c r="P38" s="140"/>
      <c r="Q38" s="139"/>
      <c r="R38" s="9"/>
      <c r="S38" s="9"/>
    </row>
    <row r="39" spans="9:19">
      <c r="I39" s="139"/>
      <c r="J39" s="9"/>
      <c r="K39" s="9"/>
      <c r="L39" s="140"/>
      <c r="M39" s="139"/>
      <c r="N39" s="9"/>
      <c r="O39" s="9"/>
      <c r="P39" s="140"/>
      <c r="Q39" s="139"/>
      <c r="R39" s="9"/>
      <c r="S39" s="9"/>
    </row>
    <row r="40" spans="9:19">
      <c r="I40" s="139"/>
      <c r="J40" s="9"/>
      <c r="K40" s="9"/>
      <c r="L40" s="140"/>
      <c r="M40" s="139"/>
      <c r="N40" s="9"/>
      <c r="O40" s="9"/>
      <c r="P40" s="140"/>
      <c r="Q40" s="139"/>
      <c r="R40" s="9"/>
      <c r="S40" s="9"/>
    </row>
    <row r="41" spans="9:19">
      <c r="I41" s="139"/>
      <c r="J41" s="9"/>
      <c r="K41" s="9"/>
      <c r="L41" s="140"/>
      <c r="M41" s="139"/>
      <c r="N41" s="9"/>
      <c r="O41" s="9"/>
      <c r="P41" s="140"/>
      <c r="Q41" s="139"/>
      <c r="R41" s="9"/>
      <c r="S41" s="9"/>
    </row>
  </sheetData>
  <phoneticPr fontId="3" type="noConversion"/>
  <dataValidations disablePrompts="1" count="1">
    <dataValidation type="list" allowBlank="1" showInputMessage="1" showErrorMessage="1" error="Select Area from Tab 'Area List'" sqref="L3:L41 P3:P41 S17:S41 T17" xr:uid="{3AC33007-FEE8-4B98-88EC-703E2C2DB7F9}">
      <formula1>AreaList2</formula1>
    </dataValidation>
  </dataValidations>
  <printOptions gridLines="1"/>
  <pageMargins left="0.47244094488188981" right="0.47244094488188981" top="0.43307086614173229" bottom="0.31496062992125984" header="0.31496062992125984" footer="0.23622047244094491"/>
  <pageSetup paperSize="9" scale="57" orientation="landscape" r:id="rId1"/>
  <headerFooter alignWithMargins="0">
    <oddFooter>&amp;L&amp;D&amp;C&amp;A&amp;R&amp;P of &amp;N</oddFooter>
  </headerFooter>
  <colBreaks count="1" manualBreakCount="1">
    <brk id="22" max="1048575" man="1"/>
  </colBreaks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4B3B3-D80C-4A13-863B-328AFEF94C65}">
  <dimension ref="A1:Z86"/>
  <sheetViews>
    <sheetView zoomScale="55" zoomScaleNormal="55" workbookViewId="0">
      <selection activeCell="Y10" sqref="Y10"/>
    </sheetView>
  </sheetViews>
  <sheetFormatPr defaultRowHeight="12.75"/>
  <cols>
    <col min="1" max="1" width="9" style="7"/>
    <col min="2" max="2" width="26" style="7" customWidth="1"/>
    <col min="3" max="3" width="29.85546875" style="7" hidden="1" customWidth="1"/>
    <col min="4" max="4" width="16" style="7" customWidth="1"/>
    <col min="5" max="5" width="15" style="7" customWidth="1"/>
    <col min="6" max="6" width="11" style="9" customWidth="1"/>
    <col min="7" max="7" width="16.5703125" style="141" customWidth="1"/>
    <col min="8" max="8" width="9.5703125" style="7" customWidth="1"/>
    <col min="9" max="9" width="9.5703125" style="142" customWidth="1"/>
    <col min="10" max="10" width="16.5703125" style="141" customWidth="1"/>
    <col min="11" max="11" width="9.5703125" style="7" customWidth="1"/>
    <col min="12" max="12" width="9.5703125" style="142" customWidth="1"/>
    <col min="13" max="13" width="16.5703125" style="141" customWidth="1"/>
    <col min="14" max="14" width="9.5703125" style="7" customWidth="1"/>
    <col min="15" max="15" width="9.5703125" style="142" customWidth="1"/>
    <col min="16" max="16" width="13.5703125" style="7" customWidth="1"/>
    <col min="17" max="17" width="16.85546875" style="217" customWidth="1"/>
    <col min="18" max="18" width="12.28515625" style="7" customWidth="1"/>
    <col min="19" max="20" width="9" style="7"/>
    <col min="21" max="21" width="10" style="7" customWidth="1"/>
    <col min="22" max="22" width="9" style="7"/>
    <col min="23" max="26" width="11.42578125" style="7" customWidth="1"/>
    <col min="27" max="254" width="9" style="7"/>
    <col min="255" max="255" width="11.42578125" style="7" customWidth="1"/>
    <col min="256" max="256" width="15" style="7" customWidth="1"/>
    <col min="257" max="257" width="6.140625" style="7" customWidth="1"/>
    <col min="258" max="258" width="2.85546875" style="7" customWidth="1"/>
    <col min="259" max="259" width="10.85546875" style="7" customWidth="1"/>
    <col min="260" max="260" width="6.140625" style="7" customWidth="1"/>
    <col min="261" max="261" width="10.85546875" style="7" customWidth="1"/>
    <col min="262" max="262" width="7" style="7" customWidth="1"/>
    <col min="263" max="263" width="8.140625" style="7" customWidth="1"/>
    <col min="264" max="264" width="11" style="7" customWidth="1"/>
    <col min="265" max="265" width="7.140625" style="7" customWidth="1"/>
    <col min="266" max="266" width="10.85546875" style="7" customWidth="1"/>
    <col min="267" max="267" width="6.5703125" style="7" customWidth="1"/>
    <col min="268" max="268" width="9.140625" style="7" bestFit="1" customWidth="1"/>
    <col min="269" max="269" width="9" style="7"/>
    <col min="270" max="270" width="9.85546875" style="7" bestFit="1" customWidth="1"/>
    <col min="271" max="271" width="5.140625" style="7" customWidth="1"/>
    <col min="272" max="510" width="9" style="7"/>
    <col min="511" max="511" width="11.42578125" style="7" customWidth="1"/>
    <col min="512" max="512" width="15" style="7" customWidth="1"/>
    <col min="513" max="513" width="6.140625" style="7" customWidth="1"/>
    <col min="514" max="514" width="2.85546875" style="7" customWidth="1"/>
    <col min="515" max="515" width="10.85546875" style="7" customWidth="1"/>
    <col min="516" max="516" width="6.140625" style="7" customWidth="1"/>
    <col min="517" max="517" width="10.85546875" style="7" customWidth="1"/>
    <col min="518" max="518" width="7" style="7" customWidth="1"/>
    <col min="519" max="519" width="8.140625" style="7" customWidth="1"/>
    <col min="520" max="520" width="11" style="7" customWidth="1"/>
    <col min="521" max="521" width="7.140625" style="7" customWidth="1"/>
    <col min="522" max="522" width="10.85546875" style="7" customWidth="1"/>
    <col min="523" max="523" width="6.5703125" style="7" customWidth="1"/>
    <col min="524" max="524" width="9.140625" style="7" bestFit="1" customWidth="1"/>
    <col min="525" max="525" width="9" style="7"/>
    <col min="526" max="526" width="9.85546875" style="7" bestFit="1" customWidth="1"/>
    <col min="527" max="527" width="5.140625" style="7" customWidth="1"/>
    <col min="528" max="766" width="9" style="7"/>
    <col min="767" max="767" width="11.42578125" style="7" customWidth="1"/>
    <col min="768" max="768" width="15" style="7" customWidth="1"/>
    <col min="769" max="769" width="6.140625" style="7" customWidth="1"/>
    <col min="770" max="770" width="2.85546875" style="7" customWidth="1"/>
    <col min="771" max="771" width="10.85546875" style="7" customWidth="1"/>
    <col min="772" max="772" width="6.140625" style="7" customWidth="1"/>
    <col min="773" max="773" width="10.85546875" style="7" customWidth="1"/>
    <col min="774" max="774" width="7" style="7" customWidth="1"/>
    <col min="775" max="775" width="8.140625" style="7" customWidth="1"/>
    <col min="776" max="776" width="11" style="7" customWidth="1"/>
    <col min="777" max="777" width="7.140625" style="7" customWidth="1"/>
    <col min="778" max="778" width="10.85546875" style="7" customWidth="1"/>
    <col min="779" max="779" width="6.5703125" style="7" customWidth="1"/>
    <col min="780" max="780" width="9.140625" style="7" bestFit="1" customWidth="1"/>
    <col min="781" max="781" width="9" style="7"/>
    <col min="782" max="782" width="9.85546875" style="7" bestFit="1" customWidth="1"/>
    <col min="783" max="783" width="5.140625" style="7" customWidth="1"/>
    <col min="784" max="1022" width="9" style="7"/>
    <col min="1023" max="1023" width="11.42578125" style="7" customWidth="1"/>
    <col min="1024" max="1024" width="15" style="7" customWidth="1"/>
    <col min="1025" max="1025" width="6.140625" style="7" customWidth="1"/>
    <col min="1026" max="1026" width="2.85546875" style="7" customWidth="1"/>
    <col min="1027" max="1027" width="10.85546875" style="7" customWidth="1"/>
    <col min="1028" max="1028" width="6.140625" style="7" customWidth="1"/>
    <col min="1029" max="1029" width="10.85546875" style="7" customWidth="1"/>
    <col min="1030" max="1030" width="7" style="7" customWidth="1"/>
    <col min="1031" max="1031" width="8.140625" style="7" customWidth="1"/>
    <col min="1032" max="1032" width="11" style="7" customWidth="1"/>
    <col min="1033" max="1033" width="7.140625" style="7" customWidth="1"/>
    <col min="1034" max="1034" width="10.85546875" style="7" customWidth="1"/>
    <col min="1035" max="1035" width="6.5703125" style="7" customWidth="1"/>
    <col min="1036" max="1036" width="9.140625" style="7" bestFit="1" customWidth="1"/>
    <col min="1037" max="1037" width="9" style="7"/>
    <col min="1038" max="1038" width="9.85546875" style="7" bestFit="1" customWidth="1"/>
    <col min="1039" max="1039" width="5.140625" style="7" customWidth="1"/>
    <col min="1040" max="1278" width="9" style="7"/>
    <col min="1279" max="1279" width="11.42578125" style="7" customWidth="1"/>
    <col min="1280" max="1280" width="15" style="7" customWidth="1"/>
    <col min="1281" max="1281" width="6.140625" style="7" customWidth="1"/>
    <col min="1282" max="1282" width="2.85546875" style="7" customWidth="1"/>
    <col min="1283" max="1283" width="10.85546875" style="7" customWidth="1"/>
    <col min="1284" max="1284" width="6.140625" style="7" customWidth="1"/>
    <col min="1285" max="1285" width="10.85546875" style="7" customWidth="1"/>
    <col min="1286" max="1286" width="7" style="7" customWidth="1"/>
    <col min="1287" max="1287" width="8.140625" style="7" customWidth="1"/>
    <col min="1288" max="1288" width="11" style="7" customWidth="1"/>
    <col min="1289" max="1289" width="7.140625" style="7" customWidth="1"/>
    <col min="1290" max="1290" width="10.85546875" style="7" customWidth="1"/>
    <col min="1291" max="1291" width="6.5703125" style="7" customWidth="1"/>
    <col min="1292" max="1292" width="9.140625" style="7" bestFit="1" customWidth="1"/>
    <col min="1293" max="1293" width="9" style="7"/>
    <col min="1294" max="1294" width="9.85546875" style="7" bestFit="1" customWidth="1"/>
    <col min="1295" max="1295" width="5.140625" style="7" customWidth="1"/>
    <col min="1296" max="1534" width="9" style="7"/>
    <col min="1535" max="1535" width="11.42578125" style="7" customWidth="1"/>
    <col min="1536" max="1536" width="15" style="7" customWidth="1"/>
    <col min="1537" max="1537" width="6.140625" style="7" customWidth="1"/>
    <col min="1538" max="1538" width="2.85546875" style="7" customWidth="1"/>
    <col min="1539" max="1539" width="10.85546875" style="7" customWidth="1"/>
    <col min="1540" max="1540" width="6.140625" style="7" customWidth="1"/>
    <col min="1541" max="1541" width="10.85546875" style="7" customWidth="1"/>
    <col min="1542" max="1542" width="7" style="7" customWidth="1"/>
    <col min="1543" max="1543" width="8.140625" style="7" customWidth="1"/>
    <col min="1544" max="1544" width="11" style="7" customWidth="1"/>
    <col min="1545" max="1545" width="7.140625" style="7" customWidth="1"/>
    <col min="1546" max="1546" width="10.85546875" style="7" customWidth="1"/>
    <col min="1547" max="1547" width="6.5703125" style="7" customWidth="1"/>
    <col min="1548" max="1548" width="9.140625" style="7" bestFit="1" customWidth="1"/>
    <col min="1549" max="1549" width="9" style="7"/>
    <col min="1550" max="1550" width="9.85546875" style="7" bestFit="1" customWidth="1"/>
    <col min="1551" max="1551" width="5.140625" style="7" customWidth="1"/>
    <col min="1552" max="1790" width="9" style="7"/>
    <col min="1791" max="1791" width="11.42578125" style="7" customWidth="1"/>
    <col min="1792" max="1792" width="15" style="7" customWidth="1"/>
    <col min="1793" max="1793" width="6.140625" style="7" customWidth="1"/>
    <col min="1794" max="1794" width="2.85546875" style="7" customWidth="1"/>
    <col min="1795" max="1795" width="10.85546875" style="7" customWidth="1"/>
    <col min="1796" max="1796" width="6.140625" style="7" customWidth="1"/>
    <col min="1797" max="1797" width="10.85546875" style="7" customWidth="1"/>
    <col min="1798" max="1798" width="7" style="7" customWidth="1"/>
    <col min="1799" max="1799" width="8.140625" style="7" customWidth="1"/>
    <col min="1800" max="1800" width="11" style="7" customWidth="1"/>
    <col min="1801" max="1801" width="7.140625" style="7" customWidth="1"/>
    <col min="1802" max="1802" width="10.85546875" style="7" customWidth="1"/>
    <col min="1803" max="1803" width="6.5703125" style="7" customWidth="1"/>
    <col min="1804" max="1804" width="9.140625" style="7" bestFit="1" customWidth="1"/>
    <col min="1805" max="1805" width="9" style="7"/>
    <col min="1806" max="1806" width="9.85546875" style="7" bestFit="1" customWidth="1"/>
    <col min="1807" max="1807" width="5.140625" style="7" customWidth="1"/>
    <col min="1808" max="2046" width="9" style="7"/>
    <col min="2047" max="2047" width="11.42578125" style="7" customWidth="1"/>
    <col min="2048" max="2048" width="15" style="7" customWidth="1"/>
    <col min="2049" max="2049" width="6.140625" style="7" customWidth="1"/>
    <col min="2050" max="2050" width="2.85546875" style="7" customWidth="1"/>
    <col min="2051" max="2051" width="10.85546875" style="7" customWidth="1"/>
    <col min="2052" max="2052" width="6.140625" style="7" customWidth="1"/>
    <col min="2053" max="2053" width="10.85546875" style="7" customWidth="1"/>
    <col min="2054" max="2054" width="7" style="7" customWidth="1"/>
    <col min="2055" max="2055" width="8.140625" style="7" customWidth="1"/>
    <col min="2056" max="2056" width="11" style="7" customWidth="1"/>
    <col min="2057" max="2057" width="7.140625" style="7" customWidth="1"/>
    <col min="2058" max="2058" width="10.85546875" style="7" customWidth="1"/>
    <col min="2059" max="2059" width="6.5703125" style="7" customWidth="1"/>
    <col min="2060" max="2060" width="9.140625" style="7" bestFit="1" customWidth="1"/>
    <col min="2061" max="2061" width="9" style="7"/>
    <col min="2062" max="2062" width="9.85546875" style="7" bestFit="1" customWidth="1"/>
    <col min="2063" max="2063" width="5.140625" style="7" customWidth="1"/>
    <col min="2064" max="2302" width="9" style="7"/>
    <col min="2303" max="2303" width="11.42578125" style="7" customWidth="1"/>
    <col min="2304" max="2304" width="15" style="7" customWidth="1"/>
    <col min="2305" max="2305" width="6.140625" style="7" customWidth="1"/>
    <col min="2306" max="2306" width="2.85546875" style="7" customWidth="1"/>
    <col min="2307" max="2307" width="10.85546875" style="7" customWidth="1"/>
    <col min="2308" max="2308" width="6.140625" style="7" customWidth="1"/>
    <col min="2309" max="2309" width="10.85546875" style="7" customWidth="1"/>
    <col min="2310" max="2310" width="7" style="7" customWidth="1"/>
    <col min="2311" max="2311" width="8.140625" style="7" customWidth="1"/>
    <col min="2312" max="2312" width="11" style="7" customWidth="1"/>
    <col min="2313" max="2313" width="7.140625" style="7" customWidth="1"/>
    <col min="2314" max="2314" width="10.85546875" style="7" customWidth="1"/>
    <col min="2315" max="2315" width="6.5703125" style="7" customWidth="1"/>
    <col min="2316" max="2316" width="9.140625" style="7" bestFit="1" customWidth="1"/>
    <col min="2317" max="2317" width="9" style="7"/>
    <col min="2318" max="2318" width="9.85546875" style="7" bestFit="1" customWidth="1"/>
    <col min="2319" max="2319" width="5.140625" style="7" customWidth="1"/>
    <col min="2320" max="2558" width="9" style="7"/>
    <col min="2559" max="2559" width="11.42578125" style="7" customWidth="1"/>
    <col min="2560" max="2560" width="15" style="7" customWidth="1"/>
    <col min="2561" max="2561" width="6.140625" style="7" customWidth="1"/>
    <col min="2562" max="2562" width="2.85546875" style="7" customWidth="1"/>
    <col min="2563" max="2563" width="10.85546875" style="7" customWidth="1"/>
    <col min="2564" max="2564" width="6.140625" style="7" customWidth="1"/>
    <col min="2565" max="2565" width="10.85546875" style="7" customWidth="1"/>
    <col min="2566" max="2566" width="7" style="7" customWidth="1"/>
    <col min="2567" max="2567" width="8.140625" style="7" customWidth="1"/>
    <col min="2568" max="2568" width="11" style="7" customWidth="1"/>
    <col min="2569" max="2569" width="7.140625" style="7" customWidth="1"/>
    <col min="2570" max="2570" width="10.85546875" style="7" customWidth="1"/>
    <col min="2571" max="2571" width="6.5703125" style="7" customWidth="1"/>
    <col min="2572" max="2572" width="9.140625" style="7" bestFit="1" customWidth="1"/>
    <col min="2573" max="2573" width="9" style="7"/>
    <col min="2574" max="2574" width="9.85546875" style="7" bestFit="1" customWidth="1"/>
    <col min="2575" max="2575" width="5.140625" style="7" customWidth="1"/>
    <col min="2576" max="2814" width="9" style="7"/>
    <col min="2815" max="2815" width="11.42578125" style="7" customWidth="1"/>
    <col min="2816" max="2816" width="15" style="7" customWidth="1"/>
    <col min="2817" max="2817" width="6.140625" style="7" customWidth="1"/>
    <col min="2818" max="2818" width="2.85546875" style="7" customWidth="1"/>
    <col min="2819" max="2819" width="10.85546875" style="7" customWidth="1"/>
    <col min="2820" max="2820" width="6.140625" style="7" customWidth="1"/>
    <col min="2821" max="2821" width="10.85546875" style="7" customWidth="1"/>
    <col min="2822" max="2822" width="7" style="7" customWidth="1"/>
    <col min="2823" max="2823" width="8.140625" style="7" customWidth="1"/>
    <col min="2824" max="2824" width="11" style="7" customWidth="1"/>
    <col min="2825" max="2825" width="7.140625" style="7" customWidth="1"/>
    <col min="2826" max="2826" width="10.85546875" style="7" customWidth="1"/>
    <col min="2827" max="2827" width="6.5703125" style="7" customWidth="1"/>
    <col min="2828" max="2828" width="9.140625" style="7" bestFit="1" customWidth="1"/>
    <col min="2829" max="2829" width="9" style="7"/>
    <col min="2830" max="2830" width="9.85546875" style="7" bestFit="1" customWidth="1"/>
    <col min="2831" max="2831" width="5.140625" style="7" customWidth="1"/>
    <col min="2832" max="3070" width="9" style="7"/>
    <col min="3071" max="3071" width="11.42578125" style="7" customWidth="1"/>
    <col min="3072" max="3072" width="15" style="7" customWidth="1"/>
    <col min="3073" max="3073" width="6.140625" style="7" customWidth="1"/>
    <col min="3074" max="3074" width="2.85546875" style="7" customWidth="1"/>
    <col min="3075" max="3075" width="10.85546875" style="7" customWidth="1"/>
    <col min="3076" max="3076" width="6.140625" style="7" customWidth="1"/>
    <col min="3077" max="3077" width="10.85546875" style="7" customWidth="1"/>
    <col min="3078" max="3078" width="7" style="7" customWidth="1"/>
    <col min="3079" max="3079" width="8.140625" style="7" customWidth="1"/>
    <col min="3080" max="3080" width="11" style="7" customWidth="1"/>
    <col min="3081" max="3081" width="7.140625" style="7" customWidth="1"/>
    <col min="3082" max="3082" width="10.85546875" style="7" customWidth="1"/>
    <col min="3083" max="3083" width="6.5703125" style="7" customWidth="1"/>
    <col min="3084" max="3084" width="9.140625" style="7" bestFit="1" customWidth="1"/>
    <col min="3085" max="3085" width="9" style="7"/>
    <col min="3086" max="3086" width="9.85546875" style="7" bestFit="1" customWidth="1"/>
    <col min="3087" max="3087" width="5.140625" style="7" customWidth="1"/>
    <col min="3088" max="3326" width="9" style="7"/>
    <col min="3327" max="3327" width="11.42578125" style="7" customWidth="1"/>
    <col min="3328" max="3328" width="15" style="7" customWidth="1"/>
    <col min="3329" max="3329" width="6.140625" style="7" customWidth="1"/>
    <col min="3330" max="3330" width="2.85546875" style="7" customWidth="1"/>
    <col min="3331" max="3331" width="10.85546875" style="7" customWidth="1"/>
    <col min="3332" max="3332" width="6.140625" style="7" customWidth="1"/>
    <col min="3333" max="3333" width="10.85546875" style="7" customWidth="1"/>
    <col min="3334" max="3334" width="7" style="7" customWidth="1"/>
    <col min="3335" max="3335" width="8.140625" style="7" customWidth="1"/>
    <col min="3336" max="3336" width="11" style="7" customWidth="1"/>
    <col min="3337" max="3337" width="7.140625" style="7" customWidth="1"/>
    <col min="3338" max="3338" width="10.85546875" style="7" customWidth="1"/>
    <col min="3339" max="3339" width="6.5703125" style="7" customWidth="1"/>
    <col min="3340" max="3340" width="9.140625" style="7" bestFit="1" customWidth="1"/>
    <col min="3341" max="3341" width="9" style="7"/>
    <col min="3342" max="3342" width="9.85546875" style="7" bestFit="1" customWidth="1"/>
    <col min="3343" max="3343" width="5.140625" style="7" customWidth="1"/>
    <col min="3344" max="3582" width="9" style="7"/>
    <col min="3583" max="3583" width="11.42578125" style="7" customWidth="1"/>
    <col min="3584" max="3584" width="15" style="7" customWidth="1"/>
    <col min="3585" max="3585" width="6.140625" style="7" customWidth="1"/>
    <col min="3586" max="3586" width="2.85546875" style="7" customWidth="1"/>
    <col min="3587" max="3587" width="10.85546875" style="7" customWidth="1"/>
    <col min="3588" max="3588" width="6.140625" style="7" customWidth="1"/>
    <col min="3589" max="3589" width="10.85546875" style="7" customWidth="1"/>
    <col min="3590" max="3590" width="7" style="7" customWidth="1"/>
    <col min="3591" max="3591" width="8.140625" style="7" customWidth="1"/>
    <col min="3592" max="3592" width="11" style="7" customWidth="1"/>
    <col min="3593" max="3593" width="7.140625" style="7" customWidth="1"/>
    <col min="3594" max="3594" width="10.85546875" style="7" customWidth="1"/>
    <col min="3595" max="3595" width="6.5703125" style="7" customWidth="1"/>
    <col min="3596" max="3596" width="9.140625" style="7" bestFit="1" customWidth="1"/>
    <col min="3597" max="3597" width="9" style="7"/>
    <col min="3598" max="3598" width="9.85546875" style="7" bestFit="1" customWidth="1"/>
    <col min="3599" max="3599" width="5.140625" style="7" customWidth="1"/>
    <col min="3600" max="3838" width="9" style="7"/>
    <col min="3839" max="3839" width="11.42578125" style="7" customWidth="1"/>
    <col min="3840" max="3840" width="15" style="7" customWidth="1"/>
    <col min="3841" max="3841" width="6.140625" style="7" customWidth="1"/>
    <col min="3842" max="3842" width="2.85546875" style="7" customWidth="1"/>
    <col min="3843" max="3843" width="10.85546875" style="7" customWidth="1"/>
    <col min="3844" max="3844" width="6.140625" style="7" customWidth="1"/>
    <col min="3845" max="3845" width="10.85546875" style="7" customWidth="1"/>
    <col min="3846" max="3846" width="7" style="7" customWidth="1"/>
    <col min="3847" max="3847" width="8.140625" style="7" customWidth="1"/>
    <col min="3848" max="3848" width="11" style="7" customWidth="1"/>
    <col min="3849" max="3849" width="7.140625" style="7" customWidth="1"/>
    <col min="3850" max="3850" width="10.85546875" style="7" customWidth="1"/>
    <col min="3851" max="3851" width="6.5703125" style="7" customWidth="1"/>
    <col min="3852" max="3852" width="9.140625" style="7" bestFit="1" customWidth="1"/>
    <col min="3853" max="3853" width="9" style="7"/>
    <col min="3854" max="3854" width="9.85546875" style="7" bestFit="1" customWidth="1"/>
    <col min="3855" max="3855" width="5.140625" style="7" customWidth="1"/>
    <col min="3856" max="4094" width="9" style="7"/>
    <col min="4095" max="4095" width="11.42578125" style="7" customWidth="1"/>
    <col min="4096" max="4096" width="15" style="7" customWidth="1"/>
    <col min="4097" max="4097" width="6.140625" style="7" customWidth="1"/>
    <col min="4098" max="4098" width="2.85546875" style="7" customWidth="1"/>
    <col min="4099" max="4099" width="10.85546875" style="7" customWidth="1"/>
    <col min="4100" max="4100" width="6.140625" style="7" customWidth="1"/>
    <col min="4101" max="4101" width="10.85546875" style="7" customWidth="1"/>
    <col min="4102" max="4102" width="7" style="7" customWidth="1"/>
    <col min="4103" max="4103" width="8.140625" style="7" customWidth="1"/>
    <col min="4104" max="4104" width="11" style="7" customWidth="1"/>
    <col min="4105" max="4105" width="7.140625" style="7" customWidth="1"/>
    <col min="4106" max="4106" width="10.85546875" style="7" customWidth="1"/>
    <col min="4107" max="4107" width="6.5703125" style="7" customWidth="1"/>
    <col min="4108" max="4108" width="9.140625" style="7" bestFit="1" customWidth="1"/>
    <col min="4109" max="4109" width="9" style="7"/>
    <col min="4110" max="4110" width="9.85546875" style="7" bestFit="1" customWidth="1"/>
    <col min="4111" max="4111" width="5.140625" style="7" customWidth="1"/>
    <col min="4112" max="4350" width="9" style="7"/>
    <col min="4351" max="4351" width="11.42578125" style="7" customWidth="1"/>
    <col min="4352" max="4352" width="15" style="7" customWidth="1"/>
    <col min="4353" max="4353" width="6.140625" style="7" customWidth="1"/>
    <col min="4354" max="4354" width="2.85546875" style="7" customWidth="1"/>
    <col min="4355" max="4355" width="10.85546875" style="7" customWidth="1"/>
    <col min="4356" max="4356" width="6.140625" style="7" customWidth="1"/>
    <col min="4357" max="4357" width="10.85546875" style="7" customWidth="1"/>
    <col min="4358" max="4358" width="7" style="7" customWidth="1"/>
    <col min="4359" max="4359" width="8.140625" style="7" customWidth="1"/>
    <col min="4360" max="4360" width="11" style="7" customWidth="1"/>
    <col min="4361" max="4361" width="7.140625" style="7" customWidth="1"/>
    <col min="4362" max="4362" width="10.85546875" style="7" customWidth="1"/>
    <col min="4363" max="4363" width="6.5703125" style="7" customWidth="1"/>
    <col min="4364" max="4364" width="9.140625" style="7" bestFit="1" customWidth="1"/>
    <col min="4365" max="4365" width="9" style="7"/>
    <col min="4366" max="4366" width="9.85546875" style="7" bestFit="1" customWidth="1"/>
    <col min="4367" max="4367" width="5.140625" style="7" customWidth="1"/>
    <col min="4368" max="4606" width="9" style="7"/>
    <col min="4607" max="4607" width="11.42578125" style="7" customWidth="1"/>
    <col min="4608" max="4608" width="15" style="7" customWidth="1"/>
    <col min="4609" max="4609" width="6.140625" style="7" customWidth="1"/>
    <col min="4610" max="4610" width="2.85546875" style="7" customWidth="1"/>
    <col min="4611" max="4611" width="10.85546875" style="7" customWidth="1"/>
    <col min="4612" max="4612" width="6.140625" style="7" customWidth="1"/>
    <col min="4613" max="4613" width="10.85546875" style="7" customWidth="1"/>
    <col min="4614" max="4614" width="7" style="7" customWidth="1"/>
    <col min="4615" max="4615" width="8.140625" style="7" customWidth="1"/>
    <col min="4616" max="4616" width="11" style="7" customWidth="1"/>
    <col min="4617" max="4617" width="7.140625" style="7" customWidth="1"/>
    <col min="4618" max="4618" width="10.85546875" style="7" customWidth="1"/>
    <col min="4619" max="4619" width="6.5703125" style="7" customWidth="1"/>
    <col min="4620" max="4620" width="9.140625" style="7" bestFit="1" customWidth="1"/>
    <col min="4621" max="4621" width="9" style="7"/>
    <col min="4622" max="4622" width="9.85546875" style="7" bestFit="1" customWidth="1"/>
    <col min="4623" max="4623" width="5.140625" style="7" customWidth="1"/>
    <col min="4624" max="4862" width="9" style="7"/>
    <col min="4863" max="4863" width="11.42578125" style="7" customWidth="1"/>
    <col min="4864" max="4864" width="15" style="7" customWidth="1"/>
    <col min="4865" max="4865" width="6.140625" style="7" customWidth="1"/>
    <col min="4866" max="4866" width="2.85546875" style="7" customWidth="1"/>
    <col min="4867" max="4867" width="10.85546875" style="7" customWidth="1"/>
    <col min="4868" max="4868" width="6.140625" style="7" customWidth="1"/>
    <col min="4869" max="4869" width="10.85546875" style="7" customWidth="1"/>
    <col min="4870" max="4870" width="7" style="7" customWidth="1"/>
    <col min="4871" max="4871" width="8.140625" style="7" customWidth="1"/>
    <col min="4872" max="4872" width="11" style="7" customWidth="1"/>
    <col min="4873" max="4873" width="7.140625" style="7" customWidth="1"/>
    <col min="4874" max="4874" width="10.85546875" style="7" customWidth="1"/>
    <col min="4875" max="4875" width="6.5703125" style="7" customWidth="1"/>
    <col min="4876" max="4876" width="9.140625" style="7" bestFit="1" customWidth="1"/>
    <col min="4877" max="4877" width="9" style="7"/>
    <col min="4878" max="4878" width="9.85546875" style="7" bestFit="1" customWidth="1"/>
    <col min="4879" max="4879" width="5.140625" style="7" customWidth="1"/>
    <col min="4880" max="5118" width="9" style="7"/>
    <col min="5119" max="5119" width="11.42578125" style="7" customWidth="1"/>
    <col min="5120" max="5120" width="15" style="7" customWidth="1"/>
    <col min="5121" max="5121" width="6.140625" style="7" customWidth="1"/>
    <col min="5122" max="5122" width="2.85546875" style="7" customWidth="1"/>
    <col min="5123" max="5123" width="10.85546875" style="7" customWidth="1"/>
    <col min="5124" max="5124" width="6.140625" style="7" customWidth="1"/>
    <col min="5125" max="5125" width="10.85546875" style="7" customWidth="1"/>
    <col min="5126" max="5126" width="7" style="7" customWidth="1"/>
    <col min="5127" max="5127" width="8.140625" style="7" customWidth="1"/>
    <col min="5128" max="5128" width="11" style="7" customWidth="1"/>
    <col min="5129" max="5129" width="7.140625" style="7" customWidth="1"/>
    <col min="5130" max="5130" width="10.85546875" style="7" customWidth="1"/>
    <col min="5131" max="5131" width="6.5703125" style="7" customWidth="1"/>
    <col min="5132" max="5132" width="9.140625" style="7" bestFit="1" customWidth="1"/>
    <col min="5133" max="5133" width="9" style="7"/>
    <col min="5134" max="5134" width="9.85546875" style="7" bestFit="1" customWidth="1"/>
    <col min="5135" max="5135" width="5.140625" style="7" customWidth="1"/>
    <col min="5136" max="5374" width="9" style="7"/>
    <col min="5375" max="5375" width="11.42578125" style="7" customWidth="1"/>
    <col min="5376" max="5376" width="15" style="7" customWidth="1"/>
    <col min="5377" max="5377" width="6.140625" style="7" customWidth="1"/>
    <col min="5378" max="5378" width="2.85546875" style="7" customWidth="1"/>
    <col min="5379" max="5379" width="10.85546875" style="7" customWidth="1"/>
    <col min="5380" max="5380" width="6.140625" style="7" customWidth="1"/>
    <col min="5381" max="5381" width="10.85546875" style="7" customWidth="1"/>
    <col min="5382" max="5382" width="7" style="7" customWidth="1"/>
    <col min="5383" max="5383" width="8.140625" style="7" customWidth="1"/>
    <col min="5384" max="5384" width="11" style="7" customWidth="1"/>
    <col min="5385" max="5385" width="7.140625" style="7" customWidth="1"/>
    <col min="5386" max="5386" width="10.85546875" style="7" customWidth="1"/>
    <col min="5387" max="5387" width="6.5703125" style="7" customWidth="1"/>
    <col min="5388" max="5388" width="9.140625" style="7" bestFit="1" customWidth="1"/>
    <col min="5389" max="5389" width="9" style="7"/>
    <col min="5390" max="5390" width="9.85546875" style="7" bestFit="1" customWidth="1"/>
    <col min="5391" max="5391" width="5.140625" style="7" customWidth="1"/>
    <col min="5392" max="5630" width="9" style="7"/>
    <col min="5631" max="5631" width="11.42578125" style="7" customWidth="1"/>
    <col min="5632" max="5632" width="15" style="7" customWidth="1"/>
    <col min="5633" max="5633" width="6.140625" style="7" customWidth="1"/>
    <col min="5634" max="5634" width="2.85546875" style="7" customWidth="1"/>
    <col min="5635" max="5635" width="10.85546875" style="7" customWidth="1"/>
    <col min="5636" max="5636" width="6.140625" style="7" customWidth="1"/>
    <col min="5637" max="5637" width="10.85546875" style="7" customWidth="1"/>
    <col min="5638" max="5638" width="7" style="7" customWidth="1"/>
    <col min="5639" max="5639" width="8.140625" style="7" customWidth="1"/>
    <col min="5640" max="5640" width="11" style="7" customWidth="1"/>
    <col min="5641" max="5641" width="7.140625" style="7" customWidth="1"/>
    <col min="5642" max="5642" width="10.85546875" style="7" customWidth="1"/>
    <col min="5643" max="5643" width="6.5703125" style="7" customWidth="1"/>
    <col min="5644" max="5644" width="9.140625" style="7" bestFit="1" customWidth="1"/>
    <col min="5645" max="5645" width="9" style="7"/>
    <col min="5646" max="5646" width="9.85546875" style="7" bestFit="1" customWidth="1"/>
    <col min="5647" max="5647" width="5.140625" style="7" customWidth="1"/>
    <col min="5648" max="5886" width="9" style="7"/>
    <col min="5887" max="5887" width="11.42578125" style="7" customWidth="1"/>
    <col min="5888" max="5888" width="15" style="7" customWidth="1"/>
    <col min="5889" max="5889" width="6.140625" style="7" customWidth="1"/>
    <col min="5890" max="5890" width="2.85546875" style="7" customWidth="1"/>
    <col min="5891" max="5891" width="10.85546875" style="7" customWidth="1"/>
    <col min="5892" max="5892" width="6.140625" style="7" customWidth="1"/>
    <col min="5893" max="5893" width="10.85546875" style="7" customWidth="1"/>
    <col min="5894" max="5894" width="7" style="7" customWidth="1"/>
    <col min="5895" max="5895" width="8.140625" style="7" customWidth="1"/>
    <col min="5896" max="5896" width="11" style="7" customWidth="1"/>
    <col min="5897" max="5897" width="7.140625" style="7" customWidth="1"/>
    <col min="5898" max="5898" width="10.85546875" style="7" customWidth="1"/>
    <col min="5899" max="5899" width="6.5703125" style="7" customWidth="1"/>
    <col min="5900" max="5900" width="9.140625" style="7" bestFit="1" customWidth="1"/>
    <col min="5901" max="5901" width="9" style="7"/>
    <col min="5902" max="5902" width="9.85546875" style="7" bestFit="1" customWidth="1"/>
    <col min="5903" max="5903" width="5.140625" style="7" customWidth="1"/>
    <col min="5904" max="6142" width="9" style="7"/>
    <col min="6143" max="6143" width="11.42578125" style="7" customWidth="1"/>
    <col min="6144" max="6144" width="15" style="7" customWidth="1"/>
    <col min="6145" max="6145" width="6.140625" style="7" customWidth="1"/>
    <col min="6146" max="6146" width="2.85546875" style="7" customWidth="1"/>
    <col min="6147" max="6147" width="10.85546875" style="7" customWidth="1"/>
    <col min="6148" max="6148" width="6.140625" style="7" customWidth="1"/>
    <col min="6149" max="6149" width="10.85546875" style="7" customWidth="1"/>
    <col min="6150" max="6150" width="7" style="7" customWidth="1"/>
    <col min="6151" max="6151" width="8.140625" style="7" customWidth="1"/>
    <col min="6152" max="6152" width="11" style="7" customWidth="1"/>
    <col min="6153" max="6153" width="7.140625" style="7" customWidth="1"/>
    <col min="6154" max="6154" width="10.85546875" style="7" customWidth="1"/>
    <col min="6155" max="6155" width="6.5703125" style="7" customWidth="1"/>
    <col min="6156" max="6156" width="9.140625" style="7" bestFit="1" customWidth="1"/>
    <col min="6157" max="6157" width="9" style="7"/>
    <col min="6158" max="6158" width="9.85546875" style="7" bestFit="1" customWidth="1"/>
    <col min="6159" max="6159" width="5.140625" style="7" customWidth="1"/>
    <col min="6160" max="6398" width="9" style="7"/>
    <col min="6399" max="6399" width="11.42578125" style="7" customWidth="1"/>
    <col min="6400" max="6400" width="15" style="7" customWidth="1"/>
    <col min="6401" max="6401" width="6.140625" style="7" customWidth="1"/>
    <col min="6402" max="6402" width="2.85546875" style="7" customWidth="1"/>
    <col min="6403" max="6403" width="10.85546875" style="7" customWidth="1"/>
    <col min="6404" max="6404" width="6.140625" style="7" customWidth="1"/>
    <col min="6405" max="6405" width="10.85546875" style="7" customWidth="1"/>
    <col min="6406" max="6406" width="7" style="7" customWidth="1"/>
    <col min="6407" max="6407" width="8.140625" style="7" customWidth="1"/>
    <col min="6408" max="6408" width="11" style="7" customWidth="1"/>
    <col min="6409" max="6409" width="7.140625" style="7" customWidth="1"/>
    <col min="6410" max="6410" width="10.85546875" style="7" customWidth="1"/>
    <col min="6411" max="6411" width="6.5703125" style="7" customWidth="1"/>
    <col min="6412" max="6412" width="9.140625" style="7" bestFit="1" customWidth="1"/>
    <col min="6413" max="6413" width="9" style="7"/>
    <col min="6414" max="6414" width="9.85546875" style="7" bestFit="1" customWidth="1"/>
    <col min="6415" max="6415" width="5.140625" style="7" customWidth="1"/>
    <col min="6416" max="6654" width="9" style="7"/>
    <col min="6655" max="6655" width="11.42578125" style="7" customWidth="1"/>
    <col min="6656" max="6656" width="15" style="7" customWidth="1"/>
    <col min="6657" max="6657" width="6.140625" style="7" customWidth="1"/>
    <col min="6658" max="6658" width="2.85546875" style="7" customWidth="1"/>
    <col min="6659" max="6659" width="10.85546875" style="7" customWidth="1"/>
    <col min="6660" max="6660" width="6.140625" style="7" customWidth="1"/>
    <col min="6661" max="6661" width="10.85546875" style="7" customWidth="1"/>
    <col min="6662" max="6662" width="7" style="7" customWidth="1"/>
    <col min="6663" max="6663" width="8.140625" style="7" customWidth="1"/>
    <col min="6664" max="6664" width="11" style="7" customWidth="1"/>
    <col min="6665" max="6665" width="7.140625" style="7" customWidth="1"/>
    <col min="6666" max="6666" width="10.85546875" style="7" customWidth="1"/>
    <col min="6667" max="6667" width="6.5703125" style="7" customWidth="1"/>
    <col min="6668" max="6668" width="9.140625" style="7" bestFit="1" customWidth="1"/>
    <col min="6669" max="6669" width="9" style="7"/>
    <col min="6670" max="6670" width="9.85546875" style="7" bestFit="1" customWidth="1"/>
    <col min="6671" max="6671" width="5.140625" style="7" customWidth="1"/>
    <col min="6672" max="6910" width="9" style="7"/>
    <col min="6911" max="6911" width="11.42578125" style="7" customWidth="1"/>
    <col min="6912" max="6912" width="15" style="7" customWidth="1"/>
    <col min="6913" max="6913" width="6.140625" style="7" customWidth="1"/>
    <col min="6914" max="6914" width="2.85546875" style="7" customWidth="1"/>
    <col min="6915" max="6915" width="10.85546875" style="7" customWidth="1"/>
    <col min="6916" max="6916" width="6.140625" style="7" customWidth="1"/>
    <col min="6917" max="6917" width="10.85546875" style="7" customWidth="1"/>
    <col min="6918" max="6918" width="7" style="7" customWidth="1"/>
    <col min="6919" max="6919" width="8.140625" style="7" customWidth="1"/>
    <col min="6920" max="6920" width="11" style="7" customWidth="1"/>
    <col min="6921" max="6921" width="7.140625" style="7" customWidth="1"/>
    <col min="6922" max="6922" width="10.85546875" style="7" customWidth="1"/>
    <col min="6923" max="6923" width="6.5703125" style="7" customWidth="1"/>
    <col min="6924" max="6924" width="9.140625" style="7" bestFit="1" customWidth="1"/>
    <col min="6925" max="6925" width="9" style="7"/>
    <col min="6926" max="6926" width="9.85546875" style="7" bestFit="1" customWidth="1"/>
    <col min="6927" max="6927" width="5.140625" style="7" customWidth="1"/>
    <col min="6928" max="7166" width="9" style="7"/>
    <col min="7167" max="7167" width="11.42578125" style="7" customWidth="1"/>
    <col min="7168" max="7168" width="15" style="7" customWidth="1"/>
    <col min="7169" max="7169" width="6.140625" style="7" customWidth="1"/>
    <col min="7170" max="7170" width="2.85546875" style="7" customWidth="1"/>
    <col min="7171" max="7171" width="10.85546875" style="7" customWidth="1"/>
    <col min="7172" max="7172" width="6.140625" style="7" customWidth="1"/>
    <col min="7173" max="7173" width="10.85546875" style="7" customWidth="1"/>
    <col min="7174" max="7174" width="7" style="7" customWidth="1"/>
    <col min="7175" max="7175" width="8.140625" style="7" customWidth="1"/>
    <col min="7176" max="7176" width="11" style="7" customWidth="1"/>
    <col min="7177" max="7177" width="7.140625" style="7" customWidth="1"/>
    <col min="7178" max="7178" width="10.85546875" style="7" customWidth="1"/>
    <col min="7179" max="7179" width="6.5703125" style="7" customWidth="1"/>
    <col min="7180" max="7180" width="9.140625" style="7" bestFit="1" customWidth="1"/>
    <col min="7181" max="7181" width="9" style="7"/>
    <col min="7182" max="7182" width="9.85546875" style="7" bestFit="1" customWidth="1"/>
    <col min="7183" max="7183" width="5.140625" style="7" customWidth="1"/>
    <col min="7184" max="7422" width="9" style="7"/>
    <col min="7423" max="7423" width="11.42578125" style="7" customWidth="1"/>
    <col min="7424" max="7424" width="15" style="7" customWidth="1"/>
    <col min="7425" max="7425" width="6.140625" style="7" customWidth="1"/>
    <col min="7426" max="7426" width="2.85546875" style="7" customWidth="1"/>
    <col min="7427" max="7427" width="10.85546875" style="7" customWidth="1"/>
    <col min="7428" max="7428" width="6.140625" style="7" customWidth="1"/>
    <col min="7429" max="7429" width="10.85546875" style="7" customWidth="1"/>
    <col min="7430" max="7430" width="7" style="7" customWidth="1"/>
    <col min="7431" max="7431" width="8.140625" style="7" customWidth="1"/>
    <col min="7432" max="7432" width="11" style="7" customWidth="1"/>
    <col min="7433" max="7433" width="7.140625" style="7" customWidth="1"/>
    <col min="7434" max="7434" width="10.85546875" style="7" customWidth="1"/>
    <col min="7435" max="7435" width="6.5703125" style="7" customWidth="1"/>
    <col min="7436" max="7436" width="9.140625" style="7" bestFit="1" customWidth="1"/>
    <col min="7437" max="7437" width="9" style="7"/>
    <col min="7438" max="7438" width="9.85546875" style="7" bestFit="1" customWidth="1"/>
    <col min="7439" max="7439" width="5.140625" style="7" customWidth="1"/>
    <col min="7440" max="7678" width="9" style="7"/>
    <col min="7679" max="7679" width="11.42578125" style="7" customWidth="1"/>
    <col min="7680" max="7680" width="15" style="7" customWidth="1"/>
    <col min="7681" max="7681" width="6.140625" style="7" customWidth="1"/>
    <col min="7682" max="7682" width="2.85546875" style="7" customWidth="1"/>
    <col min="7683" max="7683" width="10.85546875" style="7" customWidth="1"/>
    <col min="7684" max="7684" width="6.140625" style="7" customWidth="1"/>
    <col min="7685" max="7685" width="10.85546875" style="7" customWidth="1"/>
    <col min="7686" max="7686" width="7" style="7" customWidth="1"/>
    <col min="7687" max="7687" width="8.140625" style="7" customWidth="1"/>
    <col min="7688" max="7688" width="11" style="7" customWidth="1"/>
    <col min="7689" max="7689" width="7.140625" style="7" customWidth="1"/>
    <col min="7690" max="7690" width="10.85546875" style="7" customWidth="1"/>
    <col min="7691" max="7691" width="6.5703125" style="7" customWidth="1"/>
    <col min="7692" max="7692" width="9.140625" style="7" bestFit="1" customWidth="1"/>
    <col min="7693" max="7693" width="9" style="7"/>
    <col min="7694" max="7694" width="9.85546875" style="7" bestFit="1" customWidth="1"/>
    <col min="7695" max="7695" width="5.140625" style="7" customWidth="1"/>
    <col min="7696" max="7934" width="9" style="7"/>
    <col min="7935" max="7935" width="11.42578125" style="7" customWidth="1"/>
    <col min="7936" max="7936" width="15" style="7" customWidth="1"/>
    <col min="7937" max="7937" width="6.140625" style="7" customWidth="1"/>
    <col min="7938" max="7938" width="2.85546875" style="7" customWidth="1"/>
    <col min="7939" max="7939" width="10.85546875" style="7" customWidth="1"/>
    <col min="7940" max="7940" width="6.140625" style="7" customWidth="1"/>
    <col min="7941" max="7941" width="10.85546875" style="7" customWidth="1"/>
    <col min="7942" max="7942" width="7" style="7" customWidth="1"/>
    <col min="7943" max="7943" width="8.140625" style="7" customWidth="1"/>
    <col min="7944" max="7944" width="11" style="7" customWidth="1"/>
    <col min="7945" max="7945" width="7.140625" style="7" customWidth="1"/>
    <col min="7946" max="7946" width="10.85546875" style="7" customWidth="1"/>
    <col min="7947" max="7947" width="6.5703125" style="7" customWidth="1"/>
    <col min="7948" max="7948" width="9.140625" style="7" bestFit="1" customWidth="1"/>
    <col min="7949" max="7949" width="9" style="7"/>
    <col min="7950" max="7950" width="9.85546875" style="7" bestFit="1" customWidth="1"/>
    <col min="7951" max="7951" width="5.140625" style="7" customWidth="1"/>
    <col min="7952" max="8190" width="9" style="7"/>
    <col min="8191" max="8191" width="11.42578125" style="7" customWidth="1"/>
    <col min="8192" max="8192" width="15" style="7" customWidth="1"/>
    <col min="8193" max="8193" width="6.140625" style="7" customWidth="1"/>
    <col min="8194" max="8194" width="2.85546875" style="7" customWidth="1"/>
    <col min="8195" max="8195" width="10.85546875" style="7" customWidth="1"/>
    <col min="8196" max="8196" width="6.140625" style="7" customWidth="1"/>
    <col min="8197" max="8197" width="10.85546875" style="7" customWidth="1"/>
    <col min="8198" max="8198" width="7" style="7" customWidth="1"/>
    <col min="8199" max="8199" width="8.140625" style="7" customWidth="1"/>
    <col min="8200" max="8200" width="11" style="7" customWidth="1"/>
    <col min="8201" max="8201" width="7.140625" style="7" customWidth="1"/>
    <col min="8202" max="8202" width="10.85546875" style="7" customWidth="1"/>
    <col min="8203" max="8203" width="6.5703125" style="7" customWidth="1"/>
    <col min="8204" max="8204" width="9.140625" style="7" bestFit="1" customWidth="1"/>
    <col min="8205" max="8205" width="9" style="7"/>
    <col min="8206" max="8206" width="9.85546875" style="7" bestFit="1" customWidth="1"/>
    <col min="8207" max="8207" width="5.140625" style="7" customWidth="1"/>
    <col min="8208" max="8446" width="9" style="7"/>
    <col min="8447" max="8447" width="11.42578125" style="7" customWidth="1"/>
    <col min="8448" max="8448" width="15" style="7" customWidth="1"/>
    <col min="8449" max="8449" width="6.140625" style="7" customWidth="1"/>
    <col min="8450" max="8450" width="2.85546875" style="7" customWidth="1"/>
    <col min="8451" max="8451" width="10.85546875" style="7" customWidth="1"/>
    <col min="8452" max="8452" width="6.140625" style="7" customWidth="1"/>
    <col min="8453" max="8453" width="10.85546875" style="7" customWidth="1"/>
    <col min="8454" max="8454" width="7" style="7" customWidth="1"/>
    <col min="8455" max="8455" width="8.140625" style="7" customWidth="1"/>
    <col min="8456" max="8456" width="11" style="7" customWidth="1"/>
    <col min="8457" max="8457" width="7.140625" style="7" customWidth="1"/>
    <col min="8458" max="8458" width="10.85546875" style="7" customWidth="1"/>
    <col min="8459" max="8459" width="6.5703125" style="7" customWidth="1"/>
    <col min="8460" max="8460" width="9.140625" style="7" bestFit="1" customWidth="1"/>
    <col min="8461" max="8461" width="9" style="7"/>
    <col min="8462" max="8462" width="9.85546875" style="7" bestFit="1" customWidth="1"/>
    <col min="8463" max="8463" width="5.140625" style="7" customWidth="1"/>
    <col min="8464" max="8702" width="9" style="7"/>
    <col min="8703" max="8703" width="11.42578125" style="7" customWidth="1"/>
    <col min="8704" max="8704" width="15" style="7" customWidth="1"/>
    <col min="8705" max="8705" width="6.140625" style="7" customWidth="1"/>
    <col min="8706" max="8706" width="2.85546875" style="7" customWidth="1"/>
    <col min="8707" max="8707" width="10.85546875" style="7" customWidth="1"/>
    <col min="8708" max="8708" width="6.140625" style="7" customWidth="1"/>
    <col min="8709" max="8709" width="10.85546875" style="7" customWidth="1"/>
    <col min="8710" max="8710" width="7" style="7" customWidth="1"/>
    <col min="8711" max="8711" width="8.140625" style="7" customWidth="1"/>
    <col min="8712" max="8712" width="11" style="7" customWidth="1"/>
    <col min="8713" max="8713" width="7.140625" style="7" customWidth="1"/>
    <col min="8714" max="8714" width="10.85546875" style="7" customWidth="1"/>
    <col min="8715" max="8715" width="6.5703125" style="7" customWidth="1"/>
    <col min="8716" max="8716" width="9.140625" style="7" bestFit="1" customWidth="1"/>
    <col min="8717" max="8717" width="9" style="7"/>
    <col min="8718" max="8718" width="9.85546875" style="7" bestFit="1" customWidth="1"/>
    <col min="8719" max="8719" width="5.140625" style="7" customWidth="1"/>
    <col min="8720" max="8958" width="9" style="7"/>
    <col min="8959" max="8959" width="11.42578125" style="7" customWidth="1"/>
    <col min="8960" max="8960" width="15" style="7" customWidth="1"/>
    <col min="8961" max="8961" width="6.140625" style="7" customWidth="1"/>
    <col min="8962" max="8962" width="2.85546875" style="7" customWidth="1"/>
    <col min="8963" max="8963" width="10.85546875" style="7" customWidth="1"/>
    <col min="8964" max="8964" width="6.140625" style="7" customWidth="1"/>
    <col min="8965" max="8965" width="10.85546875" style="7" customWidth="1"/>
    <col min="8966" max="8966" width="7" style="7" customWidth="1"/>
    <col min="8967" max="8967" width="8.140625" style="7" customWidth="1"/>
    <col min="8968" max="8968" width="11" style="7" customWidth="1"/>
    <col min="8969" max="8969" width="7.140625" style="7" customWidth="1"/>
    <col min="8970" max="8970" width="10.85546875" style="7" customWidth="1"/>
    <col min="8971" max="8971" width="6.5703125" style="7" customWidth="1"/>
    <col min="8972" max="8972" width="9.140625" style="7" bestFit="1" customWidth="1"/>
    <col min="8973" max="8973" width="9" style="7"/>
    <col min="8974" max="8974" width="9.85546875" style="7" bestFit="1" customWidth="1"/>
    <col min="8975" max="8975" width="5.140625" style="7" customWidth="1"/>
    <col min="8976" max="9214" width="9" style="7"/>
    <col min="9215" max="9215" width="11.42578125" style="7" customWidth="1"/>
    <col min="9216" max="9216" width="15" style="7" customWidth="1"/>
    <col min="9217" max="9217" width="6.140625" style="7" customWidth="1"/>
    <col min="9218" max="9218" width="2.85546875" style="7" customWidth="1"/>
    <col min="9219" max="9219" width="10.85546875" style="7" customWidth="1"/>
    <col min="9220" max="9220" width="6.140625" style="7" customWidth="1"/>
    <col min="9221" max="9221" width="10.85546875" style="7" customWidth="1"/>
    <col min="9222" max="9222" width="7" style="7" customWidth="1"/>
    <col min="9223" max="9223" width="8.140625" style="7" customWidth="1"/>
    <col min="9224" max="9224" width="11" style="7" customWidth="1"/>
    <col min="9225" max="9225" width="7.140625" style="7" customWidth="1"/>
    <col min="9226" max="9226" width="10.85546875" style="7" customWidth="1"/>
    <col min="9227" max="9227" width="6.5703125" style="7" customWidth="1"/>
    <col min="9228" max="9228" width="9.140625" style="7" bestFit="1" customWidth="1"/>
    <col min="9229" max="9229" width="9" style="7"/>
    <col min="9230" max="9230" width="9.85546875" style="7" bestFit="1" customWidth="1"/>
    <col min="9231" max="9231" width="5.140625" style="7" customWidth="1"/>
    <col min="9232" max="9470" width="9" style="7"/>
    <col min="9471" max="9471" width="11.42578125" style="7" customWidth="1"/>
    <col min="9472" max="9472" width="15" style="7" customWidth="1"/>
    <col min="9473" max="9473" width="6.140625" style="7" customWidth="1"/>
    <col min="9474" max="9474" width="2.85546875" style="7" customWidth="1"/>
    <col min="9475" max="9475" width="10.85546875" style="7" customWidth="1"/>
    <col min="9476" max="9476" width="6.140625" style="7" customWidth="1"/>
    <col min="9477" max="9477" width="10.85546875" style="7" customWidth="1"/>
    <col min="9478" max="9478" width="7" style="7" customWidth="1"/>
    <col min="9479" max="9479" width="8.140625" style="7" customWidth="1"/>
    <col min="9480" max="9480" width="11" style="7" customWidth="1"/>
    <col min="9481" max="9481" width="7.140625" style="7" customWidth="1"/>
    <col min="9482" max="9482" width="10.85546875" style="7" customWidth="1"/>
    <col min="9483" max="9483" width="6.5703125" style="7" customWidth="1"/>
    <col min="9484" max="9484" width="9.140625" style="7" bestFit="1" customWidth="1"/>
    <col min="9485" max="9485" width="9" style="7"/>
    <col min="9486" max="9486" width="9.85546875" style="7" bestFit="1" customWidth="1"/>
    <col min="9487" max="9487" width="5.140625" style="7" customWidth="1"/>
    <col min="9488" max="9726" width="9" style="7"/>
    <col min="9727" max="9727" width="11.42578125" style="7" customWidth="1"/>
    <col min="9728" max="9728" width="15" style="7" customWidth="1"/>
    <col min="9729" max="9729" width="6.140625" style="7" customWidth="1"/>
    <col min="9730" max="9730" width="2.85546875" style="7" customWidth="1"/>
    <col min="9731" max="9731" width="10.85546875" style="7" customWidth="1"/>
    <col min="9732" max="9732" width="6.140625" style="7" customWidth="1"/>
    <col min="9733" max="9733" width="10.85546875" style="7" customWidth="1"/>
    <col min="9734" max="9734" width="7" style="7" customWidth="1"/>
    <col min="9735" max="9735" width="8.140625" style="7" customWidth="1"/>
    <col min="9736" max="9736" width="11" style="7" customWidth="1"/>
    <col min="9737" max="9737" width="7.140625" style="7" customWidth="1"/>
    <col min="9738" max="9738" width="10.85546875" style="7" customWidth="1"/>
    <col min="9739" max="9739" width="6.5703125" style="7" customWidth="1"/>
    <col min="9740" max="9740" width="9.140625" style="7" bestFit="1" customWidth="1"/>
    <col min="9741" max="9741" width="9" style="7"/>
    <col min="9742" max="9742" width="9.85546875" style="7" bestFit="1" customWidth="1"/>
    <col min="9743" max="9743" width="5.140625" style="7" customWidth="1"/>
    <col min="9744" max="9982" width="9" style="7"/>
    <col min="9983" max="9983" width="11.42578125" style="7" customWidth="1"/>
    <col min="9984" max="9984" width="15" style="7" customWidth="1"/>
    <col min="9985" max="9985" width="6.140625" style="7" customWidth="1"/>
    <col min="9986" max="9986" width="2.85546875" style="7" customWidth="1"/>
    <col min="9987" max="9987" width="10.85546875" style="7" customWidth="1"/>
    <col min="9988" max="9988" width="6.140625" style="7" customWidth="1"/>
    <col min="9989" max="9989" width="10.85546875" style="7" customWidth="1"/>
    <col min="9990" max="9990" width="7" style="7" customWidth="1"/>
    <col min="9991" max="9991" width="8.140625" style="7" customWidth="1"/>
    <col min="9992" max="9992" width="11" style="7" customWidth="1"/>
    <col min="9993" max="9993" width="7.140625" style="7" customWidth="1"/>
    <col min="9994" max="9994" width="10.85546875" style="7" customWidth="1"/>
    <col min="9995" max="9995" width="6.5703125" style="7" customWidth="1"/>
    <col min="9996" max="9996" width="9.140625" style="7" bestFit="1" customWidth="1"/>
    <col min="9997" max="9997" width="9" style="7"/>
    <col min="9998" max="9998" width="9.85546875" style="7" bestFit="1" customWidth="1"/>
    <col min="9999" max="9999" width="5.140625" style="7" customWidth="1"/>
    <col min="10000" max="10238" width="9" style="7"/>
    <col min="10239" max="10239" width="11.42578125" style="7" customWidth="1"/>
    <col min="10240" max="10240" width="15" style="7" customWidth="1"/>
    <col min="10241" max="10241" width="6.140625" style="7" customWidth="1"/>
    <col min="10242" max="10242" width="2.85546875" style="7" customWidth="1"/>
    <col min="10243" max="10243" width="10.85546875" style="7" customWidth="1"/>
    <col min="10244" max="10244" width="6.140625" style="7" customWidth="1"/>
    <col min="10245" max="10245" width="10.85546875" style="7" customWidth="1"/>
    <col min="10246" max="10246" width="7" style="7" customWidth="1"/>
    <col min="10247" max="10247" width="8.140625" style="7" customWidth="1"/>
    <col min="10248" max="10248" width="11" style="7" customWidth="1"/>
    <col min="10249" max="10249" width="7.140625" style="7" customWidth="1"/>
    <col min="10250" max="10250" width="10.85546875" style="7" customWidth="1"/>
    <col min="10251" max="10251" width="6.5703125" style="7" customWidth="1"/>
    <col min="10252" max="10252" width="9.140625" style="7" bestFit="1" customWidth="1"/>
    <col min="10253" max="10253" width="9" style="7"/>
    <col min="10254" max="10254" width="9.85546875" style="7" bestFit="1" customWidth="1"/>
    <col min="10255" max="10255" width="5.140625" style="7" customWidth="1"/>
    <col min="10256" max="10494" width="9" style="7"/>
    <col min="10495" max="10495" width="11.42578125" style="7" customWidth="1"/>
    <col min="10496" max="10496" width="15" style="7" customWidth="1"/>
    <col min="10497" max="10497" width="6.140625" style="7" customWidth="1"/>
    <col min="10498" max="10498" width="2.85546875" style="7" customWidth="1"/>
    <col min="10499" max="10499" width="10.85546875" style="7" customWidth="1"/>
    <col min="10500" max="10500" width="6.140625" style="7" customWidth="1"/>
    <col min="10501" max="10501" width="10.85546875" style="7" customWidth="1"/>
    <col min="10502" max="10502" width="7" style="7" customWidth="1"/>
    <col min="10503" max="10503" width="8.140625" style="7" customWidth="1"/>
    <col min="10504" max="10504" width="11" style="7" customWidth="1"/>
    <col min="10505" max="10505" width="7.140625" style="7" customWidth="1"/>
    <col min="10506" max="10506" width="10.85546875" style="7" customWidth="1"/>
    <col min="10507" max="10507" width="6.5703125" style="7" customWidth="1"/>
    <col min="10508" max="10508" width="9.140625" style="7" bestFit="1" customWidth="1"/>
    <col min="10509" max="10509" width="9" style="7"/>
    <col min="10510" max="10510" width="9.85546875" style="7" bestFit="1" customWidth="1"/>
    <col min="10511" max="10511" width="5.140625" style="7" customWidth="1"/>
    <col min="10512" max="10750" width="9" style="7"/>
    <col min="10751" max="10751" width="11.42578125" style="7" customWidth="1"/>
    <col min="10752" max="10752" width="15" style="7" customWidth="1"/>
    <col min="10753" max="10753" width="6.140625" style="7" customWidth="1"/>
    <col min="10754" max="10754" width="2.85546875" style="7" customWidth="1"/>
    <col min="10755" max="10755" width="10.85546875" style="7" customWidth="1"/>
    <col min="10756" max="10756" width="6.140625" style="7" customWidth="1"/>
    <col min="10757" max="10757" width="10.85546875" style="7" customWidth="1"/>
    <col min="10758" max="10758" width="7" style="7" customWidth="1"/>
    <col min="10759" max="10759" width="8.140625" style="7" customWidth="1"/>
    <col min="10760" max="10760" width="11" style="7" customWidth="1"/>
    <col min="10761" max="10761" width="7.140625" style="7" customWidth="1"/>
    <col min="10762" max="10762" width="10.85546875" style="7" customWidth="1"/>
    <col min="10763" max="10763" width="6.5703125" style="7" customWidth="1"/>
    <col min="10764" max="10764" width="9.140625" style="7" bestFit="1" customWidth="1"/>
    <col min="10765" max="10765" width="9" style="7"/>
    <col min="10766" max="10766" width="9.85546875" style="7" bestFit="1" customWidth="1"/>
    <col min="10767" max="10767" width="5.140625" style="7" customWidth="1"/>
    <col min="10768" max="11006" width="9" style="7"/>
    <col min="11007" max="11007" width="11.42578125" style="7" customWidth="1"/>
    <col min="11008" max="11008" width="15" style="7" customWidth="1"/>
    <col min="11009" max="11009" width="6.140625" style="7" customWidth="1"/>
    <col min="11010" max="11010" width="2.85546875" style="7" customWidth="1"/>
    <col min="11011" max="11011" width="10.85546875" style="7" customWidth="1"/>
    <col min="11012" max="11012" width="6.140625" style="7" customWidth="1"/>
    <col min="11013" max="11013" width="10.85546875" style="7" customWidth="1"/>
    <col min="11014" max="11014" width="7" style="7" customWidth="1"/>
    <col min="11015" max="11015" width="8.140625" style="7" customWidth="1"/>
    <col min="11016" max="11016" width="11" style="7" customWidth="1"/>
    <col min="11017" max="11017" width="7.140625" style="7" customWidth="1"/>
    <col min="11018" max="11018" width="10.85546875" style="7" customWidth="1"/>
    <col min="11019" max="11019" width="6.5703125" style="7" customWidth="1"/>
    <col min="11020" max="11020" width="9.140625" style="7" bestFit="1" customWidth="1"/>
    <col min="11021" max="11021" width="9" style="7"/>
    <col min="11022" max="11022" width="9.85546875" style="7" bestFit="1" customWidth="1"/>
    <col min="11023" max="11023" width="5.140625" style="7" customWidth="1"/>
    <col min="11024" max="11262" width="9" style="7"/>
    <col min="11263" max="11263" width="11.42578125" style="7" customWidth="1"/>
    <col min="11264" max="11264" width="15" style="7" customWidth="1"/>
    <col min="11265" max="11265" width="6.140625" style="7" customWidth="1"/>
    <col min="11266" max="11266" width="2.85546875" style="7" customWidth="1"/>
    <col min="11267" max="11267" width="10.85546875" style="7" customWidth="1"/>
    <col min="11268" max="11268" width="6.140625" style="7" customWidth="1"/>
    <col min="11269" max="11269" width="10.85546875" style="7" customWidth="1"/>
    <col min="11270" max="11270" width="7" style="7" customWidth="1"/>
    <col min="11271" max="11271" width="8.140625" style="7" customWidth="1"/>
    <col min="11272" max="11272" width="11" style="7" customWidth="1"/>
    <col min="11273" max="11273" width="7.140625" style="7" customWidth="1"/>
    <col min="11274" max="11274" width="10.85546875" style="7" customWidth="1"/>
    <col min="11275" max="11275" width="6.5703125" style="7" customWidth="1"/>
    <col min="11276" max="11276" width="9.140625" style="7" bestFit="1" customWidth="1"/>
    <col min="11277" max="11277" width="9" style="7"/>
    <col min="11278" max="11278" width="9.85546875" style="7" bestFit="1" customWidth="1"/>
    <col min="11279" max="11279" width="5.140625" style="7" customWidth="1"/>
    <col min="11280" max="11518" width="9" style="7"/>
    <col min="11519" max="11519" width="11.42578125" style="7" customWidth="1"/>
    <col min="11520" max="11520" width="15" style="7" customWidth="1"/>
    <col min="11521" max="11521" width="6.140625" style="7" customWidth="1"/>
    <col min="11522" max="11522" width="2.85546875" style="7" customWidth="1"/>
    <col min="11523" max="11523" width="10.85546875" style="7" customWidth="1"/>
    <col min="11524" max="11524" width="6.140625" style="7" customWidth="1"/>
    <col min="11525" max="11525" width="10.85546875" style="7" customWidth="1"/>
    <col min="11526" max="11526" width="7" style="7" customWidth="1"/>
    <col min="11527" max="11527" width="8.140625" style="7" customWidth="1"/>
    <col min="11528" max="11528" width="11" style="7" customWidth="1"/>
    <col min="11529" max="11529" width="7.140625" style="7" customWidth="1"/>
    <col min="11530" max="11530" width="10.85546875" style="7" customWidth="1"/>
    <col min="11531" max="11531" width="6.5703125" style="7" customWidth="1"/>
    <col min="11532" max="11532" width="9.140625" style="7" bestFit="1" customWidth="1"/>
    <col min="11533" max="11533" width="9" style="7"/>
    <col min="11534" max="11534" width="9.85546875" style="7" bestFit="1" customWidth="1"/>
    <col min="11535" max="11535" width="5.140625" style="7" customWidth="1"/>
    <col min="11536" max="11774" width="9" style="7"/>
    <col min="11775" max="11775" width="11.42578125" style="7" customWidth="1"/>
    <col min="11776" max="11776" width="15" style="7" customWidth="1"/>
    <col min="11777" max="11777" width="6.140625" style="7" customWidth="1"/>
    <col min="11778" max="11778" width="2.85546875" style="7" customWidth="1"/>
    <col min="11779" max="11779" width="10.85546875" style="7" customWidth="1"/>
    <col min="11780" max="11780" width="6.140625" style="7" customWidth="1"/>
    <col min="11781" max="11781" width="10.85546875" style="7" customWidth="1"/>
    <col min="11782" max="11782" width="7" style="7" customWidth="1"/>
    <col min="11783" max="11783" width="8.140625" style="7" customWidth="1"/>
    <col min="11784" max="11784" width="11" style="7" customWidth="1"/>
    <col min="11785" max="11785" width="7.140625" style="7" customWidth="1"/>
    <col min="11786" max="11786" width="10.85546875" style="7" customWidth="1"/>
    <col min="11787" max="11787" width="6.5703125" style="7" customWidth="1"/>
    <col min="11788" max="11788" width="9.140625" style="7" bestFit="1" customWidth="1"/>
    <col min="11789" max="11789" width="9" style="7"/>
    <col min="11790" max="11790" width="9.85546875" style="7" bestFit="1" customWidth="1"/>
    <col min="11791" max="11791" width="5.140625" style="7" customWidth="1"/>
    <col min="11792" max="12030" width="9" style="7"/>
    <col min="12031" max="12031" width="11.42578125" style="7" customWidth="1"/>
    <col min="12032" max="12032" width="15" style="7" customWidth="1"/>
    <col min="12033" max="12033" width="6.140625" style="7" customWidth="1"/>
    <col min="12034" max="12034" width="2.85546875" style="7" customWidth="1"/>
    <col min="12035" max="12035" width="10.85546875" style="7" customWidth="1"/>
    <col min="12036" max="12036" width="6.140625" style="7" customWidth="1"/>
    <col min="12037" max="12037" width="10.85546875" style="7" customWidth="1"/>
    <col min="12038" max="12038" width="7" style="7" customWidth="1"/>
    <col min="12039" max="12039" width="8.140625" style="7" customWidth="1"/>
    <col min="12040" max="12040" width="11" style="7" customWidth="1"/>
    <col min="12041" max="12041" width="7.140625" style="7" customWidth="1"/>
    <col min="12042" max="12042" width="10.85546875" style="7" customWidth="1"/>
    <col min="12043" max="12043" width="6.5703125" style="7" customWidth="1"/>
    <col min="12044" max="12044" width="9.140625" style="7" bestFit="1" customWidth="1"/>
    <col min="12045" max="12045" width="9" style="7"/>
    <col min="12046" max="12046" width="9.85546875" style="7" bestFit="1" customWidth="1"/>
    <col min="12047" max="12047" width="5.140625" style="7" customWidth="1"/>
    <col min="12048" max="12286" width="9" style="7"/>
    <col min="12287" max="12287" width="11.42578125" style="7" customWidth="1"/>
    <col min="12288" max="12288" width="15" style="7" customWidth="1"/>
    <col min="12289" max="12289" width="6.140625" style="7" customWidth="1"/>
    <col min="12290" max="12290" width="2.85546875" style="7" customWidth="1"/>
    <col min="12291" max="12291" width="10.85546875" style="7" customWidth="1"/>
    <col min="12292" max="12292" width="6.140625" style="7" customWidth="1"/>
    <col min="12293" max="12293" width="10.85546875" style="7" customWidth="1"/>
    <col min="12294" max="12294" width="7" style="7" customWidth="1"/>
    <col min="12295" max="12295" width="8.140625" style="7" customWidth="1"/>
    <col min="12296" max="12296" width="11" style="7" customWidth="1"/>
    <col min="12297" max="12297" width="7.140625" style="7" customWidth="1"/>
    <col min="12298" max="12298" width="10.85546875" style="7" customWidth="1"/>
    <col min="12299" max="12299" width="6.5703125" style="7" customWidth="1"/>
    <col min="12300" max="12300" width="9.140625" style="7" bestFit="1" customWidth="1"/>
    <col min="12301" max="12301" width="9" style="7"/>
    <col min="12302" max="12302" width="9.85546875" style="7" bestFit="1" customWidth="1"/>
    <col min="12303" max="12303" width="5.140625" style="7" customWidth="1"/>
    <col min="12304" max="12542" width="9" style="7"/>
    <col min="12543" max="12543" width="11.42578125" style="7" customWidth="1"/>
    <col min="12544" max="12544" width="15" style="7" customWidth="1"/>
    <col min="12545" max="12545" width="6.140625" style="7" customWidth="1"/>
    <col min="12546" max="12546" width="2.85546875" style="7" customWidth="1"/>
    <col min="12547" max="12547" width="10.85546875" style="7" customWidth="1"/>
    <col min="12548" max="12548" width="6.140625" style="7" customWidth="1"/>
    <col min="12549" max="12549" width="10.85546875" style="7" customWidth="1"/>
    <col min="12550" max="12550" width="7" style="7" customWidth="1"/>
    <col min="12551" max="12551" width="8.140625" style="7" customWidth="1"/>
    <col min="12552" max="12552" width="11" style="7" customWidth="1"/>
    <col min="12553" max="12553" width="7.140625" style="7" customWidth="1"/>
    <col min="12554" max="12554" width="10.85546875" style="7" customWidth="1"/>
    <col min="12555" max="12555" width="6.5703125" style="7" customWidth="1"/>
    <col min="12556" max="12556" width="9.140625" style="7" bestFit="1" customWidth="1"/>
    <col min="12557" max="12557" width="9" style="7"/>
    <col min="12558" max="12558" width="9.85546875" style="7" bestFit="1" customWidth="1"/>
    <col min="12559" max="12559" width="5.140625" style="7" customWidth="1"/>
    <col min="12560" max="12798" width="9" style="7"/>
    <col min="12799" max="12799" width="11.42578125" style="7" customWidth="1"/>
    <col min="12800" max="12800" width="15" style="7" customWidth="1"/>
    <col min="12801" max="12801" width="6.140625" style="7" customWidth="1"/>
    <col min="12802" max="12802" width="2.85546875" style="7" customWidth="1"/>
    <col min="12803" max="12803" width="10.85546875" style="7" customWidth="1"/>
    <col min="12804" max="12804" width="6.140625" style="7" customWidth="1"/>
    <col min="12805" max="12805" width="10.85546875" style="7" customWidth="1"/>
    <col min="12806" max="12806" width="7" style="7" customWidth="1"/>
    <col min="12807" max="12807" width="8.140625" style="7" customWidth="1"/>
    <col min="12808" max="12808" width="11" style="7" customWidth="1"/>
    <col min="12809" max="12809" width="7.140625" style="7" customWidth="1"/>
    <col min="12810" max="12810" width="10.85546875" style="7" customWidth="1"/>
    <col min="12811" max="12811" width="6.5703125" style="7" customWidth="1"/>
    <col min="12812" max="12812" width="9.140625" style="7" bestFit="1" customWidth="1"/>
    <col min="12813" max="12813" width="9" style="7"/>
    <col min="12814" max="12814" width="9.85546875" style="7" bestFit="1" customWidth="1"/>
    <col min="12815" max="12815" width="5.140625" style="7" customWidth="1"/>
    <col min="12816" max="13054" width="9" style="7"/>
    <col min="13055" max="13055" width="11.42578125" style="7" customWidth="1"/>
    <col min="13056" max="13056" width="15" style="7" customWidth="1"/>
    <col min="13057" max="13057" width="6.140625" style="7" customWidth="1"/>
    <col min="13058" max="13058" width="2.85546875" style="7" customWidth="1"/>
    <col min="13059" max="13059" width="10.85546875" style="7" customWidth="1"/>
    <col min="13060" max="13060" width="6.140625" style="7" customWidth="1"/>
    <col min="13061" max="13061" width="10.85546875" style="7" customWidth="1"/>
    <col min="13062" max="13062" width="7" style="7" customWidth="1"/>
    <col min="13063" max="13063" width="8.140625" style="7" customWidth="1"/>
    <col min="13064" max="13064" width="11" style="7" customWidth="1"/>
    <col min="13065" max="13065" width="7.140625" style="7" customWidth="1"/>
    <col min="13066" max="13066" width="10.85546875" style="7" customWidth="1"/>
    <col min="13067" max="13067" width="6.5703125" style="7" customWidth="1"/>
    <col min="13068" max="13068" width="9.140625" style="7" bestFit="1" customWidth="1"/>
    <col min="13069" max="13069" width="9" style="7"/>
    <col min="13070" max="13070" width="9.85546875" style="7" bestFit="1" customWidth="1"/>
    <col min="13071" max="13071" width="5.140625" style="7" customWidth="1"/>
    <col min="13072" max="13310" width="9" style="7"/>
    <col min="13311" max="13311" width="11.42578125" style="7" customWidth="1"/>
    <col min="13312" max="13312" width="15" style="7" customWidth="1"/>
    <col min="13313" max="13313" width="6.140625" style="7" customWidth="1"/>
    <col min="13314" max="13314" width="2.85546875" style="7" customWidth="1"/>
    <col min="13315" max="13315" width="10.85546875" style="7" customWidth="1"/>
    <col min="13316" max="13316" width="6.140625" style="7" customWidth="1"/>
    <col min="13317" max="13317" width="10.85546875" style="7" customWidth="1"/>
    <col min="13318" max="13318" width="7" style="7" customWidth="1"/>
    <col min="13319" max="13319" width="8.140625" style="7" customWidth="1"/>
    <col min="13320" max="13320" width="11" style="7" customWidth="1"/>
    <col min="13321" max="13321" width="7.140625" style="7" customWidth="1"/>
    <col min="13322" max="13322" width="10.85546875" style="7" customWidth="1"/>
    <col min="13323" max="13323" width="6.5703125" style="7" customWidth="1"/>
    <col min="13324" max="13324" width="9.140625" style="7" bestFit="1" customWidth="1"/>
    <col min="13325" max="13325" width="9" style="7"/>
    <col min="13326" max="13326" width="9.85546875" style="7" bestFit="1" customWidth="1"/>
    <col min="13327" max="13327" width="5.140625" style="7" customWidth="1"/>
    <col min="13328" max="13566" width="9" style="7"/>
    <col min="13567" max="13567" width="11.42578125" style="7" customWidth="1"/>
    <col min="13568" max="13568" width="15" style="7" customWidth="1"/>
    <col min="13569" max="13569" width="6.140625" style="7" customWidth="1"/>
    <col min="13570" max="13570" width="2.85546875" style="7" customWidth="1"/>
    <col min="13571" max="13571" width="10.85546875" style="7" customWidth="1"/>
    <col min="13572" max="13572" width="6.140625" style="7" customWidth="1"/>
    <col min="13573" max="13573" width="10.85546875" style="7" customWidth="1"/>
    <col min="13574" max="13574" width="7" style="7" customWidth="1"/>
    <col min="13575" max="13575" width="8.140625" style="7" customWidth="1"/>
    <col min="13576" max="13576" width="11" style="7" customWidth="1"/>
    <col min="13577" max="13577" width="7.140625" style="7" customWidth="1"/>
    <col min="13578" max="13578" width="10.85546875" style="7" customWidth="1"/>
    <col min="13579" max="13579" width="6.5703125" style="7" customWidth="1"/>
    <col min="13580" max="13580" width="9.140625" style="7" bestFit="1" customWidth="1"/>
    <col min="13581" max="13581" width="9" style="7"/>
    <col min="13582" max="13582" width="9.85546875" style="7" bestFit="1" customWidth="1"/>
    <col min="13583" max="13583" width="5.140625" style="7" customWidth="1"/>
    <col min="13584" max="13822" width="9" style="7"/>
    <col min="13823" max="13823" width="11.42578125" style="7" customWidth="1"/>
    <col min="13824" max="13824" width="15" style="7" customWidth="1"/>
    <col min="13825" max="13825" width="6.140625" style="7" customWidth="1"/>
    <col min="13826" max="13826" width="2.85546875" style="7" customWidth="1"/>
    <col min="13827" max="13827" width="10.85546875" style="7" customWidth="1"/>
    <col min="13828" max="13828" width="6.140625" style="7" customWidth="1"/>
    <col min="13829" max="13829" width="10.85546875" style="7" customWidth="1"/>
    <col min="13830" max="13830" width="7" style="7" customWidth="1"/>
    <col min="13831" max="13831" width="8.140625" style="7" customWidth="1"/>
    <col min="13832" max="13832" width="11" style="7" customWidth="1"/>
    <col min="13833" max="13833" width="7.140625" style="7" customWidth="1"/>
    <col min="13834" max="13834" width="10.85546875" style="7" customWidth="1"/>
    <col min="13835" max="13835" width="6.5703125" style="7" customWidth="1"/>
    <col min="13836" max="13836" width="9.140625" style="7" bestFit="1" customWidth="1"/>
    <col min="13837" max="13837" width="9" style="7"/>
    <col min="13838" max="13838" width="9.85546875" style="7" bestFit="1" customWidth="1"/>
    <col min="13839" max="13839" width="5.140625" style="7" customWidth="1"/>
    <col min="13840" max="14078" width="9" style="7"/>
    <col min="14079" max="14079" width="11.42578125" style="7" customWidth="1"/>
    <col min="14080" max="14080" width="15" style="7" customWidth="1"/>
    <col min="14081" max="14081" width="6.140625" style="7" customWidth="1"/>
    <col min="14082" max="14082" width="2.85546875" style="7" customWidth="1"/>
    <col min="14083" max="14083" width="10.85546875" style="7" customWidth="1"/>
    <col min="14084" max="14084" width="6.140625" style="7" customWidth="1"/>
    <col min="14085" max="14085" width="10.85546875" style="7" customWidth="1"/>
    <col min="14086" max="14086" width="7" style="7" customWidth="1"/>
    <col min="14087" max="14087" width="8.140625" style="7" customWidth="1"/>
    <col min="14088" max="14088" width="11" style="7" customWidth="1"/>
    <col min="14089" max="14089" width="7.140625" style="7" customWidth="1"/>
    <col min="14090" max="14090" width="10.85546875" style="7" customWidth="1"/>
    <col min="14091" max="14091" width="6.5703125" style="7" customWidth="1"/>
    <col min="14092" max="14092" width="9.140625" style="7" bestFit="1" customWidth="1"/>
    <col min="14093" max="14093" width="9" style="7"/>
    <col min="14094" max="14094" width="9.85546875" style="7" bestFit="1" customWidth="1"/>
    <col min="14095" max="14095" width="5.140625" style="7" customWidth="1"/>
    <col min="14096" max="14334" width="9" style="7"/>
    <col min="14335" max="14335" width="11.42578125" style="7" customWidth="1"/>
    <col min="14336" max="14336" width="15" style="7" customWidth="1"/>
    <col min="14337" max="14337" width="6.140625" style="7" customWidth="1"/>
    <col min="14338" max="14338" width="2.85546875" style="7" customWidth="1"/>
    <col min="14339" max="14339" width="10.85546875" style="7" customWidth="1"/>
    <col min="14340" max="14340" width="6.140625" style="7" customWidth="1"/>
    <col min="14341" max="14341" width="10.85546875" style="7" customWidth="1"/>
    <col min="14342" max="14342" width="7" style="7" customWidth="1"/>
    <col min="14343" max="14343" width="8.140625" style="7" customWidth="1"/>
    <col min="14344" max="14344" width="11" style="7" customWidth="1"/>
    <col min="14345" max="14345" width="7.140625" style="7" customWidth="1"/>
    <col min="14346" max="14346" width="10.85546875" style="7" customWidth="1"/>
    <col min="14347" max="14347" width="6.5703125" style="7" customWidth="1"/>
    <col min="14348" max="14348" width="9.140625" style="7" bestFit="1" customWidth="1"/>
    <col min="14349" max="14349" width="9" style="7"/>
    <col min="14350" max="14350" width="9.85546875" style="7" bestFit="1" customWidth="1"/>
    <col min="14351" max="14351" width="5.140625" style="7" customWidth="1"/>
    <col min="14352" max="14590" width="9" style="7"/>
    <col min="14591" max="14591" width="11.42578125" style="7" customWidth="1"/>
    <col min="14592" max="14592" width="15" style="7" customWidth="1"/>
    <col min="14593" max="14593" width="6.140625" style="7" customWidth="1"/>
    <col min="14594" max="14594" width="2.85546875" style="7" customWidth="1"/>
    <col min="14595" max="14595" width="10.85546875" style="7" customWidth="1"/>
    <col min="14596" max="14596" width="6.140625" style="7" customWidth="1"/>
    <col min="14597" max="14597" width="10.85546875" style="7" customWidth="1"/>
    <col min="14598" max="14598" width="7" style="7" customWidth="1"/>
    <col min="14599" max="14599" width="8.140625" style="7" customWidth="1"/>
    <col min="14600" max="14600" width="11" style="7" customWidth="1"/>
    <col min="14601" max="14601" width="7.140625" style="7" customWidth="1"/>
    <col min="14602" max="14602" width="10.85546875" style="7" customWidth="1"/>
    <col min="14603" max="14603" width="6.5703125" style="7" customWidth="1"/>
    <col min="14604" max="14604" width="9.140625" style="7" bestFit="1" customWidth="1"/>
    <col min="14605" max="14605" width="9" style="7"/>
    <col min="14606" max="14606" width="9.85546875" style="7" bestFit="1" customWidth="1"/>
    <col min="14607" max="14607" width="5.140625" style="7" customWidth="1"/>
    <col min="14608" max="14846" width="9" style="7"/>
    <col min="14847" max="14847" width="11.42578125" style="7" customWidth="1"/>
    <col min="14848" max="14848" width="15" style="7" customWidth="1"/>
    <col min="14849" max="14849" width="6.140625" style="7" customWidth="1"/>
    <col min="14850" max="14850" width="2.85546875" style="7" customWidth="1"/>
    <col min="14851" max="14851" width="10.85546875" style="7" customWidth="1"/>
    <col min="14852" max="14852" width="6.140625" style="7" customWidth="1"/>
    <col min="14853" max="14853" width="10.85546875" style="7" customWidth="1"/>
    <col min="14854" max="14854" width="7" style="7" customWidth="1"/>
    <col min="14855" max="14855" width="8.140625" style="7" customWidth="1"/>
    <col min="14856" max="14856" width="11" style="7" customWidth="1"/>
    <col min="14857" max="14857" width="7.140625" style="7" customWidth="1"/>
    <col min="14858" max="14858" width="10.85546875" style="7" customWidth="1"/>
    <col min="14859" max="14859" width="6.5703125" style="7" customWidth="1"/>
    <col min="14860" max="14860" width="9.140625" style="7" bestFit="1" customWidth="1"/>
    <col min="14861" max="14861" width="9" style="7"/>
    <col min="14862" max="14862" width="9.85546875" style="7" bestFit="1" customWidth="1"/>
    <col min="14863" max="14863" width="5.140625" style="7" customWidth="1"/>
    <col min="14864" max="15102" width="9" style="7"/>
    <col min="15103" max="15103" width="11.42578125" style="7" customWidth="1"/>
    <col min="15104" max="15104" width="15" style="7" customWidth="1"/>
    <col min="15105" max="15105" width="6.140625" style="7" customWidth="1"/>
    <col min="15106" max="15106" width="2.85546875" style="7" customWidth="1"/>
    <col min="15107" max="15107" width="10.85546875" style="7" customWidth="1"/>
    <col min="15108" max="15108" width="6.140625" style="7" customWidth="1"/>
    <col min="15109" max="15109" width="10.85546875" style="7" customWidth="1"/>
    <col min="15110" max="15110" width="7" style="7" customWidth="1"/>
    <col min="15111" max="15111" width="8.140625" style="7" customWidth="1"/>
    <col min="15112" max="15112" width="11" style="7" customWidth="1"/>
    <col min="15113" max="15113" width="7.140625" style="7" customWidth="1"/>
    <col min="15114" max="15114" width="10.85546875" style="7" customWidth="1"/>
    <col min="15115" max="15115" width="6.5703125" style="7" customWidth="1"/>
    <col min="15116" max="15116" width="9.140625" style="7" bestFit="1" customWidth="1"/>
    <col min="15117" max="15117" width="9" style="7"/>
    <col min="15118" max="15118" width="9.85546875" style="7" bestFit="1" customWidth="1"/>
    <col min="15119" max="15119" width="5.140625" style="7" customWidth="1"/>
    <col min="15120" max="15358" width="9" style="7"/>
    <col min="15359" max="15359" width="11.42578125" style="7" customWidth="1"/>
    <col min="15360" max="15360" width="15" style="7" customWidth="1"/>
    <col min="15361" max="15361" width="6.140625" style="7" customWidth="1"/>
    <col min="15362" max="15362" width="2.85546875" style="7" customWidth="1"/>
    <col min="15363" max="15363" width="10.85546875" style="7" customWidth="1"/>
    <col min="15364" max="15364" width="6.140625" style="7" customWidth="1"/>
    <col min="15365" max="15365" width="10.85546875" style="7" customWidth="1"/>
    <col min="15366" max="15366" width="7" style="7" customWidth="1"/>
    <col min="15367" max="15367" width="8.140625" style="7" customWidth="1"/>
    <col min="15368" max="15368" width="11" style="7" customWidth="1"/>
    <col min="15369" max="15369" width="7.140625" style="7" customWidth="1"/>
    <col min="15370" max="15370" width="10.85546875" style="7" customWidth="1"/>
    <col min="15371" max="15371" width="6.5703125" style="7" customWidth="1"/>
    <col min="15372" max="15372" width="9.140625" style="7" bestFit="1" customWidth="1"/>
    <col min="15373" max="15373" width="9" style="7"/>
    <col min="15374" max="15374" width="9.85546875" style="7" bestFit="1" customWidth="1"/>
    <col min="15375" max="15375" width="5.140625" style="7" customWidth="1"/>
    <col min="15376" max="15614" width="9" style="7"/>
    <col min="15615" max="15615" width="11.42578125" style="7" customWidth="1"/>
    <col min="15616" max="15616" width="15" style="7" customWidth="1"/>
    <col min="15617" max="15617" width="6.140625" style="7" customWidth="1"/>
    <col min="15618" max="15618" width="2.85546875" style="7" customWidth="1"/>
    <col min="15619" max="15619" width="10.85546875" style="7" customWidth="1"/>
    <col min="15620" max="15620" width="6.140625" style="7" customWidth="1"/>
    <col min="15621" max="15621" width="10.85546875" style="7" customWidth="1"/>
    <col min="15622" max="15622" width="7" style="7" customWidth="1"/>
    <col min="15623" max="15623" width="8.140625" style="7" customWidth="1"/>
    <col min="15624" max="15624" width="11" style="7" customWidth="1"/>
    <col min="15625" max="15625" width="7.140625" style="7" customWidth="1"/>
    <col min="15626" max="15626" width="10.85546875" style="7" customWidth="1"/>
    <col min="15627" max="15627" width="6.5703125" style="7" customWidth="1"/>
    <col min="15628" max="15628" width="9.140625" style="7" bestFit="1" customWidth="1"/>
    <col min="15629" max="15629" width="9" style="7"/>
    <col min="15630" max="15630" width="9.85546875" style="7" bestFit="1" customWidth="1"/>
    <col min="15631" max="15631" width="5.140625" style="7" customWidth="1"/>
    <col min="15632" max="15870" width="9" style="7"/>
    <col min="15871" max="15871" width="11.42578125" style="7" customWidth="1"/>
    <col min="15872" max="15872" width="15" style="7" customWidth="1"/>
    <col min="15873" max="15873" width="6.140625" style="7" customWidth="1"/>
    <col min="15874" max="15874" width="2.85546875" style="7" customWidth="1"/>
    <col min="15875" max="15875" width="10.85546875" style="7" customWidth="1"/>
    <col min="15876" max="15876" width="6.140625" style="7" customWidth="1"/>
    <col min="15877" max="15877" width="10.85546875" style="7" customWidth="1"/>
    <col min="15878" max="15878" width="7" style="7" customWidth="1"/>
    <col min="15879" max="15879" width="8.140625" style="7" customWidth="1"/>
    <col min="15880" max="15880" width="11" style="7" customWidth="1"/>
    <col min="15881" max="15881" width="7.140625" style="7" customWidth="1"/>
    <col min="15882" max="15882" width="10.85546875" style="7" customWidth="1"/>
    <col min="15883" max="15883" width="6.5703125" style="7" customWidth="1"/>
    <col min="15884" max="15884" width="9.140625" style="7" bestFit="1" customWidth="1"/>
    <col min="15885" max="15885" width="9" style="7"/>
    <col min="15886" max="15886" width="9.85546875" style="7" bestFit="1" customWidth="1"/>
    <col min="15887" max="15887" width="5.140625" style="7" customWidth="1"/>
    <col min="15888" max="16126" width="9" style="7"/>
    <col min="16127" max="16127" width="11.42578125" style="7" customWidth="1"/>
    <col min="16128" max="16128" width="15" style="7" customWidth="1"/>
    <col min="16129" max="16129" width="6.140625" style="7" customWidth="1"/>
    <col min="16130" max="16130" width="2.85546875" style="7" customWidth="1"/>
    <col min="16131" max="16131" width="10.85546875" style="7" customWidth="1"/>
    <col min="16132" max="16132" width="6.140625" style="7" customWidth="1"/>
    <col min="16133" max="16133" width="10.85546875" style="7" customWidth="1"/>
    <col min="16134" max="16134" width="7" style="7" customWidth="1"/>
    <col min="16135" max="16135" width="8.140625" style="7" customWidth="1"/>
    <col min="16136" max="16136" width="11" style="7" customWidth="1"/>
    <col min="16137" max="16137" width="7.140625" style="7" customWidth="1"/>
    <col min="16138" max="16138" width="10.85546875" style="7" customWidth="1"/>
    <col min="16139" max="16139" width="6.5703125" style="7" customWidth="1"/>
    <col min="16140" max="16140" width="9.140625" style="7" bestFit="1" customWidth="1"/>
    <col min="16141" max="16141" width="9" style="7"/>
    <col min="16142" max="16142" width="9.85546875" style="7" bestFit="1" customWidth="1"/>
    <col min="16143" max="16143" width="5.140625" style="7" customWidth="1"/>
    <col min="16144" max="16382" width="9" style="7"/>
    <col min="16383" max="16384" width="9" style="7" customWidth="1"/>
  </cols>
  <sheetData>
    <row r="1" spans="1:26" s="31" customFormat="1" ht="36.75" customHeight="1">
      <c r="A1" s="28" t="s">
        <v>337</v>
      </c>
      <c r="B1" s="3" t="s">
        <v>14</v>
      </c>
      <c r="C1" s="4" t="s">
        <v>15</v>
      </c>
      <c r="D1" s="143" t="s">
        <v>399</v>
      </c>
      <c r="E1" s="143" t="s">
        <v>369</v>
      </c>
      <c r="F1" s="143" t="s">
        <v>400</v>
      </c>
      <c r="G1" s="134" t="s">
        <v>401</v>
      </c>
      <c r="H1" s="135" t="s">
        <v>341</v>
      </c>
      <c r="I1" s="136" t="s">
        <v>342</v>
      </c>
      <c r="J1" s="134" t="s">
        <v>291</v>
      </c>
      <c r="K1" s="135" t="s">
        <v>343</v>
      </c>
      <c r="L1" s="136" t="s">
        <v>344</v>
      </c>
      <c r="M1" s="134" t="s">
        <v>293</v>
      </c>
      <c r="N1" s="135" t="s">
        <v>402</v>
      </c>
      <c r="O1" s="136" t="s">
        <v>403</v>
      </c>
      <c r="P1" s="129" t="s">
        <v>404</v>
      </c>
      <c r="Q1" s="270" t="s">
        <v>275</v>
      </c>
      <c r="R1" s="29" t="s">
        <v>277</v>
      </c>
      <c r="S1" s="29" t="s">
        <v>405</v>
      </c>
      <c r="T1" s="43" t="s">
        <v>406</v>
      </c>
      <c r="U1" s="41" t="s">
        <v>407</v>
      </c>
      <c r="V1" s="13" t="s">
        <v>408</v>
      </c>
      <c r="W1" s="14" t="s">
        <v>348</v>
      </c>
      <c r="X1" s="14" t="s">
        <v>282</v>
      </c>
      <c r="Y1" s="14" t="s">
        <v>283</v>
      </c>
      <c r="Z1" s="14" t="s">
        <v>284</v>
      </c>
    </row>
    <row r="2" spans="1:26" s="6" customFormat="1" ht="14.25" customHeight="1">
      <c r="B2" s="7"/>
      <c r="C2" s="7"/>
      <c r="D2" s="32" t="s">
        <v>409</v>
      </c>
      <c r="E2" s="23" t="s">
        <v>410</v>
      </c>
      <c r="F2" s="16"/>
      <c r="G2" s="137" t="s">
        <v>401</v>
      </c>
      <c r="H2" s="16" t="s">
        <v>341</v>
      </c>
      <c r="I2" s="138" t="s">
        <v>342</v>
      </c>
      <c r="J2" s="137" t="s">
        <v>401</v>
      </c>
      <c r="K2" s="16" t="s">
        <v>341</v>
      </c>
      <c r="L2" s="138" t="s">
        <v>342</v>
      </c>
      <c r="M2" s="137" t="s">
        <v>401</v>
      </c>
      <c r="N2" s="16" t="s">
        <v>341</v>
      </c>
      <c r="O2" s="138" t="s">
        <v>342</v>
      </c>
      <c r="P2" s="35"/>
      <c r="Q2" s="271" t="s">
        <v>296</v>
      </c>
      <c r="R2" s="6" t="s">
        <v>296</v>
      </c>
      <c r="S2" s="6" t="s">
        <v>411</v>
      </c>
      <c r="T2" s="6" t="s">
        <v>412</v>
      </c>
      <c r="U2" s="6" t="s">
        <v>413</v>
      </c>
      <c r="W2" s="258">
        <v>0.3</v>
      </c>
      <c r="X2" s="258">
        <v>0.35</v>
      </c>
      <c r="Y2" s="258">
        <v>0.4</v>
      </c>
      <c r="Z2" s="7">
        <v>0.5</v>
      </c>
    </row>
    <row r="3" spans="1:26" ht="25.35" customHeight="1">
      <c r="A3" s="7" t="s">
        <v>54</v>
      </c>
      <c r="B3" s="7" t="str">
        <f t="shared" ref="B3:B17" si="0">_xlfn.CONCAT(A3,"_",E3,)</f>
        <v>PFC_51x25</v>
      </c>
      <c r="C3" s="7" t="str">
        <f>_xlfn.CONCAT(B3, " @ ",F3,"Kg/m")</f>
        <v>PFC_51x25 @ 3.72Kg/m</v>
      </c>
      <c r="D3" s="9" t="s">
        <v>414</v>
      </c>
      <c r="E3" s="7" t="s">
        <v>415</v>
      </c>
      <c r="F3" s="9">
        <v>3.72</v>
      </c>
      <c r="G3" s="139"/>
      <c r="H3" s="9"/>
      <c r="I3" s="140"/>
      <c r="J3" s="139"/>
      <c r="K3" s="9"/>
      <c r="L3" s="140"/>
      <c r="M3" s="139"/>
      <c r="N3" s="9"/>
      <c r="O3" s="140"/>
      <c r="P3" s="37">
        <f>SUM(G3*H3)+(J3*K3)+(M3*N3)</f>
        <v>0</v>
      </c>
      <c r="Q3" s="272">
        <f>Table9[[#This Row],[£Cost /m]]*Table9[[#This Row],[Total Metres]]</f>
        <v>0</v>
      </c>
      <c r="R3" s="10">
        <v>565</v>
      </c>
      <c r="S3" s="39">
        <f>(Table9[[#This Row],[£/Tonne]]/1000)*Table9[[#This Row],[Kg/M]]</f>
        <v>2.1017999999999999</v>
      </c>
      <c r="T3" s="7">
        <v>6.1</v>
      </c>
      <c r="U3" s="18">
        <f>Table9[[#This Row],[Normal Length]]*Table9[[#This Row],[£Cost /m]]</f>
        <v>12.820979999999999</v>
      </c>
      <c r="W3" s="18">
        <f>Table9[[#This Row],[£/ Length]]*(1+W$2)</f>
        <v>16.667273999999999</v>
      </c>
      <c r="X3" s="18">
        <f>Table9[[#This Row],[£/ Length]]*(1+X$2)</f>
        <v>17.308322999999998</v>
      </c>
      <c r="Y3" s="18">
        <f>Table9[[#This Row],[£/ Length]]*(1+Y$2)</f>
        <v>17.949371999999997</v>
      </c>
      <c r="Z3" s="18">
        <f>Table9[[#This Row],[£/ Length]]*(1+Z$2)</f>
        <v>19.231469999999998</v>
      </c>
    </row>
    <row r="4" spans="1:26" ht="25.35" customHeight="1">
      <c r="A4" s="7" t="s">
        <v>54</v>
      </c>
      <c r="B4" s="7" t="str">
        <f t="shared" si="0"/>
        <v>PFC_76x38</v>
      </c>
      <c r="C4" s="7" t="str">
        <f t="shared" ref="C4:C43" si="1">_xlfn.CONCAT(B4, " @ ",F4,"Kg/m")</f>
        <v>PFC_76x38 @ 6.7Kg/m</v>
      </c>
      <c r="D4" s="9" t="s">
        <v>416</v>
      </c>
      <c r="E4" s="7" t="s">
        <v>417</v>
      </c>
      <c r="F4" s="9">
        <v>6.7</v>
      </c>
      <c r="G4" s="139">
        <v>6.1</v>
      </c>
      <c r="H4" s="9">
        <v>10</v>
      </c>
      <c r="I4" s="140" t="s">
        <v>255</v>
      </c>
      <c r="J4" s="139"/>
      <c r="K4" s="9"/>
      <c r="L4" s="140"/>
      <c r="M4" s="139"/>
      <c r="N4" s="9"/>
      <c r="O4" s="140"/>
      <c r="P4" s="37">
        <f t="shared" ref="P4:P43" si="2">SUM(G4*H4)+(J4*K4)+(M4*N4)</f>
        <v>61</v>
      </c>
      <c r="Q4" s="272">
        <f>Table9[[#This Row],[£Cost /m]]*Table9[[#This Row],[Total Metres]]</f>
        <v>298.351</v>
      </c>
      <c r="R4" s="10">
        <v>730</v>
      </c>
      <c r="S4" s="39">
        <f>(Table9[[#This Row],[£/Tonne]]/1000)*Table9[[#This Row],[Kg/M]]</f>
        <v>4.891</v>
      </c>
      <c r="T4" s="7">
        <v>6.1</v>
      </c>
      <c r="U4" s="18">
        <f>Table9[[#This Row],[Normal Length]]*Table9[[#This Row],[£Cost /m]]</f>
        <v>29.835099999999997</v>
      </c>
      <c r="W4" s="18">
        <f>Table9[[#This Row],[£/ Length]]*(1+W$2)</f>
        <v>38.785629999999998</v>
      </c>
      <c r="X4" s="18">
        <f>Table9[[#This Row],[£/ Length]]*(1+X$2)</f>
        <v>40.277384999999995</v>
      </c>
      <c r="Y4" s="18">
        <f>Table9[[#This Row],[£/ Length]]*(1+Y$2)</f>
        <v>41.769139999999993</v>
      </c>
      <c r="Z4" s="18">
        <f>Table9[[#This Row],[£/ Length]]*(1+Z$2)</f>
        <v>44.752649999999996</v>
      </c>
    </row>
    <row r="5" spans="1:26" ht="25.35" customHeight="1">
      <c r="A5" s="7" t="s">
        <v>54</v>
      </c>
      <c r="B5" s="7" t="str">
        <f t="shared" si="0"/>
        <v>PFC_80x45</v>
      </c>
      <c r="C5" s="7" t="str">
        <f t="shared" si="1"/>
        <v>PFC_80x45 @ 8.9Kg/m</v>
      </c>
      <c r="D5" s="9" t="s">
        <v>418</v>
      </c>
      <c r="E5" s="7" t="s">
        <v>419</v>
      </c>
      <c r="F5" s="9">
        <v>8.9</v>
      </c>
      <c r="G5" s="139"/>
      <c r="H5" s="9"/>
      <c r="I5" s="140"/>
      <c r="J5" s="139"/>
      <c r="K5" s="9"/>
      <c r="L5" s="140"/>
      <c r="M5" s="139"/>
      <c r="N5" s="9"/>
      <c r="O5" s="140"/>
      <c r="P5" s="37">
        <f t="shared" si="2"/>
        <v>0</v>
      </c>
      <c r="Q5" s="272">
        <f>Table9[[#This Row],[£Cost /m]]*Table9[[#This Row],[Total Metres]]</f>
        <v>0</v>
      </c>
      <c r="R5" s="10"/>
      <c r="S5" s="39">
        <f>(Table9[[#This Row],[£/Tonne]]/1000)*Table9[[#This Row],[Kg/M]]</f>
        <v>0</v>
      </c>
      <c r="T5" s="7">
        <v>6.1</v>
      </c>
      <c r="U5" s="18">
        <f>Table9[[#This Row],[Normal Length]]*Table9[[#This Row],[£Cost /m]]</f>
        <v>0</v>
      </c>
      <c r="W5" s="18">
        <f>Table9[[#This Row],[£/ Length]]*(1+W$2)</f>
        <v>0</v>
      </c>
      <c r="X5" s="18">
        <f>Table9[[#This Row],[£/ Length]]*(1+X$2)</f>
        <v>0</v>
      </c>
      <c r="Y5" s="18">
        <f>Table9[[#This Row],[£/ Length]]*(1+Y$2)</f>
        <v>0</v>
      </c>
      <c r="Z5" s="18">
        <f>Table9[[#This Row],[£/ Length]]*(1+Z$2)</f>
        <v>0</v>
      </c>
    </row>
    <row r="6" spans="1:26" ht="25.35" customHeight="1">
      <c r="A6" s="7" t="s">
        <v>54</v>
      </c>
      <c r="B6" s="7" t="str">
        <f t="shared" si="0"/>
        <v>PFC_102x51</v>
      </c>
      <c r="C6" s="7" t="str">
        <f t="shared" si="1"/>
        <v>PFC_102x51 @ 10.42Kg/m</v>
      </c>
      <c r="D6" s="9" t="s">
        <v>420</v>
      </c>
      <c r="E6" s="7" t="s">
        <v>421</v>
      </c>
      <c r="F6" s="9">
        <v>10.42</v>
      </c>
      <c r="G6" s="139">
        <v>6.1</v>
      </c>
      <c r="H6" s="9">
        <v>1</v>
      </c>
      <c r="I6" s="140" t="s">
        <v>422</v>
      </c>
      <c r="J6" s="139">
        <v>12.2</v>
      </c>
      <c r="K6" s="9">
        <v>3</v>
      </c>
      <c r="L6" s="140" t="s">
        <v>246</v>
      </c>
      <c r="M6" s="139">
        <v>7.5</v>
      </c>
      <c r="N6" s="9">
        <v>1</v>
      </c>
      <c r="O6" s="140" t="s">
        <v>246</v>
      </c>
      <c r="P6" s="37">
        <f t="shared" si="2"/>
        <v>50.199999999999996</v>
      </c>
      <c r="Q6" s="272">
        <f>Table9[[#This Row],[£Cost /m]]*Table9[[#This Row],[Total Metres]]</f>
        <v>397.54383999999999</v>
      </c>
      <c r="R6" s="10">
        <v>760</v>
      </c>
      <c r="S6" s="39">
        <f>(Table9[[#This Row],[£/Tonne]]/1000)*Table9[[#This Row],[Kg/M]]</f>
        <v>7.9192</v>
      </c>
      <c r="T6" s="7">
        <v>6.1</v>
      </c>
      <c r="U6" s="18">
        <f>Table9[[#This Row],[Normal Length]]*Table9[[#This Row],[£Cost /m]]</f>
        <v>48.307119999999998</v>
      </c>
      <c r="W6" s="18">
        <f>Table9[[#This Row],[£/ Length]]*(1+W$2)</f>
        <v>62.799256</v>
      </c>
      <c r="X6" s="18">
        <f>Table9[[#This Row],[£/ Length]]*(1+X$2)</f>
        <v>65.214612000000002</v>
      </c>
      <c r="Y6" s="18">
        <f>Table9[[#This Row],[£/ Length]]*(1+Y$2)</f>
        <v>67.629967999999991</v>
      </c>
      <c r="Z6" s="18">
        <f>Table9[[#This Row],[£/ Length]]*(1+Z$2)</f>
        <v>72.460679999999996</v>
      </c>
    </row>
    <row r="7" spans="1:26" ht="25.35" customHeight="1">
      <c r="A7" s="7" t="s">
        <v>54</v>
      </c>
      <c r="B7" s="7" t="str">
        <f t="shared" si="0"/>
        <v>PFC_127x64</v>
      </c>
      <c r="C7" s="7" t="str">
        <f t="shared" si="1"/>
        <v>PFC_127x64 @ 14.9Kg/m</v>
      </c>
      <c r="D7" s="9" t="s">
        <v>423</v>
      </c>
      <c r="E7" s="7" t="s">
        <v>424</v>
      </c>
      <c r="F7" s="9">
        <v>14.9</v>
      </c>
      <c r="G7" s="139">
        <v>6</v>
      </c>
      <c r="H7" s="9">
        <v>1</v>
      </c>
      <c r="I7" s="140" t="s">
        <v>422</v>
      </c>
      <c r="J7" s="139">
        <v>4.7</v>
      </c>
      <c r="K7" s="9">
        <v>1</v>
      </c>
      <c r="L7" s="140" t="s">
        <v>422</v>
      </c>
      <c r="M7" s="139">
        <v>12.2</v>
      </c>
      <c r="N7" s="9">
        <v>5</v>
      </c>
      <c r="O7" s="140" t="s">
        <v>246</v>
      </c>
      <c r="P7" s="37">
        <f t="shared" si="2"/>
        <v>71.7</v>
      </c>
      <c r="Q7" s="272">
        <f>Table9[[#This Row],[£Cost /m]]*Table9[[#This Row],[Total Metres]]</f>
        <v>934.78875000000005</v>
      </c>
      <c r="R7" s="10">
        <v>875</v>
      </c>
      <c r="S7" s="39">
        <f>(Table9[[#This Row],[£/Tonne]]/1000)*Table9[[#This Row],[Kg/M]]</f>
        <v>13.0375</v>
      </c>
      <c r="T7" s="7">
        <v>12.2</v>
      </c>
      <c r="U7" s="18">
        <f>Table9[[#This Row],[Normal Length]]*Table9[[#This Row],[£Cost /m]]</f>
        <v>159.05749999999998</v>
      </c>
      <c r="W7" s="18">
        <f>Table9[[#This Row],[£/ Length]]*(1+W$2)</f>
        <v>206.77474999999998</v>
      </c>
      <c r="X7" s="18">
        <f>Table9[[#This Row],[£/ Length]]*(1+X$2)</f>
        <v>214.72762499999999</v>
      </c>
      <c r="Y7" s="18">
        <f>Table9[[#This Row],[£/ Length]]*(1+Y$2)</f>
        <v>222.68049999999997</v>
      </c>
      <c r="Z7" s="18">
        <f>Table9[[#This Row],[£/ Length]]*(1+Z$2)</f>
        <v>238.58624999999995</v>
      </c>
    </row>
    <row r="8" spans="1:26" ht="25.35" customHeight="1">
      <c r="A8" s="7" t="s">
        <v>54</v>
      </c>
      <c r="B8" s="7" t="str">
        <f t="shared" si="0"/>
        <v>PFC_152x76</v>
      </c>
      <c r="C8" s="7" t="str">
        <f t="shared" si="1"/>
        <v>PFC_152x76 @ 17.88Kg/m</v>
      </c>
      <c r="D8" s="9" t="s">
        <v>425</v>
      </c>
      <c r="E8" s="7" t="s">
        <v>426</v>
      </c>
      <c r="F8" s="9">
        <v>17.88</v>
      </c>
      <c r="G8" s="139">
        <v>6</v>
      </c>
      <c r="H8" s="9">
        <v>1</v>
      </c>
      <c r="I8" s="140"/>
      <c r="J8" s="139">
        <v>12.2</v>
      </c>
      <c r="K8" s="9">
        <v>7</v>
      </c>
      <c r="L8" s="140" t="s">
        <v>246</v>
      </c>
      <c r="M8" s="139">
        <v>2.6</v>
      </c>
      <c r="N8" s="9">
        <v>1</v>
      </c>
      <c r="O8" s="140" t="s">
        <v>246</v>
      </c>
      <c r="P8" s="37">
        <f t="shared" si="2"/>
        <v>93.999999999999986</v>
      </c>
      <c r="Q8" s="272">
        <f>Table9[[#This Row],[£Cost /m]]*Table9[[#This Row],[Total Metres]]</f>
        <v>1142.8895999999997</v>
      </c>
      <c r="R8" s="10">
        <v>680</v>
      </c>
      <c r="S8" s="39">
        <f>(Table9[[#This Row],[£/Tonne]]/1000)*Table9[[#This Row],[Kg/M]]</f>
        <v>12.1584</v>
      </c>
      <c r="T8" s="7">
        <v>12.2</v>
      </c>
      <c r="U8" s="18">
        <f>Table9[[#This Row],[Normal Length]]*Table9[[#This Row],[£Cost /m]]</f>
        <v>148.33248</v>
      </c>
      <c r="W8" s="18">
        <f>Table9[[#This Row],[£/ Length]]*(1+W$2)</f>
        <v>192.83222400000002</v>
      </c>
      <c r="X8" s="18">
        <f>Table9[[#This Row],[£/ Length]]*(1+X$2)</f>
        <v>200.24884800000001</v>
      </c>
      <c r="Y8" s="18">
        <f>Table9[[#This Row],[£/ Length]]*(1+Y$2)</f>
        <v>207.66547199999999</v>
      </c>
      <c r="Z8" s="18">
        <f>Table9[[#This Row],[£/ Length]]*(1+Z$2)</f>
        <v>222.49871999999999</v>
      </c>
    </row>
    <row r="9" spans="1:26" ht="25.35" customHeight="1">
      <c r="A9" s="7" t="s">
        <v>54</v>
      </c>
      <c r="B9" s="7" t="str">
        <f t="shared" si="0"/>
        <v>PFC_152x89</v>
      </c>
      <c r="C9" s="7" t="str">
        <f t="shared" si="1"/>
        <v>PFC_152x89 @ 23.84Kg/m</v>
      </c>
      <c r="D9" s="9" t="s">
        <v>427</v>
      </c>
      <c r="E9" s="7" t="s">
        <v>428</v>
      </c>
      <c r="F9" s="9">
        <v>23.84</v>
      </c>
      <c r="G9" s="139"/>
      <c r="H9" s="9"/>
      <c r="I9" s="140"/>
      <c r="J9" s="139"/>
      <c r="K9" s="9"/>
      <c r="L9" s="140"/>
      <c r="M9" s="139"/>
      <c r="N9" s="9"/>
      <c r="O9" s="140"/>
      <c r="P9" s="37">
        <f t="shared" si="2"/>
        <v>0</v>
      </c>
      <c r="Q9" s="272">
        <f>Table9[[#This Row],[£Cost /m]]*Table9[[#This Row],[Total Metres]]</f>
        <v>0</v>
      </c>
      <c r="R9" s="10"/>
      <c r="S9" s="39">
        <f>(Table9[[#This Row],[£/Tonne]]/1000)*Table9[[#This Row],[Kg/M]]</f>
        <v>0</v>
      </c>
      <c r="T9" s="7">
        <v>12.2</v>
      </c>
      <c r="U9" s="18">
        <f>Table9[[#This Row],[Normal Length]]*Table9[[#This Row],[£Cost /m]]</f>
        <v>0</v>
      </c>
      <c r="W9" s="18">
        <f>Table9[[#This Row],[£/ Length]]*(1+W$2)</f>
        <v>0</v>
      </c>
      <c r="X9" s="18">
        <f>Table9[[#This Row],[£/ Length]]*(1+X$2)</f>
        <v>0</v>
      </c>
      <c r="Y9" s="18">
        <f>Table9[[#This Row],[£/ Length]]*(1+Y$2)</f>
        <v>0</v>
      </c>
      <c r="Z9" s="18">
        <f>Table9[[#This Row],[£/ Length]]*(1+Z$2)</f>
        <v>0</v>
      </c>
    </row>
    <row r="10" spans="1:26" ht="25.35" customHeight="1">
      <c r="A10" s="7" t="s">
        <v>54</v>
      </c>
      <c r="B10" s="7" t="str">
        <f t="shared" si="0"/>
        <v>PFC_178x76</v>
      </c>
      <c r="C10" s="7" t="str">
        <f t="shared" si="1"/>
        <v>PFC_178x76 @ 20.84Kg/m</v>
      </c>
      <c r="D10" s="9" t="s">
        <v>429</v>
      </c>
      <c r="E10" s="7" t="s">
        <v>430</v>
      </c>
      <c r="F10" s="9">
        <v>20.84</v>
      </c>
      <c r="G10" s="139">
        <v>12.2</v>
      </c>
      <c r="H10" s="9">
        <v>1</v>
      </c>
      <c r="I10" s="140" t="s">
        <v>246</v>
      </c>
      <c r="J10" s="139"/>
      <c r="K10" s="9"/>
      <c r="L10" s="140"/>
      <c r="M10" s="139"/>
      <c r="N10" s="9"/>
      <c r="O10" s="140"/>
      <c r="P10" s="37">
        <f t="shared" si="2"/>
        <v>12.2</v>
      </c>
      <c r="Q10" s="272">
        <f>Table9[[#This Row],[£Cost /m]]*Table9[[#This Row],[Total Metres]]</f>
        <v>193.22847999999999</v>
      </c>
      <c r="R10" s="10">
        <v>760</v>
      </c>
      <c r="S10" s="39">
        <f>(Table9[[#This Row],[£/Tonne]]/1000)*Table9[[#This Row],[Kg/M]]</f>
        <v>15.8384</v>
      </c>
      <c r="T10" s="7">
        <v>12.2</v>
      </c>
      <c r="U10" s="18">
        <f>Table9[[#This Row],[Normal Length]]*Table9[[#This Row],[£Cost /m]]</f>
        <v>193.22847999999999</v>
      </c>
      <c r="W10" s="18">
        <f>Table9[[#This Row],[£/ Length]]*(1+W$2)</f>
        <v>251.197024</v>
      </c>
      <c r="X10" s="18">
        <f>Table9[[#This Row],[£/ Length]]*(1+X$2)</f>
        <v>260.85844800000001</v>
      </c>
      <c r="Y10" s="18">
        <f>Table9[[#This Row],[£/ Length]]*(1+Y$2)</f>
        <v>270.51987199999996</v>
      </c>
      <c r="Z10" s="18">
        <f>Table9[[#This Row],[£/ Length]]*(1+Z$2)</f>
        <v>289.84271999999999</v>
      </c>
    </row>
    <row r="11" spans="1:26" ht="25.35" customHeight="1">
      <c r="A11" s="7" t="s">
        <v>54</v>
      </c>
      <c r="B11" s="7" t="str">
        <f t="shared" ref="B11" si="3">_xlfn.CONCAT(A11,"_",E11,)</f>
        <v>PFC_180x90</v>
      </c>
      <c r="C11" s="7" t="str">
        <f t="shared" ref="C11" si="4">_xlfn.CONCAT(B11, " @ ",F11,"Kg/m")</f>
        <v>PFC_180x90 @ 20.84Kg/m</v>
      </c>
      <c r="D11" s="9" t="s">
        <v>429</v>
      </c>
      <c r="E11" s="7" t="s">
        <v>431</v>
      </c>
      <c r="F11" s="9">
        <v>20.84</v>
      </c>
      <c r="G11" s="139">
        <v>12.2</v>
      </c>
      <c r="H11" s="9">
        <v>4</v>
      </c>
      <c r="I11" s="140" t="s">
        <v>246</v>
      </c>
      <c r="J11" s="139">
        <v>10</v>
      </c>
      <c r="K11" s="9">
        <v>1</v>
      </c>
      <c r="L11" s="140" t="s">
        <v>246</v>
      </c>
      <c r="M11" s="139"/>
      <c r="N11" s="9"/>
      <c r="O11" s="140"/>
      <c r="P11" s="37">
        <f t="shared" si="2"/>
        <v>58.8</v>
      </c>
      <c r="Q11" s="272">
        <f>Table9[[#This Row],[£Cost /m]]*Table9[[#This Row],[Total Metres]]</f>
        <v>931.29791999999998</v>
      </c>
      <c r="R11" s="10">
        <f>R10</f>
        <v>760</v>
      </c>
      <c r="S11" s="39">
        <f>(Table9[[#This Row],[£/Tonne]]/1000)*Table9[[#This Row],[Kg/M]]</f>
        <v>15.8384</v>
      </c>
      <c r="T11" s="7">
        <v>12.2</v>
      </c>
      <c r="U11" s="18">
        <f>Table9[[#This Row],[Normal Length]]*Table9[[#This Row],[£Cost /m]]</f>
        <v>193.22847999999999</v>
      </c>
      <c r="W11" s="18">
        <f>Table9[[#This Row],[£/ Length]]*(1+W$2)</f>
        <v>251.197024</v>
      </c>
      <c r="X11" s="18">
        <f>Table9[[#This Row],[£/ Length]]*(1+X$2)</f>
        <v>260.85844800000001</v>
      </c>
      <c r="Y11" s="18">
        <f>Table9[[#This Row],[£/ Length]]*(1+Y$2)</f>
        <v>270.51987199999996</v>
      </c>
      <c r="Z11" s="18">
        <f>Table9[[#This Row],[£/ Length]]*(1+Z$2)</f>
        <v>289.84271999999999</v>
      </c>
    </row>
    <row r="12" spans="1:26" ht="25.35" customHeight="1">
      <c r="A12" s="7" t="s">
        <v>54</v>
      </c>
      <c r="B12" s="7" t="str">
        <f t="shared" si="0"/>
        <v>PFC_203x76</v>
      </c>
      <c r="C12" s="7" t="str">
        <f t="shared" si="1"/>
        <v>PFC_203x76 @ 23.82Kg/m</v>
      </c>
      <c r="D12" s="9" t="s">
        <v>432</v>
      </c>
      <c r="E12" s="7" t="s">
        <v>433</v>
      </c>
      <c r="F12" s="9">
        <v>23.82</v>
      </c>
      <c r="G12" s="139">
        <v>12.2</v>
      </c>
      <c r="H12" s="9">
        <v>8</v>
      </c>
      <c r="I12" s="140" t="s">
        <v>246</v>
      </c>
      <c r="J12" s="139">
        <v>10</v>
      </c>
      <c r="K12" s="9">
        <v>1</v>
      </c>
      <c r="L12" s="140" t="s">
        <v>246</v>
      </c>
      <c r="M12" s="139"/>
      <c r="N12" s="9"/>
      <c r="O12" s="140"/>
      <c r="P12" s="37">
        <f t="shared" si="2"/>
        <v>107.6</v>
      </c>
      <c r="Q12" s="272">
        <f>Table9[[#This Row],[£Cost /m]]*Table9[[#This Row],[Total Metres]]</f>
        <v>1358.40696</v>
      </c>
      <c r="R12" s="10">
        <v>530</v>
      </c>
      <c r="S12" s="39">
        <f>(Table9[[#This Row],[£/Tonne]]/1000)*Table9[[#This Row],[Kg/M]]</f>
        <v>12.624600000000001</v>
      </c>
      <c r="T12" s="7">
        <v>12.2</v>
      </c>
      <c r="U12" s="18">
        <f>Table9[[#This Row],[Normal Length]]*Table9[[#This Row],[£Cost /m]]</f>
        <v>154.02011999999999</v>
      </c>
      <c r="W12" s="18">
        <f>Table9[[#This Row],[£/ Length]]*(1+W$2)</f>
        <v>200.226156</v>
      </c>
      <c r="X12" s="18">
        <f>Table9[[#This Row],[£/ Length]]*(1+X$2)</f>
        <v>207.92716200000001</v>
      </c>
      <c r="Y12" s="18">
        <f>Table9[[#This Row],[£/ Length]]*(1+Y$2)</f>
        <v>215.62816799999999</v>
      </c>
      <c r="Z12" s="18">
        <f>Table9[[#This Row],[£/ Length]]*(1+Z$2)</f>
        <v>231.03017999999997</v>
      </c>
    </row>
    <row r="13" spans="1:26" ht="25.35" customHeight="1">
      <c r="A13" s="7" t="s">
        <v>54</v>
      </c>
      <c r="B13" s="7" t="str">
        <f t="shared" si="0"/>
        <v>PFC_203x89</v>
      </c>
      <c r="C13" s="7" t="str">
        <f t="shared" si="1"/>
        <v>PFC_203x89 @ 29.78Kg/m</v>
      </c>
      <c r="D13" s="9" t="s">
        <v>434</v>
      </c>
      <c r="E13" s="7" t="s">
        <v>435</v>
      </c>
      <c r="F13" s="9">
        <v>29.78</v>
      </c>
      <c r="G13" s="139">
        <v>3.1</v>
      </c>
      <c r="H13" s="9">
        <v>2</v>
      </c>
      <c r="I13" s="140" t="s">
        <v>246</v>
      </c>
      <c r="J13" s="139">
        <v>7.7</v>
      </c>
      <c r="K13" s="9">
        <v>1</v>
      </c>
      <c r="L13" s="140" t="s">
        <v>246</v>
      </c>
      <c r="M13" s="139">
        <v>3.75</v>
      </c>
      <c r="N13" s="9">
        <v>1</v>
      </c>
      <c r="O13" s="140" t="s">
        <v>246</v>
      </c>
      <c r="P13" s="37">
        <f t="shared" si="2"/>
        <v>17.649999999999999</v>
      </c>
      <c r="Q13" s="272">
        <f>Table9[[#This Row],[£Cost /m]]*Table9[[#This Row],[Total Metres]]</f>
        <v>462.54295999999999</v>
      </c>
      <c r="R13" s="10">
        <v>880</v>
      </c>
      <c r="S13" s="39">
        <f>(Table9[[#This Row],[£/Tonne]]/1000)*Table9[[#This Row],[Kg/M]]</f>
        <v>26.206400000000002</v>
      </c>
      <c r="T13" s="7">
        <v>12.2</v>
      </c>
      <c r="U13" s="18">
        <f>Table9[[#This Row],[Normal Length]]*Table9[[#This Row],[£Cost /m]]</f>
        <v>319.71807999999999</v>
      </c>
      <c r="W13" s="18">
        <f>Table9[[#This Row],[£/ Length]]*(1+W$2)</f>
        <v>415.63350400000002</v>
      </c>
      <c r="X13" s="18">
        <f>Table9[[#This Row],[£/ Length]]*(1+X$2)</f>
        <v>431.61940800000002</v>
      </c>
      <c r="Y13" s="18">
        <f>Table9[[#This Row],[£/ Length]]*(1+Y$2)</f>
        <v>447.60531199999997</v>
      </c>
      <c r="Z13" s="18">
        <f>Table9[[#This Row],[£/ Length]]*(1+Z$2)</f>
        <v>479.57711999999998</v>
      </c>
    </row>
    <row r="14" spans="1:26" ht="25.35" customHeight="1">
      <c r="A14" s="7" t="s">
        <v>54</v>
      </c>
      <c r="B14" s="7" t="str">
        <f t="shared" si="0"/>
        <v>PFC_230x75</v>
      </c>
      <c r="C14" s="7" t="str">
        <f t="shared" si="1"/>
        <v>PFC_230x75 @ 26Kg/m</v>
      </c>
      <c r="D14" s="9" t="s">
        <v>436</v>
      </c>
      <c r="E14" s="7" t="s">
        <v>437</v>
      </c>
      <c r="F14" s="9">
        <v>26</v>
      </c>
      <c r="G14" s="139">
        <v>3.7</v>
      </c>
      <c r="H14" s="9">
        <v>1</v>
      </c>
      <c r="I14" s="140" t="s">
        <v>246</v>
      </c>
      <c r="J14" s="139"/>
      <c r="K14" s="9"/>
      <c r="L14" s="140"/>
      <c r="M14" s="139"/>
      <c r="N14" s="9"/>
      <c r="O14" s="140"/>
      <c r="P14" s="37">
        <f t="shared" si="2"/>
        <v>3.7</v>
      </c>
      <c r="Q14" s="272">
        <f>Table9[[#This Row],[£Cost /m]]*Table9[[#This Row],[Total Metres]]</f>
        <v>69.263999999999996</v>
      </c>
      <c r="R14" s="10">
        <v>720</v>
      </c>
      <c r="S14" s="39">
        <f>(Table9[[#This Row],[£/Tonne]]/1000)*Table9[[#This Row],[Kg/M]]</f>
        <v>18.72</v>
      </c>
      <c r="T14" s="7">
        <v>12.2</v>
      </c>
      <c r="U14" s="18">
        <f>Table9[[#This Row],[Normal Length]]*Table9[[#This Row],[£Cost /m]]</f>
        <v>228.38399999999999</v>
      </c>
      <c r="W14" s="18">
        <f>Table9[[#This Row],[£/ Length]]*(1+W$2)</f>
        <v>296.89920000000001</v>
      </c>
      <c r="X14" s="18">
        <f>Table9[[#This Row],[£/ Length]]*(1+X$2)</f>
        <v>308.3184</v>
      </c>
      <c r="Y14" s="18">
        <f>Table9[[#This Row],[£/ Length]]*(1+Y$2)</f>
        <v>319.73759999999999</v>
      </c>
      <c r="Z14" s="18">
        <f>Table9[[#This Row],[£/ Length]]*(1+Z$2)</f>
        <v>342.57599999999996</v>
      </c>
    </row>
    <row r="15" spans="1:26" ht="25.35" customHeight="1">
      <c r="A15" s="7" t="s">
        <v>54</v>
      </c>
      <c r="B15" s="7" t="str">
        <f t="shared" si="0"/>
        <v>PFC_254x76</v>
      </c>
      <c r="C15" s="7" t="str">
        <f t="shared" si="1"/>
        <v>PFC_254x76 @ 28.29Kg/m</v>
      </c>
      <c r="D15" s="9" t="s">
        <v>438</v>
      </c>
      <c r="E15" s="7" t="s">
        <v>439</v>
      </c>
      <c r="F15" s="9">
        <v>28.29</v>
      </c>
      <c r="G15" s="139"/>
      <c r="H15" s="9"/>
      <c r="I15" s="140"/>
      <c r="J15" s="139"/>
      <c r="K15" s="9"/>
      <c r="L15" s="140"/>
      <c r="M15" s="139"/>
      <c r="N15" s="9"/>
      <c r="O15" s="140"/>
      <c r="P15" s="37">
        <f t="shared" si="2"/>
        <v>0</v>
      </c>
      <c r="Q15" s="272">
        <f>Table9[[#This Row],[£Cost /m]]*Table9[[#This Row],[Total Metres]]</f>
        <v>0</v>
      </c>
      <c r="R15" s="10"/>
      <c r="S15" s="39">
        <f>(Table9[[#This Row],[£/Tonne]]/1000)*Table9[[#This Row],[Kg/M]]</f>
        <v>0</v>
      </c>
      <c r="T15" s="7">
        <v>12.2</v>
      </c>
      <c r="U15" s="18">
        <f>Table9[[#This Row],[Normal Length]]*Table9[[#This Row],[£Cost /m]]</f>
        <v>0</v>
      </c>
      <c r="W15" s="18">
        <f>Table9[[#This Row],[£/ Length]]*(1+W$2)</f>
        <v>0</v>
      </c>
      <c r="X15" s="18">
        <f>Table9[[#This Row],[£/ Length]]*(1+X$2)</f>
        <v>0</v>
      </c>
      <c r="Y15" s="18">
        <f>Table9[[#This Row],[£/ Length]]*(1+Y$2)</f>
        <v>0</v>
      </c>
      <c r="Z15" s="18">
        <f>Table9[[#This Row],[£/ Length]]*(1+Z$2)</f>
        <v>0</v>
      </c>
    </row>
    <row r="16" spans="1:26" ht="25.35" customHeight="1">
      <c r="A16" s="7" t="s">
        <v>54</v>
      </c>
      <c r="B16" s="7" t="str">
        <f t="shared" si="0"/>
        <v>PFC_260x90</v>
      </c>
      <c r="C16" s="7" t="str">
        <f t="shared" si="1"/>
        <v>PFC_260x90 @ 35.74Kg/m</v>
      </c>
      <c r="D16" s="9" t="s">
        <v>440</v>
      </c>
      <c r="E16" s="7" t="s">
        <v>441</v>
      </c>
      <c r="F16" s="9">
        <v>35.74</v>
      </c>
      <c r="G16" s="139"/>
      <c r="H16" s="9"/>
      <c r="I16" s="140"/>
      <c r="J16" s="139">
        <v>4.7</v>
      </c>
      <c r="K16" s="9">
        <v>2</v>
      </c>
      <c r="L16" s="140" t="s">
        <v>246</v>
      </c>
      <c r="M16" s="139"/>
      <c r="N16" s="9"/>
      <c r="O16" s="140"/>
      <c r="P16" s="37">
        <f t="shared" si="2"/>
        <v>9.4</v>
      </c>
      <c r="Q16" s="272">
        <f>Table9[[#This Row],[£Cost /m]]*Table9[[#This Row],[Total Metres]]</f>
        <v>352.75380000000001</v>
      </c>
      <c r="R16" s="10">
        <v>1050</v>
      </c>
      <c r="S16" s="39">
        <f>(Table9[[#This Row],[£/Tonne]]/1000)*Table9[[#This Row],[Kg/M]]</f>
        <v>37.527000000000001</v>
      </c>
      <c r="T16" s="7">
        <v>12.2</v>
      </c>
      <c r="U16" s="18">
        <f>Table9[[#This Row],[Normal Length]]*Table9[[#This Row],[£Cost /m]]</f>
        <v>457.82939999999996</v>
      </c>
      <c r="W16" s="18">
        <f>Table9[[#This Row],[£/ Length]]*(1+W$2)</f>
        <v>595.17822000000001</v>
      </c>
      <c r="X16" s="18">
        <f>Table9[[#This Row],[£/ Length]]*(1+X$2)</f>
        <v>618.06969000000004</v>
      </c>
      <c r="Y16" s="18">
        <f>Table9[[#This Row],[£/ Length]]*(1+Y$2)</f>
        <v>640.96115999999995</v>
      </c>
      <c r="Z16" s="18">
        <f>Table9[[#This Row],[£/ Length]]*(1+Z$2)</f>
        <v>686.74409999999989</v>
      </c>
    </row>
    <row r="17" spans="1:26" ht="25.35" customHeight="1">
      <c r="A17" s="7" t="s">
        <v>54</v>
      </c>
      <c r="B17" s="7" t="str">
        <f t="shared" si="0"/>
        <v>PFC_305x102</v>
      </c>
      <c r="C17" s="7" t="str">
        <f t="shared" si="1"/>
        <v>PFC_305x102 @ 46.183Kg/m</v>
      </c>
      <c r="D17" s="9" t="s">
        <v>442</v>
      </c>
      <c r="E17" s="7" t="s">
        <v>443</v>
      </c>
      <c r="F17" s="9">
        <v>46.183</v>
      </c>
      <c r="G17" s="139">
        <v>2.2000000000000002</v>
      </c>
      <c r="H17" s="9">
        <v>1</v>
      </c>
      <c r="I17" s="140" t="s">
        <v>422</v>
      </c>
      <c r="J17" s="139">
        <v>3.6</v>
      </c>
      <c r="K17" s="9">
        <v>1</v>
      </c>
      <c r="L17" s="140" t="s">
        <v>246</v>
      </c>
      <c r="M17" s="139"/>
      <c r="N17" s="9"/>
      <c r="O17" s="140"/>
      <c r="P17" s="37">
        <f t="shared" si="2"/>
        <v>5.8000000000000007</v>
      </c>
      <c r="Q17" s="272">
        <f>Table9[[#This Row],[£Cost /m]]*Table9[[#This Row],[Total Metres]]</f>
        <v>171.43129600000003</v>
      </c>
      <c r="R17" s="10">
        <v>640</v>
      </c>
      <c r="S17" s="39">
        <f>(Table9[[#This Row],[£/Tonne]]/1000)*Table9[[#This Row],[Kg/M]]</f>
        <v>29.557120000000001</v>
      </c>
      <c r="T17" s="7">
        <v>12.2</v>
      </c>
      <c r="U17" s="18">
        <f>Table9[[#This Row],[Normal Length]]*Table9[[#This Row],[£Cost /m]]</f>
        <v>360.59686399999998</v>
      </c>
      <c r="W17" s="18">
        <f>Table9[[#This Row],[£/ Length]]*(1+W$2)</f>
        <v>468.77592319999997</v>
      </c>
      <c r="X17" s="18">
        <f>Table9[[#This Row],[£/ Length]]*(1+X$2)</f>
        <v>486.80576639999998</v>
      </c>
      <c r="Y17" s="18">
        <f>Table9[[#This Row],[£/ Length]]*(1+Y$2)</f>
        <v>504.83560959999994</v>
      </c>
      <c r="Z17" s="18">
        <f>Table9[[#This Row],[£/ Length]]*(1+Z$2)</f>
        <v>540.89529599999992</v>
      </c>
    </row>
    <row r="18" spans="1:26" ht="25.35" customHeight="1">
      <c r="C18" s="7" t="str">
        <f t="shared" si="1"/>
        <v xml:space="preserve"> @ Kg/m</v>
      </c>
      <c r="D18" s="40"/>
      <c r="G18" s="139"/>
      <c r="H18" s="9"/>
      <c r="I18" s="140"/>
      <c r="J18" s="139"/>
      <c r="K18" s="9"/>
      <c r="L18" s="140"/>
      <c r="M18" s="139"/>
      <c r="N18" s="9"/>
      <c r="O18" s="140"/>
      <c r="P18" s="37">
        <f t="shared" si="2"/>
        <v>0</v>
      </c>
      <c r="Q18" s="272">
        <f>Table9[[#This Row],[£Cost /m]]*Table9[[#This Row],[Total Metres]]</f>
        <v>0</v>
      </c>
      <c r="R18" s="10"/>
      <c r="S18" s="39">
        <f>(Table9[[#This Row],[£/Tonne]]/1000)*Table9[[#This Row],[Kg/M]]</f>
        <v>0</v>
      </c>
      <c r="T18" s="7">
        <v>12.2</v>
      </c>
      <c r="U18" s="18">
        <f>Table9[[#This Row],[Normal Length]]*Table9[[#This Row],[£Cost /m]]</f>
        <v>0</v>
      </c>
      <c r="W18" s="18">
        <f>Table9[[#This Row],[£/ Length]]*(1+W$2)</f>
        <v>0</v>
      </c>
      <c r="X18" s="18">
        <f>Table9[[#This Row],[£/ Length]]*(1+X$2)</f>
        <v>0</v>
      </c>
      <c r="Y18" s="18">
        <f>Table9[[#This Row],[£/ Length]]*(1+Y$2)</f>
        <v>0</v>
      </c>
      <c r="Z18" s="18">
        <f>Table9[[#This Row],[£/ Length]]*(1+Z$2)</f>
        <v>0</v>
      </c>
    </row>
    <row r="19" spans="1:26" ht="25.35" customHeight="1">
      <c r="A19" s="7" t="s">
        <v>57</v>
      </c>
      <c r="B19" s="7" t="str">
        <f>_xlfn.CONCAT(A19,"_",E19,)</f>
        <v>UB_127x76_UB13</v>
      </c>
      <c r="C19" s="7" t="str">
        <f t="shared" si="1"/>
        <v>UB_127x76_UB13 @ 13Kg/m</v>
      </c>
      <c r="D19" s="7" t="s">
        <v>444</v>
      </c>
      <c r="E19" s="7" t="s">
        <v>445</v>
      </c>
      <c r="F19" s="9">
        <v>13</v>
      </c>
      <c r="G19" s="139">
        <v>6</v>
      </c>
      <c r="H19" s="9">
        <v>1</v>
      </c>
      <c r="I19" s="140" t="s">
        <v>246</v>
      </c>
      <c r="J19" s="139"/>
      <c r="K19" s="9"/>
      <c r="L19" s="140"/>
      <c r="M19" s="139"/>
      <c r="N19" s="9"/>
      <c r="O19" s="140"/>
      <c r="P19" s="37">
        <f t="shared" si="2"/>
        <v>6</v>
      </c>
      <c r="Q19" s="272">
        <f>Table9[[#This Row],[£Cost /m]]*Table9[[#This Row],[Total Metres]]</f>
        <v>42.900000000000006</v>
      </c>
      <c r="R19" s="10">
        <v>550</v>
      </c>
      <c r="S19" s="39">
        <f>(Table9[[#This Row],[£/Tonne]]/1000)*Table9[[#This Row],[Kg/M]]</f>
        <v>7.15</v>
      </c>
      <c r="T19" s="7">
        <v>12.2</v>
      </c>
      <c r="U19" s="18">
        <f>Table9[[#This Row],[Normal Length]]*Table9[[#This Row],[£Cost /m]]</f>
        <v>87.23</v>
      </c>
      <c r="W19" s="18">
        <f>Table9[[#This Row],[£/ Length]]*(1+W$2)</f>
        <v>113.39900000000002</v>
      </c>
      <c r="X19" s="18">
        <f>Table9[[#This Row],[£/ Length]]*(1+X$2)</f>
        <v>117.76050000000001</v>
      </c>
      <c r="Y19" s="18">
        <f>Table9[[#This Row],[£/ Length]]*(1+Y$2)</f>
        <v>122.122</v>
      </c>
      <c r="Z19" s="18">
        <f>Table9[[#This Row],[£/ Length]]*(1+Z$2)</f>
        <v>130.845</v>
      </c>
    </row>
    <row r="20" spans="1:26" ht="25.35" customHeight="1">
      <c r="A20" s="7" t="s">
        <v>57</v>
      </c>
      <c r="B20" s="7" t="str">
        <f t="shared" ref="B20:B43" si="5">_xlfn.CONCAT(A20,"_",E20,)</f>
        <v>UB_127x76_UB13</v>
      </c>
      <c r="C20" s="7" t="str">
        <f t="shared" si="1"/>
        <v>UB_127x76_UB13 @ 13Kg/m</v>
      </c>
      <c r="D20" s="7" t="s">
        <v>444</v>
      </c>
      <c r="E20" s="7" t="s">
        <v>445</v>
      </c>
      <c r="F20" s="9">
        <v>13</v>
      </c>
      <c r="G20" s="139">
        <v>2.2000000000000002</v>
      </c>
      <c r="H20" s="9">
        <v>1</v>
      </c>
      <c r="I20" s="140" t="s">
        <v>422</v>
      </c>
      <c r="J20" s="139"/>
      <c r="K20" s="9"/>
      <c r="L20" s="140"/>
      <c r="M20" s="139"/>
      <c r="N20" s="9"/>
      <c r="O20" s="140"/>
      <c r="P20" s="37">
        <f t="shared" si="2"/>
        <v>2.2000000000000002</v>
      </c>
      <c r="Q20" s="272">
        <f>Table9[[#This Row],[£Cost /m]]*Table9[[#This Row],[Total Metres]]</f>
        <v>15.730000000000002</v>
      </c>
      <c r="R20" s="10">
        <v>550</v>
      </c>
      <c r="S20" s="39">
        <f>(Table9[[#This Row],[£/Tonne]]/1000)*Table9[[#This Row],[Kg/M]]</f>
        <v>7.15</v>
      </c>
      <c r="T20" s="7">
        <v>12.2</v>
      </c>
      <c r="U20" s="18">
        <f>Table9[[#This Row],[Normal Length]]*Table9[[#This Row],[£Cost /m]]</f>
        <v>87.23</v>
      </c>
      <c r="W20" s="18">
        <f>Table9[[#This Row],[£/ Length]]*(1+W$2)</f>
        <v>113.39900000000002</v>
      </c>
      <c r="X20" s="18">
        <f>Table9[[#This Row],[£/ Length]]*(1+X$2)</f>
        <v>117.76050000000001</v>
      </c>
      <c r="Y20" s="18">
        <f>Table9[[#This Row],[£/ Length]]*(1+Y$2)</f>
        <v>122.122</v>
      </c>
      <c r="Z20" s="18">
        <f>Table9[[#This Row],[£/ Length]]*(1+Z$2)</f>
        <v>130.845</v>
      </c>
    </row>
    <row r="21" spans="1:26" ht="25.35" customHeight="1">
      <c r="A21" s="7" t="s">
        <v>57</v>
      </c>
      <c r="B21" s="7" t="str">
        <f t="shared" si="5"/>
        <v>UB_178x102_UB19</v>
      </c>
      <c r="C21" s="7" t="str">
        <f t="shared" si="1"/>
        <v>UB_178x102_UB19 @ 19Kg/m</v>
      </c>
      <c r="D21" s="7" t="s">
        <v>446</v>
      </c>
      <c r="E21" s="7" t="s">
        <v>447</v>
      </c>
      <c r="F21" s="9">
        <v>19</v>
      </c>
      <c r="G21" s="139"/>
      <c r="H21" s="9"/>
      <c r="I21" s="140"/>
      <c r="J21" s="139">
        <v>7</v>
      </c>
      <c r="K21" s="9">
        <v>1</v>
      </c>
      <c r="L21" s="140" t="s">
        <v>246</v>
      </c>
      <c r="M21" s="139">
        <v>5.5</v>
      </c>
      <c r="N21" s="9">
        <v>1</v>
      </c>
      <c r="O21" s="140" t="s">
        <v>246</v>
      </c>
      <c r="P21" s="37">
        <f t="shared" si="2"/>
        <v>12.5</v>
      </c>
      <c r="Q21" s="272">
        <f>Table9[[#This Row],[£Cost /m]]*Table9[[#This Row],[Total Metres]]</f>
        <v>219.6875</v>
      </c>
      <c r="R21" s="10">
        <v>925</v>
      </c>
      <c r="S21" s="39">
        <f>(Table9[[#This Row],[£/Tonne]]/1000)*Table9[[#This Row],[Kg/M]]</f>
        <v>17.574999999999999</v>
      </c>
      <c r="T21" s="7">
        <v>12.2</v>
      </c>
      <c r="U21" s="18">
        <f>Table9[[#This Row],[Normal Length]]*Table9[[#This Row],[£Cost /m]]</f>
        <v>214.41499999999999</v>
      </c>
      <c r="W21" s="18">
        <f>Table9[[#This Row],[£/ Length]]*(1+W$2)</f>
        <v>278.73950000000002</v>
      </c>
      <c r="X21" s="18">
        <f>Table9[[#This Row],[£/ Length]]*(1+X$2)</f>
        <v>289.46025000000003</v>
      </c>
      <c r="Y21" s="18">
        <f>Table9[[#This Row],[£/ Length]]*(1+Y$2)</f>
        <v>300.18099999999998</v>
      </c>
      <c r="Z21" s="18">
        <f>Table9[[#This Row],[£/ Length]]*(1+Z$2)</f>
        <v>321.6225</v>
      </c>
    </row>
    <row r="22" spans="1:26" ht="25.35" customHeight="1">
      <c r="A22" s="7" t="s">
        <v>57</v>
      </c>
      <c r="B22" s="7" t="str">
        <f t="shared" si="5"/>
        <v>UB_178x102_UB19</v>
      </c>
      <c r="C22" s="7" t="str">
        <f t="shared" si="1"/>
        <v>UB_178x102_UB19 @ 19Kg/m</v>
      </c>
      <c r="D22" s="7" t="s">
        <v>446</v>
      </c>
      <c r="E22" s="7" t="s">
        <v>447</v>
      </c>
      <c r="F22" s="9">
        <v>19</v>
      </c>
      <c r="G22" s="139">
        <v>3</v>
      </c>
      <c r="H22" s="9">
        <v>1</v>
      </c>
      <c r="I22" s="140" t="s">
        <v>246</v>
      </c>
      <c r="J22" s="139"/>
      <c r="K22" s="9"/>
      <c r="L22" s="140"/>
      <c r="M22" s="139"/>
      <c r="N22" s="9"/>
      <c r="O22" s="140"/>
      <c r="P22" s="37">
        <f t="shared" si="2"/>
        <v>3</v>
      </c>
      <c r="Q22" s="272">
        <f>Table9[[#This Row],[£Cost /m]]*Table9[[#This Row],[Total Metres]]</f>
        <v>52.724999999999994</v>
      </c>
      <c r="R22" s="10">
        <f>R21</f>
        <v>925</v>
      </c>
      <c r="S22" s="39">
        <f>(Table9[[#This Row],[£/Tonne]]/1000)*Table9[[#This Row],[Kg/M]]</f>
        <v>17.574999999999999</v>
      </c>
      <c r="T22" s="7">
        <v>12.2</v>
      </c>
      <c r="U22" s="18">
        <f>Table9[[#This Row],[Normal Length]]*Table9[[#This Row],[£Cost /m]]</f>
        <v>214.41499999999999</v>
      </c>
      <c r="W22" s="18">
        <f>Table9[[#This Row],[£/ Length]]*(1+W$2)</f>
        <v>278.73950000000002</v>
      </c>
      <c r="X22" s="18">
        <f>Table9[[#This Row],[£/ Length]]*(1+X$2)</f>
        <v>289.46025000000003</v>
      </c>
      <c r="Y22" s="18">
        <f>Table9[[#This Row],[£/ Length]]*(1+Y$2)</f>
        <v>300.18099999999998</v>
      </c>
      <c r="Z22" s="18">
        <f>Table9[[#This Row],[£/ Length]]*(1+Z$2)</f>
        <v>321.6225</v>
      </c>
    </row>
    <row r="23" spans="1:26" ht="25.35" customHeight="1">
      <c r="A23" s="7" t="s">
        <v>57</v>
      </c>
      <c r="B23" s="7" t="str">
        <f t="shared" si="5"/>
        <v>UB_203x102_UB23</v>
      </c>
      <c r="C23" s="7" t="str">
        <f t="shared" si="1"/>
        <v>UB_203x102_UB23 @ 23Kg/m</v>
      </c>
      <c r="D23" s="7" t="s">
        <v>448</v>
      </c>
      <c r="E23" s="7" t="s">
        <v>449</v>
      </c>
      <c r="F23" s="9">
        <v>23</v>
      </c>
      <c r="G23" s="139">
        <v>10</v>
      </c>
      <c r="H23" s="9">
        <v>1</v>
      </c>
      <c r="I23" s="140" t="s">
        <v>246</v>
      </c>
      <c r="J23" s="139">
        <v>10</v>
      </c>
      <c r="K23" s="9">
        <v>1</v>
      </c>
      <c r="L23" s="140"/>
      <c r="M23" s="139"/>
      <c r="N23" s="9"/>
      <c r="O23" s="140"/>
      <c r="P23" s="37">
        <f t="shared" si="2"/>
        <v>20</v>
      </c>
      <c r="Q23" s="272">
        <f>Table9[[#This Row],[£Cost /m]]*Table9[[#This Row],[Total Metres]]</f>
        <v>239.20000000000002</v>
      </c>
      <c r="R23" s="10">
        <v>520</v>
      </c>
      <c r="S23" s="39">
        <f>(Table9[[#This Row],[£/Tonne]]/1000)*Table9[[#This Row],[Kg/M]]</f>
        <v>11.96</v>
      </c>
      <c r="T23" s="7">
        <v>12.2</v>
      </c>
      <c r="U23" s="18">
        <f>Table9[[#This Row],[Normal Length]]*Table9[[#This Row],[£Cost /m]]</f>
        <v>145.91200000000001</v>
      </c>
      <c r="W23" s="18">
        <f>Table9[[#This Row],[£/ Length]]*(1+W$2)</f>
        <v>189.68560000000002</v>
      </c>
      <c r="X23" s="18">
        <f>Table9[[#This Row],[£/ Length]]*(1+X$2)</f>
        <v>196.98120000000003</v>
      </c>
      <c r="Y23" s="18">
        <f>Table9[[#This Row],[£/ Length]]*(1+Y$2)</f>
        <v>204.27680000000001</v>
      </c>
      <c r="Z23" s="18">
        <f>Table9[[#This Row],[£/ Length]]*(1+Z$2)</f>
        <v>218.86799999999999</v>
      </c>
    </row>
    <row r="24" spans="1:26" ht="25.35" customHeight="1">
      <c r="A24" s="7" t="s">
        <v>57</v>
      </c>
      <c r="B24" s="7" t="str">
        <f t="shared" si="5"/>
        <v>UB_203x102_UB23</v>
      </c>
      <c r="C24" s="7" t="str">
        <f t="shared" si="1"/>
        <v>UB_203x102_UB23 @ 23Kg/m</v>
      </c>
      <c r="D24" s="7" t="s">
        <v>448</v>
      </c>
      <c r="E24" s="7" t="s">
        <v>449</v>
      </c>
      <c r="F24" s="9">
        <v>23</v>
      </c>
      <c r="G24" s="139">
        <v>11</v>
      </c>
      <c r="H24" s="9">
        <v>1</v>
      </c>
      <c r="I24" s="140" t="s">
        <v>246</v>
      </c>
      <c r="J24" s="139"/>
      <c r="K24" s="9"/>
      <c r="L24" s="140"/>
      <c r="M24" s="139"/>
      <c r="N24" s="9"/>
      <c r="O24" s="140"/>
      <c r="P24" s="37">
        <f t="shared" si="2"/>
        <v>11</v>
      </c>
      <c r="Q24" s="272">
        <f>Table9[[#This Row],[£Cost /m]]*Table9[[#This Row],[Total Metres]]</f>
        <v>131.56</v>
      </c>
      <c r="R24" s="10">
        <v>520</v>
      </c>
      <c r="S24" s="39">
        <f>(Table9[[#This Row],[£/Tonne]]/1000)*Table9[[#This Row],[Kg/M]]</f>
        <v>11.96</v>
      </c>
      <c r="T24" s="7">
        <v>12.2</v>
      </c>
      <c r="U24" s="18">
        <f>Table9[[#This Row],[Normal Length]]*Table9[[#This Row],[£Cost /m]]</f>
        <v>145.91200000000001</v>
      </c>
      <c r="W24" s="18">
        <f>Table9[[#This Row],[£/ Length]]*(1+W$2)</f>
        <v>189.68560000000002</v>
      </c>
      <c r="X24" s="18">
        <f>Table9[[#This Row],[£/ Length]]*(1+X$2)</f>
        <v>196.98120000000003</v>
      </c>
      <c r="Y24" s="18">
        <f>Table9[[#This Row],[£/ Length]]*(1+Y$2)</f>
        <v>204.27680000000001</v>
      </c>
      <c r="Z24" s="18">
        <f>Table9[[#This Row],[£/ Length]]*(1+Z$2)</f>
        <v>218.86799999999999</v>
      </c>
    </row>
    <row r="25" spans="1:26" ht="25.35" customHeight="1">
      <c r="A25" s="7" t="s">
        <v>57</v>
      </c>
      <c r="B25" s="7" t="str">
        <f t="shared" si="5"/>
        <v>UB_203x133_UB25</v>
      </c>
      <c r="C25" s="7" t="str">
        <f t="shared" si="1"/>
        <v>UB_203x133_UB25 @ 25Kg/m</v>
      </c>
      <c r="D25" s="7" t="s">
        <v>450</v>
      </c>
      <c r="E25" s="7" t="s">
        <v>451</v>
      </c>
      <c r="F25" s="9">
        <v>25</v>
      </c>
      <c r="G25" s="139">
        <v>3</v>
      </c>
      <c r="H25" s="9">
        <v>1</v>
      </c>
      <c r="I25" s="140" t="s">
        <v>422</v>
      </c>
      <c r="J25" s="139">
        <v>10.9</v>
      </c>
      <c r="K25" s="9">
        <v>1</v>
      </c>
      <c r="L25" s="140" t="s">
        <v>422</v>
      </c>
      <c r="M25" s="139">
        <v>3.9</v>
      </c>
      <c r="N25" s="9">
        <v>1</v>
      </c>
      <c r="O25" s="140" t="s">
        <v>422</v>
      </c>
      <c r="P25" s="37">
        <f t="shared" si="2"/>
        <v>17.8</v>
      </c>
      <c r="Q25" s="272">
        <f>Table9[[#This Row],[£Cost /m]]*Table9[[#This Row],[Total Metres]]</f>
        <v>411.625</v>
      </c>
      <c r="R25" s="10">
        <v>925</v>
      </c>
      <c r="S25" s="39">
        <f>(Table9[[#This Row],[£/Tonne]]/1000)*Table9[[#This Row],[Kg/M]]</f>
        <v>23.125</v>
      </c>
      <c r="T25" s="7">
        <v>12.2</v>
      </c>
      <c r="U25" s="18">
        <f>Table9[[#This Row],[Normal Length]]*Table9[[#This Row],[£Cost /m]]</f>
        <v>282.125</v>
      </c>
      <c r="W25" s="18">
        <f>Table9[[#This Row],[£/ Length]]*(1+W$2)</f>
        <v>366.76249999999999</v>
      </c>
      <c r="X25" s="18">
        <f>Table9[[#This Row],[£/ Length]]*(1+X$2)</f>
        <v>380.86875000000003</v>
      </c>
      <c r="Y25" s="18">
        <f>Table9[[#This Row],[£/ Length]]*(1+Y$2)</f>
        <v>394.97499999999997</v>
      </c>
      <c r="Z25" s="18">
        <f>Table9[[#This Row],[£/ Length]]*(1+Z$2)</f>
        <v>423.1875</v>
      </c>
    </row>
    <row r="26" spans="1:26" ht="25.35" customHeight="1">
      <c r="A26" s="7" t="s">
        <v>57</v>
      </c>
      <c r="B26" s="7" t="str">
        <f t="shared" si="5"/>
        <v>UB_203x133_UB25</v>
      </c>
      <c r="C26" s="7" t="str">
        <f t="shared" si="1"/>
        <v>UB_203x133_UB25 @ 25Kg/m</v>
      </c>
      <c r="D26" s="7" t="s">
        <v>450</v>
      </c>
      <c r="E26" s="7" t="s">
        <v>451</v>
      </c>
      <c r="F26" s="9">
        <v>25</v>
      </c>
      <c r="G26" s="139">
        <v>5</v>
      </c>
      <c r="H26" s="9">
        <v>1</v>
      </c>
      <c r="I26" s="140" t="s">
        <v>246</v>
      </c>
      <c r="J26" s="139">
        <v>6</v>
      </c>
      <c r="K26" s="9">
        <v>1</v>
      </c>
      <c r="L26" s="140" t="s">
        <v>246</v>
      </c>
      <c r="M26" s="139">
        <v>10.199999999999999</v>
      </c>
      <c r="N26" s="9">
        <v>1</v>
      </c>
      <c r="O26" s="140" t="s">
        <v>246</v>
      </c>
      <c r="P26" s="37">
        <f t="shared" si="2"/>
        <v>21.2</v>
      </c>
      <c r="Q26" s="272">
        <f>Table9[[#This Row],[£Cost /m]]*Table9[[#This Row],[Total Metres]]</f>
        <v>490.25</v>
      </c>
      <c r="R26" s="10">
        <f>R25</f>
        <v>925</v>
      </c>
      <c r="S26" s="39">
        <f>(Table9[[#This Row],[£/Tonne]]/1000)*Table9[[#This Row],[Kg/M]]</f>
        <v>23.125</v>
      </c>
      <c r="T26" s="7">
        <v>12.2</v>
      </c>
      <c r="U26" s="18">
        <f>Table9[[#This Row],[Normal Length]]*Table9[[#This Row],[£Cost /m]]</f>
        <v>282.125</v>
      </c>
      <c r="W26" s="18">
        <f>Table9[[#This Row],[£/ Length]]*(1+W$2)</f>
        <v>366.76249999999999</v>
      </c>
      <c r="X26" s="18">
        <f>Table9[[#This Row],[£/ Length]]*(1+X$2)</f>
        <v>380.86875000000003</v>
      </c>
      <c r="Y26" s="18">
        <f>Table9[[#This Row],[£/ Length]]*(1+Y$2)</f>
        <v>394.97499999999997</v>
      </c>
      <c r="Z26" s="18">
        <f>Table9[[#This Row],[£/ Length]]*(1+Z$2)</f>
        <v>423.1875</v>
      </c>
    </row>
    <row r="27" spans="1:26" ht="25.35" customHeight="1">
      <c r="A27" s="7" t="s">
        <v>57</v>
      </c>
      <c r="B27" s="7" t="str">
        <f t="shared" si="5"/>
        <v>UB_203x133_UB30</v>
      </c>
      <c r="C27" s="7" t="str">
        <f t="shared" si="1"/>
        <v>UB_203x133_UB30 @ 30Kg/m</v>
      </c>
      <c r="D27" s="7" t="s">
        <v>450</v>
      </c>
      <c r="E27" s="7" t="s">
        <v>452</v>
      </c>
      <c r="F27" s="9">
        <v>30</v>
      </c>
      <c r="G27" s="139">
        <v>5</v>
      </c>
      <c r="H27" s="9">
        <v>1</v>
      </c>
      <c r="I27" s="140" t="s">
        <v>246</v>
      </c>
      <c r="J27" s="139"/>
      <c r="K27" s="9"/>
      <c r="L27" s="140"/>
      <c r="M27" s="139"/>
      <c r="N27" s="9"/>
      <c r="O27" s="140"/>
      <c r="P27" s="37">
        <f t="shared" si="2"/>
        <v>5</v>
      </c>
      <c r="Q27" s="272">
        <f>Table9[[#This Row],[£Cost /m]]*Table9[[#This Row],[Total Metres]]</f>
        <v>105.75</v>
      </c>
      <c r="R27" s="10">
        <v>705</v>
      </c>
      <c r="S27" s="39">
        <f>(Table9[[#This Row],[£/Tonne]]/1000)*Table9[[#This Row],[Kg/M]]</f>
        <v>21.15</v>
      </c>
      <c r="T27" s="7">
        <v>12.2</v>
      </c>
      <c r="U27" s="18">
        <f>Table9[[#This Row],[Normal Length]]*Table9[[#This Row],[£Cost /m]]</f>
        <v>258.02999999999997</v>
      </c>
      <c r="W27" s="18">
        <f>Table9[[#This Row],[£/ Length]]*(1+W$2)</f>
        <v>335.43899999999996</v>
      </c>
      <c r="X27" s="18">
        <f>Table9[[#This Row],[£/ Length]]*(1+X$2)</f>
        <v>348.34049999999996</v>
      </c>
      <c r="Y27" s="18">
        <f>Table9[[#This Row],[£/ Length]]*(1+Y$2)</f>
        <v>361.24199999999996</v>
      </c>
      <c r="Z27" s="18">
        <f>Table9[[#This Row],[£/ Length]]*(1+Z$2)</f>
        <v>387.04499999999996</v>
      </c>
    </row>
    <row r="28" spans="1:26" ht="25.35" customHeight="1">
      <c r="A28" s="7" t="s">
        <v>57</v>
      </c>
      <c r="B28" s="7" t="str">
        <f t="shared" si="5"/>
        <v>UB_254x102_UB25</v>
      </c>
      <c r="C28" s="7" t="str">
        <f t="shared" si="1"/>
        <v>UB_254x102_UB25 @ 25Kg/m</v>
      </c>
      <c r="D28" s="7" t="s">
        <v>453</v>
      </c>
      <c r="E28" s="7" t="s">
        <v>454</v>
      </c>
      <c r="F28" s="9">
        <v>25</v>
      </c>
      <c r="G28" s="139">
        <v>2.2999999999999998</v>
      </c>
      <c r="H28" s="9">
        <v>1</v>
      </c>
      <c r="I28" s="140" t="s">
        <v>246</v>
      </c>
      <c r="J28" s="139">
        <v>2.2999999999999998</v>
      </c>
      <c r="K28" s="9">
        <v>1</v>
      </c>
      <c r="L28" s="140" t="s">
        <v>246</v>
      </c>
      <c r="M28" s="139"/>
      <c r="N28" s="9"/>
      <c r="O28" s="140"/>
      <c r="P28" s="37">
        <f t="shared" si="2"/>
        <v>4.5999999999999996</v>
      </c>
      <c r="Q28" s="272">
        <f>Table9[[#This Row],[£Cost /m]]*Table9[[#This Row],[Total Metres]]</f>
        <v>65.549999999999983</v>
      </c>
      <c r="R28" s="10">
        <v>570</v>
      </c>
      <c r="S28" s="39">
        <f>(Table9[[#This Row],[£/Tonne]]/1000)*Table9[[#This Row],[Kg/M]]</f>
        <v>14.249999999999998</v>
      </c>
      <c r="T28" s="7">
        <v>12.2</v>
      </c>
      <c r="U28" s="18">
        <f>Table9[[#This Row],[Normal Length]]*Table9[[#This Row],[£Cost /m]]</f>
        <v>173.84999999999997</v>
      </c>
      <c r="W28" s="18">
        <f>Table9[[#This Row],[£/ Length]]*(1+W$2)</f>
        <v>226.00499999999997</v>
      </c>
      <c r="X28" s="18">
        <f>Table9[[#This Row],[£/ Length]]*(1+X$2)</f>
        <v>234.69749999999996</v>
      </c>
      <c r="Y28" s="18">
        <f>Table9[[#This Row],[£/ Length]]*(1+Y$2)</f>
        <v>243.38999999999993</v>
      </c>
      <c r="Z28" s="18">
        <f>Table9[[#This Row],[£/ Length]]*(1+Z$2)</f>
        <v>260.77499999999998</v>
      </c>
    </row>
    <row r="29" spans="1:26" ht="25.35" customHeight="1">
      <c r="A29" s="7" t="s">
        <v>57</v>
      </c>
      <c r="B29" s="7" t="str">
        <f t="shared" ref="B29" si="6">_xlfn.CONCAT(A29,"_",E29,)</f>
        <v>UB_254x102_UB25</v>
      </c>
      <c r="C29" s="7" t="str">
        <f t="shared" ref="C29" si="7">_xlfn.CONCAT(B29, " @ ",F29,"Kg/m")</f>
        <v>UB_254x102_UB25 @ 25Kg/m</v>
      </c>
      <c r="D29" s="7" t="s">
        <v>453</v>
      </c>
      <c r="E29" s="7" t="s">
        <v>454</v>
      </c>
      <c r="F29" s="9">
        <v>25</v>
      </c>
      <c r="G29" s="139">
        <v>5.9</v>
      </c>
      <c r="H29" s="9">
        <v>1</v>
      </c>
      <c r="I29" s="140" t="s">
        <v>246</v>
      </c>
      <c r="J29" s="139">
        <v>3.9</v>
      </c>
      <c r="K29" s="9">
        <v>1</v>
      </c>
      <c r="L29" s="140"/>
      <c r="M29" s="139">
        <v>5</v>
      </c>
      <c r="N29" s="9">
        <v>1</v>
      </c>
      <c r="O29" s="140" t="s">
        <v>246</v>
      </c>
      <c r="P29" s="37">
        <f t="shared" si="2"/>
        <v>14.8</v>
      </c>
      <c r="Q29" s="272">
        <f>Table9[[#This Row],[£Cost /m]]*Table9[[#This Row],[Total Metres]]</f>
        <v>210.89999999999998</v>
      </c>
      <c r="R29" s="10">
        <f>R28</f>
        <v>570</v>
      </c>
      <c r="S29" s="39">
        <f>(Table9[[#This Row],[£/Tonne]]/1000)*Table9[[#This Row],[Kg/M]]</f>
        <v>14.249999999999998</v>
      </c>
      <c r="T29" s="7">
        <v>12.2</v>
      </c>
      <c r="U29" s="18">
        <f>Table9[[#This Row],[Normal Length]]*Table9[[#This Row],[£Cost /m]]</f>
        <v>173.84999999999997</v>
      </c>
      <c r="W29" s="18">
        <f>Table9[[#This Row],[£/ Length]]*(1+W$2)</f>
        <v>226.00499999999997</v>
      </c>
      <c r="X29" s="18">
        <f>Table9[[#This Row],[£/ Length]]*(1+X$2)</f>
        <v>234.69749999999996</v>
      </c>
      <c r="Y29" s="18">
        <f>Table9[[#This Row],[£/ Length]]*(1+Y$2)</f>
        <v>243.38999999999993</v>
      </c>
      <c r="Z29" s="18">
        <f>Table9[[#This Row],[£/ Length]]*(1+Z$2)</f>
        <v>260.77499999999998</v>
      </c>
    </row>
    <row r="30" spans="1:26" ht="25.35" customHeight="1">
      <c r="A30" s="7" t="s">
        <v>57</v>
      </c>
      <c r="B30" s="7" t="str">
        <f t="shared" si="5"/>
        <v>UB_254x146_UB31</v>
      </c>
      <c r="C30" s="7" t="str">
        <f t="shared" si="1"/>
        <v>UB_254x146_UB31 @ 31Kg/m</v>
      </c>
      <c r="D30" s="7" t="s">
        <v>455</v>
      </c>
      <c r="E30" s="7" t="s">
        <v>456</v>
      </c>
      <c r="F30" s="9">
        <v>31</v>
      </c>
      <c r="G30" s="139">
        <v>12.2</v>
      </c>
      <c r="H30" s="9">
        <v>2</v>
      </c>
      <c r="I30" s="140" t="s">
        <v>246</v>
      </c>
      <c r="J30" s="139"/>
      <c r="K30" s="9"/>
      <c r="L30" s="140"/>
      <c r="M30" s="139"/>
      <c r="N30" s="9"/>
      <c r="O30" s="140"/>
      <c r="P30" s="37">
        <f t="shared" si="2"/>
        <v>24.4</v>
      </c>
      <c r="Q30" s="272">
        <f>Table9[[#This Row],[£Cost /m]]*Table9[[#This Row],[Total Metres]]</f>
        <v>431.14799999999991</v>
      </c>
      <c r="R30" s="10">
        <v>570</v>
      </c>
      <c r="S30" s="39">
        <f>(Table9[[#This Row],[£/Tonne]]/1000)*Table9[[#This Row],[Kg/M]]</f>
        <v>17.669999999999998</v>
      </c>
      <c r="T30" s="7">
        <v>12.2</v>
      </c>
      <c r="U30" s="18">
        <f>Table9[[#This Row],[Normal Length]]*Table9[[#This Row],[£Cost /m]]</f>
        <v>215.57399999999996</v>
      </c>
      <c r="W30" s="18">
        <f>Table9[[#This Row],[£/ Length]]*(1+W$2)</f>
        <v>280.24619999999993</v>
      </c>
      <c r="X30" s="18">
        <f>Table9[[#This Row],[£/ Length]]*(1+X$2)</f>
        <v>291.02489999999995</v>
      </c>
      <c r="Y30" s="18">
        <f>Table9[[#This Row],[£/ Length]]*(1+Y$2)</f>
        <v>301.8035999999999</v>
      </c>
      <c r="Z30" s="18">
        <f>Table9[[#This Row],[£/ Length]]*(1+Z$2)</f>
        <v>323.36099999999993</v>
      </c>
    </row>
    <row r="31" spans="1:26" ht="25.35" customHeight="1">
      <c r="A31" s="7" t="s">
        <v>57</v>
      </c>
      <c r="B31" s="7" t="str">
        <f t="shared" si="5"/>
        <v>UB_305x165_UB40</v>
      </c>
      <c r="C31" s="7" t="str">
        <f t="shared" si="1"/>
        <v>UB_305x165_UB40 @ 40Kg/m</v>
      </c>
      <c r="D31" s="7" t="s">
        <v>57</v>
      </c>
      <c r="E31" s="7" t="s">
        <v>457</v>
      </c>
      <c r="F31" s="9">
        <v>40</v>
      </c>
      <c r="G31" s="139">
        <v>2.7</v>
      </c>
      <c r="H31" s="9">
        <v>1</v>
      </c>
      <c r="I31" s="140" t="s">
        <v>246</v>
      </c>
      <c r="J31" s="139">
        <v>6.3</v>
      </c>
      <c r="K31" s="9">
        <v>1</v>
      </c>
      <c r="L31" s="140" t="s">
        <v>246</v>
      </c>
      <c r="M31" s="139"/>
      <c r="N31" s="9"/>
      <c r="O31" s="140"/>
      <c r="P31" s="37">
        <f t="shared" si="2"/>
        <v>9</v>
      </c>
      <c r="Q31" s="272">
        <f>Table9[[#This Row],[£Cost /m]]*Table9[[#This Row],[Total Metres]]</f>
        <v>205.2</v>
      </c>
      <c r="R31" s="10">
        <v>570</v>
      </c>
      <c r="S31" s="39">
        <f>(Table9[[#This Row],[£/Tonne]]/1000)*Table9[[#This Row],[Kg/M]]</f>
        <v>22.799999999999997</v>
      </c>
      <c r="T31" s="7">
        <v>12.2</v>
      </c>
      <c r="U31" s="18">
        <f>Table9[[#This Row],[Normal Length]]*Table9[[#This Row],[£Cost /m]]</f>
        <v>278.15999999999997</v>
      </c>
      <c r="W31" s="18">
        <f>Table9[[#This Row],[£/ Length]]*(1+W$2)</f>
        <v>361.60799999999995</v>
      </c>
      <c r="X31" s="18">
        <f>Table9[[#This Row],[£/ Length]]*(1+X$2)</f>
        <v>375.51599999999996</v>
      </c>
      <c r="Y31" s="18">
        <f>Table9[[#This Row],[£/ Length]]*(1+Y$2)</f>
        <v>389.42399999999992</v>
      </c>
      <c r="Z31" s="18">
        <f>Table9[[#This Row],[£/ Length]]*(1+Z$2)</f>
        <v>417.23999999999995</v>
      </c>
    </row>
    <row r="32" spans="1:26" ht="25.35" customHeight="1">
      <c r="A32" s="7" t="s">
        <v>57</v>
      </c>
      <c r="B32" s="7" t="str">
        <f t="shared" ref="B32" si="8">_xlfn.CONCAT(A32,"_",E32,)</f>
        <v>UB_356x171_UB51</v>
      </c>
      <c r="C32" s="7" t="str">
        <f t="shared" ref="C32" si="9">_xlfn.CONCAT(B32, " @ ",F32,"Kg/m")</f>
        <v>UB_356x171_UB51 @ 51Kg/m</v>
      </c>
      <c r="D32" s="7" t="s">
        <v>57</v>
      </c>
      <c r="E32" s="7" t="s">
        <v>458</v>
      </c>
      <c r="F32" s="9">
        <v>51</v>
      </c>
      <c r="G32" s="139">
        <v>1.4</v>
      </c>
      <c r="H32" s="9">
        <v>1</v>
      </c>
      <c r="I32" s="140" t="s">
        <v>246</v>
      </c>
      <c r="J32" s="139">
        <v>8</v>
      </c>
      <c r="K32" s="9">
        <v>1</v>
      </c>
      <c r="L32" s="140" t="s">
        <v>246</v>
      </c>
      <c r="M32" s="139">
        <v>4.7</v>
      </c>
      <c r="N32" s="9">
        <v>1</v>
      </c>
      <c r="O32" s="140" t="s">
        <v>246</v>
      </c>
      <c r="P32" s="37">
        <f t="shared" si="2"/>
        <v>14.100000000000001</v>
      </c>
      <c r="Q32" s="272">
        <f>Table9[[#This Row],[£Cost /m]]*Table9[[#This Row],[Total Metres]]</f>
        <v>413.48250000000002</v>
      </c>
      <c r="R32" s="10">
        <v>575</v>
      </c>
      <c r="S32" s="39">
        <f>(Table9[[#This Row],[£/Tonne]]/1000)*Table9[[#This Row],[Kg/M]]</f>
        <v>29.324999999999999</v>
      </c>
      <c r="T32" s="7">
        <v>12.2</v>
      </c>
      <c r="U32" s="18">
        <f>Table9[[#This Row],[Normal Length]]*Table9[[#This Row],[£Cost /m]]</f>
        <v>357.76499999999999</v>
      </c>
      <c r="W32" s="18">
        <f>Table9[[#This Row],[£/ Length]]*(1+W$2)</f>
        <v>465.09449999999998</v>
      </c>
      <c r="X32" s="18">
        <f>Table9[[#This Row],[£/ Length]]*(1+X$2)</f>
        <v>482.98275000000001</v>
      </c>
      <c r="Y32" s="18">
        <f>Table9[[#This Row],[£/ Length]]*(1+Y$2)</f>
        <v>500.87099999999992</v>
      </c>
      <c r="Z32" s="18">
        <f>Table9[[#This Row],[£/ Length]]*(1+Z$2)</f>
        <v>536.64750000000004</v>
      </c>
    </row>
    <row r="33" spans="1:26" ht="25.35" customHeight="1">
      <c r="A33" s="7" t="s">
        <v>57</v>
      </c>
      <c r="B33" s="7" t="str">
        <f t="shared" ref="B33" si="10">_xlfn.CONCAT(A33,"_",E33,)</f>
        <v>UB_406x178_UB67</v>
      </c>
      <c r="C33" s="7" t="str">
        <f t="shared" ref="C33" si="11">_xlfn.CONCAT(B33, " @ ",F33,"Kg/m")</f>
        <v>UB_406x178_UB67 @ 67Kg/m</v>
      </c>
      <c r="D33" s="7" t="s">
        <v>57</v>
      </c>
      <c r="E33" s="7" t="s">
        <v>459</v>
      </c>
      <c r="F33" s="9">
        <v>67</v>
      </c>
      <c r="G33" s="139">
        <v>2.2000000000000002</v>
      </c>
      <c r="H33" s="9">
        <v>1</v>
      </c>
      <c r="I33" s="140" t="s">
        <v>246</v>
      </c>
      <c r="J33" s="139"/>
      <c r="K33" s="9"/>
      <c r="L33" s="140"/>
      <c r="M33" s="139"/>
      <c r="N33" s="9"/>
      <c r="O33" s="140"/>
      <c r="P33" s="37">
        <f t="shared" si="2"/>
        <v>2.2000000000000002</v>
      </c>
      <c r="Q33" s="272">
        <f>Table9[[#This Row],[£Cost /m]]*Table9[[#This Row],[Total Metres]]</f>
        <v>160.66600000000003</v>
      </c>
      <c r="R33" s="10">
        <v>1090</v>
      </c>
      <c r="S33" s="39">
        <f>(Table9[[#This Row],[£/Tonne]]/1000)*Table9[[#This Row],[Kg/M]]</f>
        <v>73.03</v>
      </c>
      <c r="T33" s="7">
        <v>12.2</v>
      </c>
      <c r="U33" s="18">
        <f>Table9[[#This Row],[Normal Length]]*Table9[[#This Row],[£Cost /m]]</f>
        <v>890.96600000000001</v>
      </c>
      <c r="W33" s="18">
        <f>Table9[[#This Row],[£/ Length]]*(1+W$2)</f>
        <v>1158.2558000000001</v>
      </c>
      <c r="X33" s="18">
        <f>Table9[[#This Row],[£/ Length]]*(1+X$2)</f>
        <v>1202.8041000000001</v>
      </c>
      <c r="Y33" s="18">
        <f>Table9[[#This Row],[£/ Length]]*(1+Y$2)</f>
        <v>1247.3524</v>
      </c>
      <c r="Z33" s="18">
        <f>Table9[[#This Row],[£/ Length]]*(1+Z$2)</f>
        <v>1336.4490000000001</v>
      </c>
    </row>
    <row r="34" spans="1:26" ht="25.35" customHeight="1">
      <c r="A34" s="7" t="s">
        <v>60</v>
      </c>
      <c r="B34" s="7" t="str">
        <f t="shared" si="5"/>
        <v>UC_152x152_UC23</v>
      </c>
      <c r="C34" s="7" t="str">
        <f t="shared" si="1"/>
        <v>UC_152x152_UC23 @ 23Kg/m</v>
      </c>
      <c r="D34" s="7" t="s">
        <v>60</v>
      </c>
      <c r="E34" s="7" t="s">
        <v>460</v>
      </c>
      <c r="F34" s="9">
        <v>23</v>
      </c>
      <c r="G34" s="139"/>
      <c r="H34" s="9"/>
      <c r="I34" s="140"/>
      <c r="J34" s="139"/>
      <c r="K34" s="9"/>
      <c r="L34" s="140"/>
      <c r="M34" s="139"/>
      <c r="N34" s="9"/>
      <c r="O34" s="140"/>
      <c r="P34" s="37">
        <f t="shared" si="2"/>
        <v>0</v>
      </c>
      <c r="Q34" s="272">
        <f>Table9[[#This Row],[£Cost /m]]*Table9[[#This Row],[Total Metres]]</f>
        <v>0</v>
      </c>
      <c r="R34" s="10">
        <v>587</v>
      </c>
      <c r="S34" s="39">
        <f>(Table9[[#This Row],[£/Tonne]]/1000)*Table9[[#This Row],[Kg/M]]</f>
        <v>13.500999999999999</v>
      </c>
      <c r="T34" s="7">
        <v>12.2</v>
      </c>
      <c r="U34" s="18">
        <f>Table9[[#This Row],[Normal Length]]*Table9[[#This Row],[£Cost /m]]</f>
        <v>164.7122</v>
      </c>
      <c r="W34" s="18">
        <f>Table9[[#This Row],[£/ Length]]*(1+W$2)</f>
        <v>214.12585999999999</v>
      </c>
      <c r="X34" s="18">
        <f>Table9[[#This Row],[£/ Length]]*(1+X$2)</f>
        <v>222.36147</v>
      </c>
      <c r="Y34" s="18">
        <f>Table9[[#This Row],[£/ Length]]*(1+Y$2)</f>
        <v>230.59707999999998</v>
      </c>
      <c r="Z34" s="18">
        <f>Table9[[#This Row],[£/ Length]]*(1+Z$2)</f>
        <v>247.06829999999999</v>
      </c>
    </row>
    <row r="35" spans="1:26" ht="25.35" customHeight="1">
      <c r="A35" s="7" t="s">
        <v>60</v>
      </c>
      <c r="B35" s="7" t="str">
        <f t="shared" si="5"/>
        <v>UC_152x152_UC30</v>
      </c>
      <c r="C35" s="7" t="str">
        <f t="shared" si="1"/>
        <v>UC_152x152_UC30 @ 30Kg/m</v>
      </c>
      <c r="D35" s="7" t="s">
        <v>60</v>
      </c>
      <c r="E35" s="7" t="s">
        <v>461</v>
      </c>
      <c r="F35" s="9">
        <v>30</v>
      </c>
      <c r="G35" s="139">
        <v>10.8</v>
      </c>
      <c r="H35" s="9">
        <v>2</v>
      </c>
      <c r="I35" s="140"/>
      <c r="J35" s="139"/>
      <c r="K35" s="9"/>
      <c r="L35" s="140"/>
      <c r="M35" s="139"/>
      <c r="N35" s="9"/>
      <c r="O35" s="140"/>
      <c r="P35" s="37">
        <f t="shared" si="2"/>
        <v>21.6</v>
      </c>
      <c r="Q35" s="272">
        <f>Table9[[#This Row],[£Cost /m]]*Table9[[#This Row],[Total Metres]]</f>
        <v>349.92000000000007</v>
      </c>
      <c r="R35" s="10">
        <v>540</v>
      </c>
      <c r="S35" s="39">
        <f>(Table9[[#This Row],[£/Tonne]]/1000)*Table9[[#This Row],[Kg/M]]</f>
        <v>16.200000000000003</v>
      </c>
      <c r="T35" s="7">
        <v>12.2</v>
      </c>
      <c r="U35" s="18">
        <f>Table9[[#This Row],[Normal Length]]*Table9[[#This Row],[£Cost /m]]</f>
        <v>197.64000000000001</v>
      </c>
      <c r="W35" s="18">
        <f>Table9[[#This Row],[£/ Length]]*(1+W$2)</f>
        <v>256.93200000000002</v>
      </c>
      <c r="X35" s="18">
        <f>Table9[[#This Row],[£/ Length]]*(1+X$2)</f>
        <v>266.81400000000002</v>
      </c>
      <c r="Y35" s="18">
        <f>Table9[[#This Row],[£/ Length]]*(1+Y$2)</f>
        <v>276.69600000000003</v>
      </c>
      <c r="Z35" s="18">
        <f>Table9[[#This Row],[£/ Length]]*(1+Z$2)</f>
        <v>296.46000000000004</v>
      </c>
    </row>
    <row r="36" spans="1:26" ht="25.35" customHeight="1">
      <c r="A36" s="7" t="s">
        <v>60</v>
      </c>
      <c r="B36" s="7" t="str">
        <f t="shared" si="5"/>
        <v>UC_203x203_UC46</v>
      </c>
      <c r="C36" s="7" t="str">
        <f t="shared" si="1"/>
        <v>UC_203x203_UC46 @ 46Kg/m</v>
      </c>
      <c r="D36" s="7" t="s">
        <v>60</v>
      </c>
      <c r="E36" s="7" t="s">
        <v>462</v>
      </c>
      <c r="F36" s="9">
        <v>46</v>
      </c>
      <c r="G36" s="139"/>
      <c r="H36" s="9"/>
      <c r="I36" s="140"/>
      <c r="J36" s="139"/>
      <c r="K36" s="9"/>
      <c r="L36" s="140"/>
      <c r="M36" s="139"/>
      <c r="N36" s="9"/>
      <c r="O36" s="140"/>
      <c r="P36" s="37">
        <f t="shared" si="2"/>
        <v>0</v>
      </c>
      <c r="Q36" s="272">
        <f>Table9[[#This Row],[£Cost /m]]*Table9[[#This Row],[Total Metres]]</f>
        <v>0</v>
      </c>
      <c r="R36" s="10">
        <v>520</v>
      </c>
      <c r="S36" s="39">
        <f>(Table9[[#This Row],[£/Tonne]]/1000)*Table9[[#This Row],[Kg/M]]</f>
        <v>23.92</v>
      </c>
      <c r="T36" s="7">
        <v>12.2</v>
      </c>
      <c r="U36" s="18">
        <f>Table9[[#This Row],[Normal Length]]*Table9[[#This Row],[£Cost /m]]</f>
        <v>291.82400000000001</v>
      </c>
      <c r="W36" s="18">
        <f>Table9[[#This Row],[£/ Length]]*(1+W$2)</f>
        <v>379.37120000000004</v>
      </c>
      <c r="X36" s="18">
        <f>Table9[[#This Row],[£/ Length]]*(1+X$2)</f>
        <v>393.96240000000006</v>
      </c>
      <c r="Y36" s="18">
        <f>Table9[[#This Row],[£/ Length]]*(1+Y$2)</f>
        <v>408.55360000000002</v>
      </c>
      <c r="Z36" s="18">
        <f>Table9[[#This Row],[£/ Length]]*(1+Z$2)</f>
        <v>437.73599999999999</v>
      </c>
    </row>
    <row r="37" spans="1:26" ht="25.35" customHeight="1">
      <c r="A37" s="7" t="s">
        <v>60</v>
      </c>
      <c r="B37" s="7" t="str">
        <f t="shared" si="5"/>
        <v>UC_203x203_UC60</v>
      </c>
      <c r="C37" s="7" t="str">
        <f t="shared" si="1"/>
        <v>UC_203x203_UC60 @ 60Kg/m</v>
      </c>
      <c r="D37" s="7" t="s">
        <v>60</v>
      </c>
      <c r="E37" s="7" t="s">
        <v>463</v>
      </c>
      <c r="F37" s="9">
        <v>60</v>
      </c>
      <c r="G37" s="139">
        <v>2.8</v>
      </c>
      <c r="H37" s="9">
        <v>1</v>
      </c>
      <c r="I37" s="140" t="s">
        <v>246</v>
      </c>
      <c r="J37" s="139">
        <v>1.4</v>
      </c>
      <c r="K37" s="9">
        <v>1</v>
      </c>
      <c r="L37" s="140" t="s">
        <v>246</v>
      </c>
      <c r="M37" s="139"/>
      <c r="N37" s="9"/>
      <c r="O37" s="140"/>
      <c r="P37" s="37">
        <f t="shared" si="2"/>
        <v>4.1999999999999993</v>
      </c>
      <c r="Q37" s="272">
        <f>Table9[[#This Row],[£Cost /m]]*Table9[[#This Row],[Total Metres]]</f>
        <v>147.41999999999996</v>
      </c>
      <c r="R37" s="10">
        <v>585</v>
      </c>
      <c r="S37" s="39">
        <f>(Table9[[#This Row],[£/Tonne]]/1000)*Table9[[#This Row],[Kg/M]]</f>
        <v>35.099999999999994</v>
      </c>
      <c r="T37" s="7">
        <v>12.2</v>
      </c>
      <c r="U37" s="18">
        <f>Table9[[#This Row],[Normal Length]]*Table9[[#This Row],[£Cost /m]]</f>
        <v>428.21999999999991</v>
      </c>
      <c r="W37" s="18">
        <f>Table9[[#This Row],[£/ Length]]*(1+W$2)</f>
        <v>556.68599999999992</v>
      </c>
      <c r="X37" s="18">
        <f>Table9[[#This Row],[£/ Length]]*(1+X$2)</f>
        <v>578.09699999999987</v>
      </c>
      <c r="Y37" s="18">
        <f>Table9[[#This Row],[£/ Length]]*(1+Y$2)</f>
        <v>599.50799999999981</v>
      </c>
      <c r="Z37" s="18">
        <f>Table9[[#This Row],[£/ Length]]*(1+Z$2)</f>
        <v>642.32999999999993</v>
      </c>
    </row>
    <row r="38" spans="1:26" ht="25.35" customHeight="1">
      <c r="A38" s="7" t="s">
        <v>60</v>
      </c>
      <c r="B38" s="7" t="str">
        <f t="shared" si="5"/>
        <v>UC_203x203_UC71</v>
      </c>
      <c r="C38" s="7" t="str">
        <f t="shared" si="1"/>
        <v>UC_203x203_UC71 @ 71Kg/m</v>
      </c>
      <c r="D38" s="7" t="s">
        <v>60</v>
      </c>
      <c r="E38" s="7" t="s">
        <v>464</v>
      </c>
      <c r="F38" s="9">
        <v>71</v>
      </c>
      <c r="G38" s="139">
        <v>12.2</v>
      </c>
      <c r="H38" s="9">
        <v>1</v>
      </c>
      <c r="I38" s="140" t="s">
        <v>246</v>
      </c>
      <c r="J38" s="139">
        <v>1.6</v>
      </c>
      <c r="K38" s="9">
        <v>1</v>
      </c>
      <c r="L38" s="140" t="s">
        <v>246</v>
      </c>
      <c r="M38" s="139">
        <v>1.4</v>
      </c>
      <c r="N38" s="9">
        <v>1</v>
      </c>
      <c r="O38" s="140" t="s">
        <v>246</v>
      </c>
      <c r="P38" s="37">
        <f t="shared" si="2"/>
        <v>15.2</v>
      </c>
      <c r="Q38" s="272">
        <f>Table9[[#This Row],[£Cost /m]]*Table9[[#This Row],[Total Metres]]</f>
        <v>631.33199999999988</v>
      </c>
      <c r="R38" s="10">
        <v>585</v>
      </c>
      <c r="S38" s="39">
        <f>(Table9[[#This Row],[£/Tonne]]/1000)*Table9[[#This Row],[Kg/M]]</f>
        <v>41.534999999999997</v>
      </c>
      <c r="T38" s="7">
        <v>12.2</v>
      </c>
      <c r="U38" s="18">
        <f>Table9[[#This Row],[Normal Length]]*Table9[[#This Row],[£Cost /m]]</f>
        <v>506.72699999999992</v>
      </c>
      <c r="W38" s="18">
        <f>Table9[[#This Row],[£/ Length]]*(1+W$2)</f>
        <v>658.74509999999987</v>
      </c>
      <c r="X38" s="18">
        <f>Table9[[#This Row],[£/ Length]]*(1+X$2)</f>
        <v>684.0814499999999</v>
      </c>
      <c r="Y38" s="18">
        <f>Table9[[#This Row],[£/ Length]]*(1+Y$2)</f>
        <v>709.41779999999983</v>
      </c>
      <c r="Z38" s="18">
        <f>Table9[[#This Row],[£/ Length]]*(1+Z$2)</f>
        <v>760.09049999999991</v>
      </c>
    </row>
    <row r="39" spans="1:26" ht="25.35" customHeight="1">
      <c r="A39" s="7" t="s">
        <v>60</v>
      </c>
      <c r="B39" s="7" t="str">
        <f t="shared" ref="B39" si="12">_xlfn.CONCAT(A39,"_",E39,)</f>
        <v>UC_305x305_97</v>
      </c>
      <c r="C39" s="7" t="str">
        <f t="shared" ref="C39" si="13">_xlfn.CONCAT(B39, " @ ",F39,"Kg/m")</f>
        <v>UC_305x305_97 @ 97Kg/m</v>
      </c>
      <c r="D39" s="7" t="s">
        <v>60</v>
      </c>
      <c r="E39" s="7" t="s">
        <v>465</v>
      </c>
      <c r="F39" s="9">
        <v>97</v>
      </c>
      <c r="G39" s="139">
        <v>3</v>
      </c>
      <c r="H39" s="9">
        <v>1</v>
      </c>
      <c r="I39" s="140" t="s">
        <v>246</v>
      </c>
      <c r="J39" s="139">
        <v>6.2</v>
      </c>
      <c r="K39" s="9">
        <v>1</v>
      </c>
      <c r="L39" s="140" t="s">
        <v>246</v>
      </c>
      <c r="M39" s="139"/>
      <c r="N39" s="9"/>
      <c r="O39" s="140"/>
      <c r="P39" s="37">
        <f t="shared" si="2"/>
        <v>9.1999999999999993</v>
      </c>
      <c r="Q39" s="272">
        <f>Table9[[#This Row],[£Cost /m]]*Table9[[#This Row],[Total Metres]]</f>
        <v>1014.6587999999999</v>
      </c>
      <c r="R39" s="10">
        <v>1137</v>
      </c>
      <c r="S39" s="39">
        <f>(Table9[[#This Row],[£/Tonne]]/1000)*Table9[[#This Row],[Kg/M]]</f>
        <v>110.289</v>
      </c>
      <c r="T39" s="7">
        <v>12.2</v>
      </c>
      <c r="U39" s="18">
        <f>Table9[[#This Row],[Normal Length]]*Table9[[#This Row],[£Cost /m]]</f>
        <v>1345.5257999999999</v>
      </c>
      <c r="W39" s="18">
        <f>Table9[[#This Row],[£/ Length]]*(1+W$2)</f>
        <v>1749.18354</v>
      </c>
      <c r="X39" s="18">
        <f>Table9[[#This Row],[£/ Length]]*(1+X$2)</f>
        <v>1816.45983</v>
      </c>
      <c r="Y39" s="18">
        <f>Table9[[#This Row],[£/ Length]]*(1+Y$2)</f>
        <v>1883.7361199999998</v>
      </c>
      <c r="Z39" s="18">
        <f>Table9[[#This Row],[£/ Length]]*(1+Z$2)</f>
        <v>2018.2886999999998</v>
      </c>
    </row>
    <row r="40" spans="1:26" ht="25.35" customHeight="1">
      <c r="A40" s="7" t="s">
        <v>63</v>
      </c>
      <c r="B40" s="7" t="str">
        <f t="shared" si="5"/>
        <v>IPE_IPE_140</v>
      </c>
      <c r="C40" s="7" t="str">
        <f t="shared" si="1"/>
        <v>IPE_IPE_140 @ 12.9Kg/m</v>
      </c>
      <c r="D40" s="7" t="s">
        <v>466</v>
      </c>
      <c r="E40" s="7" t="s">
        <v>467</v>
      </c>
      <c r="F40" s="9">
        <v>12.9</v>
      </c>
      <c r="G40" s="139"/>
      <c r="H40" s="9"/>
      <c r="I40" s="140"/>
      <c r="J40" s="139"/>
      <c r="K40" s="9"/>
      <c r="L40" s="140"/>
      <c r="M40" s="139"/>
      <c r="N40" s="9"/>
      <c r="O40" s="140"/>
      <c r="P40" s="37">
        <f t="shared" si="2"/>
        <v>0</v>
      </c>
      <c r="Q40" s="272">
        <f>Table9[[#This Row],[£Cost /m]]*Table9[[#This Row],[Total Metres]]</f>
        <v>0</v>
      </c>
      <c r="R40" s="10">
        <v>588</v>
      </c>
      <c r="S40" s="39">
        <f>(Table9[[#This Row],[£/Tonne]]/1000)*Table9[[#This Row],[Kg/M]]</f>
        <v>7.5851999999999995</v>
      </c>
      <c r="T40" s="7">
        <v>12.2</v>
      </c>
      <c r="U40" s="18">
        <f>Table9[[#This Row],[Normal Length]]*Table9[[#This Row],[£Cost /m]]</f>
        <v>92.539439999999985</v>
      </c>
      <c r="W40" s="18">
        <f>Table9[[#This Row],[£/ Length]]*(1+W$2)</f>
        <v>120.30127199999998</v>
      </c>
      <c r="X40" s="18">
        <f>Table9[[#This Row],[£/ Length]]*(1+X$2)</f>
        <v>124.92824399999999</v>
      </c>
      <c r="Y40" s="18">
        <f>Table9[[#This Row],[£/ Length]]*(1+Y$2)</f>
        <v>129.55521599999997</v>
      </c>
      <c r="Z40" s="18">
        <f>Table9[[#This Row],[£/ Length]]*(1+Z$2)</f>
        <v>138.80915999999996</v>
      </c>
    </row>
    <row r="41" spans="1:26" ht="25.35" customHeight="1">
      <c r="A41" s="7" t="s">
        <v>63</v>
      </c>
      <c r="B41" s="7" t="str">
        <f t="shared" si="5"/>
        <v>IPE_IPE_160</v>
      </c>
      <c r="C41" s="7" t="str">
        <f t="shared" si="1"/>
        <v>IPE_IPE_160 @ 15.8Kg/m</v>
      </c>
      <c r="D41" s="7" t="s">
        <v>468</v>
      </c>
      <c r="E41" s="7" t="s">
        <v>469</v>
      </c>
      <c r="F41" s="9">
        <v>15.8</v>
      </c>
      <c r="G41" s="139">
        <v>12.2</v>
      </c>
      <c r="H41" s="9">
        <v>7</v>
      </c>
      <c r="I41" s="140" t="s">
        <v>246</v>
      </c>
      <c r="J41" s="139">
        <v>3.4</v>
      </c>
      <c r="K41" s="9">
        <v>1</v>
      </c>
      <c r="L41" s="140" t="s">
        <v>246</v>
      </c>
      <c r="M41" s="139"/>
      <c r="N41" s="9"/>
      <c r="O41" s="140"/>
      <c r="P41" s="37">
        <f t="shared" si="2"/>
        <v>88.8</v>
      </c>
      <c r="Q41" s="272">
        <f>Table9[[#This Row],[£Cost /m]]*Table9[[#This Row],[Total Metres]]</f>
        <v>954.06720000000007</v>
      </c>
      <c r="R41" s="10">
        <v>680</v>
      </c>
      <c r="S41" s="39">
        <f>(Table9[[#This Row],[£/Tonne]]/1000)*Table9[[#This Row],[Kg/M]]</f>
        <v>10.744000000000002</v>
      </c>
      <c r="T41" s="7">
        <v>12.2</v>
      </c>
      <c r="U41" s="18">
        <f>Table9[[#This Row],[Normal Length]]*Table9[[#This Row],[£Cost /m]]</f>
        <v>131.07680000000002</v>
      </c>
      <c r="W41" s="18">
        <f>Table9[[#This Row],[£/ Length]]*(1+W$2)</f>
        <v>170.39984000000004</v>
      </c>
      <c r="X41" s="18">
        <f>Table9[[#This Row],[£/ Length]]*(1+X$2)</f>
        <v>176.95368000000005</v>
      </c>
      <c r="Y41" s="18">
        <f>Table9[[#This Row],[£/ Length]]*(1+Y$2)</f>
        <v>183.50752000000003</v>
      </c>
      <c r="Z41" s="18">
        <f>Table9[[#This Row],[£/ Length]]*(1+Z$2)</f>
        <v>196.61520000000002</v>
      </c>
    </row>
    <row r="42" spans="1:26" ht="25.35" customHeight="1">
      <c r="A42" s="7" t="s">
        <v>63</v>
      </c>
      <c r="B42" s="7" t="str">
        <f t="shared" si="5"/>
        <v>IPE_IPE_180</v>
      </c>
      <c r="C42" s="7" t="str">
        <f t="shared" si="1"/>
        <v>IPE_IPE_180 @ 18.8Kg/m</v>
      </c>
      <c r="D42" s="7" t="s">
        <v>470</v>
      </c>
      <c r="E42" s="7" t="s">
        <v>471</v>
      </c>
      <c r="F42" s="9">
        <v>18.8</v>
      </c>
      <c r="G42" s="139"/>
      <c r="H42" s="9"/>
      <c r="I42" s="140"/>
      <c r="J42" s="139"/>
      <c r="K42" s="9"/>
      <c r="L42" s="140"/>
      <c r="M42" s="139"/>
      <c r="N42" s="9"/>
      <c r="O42" s="140"/>
      <c r="P42" s="37">
        <f t="shared" si="2"/>
        <v>0</v>
      </c>
      <c r="Q42" s="272">
        <f>Table9[[#This Row],[£Cost /m]]*Table9[[#This Row],[Total Metres]]</f>
        <v>0</v>
      </c>
      <c r="R42" s="10"/>
      <c r="S42" s="39">
        <f>(Table9[[#This Row],[£/Tonne]]/1000)*Table9[[#This Row],[Kg/M]]</f>
        <v>0</v>
      </c>
      <c r="T42" s="7">
        <v>12.2</v>
      </c>
      <c r="U42" s="18">
        <f>Table9[[#This Row],[Normal Length]]*Table9[[#This Row],[£Cost /m]]</f>
        <v>0</v>
      </c>
      <c r="W42" s="18">
        <f>Table9[[#This Row],[£/ Length]]*(1+W$2)</f>
        <v>0</v>
      </c>
      <c r="X42" s="18">
        <f>Table9[[#This Row],[£/ Length]]*(1+X$2)</f>
        <v>0</v>
      </c>
      <c r="Y42" s="18">
        <f>Table9[[#This Row],[£/ Length]]*(1+Y$2)</f>
        <v>0</v>
      </c>
      <c r="Z42" s="18">
        <f>Table9[[#This Row],[£/ Length]]*(1+Z$2)</f>
        <v>0</v>
      </c>
    </row>
    <row r="43" spans="1:26" ht="25.35" customHeight="1">
      <c r="A43" s="7" t="s">
        <v>63</v>
      </c>
      <c r="B43" s="7" t="str">
        <f t="shared" si="5"/>
        <v>IPE_IPE_200</v>
      </c>
      <c r="C43" s="7" t="str">
        <f t="shared" si="1"/>
        <v>IPE_IPE_200 @ 22.4Kg/m</v>
      </c>
      <c r="D43" s="7" t="s">
        <v>472</v>
      </c>
      <c r="E43" s="7" t="s">
        <v>473</v>
      </c>
      <c r="F43" s="9">
        <v>22.4</v>
      </c>
      <c r="G43" s="139"/>
      <c r="H43" s="9"/>
      <c r="I43" s="140"/>
      <c r="J43" s="139"/>
      <c r="K43" s="9"/>
      <c r="L43" s="140"/>
      <c r="M43" s="139"/>
      <c r="N43" s="9"/>
      <c r="O43" s="140"/>
      <c r="P43" s="37">
        <f t="shared" si="2"/>
        <v>0</v>
      </c>
      <c r="Q43" s="272">
        <f>Table9[[#This Row],[£Cost /m]]*Table9[[#This Row],[Total Metres]]</f>
        <v>0</v>
      </c>
      <c r="R43" s="10"/>
      <c r="S43" s="39">
        <f>(Table9[[#This Row],[£/Tonne]]/1000)*Table9[[#This Row],[Kg/M]]</f>
        <v>0</v>
      </c>
      <c r="T43" s="7">
        <v>12.2</v>
      </c>
      <c r="U43" s="18">
        <f>Table9[[#This Row],[Normal Length]]*Table9[[#This Row],[£Cost /m]]</f>
        <v>0</v>
      </c>
      <c r="W43" s="18">
        <f>Table9[[#This Row],[£/ Length]]*(1+W$2)</f>
        <v>0</v>
      </c>
      <c r="X43" s="18">
        <f>Table9[[#This Row],[£/ Length]]*(1+X$2)</f>
        <v>0</v>
      </c>
      <c r="Y43" s="18">
        <f>Table9[[#This Row],[£/ Length]]*(1+Y$2)</f>
        <v>0</v>
      </c>
      <c r="Z43" s="18">
        <f>Table9[[#This Row],[£/ Length]]*(1+Z$2)</f>
        <v>0</v>
      </c>
    </row>
    <row r="44" spans="1:26" ht="20.25" customHeight="1">
      <c r="G44" s="139"/>
      <c r="H44" s="9"/>
      <c r="I44" s="140"/>
      <c r="J44" s="139"/>
      <c r="K44" s="9"/>
      <c r="L44" s="140"/>
      <c r="M44" s="139"/>
      <c r="N44" s="9"/>
      <c r="O44" s="140"/>
      <c r="P44" s="37">
        <f t="shared" ref="P44" si="14">SUM(G44*H44)+(J44*K44)+(M44*N44)</f>
        <v>0</v>
      </c>
      <c r="Q44" s="272"/>
      <c r="R44" s="10"/>
      <c r="S44" s="39"/>
    </row>
    <row r="45" spans="1:26" ht="15">
      <c r="P45" s="20" t="s">
        <v>474</v>
      </c>
      <c r="Q45" s="263">
        <f>SUM(Q3:Q44)</f>
        <v>12606.270605999998</v>
      </c>
      <c r="R45" s="10"/>
      <c r="S45" s="39"/>
    </row>
    <row r="46" spans="1:26">
      <c r="R46" s="10"/>
      <c r="S46" s="39"/>
    </row>
    <row r="47" spans="1:26">
      <c r="R47" s="10"/>
      <c r="S47" s="39"/>
    </row>
    <row r="48" spans="1:26">
      <c r="R48" s="10"/>
      <c r="S48" s="39"/>
    </row>
    <row r="49" spans="18:19">
      <c r="R49" s="10"/>
      <c r="S49" s="39"/>
    </row>
    <row r="50" spans="18:19">
      <c r="R50" s="10"/>
      <c r="S50" s="39"/>
    </row>
    <row r="51" spans="18:19">
      <c r="R51" s="10"/>
      <c r="S51" s="39"/>
    </row>
    <row r="52" spans="18:19">
      <c r="R52" s="10"/>
      <c r="S52" s="39"/>
    </row>
    <row r="53" spans="18:19">
      <c r="R53" s="10"/>
      <c r="S53" s="39"/>
    </row>
    <row r="54" spans="18:19">
      <c r="R54" s="10"/>
      <c r="S54" s="39"/>
    </row>
    <row r="55" spans="18:19">
      <c r="R55" s="10"/>
      <c r="S55" s="39"/>
    </row>
    <row r="56" spans="18:19">
      <c r="R56" s="10"/>
      <c r="S56" s="39"/>
    </row>
    <row r="57" spans="18:19">
      <c r="R57" s="10"/>
      <c r="S57" s="39"/>
    </row>
    <row r="58" spans="18:19">
      <c r="R58" s="10"/>
      <c r="S58" s="39"/>
    </row>
    <row r="59" spans="18:19">
      <c r="R59" s="10"/>
      <c r="S59" s="39"/>
    </row>
    <row r="60" spans="18:19">
      <c r="R60" s="10"/>
      <c r="S60" s="39"/>
    </row>
    <row r="61" spans="18:19">
      <c r="R61" s="10"/>
      <c r="S61" s="39"/>
    </row>
    <row r="62" spans="18:19">
      <c r="R62" s="10"/>
      <c r="S62" s="39"/>
    </row>
    <row r="63" spans="18:19">
      <c r="R63" s="10"/>
      <c r="S63" s="39"/>
    </row>
    <row r="64" spans="18:19">
      <c r="R64" s="10"/>
      <c r="S64" s="39"/>
    </row>
    <row r="65" spans="18:19">
      <c r="R65" s="10"/>
      <c r="S65" s="39"/>
    </row>
    <row r="66" spans="18:19">
      <c r="R66" s="10"/>
      <c r="S66" s="39"/>
    </row>
    <row r="67" spans="18:19">
      <c r="R67" s="10"/>
      <c r="S67" s="39"/>
    </row>
    <row r="68" spans="18:19">
      <c r="R68" s="10"/>
      <c r="S68" s="39"/>
    </row>
    <row r="69" spans="18:19">
      <c r="R69" s="10"/>
      <c r="S69" s="39"/>
    </row>
    <row r="70" spans="18:19">
      <c r="R70" s="10"/>
      <c r="S70" s="39"/>
    </row>
    <row r="71" spans="18:19">
      <c r="R71" s="10"/>
      <c r="S71" s="39"/>
    </row>
    <row r="72" spans="18:19">
      <c r="R72" s="10"/>
      <c r="S72" s="39"/>
    </row>
    <row r="73" spans="18:19">
      <c r="R73" s="10"/>
      <c r="S73" s="39"/>
    </row>
    <row r="74" spans="18:19">
      <c r="R74" s="10"/>
      <c r="S74" s="39"/>
    </row>
    <row r="75" spans="18:19">
      <c r="R75" s="10"/>
      <c r="S75" s="39"/>
    </row>
    <row r="76" spans="18:19">
      <c r="R76" s="10"/>
      <c r="S76" s="39"/>
    </row>
    <row r="77" spans="18:19">
      <c r="R77" s="10"/>
      <c r="S77" s="39"/>
    </row>
    <row r="78" spans="18:19">
      <c r="R78" s="10"/>
      <c r="S78" s="39"/>
    </row>
    <row r="79" spans="18:19">
      <c r="R79" s="10"/>
      <c r="S79" s="39"/>
    </row>
    <row r="80" spans="18:19">
      <c r="R80" s="10"/>
      <c r="S80" s="39"/>
    </row>
    <row r="81" spans="18:19">
      <c r="R81" s="10"/>
      <c r="S81" s="39"/>
    </row>
    <row r="82" spans="18:19">
      <c r="R82" s="10"/>
      <c r="S82" s="39"/>
    </row>
    <row r="83" spans="18:19">
      <c r="R83" s="10"/>
      <c r="S83" s="39"/>
    </row>
    <row r="84" spans="18:19">
      <c r="R84" s="10"/>
      <c r="S84" s="39"/>
    </row>
    <row r="85" spans="18:19">
      <c r="R85" s="10"/>
      <c r="S85" s="39"/>
    </row>
    <row r="86" spans="18:19">
      <c r="R86" s="10"/>
      <c r="S86" s="39"/>
    </row>
  </sheetData>
  <phoneticPr fontId="3" type="noConversion"/>
  <dataValidations disablePrompts="1" count="1">
    <dataValidation type="list" allowBlank="1" showInputMessage="1" showErrorMessage="1" error="Select Area from Tab 'Area List'" sqref="O3:O44 I3:I44 L3:L44" xr:uid="{BF37C6F7-8C3B-4CCB-92D5-1D2D2502344A}">
      <formula1>AreaList2</formula1>
    </dataValidation>
  </dataValidations>
  <printOptions gridLines="1"/>
  <pageMargins left="0.47244094488188981" right="0.35433070866141736" top="0.35433070866141736" bottom="0.51181102362204722" header="0.19685039370078741" footer="0.43307086614173229"/>
  <pageSetup paperSize="9" scale="71" fitToHeight="2" orientation="landscape" horizontalDpi="300" verticalDpi="300" r:id="rId1"/>
  <headerFooter alignWithMargins="0">
    <oddFooter>&amp;L&amp;D&amp;C&amp;A&amp;R&amp;P of &amp;N</oddFooter>
  </headerFooter>
  <rowBreaks count="1" manualBreakCount="1">
    <brk id="22" max="25" man="1"/>
  </rowBreaks>
  <drawing r:id="rId2"/>
  <legacyDrawing r:id="rId3"/>
  <tableParts count="1"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61C05-DF2A-4F01-9018-185265956F5C}">
  <dimension ref="A1:AB174"/>
  <sheetViews>
    <sheetView zoomScale="40" zoomScaleNormal="40" workbookViewId="0">
      <selection activeCell="Z12" sqref="Z12"/>
    </sheetView>
  </sheetViews>
  <sheetFormatPr defaultRowHeight="12.75"/>
  <cols>
    <col min="1" max="1" width="7.140625" style="7" customWidth="1"/>
    <col min="2" max="2" width="31" style="7" customWidth="1"/>
    <col min="3" max="3" width="25" style="7" customWidth="1"/>
    <col min="4" max="4" width="10.140625" style="27" customWidth="1"/>
    <col min="5" max="5" width="13" style="27" customWidth="1"/>
    <col min="6" max="6" width="16.5703125" style="9" customWidth="1"/>
    <col min="7" max="7" width="15.42578125" style="9" customWidth="1"/>
    <col min="8" max="8" width="15.5703125" style="146" customWidth="1"/>
    <col min="9" max="9" width="9.5703125" style="147" customWidth="1"/>
    <col min="10" max="10" width="9.5703125" style="148" customWidth="1"/>
    <col min="11" max="11" width="16.5703125" style="146" customWidth="1"/>
    <col min="12" max="12" width="9.5703125" style="147" customWidth="1"/>
    <col min="13" max="13" width="9.5703125" style="148" customWidth="1"/>
    <col min="14" max="14" width="16.5703125" style="146" customWidth="1"/>
    <col min="15" max="15" width="9.5703125" style="147" customWidth="1"/>
    <col min="16" max="16" width="9.5703125" style="148" customWidth="1"/>
    <col min="17" max="17" width="14" style="9" customWidth="1"/>
    <col min="18" max="18" width="18.85546875" style="9" customWidth="1"/>
    <col min="19" max="19" width="12.140625" style="7" customWidth="1"/>
    <col min="20" max="21" width="11.140625" style="7" customWidth="1"/>
    <col min="22" max="22" width="16.140625" style="7" customWidth="1"/>
    <col min="23" max="23" width="8.140625" style="7" customWidth="1"/>
    <col min="24" max="255" width="9" style="7"/>
    <col min="256" max="257" width="9.42578125" style="7" customWidth="1"/>
    <col min="258" max="259" width="9" style="7" customWidth="1"/>
    <col min="260" max="260" width="1.85546875" style="7" customWidth="1"/>
    <col min="261" max="261" width="10.85546875" style="7" customWidth="1"/>
    <col min="262" max="262" width="5.140625" style="7" customWidth="1"/>
    <col min="263" max="263" width="10" style="7" customWidth="1"/>
    <col min="264" max="264" width="5.85546875" style="7" customWidth="1"/>
    <col min="265" max="265" width="11" style="7" customWidth="1"/>
    <col min="266" max="266" width="5.140625" style="7" customWidth="1"/>
    <col min="267" max="267" width="10.42578125" style="7" customWidth="1"/>
    <col min="268" max="268" width="4.5703125" style="7" customWidth="1"/>
    <col min="269" max="269" width="9" style="7" customWidth="1"/>
    <col min="270" max="271" width="10" style="7" customWidth="1"/>
    <col min="272" max="272" width="7" style="7" customWidth="1"/>
    <col min="273" max="273" width="8.85546875" style="7" customWidth="1"/>
    <col min="274" max="275" width="6.85546875" style="7" customWidth="1"/>
    <col min="276" max="276" width="9.85546875" style="7" bestFit="1" customWidth="1"/>
    <col min="277" max="277" width="8.85546875" style="7" customWidth="1"/>
    <col min="278" max="511" width="9" style="7"/>
    <col min="512" max="513" width="9.42578125" style="7" customWidth="1"/>
    <col min="514" max="515" width="9" style="7" customWidth="1"/>
    <col min="516" max="516" width="1.85546875" style="7" customWidth="1"/>
    <col min="517" max="517" width="10.85546875" style="7" customWidth="1"/>
    <col min="518" max="518" width="5.140625" style="7" customWidth="1"/>
    <col min="519" max="519" width="10" style="7" customWidth="1"/>
    <col min="520" max="520" width="5.85546875" style="7" customWidth="1"/>
    <col min="521" max="521" width="11" style="7" customWidth="1"/>
    <col min="522" max="522" width="5.140625" style="7" customWidth="1"/>
    <col min="523" max="523" width="10.42578125" style="7" customWidth="1"/>
    <col min="524" max="524" width="4.5703125" style="7" customWidth="1"/>
    <col min="525" max="525" width="9" style="7" customWidth="1"/>
    <col min="526" max="527" width="10" style="7" customWidth="1"/>
    <col min="528" max="528" width="7" style="7" customWidth="1"/>
    <col min="529" max="529" width="8.85546875" style="7" customWidth="1"/>
    <col min="530" max="531" width="6.85546875" style="7" customWidth="1"/>
    <col min="532" max="532" width="9.85546875" style="7" bestFit="1" customWidth="1"/>
    <col min="533" max="533" width="8.85546875" style="7" customWidth="1"/>
    <col min="534" max="767" width="9" style="7"/>
    <col min="768" max="769" width="9.42578125" style="7" customWidth="1"/>
    <col min="770" max="771" width="9" style="7" customWidth="1"/>
    <col min="772" max="772" width="1.85546875" style="7" customWidth="1"/>
    <col min="773" max="773" width="10.85546875" style="7" customWidth="1"/>
    <col min="774" max="774" width="5.140625" style="7" customWidth="1"/>
    <col min="775" max="775" width="10" style="7" customWidth="1"/>
    <col min="776" max="776" width="5.85546875" style="7" customWidth="1"/>
    <col min="777" max="777" width="11" style="7" customWidth="1"/>
    <col min="778" max="778" width="5.140625" style="7" customWidth="1"/>
    <col min="779" max="779" width="10.42578125" style="7" customWidth="1"/>
    <col min="780" max="780" width="4.5703125" style="7" customWidth="1"/>
    <col min="781" max="781" width="9" style="7" customWidth="1"/>
    <col min="782" max="783" width="10" style="7" customWidth="1"/>
    <col min="784" max="784" width="7" style="7" customWidth="1"/>
    <col min="785" max="785" width="8.85546875" style="7" customWidth="1"/>
    <col min="786" max="787" width="6.85546875" style="7" customWidth="1"/>
    <col min="788" max="788" width="9.85546875" style="7" bestFit="1" customWidth="1"/>
    <col min="789" max="789" width="8.85546875" style="7" customWidth="1"/>
    <col min="790" max="1023" width="9" style="7"/>
    <col min="1024" max="1025" width="9.42578125" style="7" customWidth="1"/>
    <col min="1026" max="1027" width="9" style="7" customWidth="1"/>
    <col min="1028" max="1028" width="1.85546875" style="7" customWidth="1"/>
    <col min="1029" max="1029" width="10.85546875" style="7" customWidth="1"/>
    <col min="1030" max="1030" width="5.140625" style="7" customWidth="1"/>
    <col min="1031" max="1031" width="10" style="7" customWidth="1"/>
    <col min="1032" max="1032" width="5.85546875" style="7" customWidth="1"/>
    <col min="1033" max="1033" width="11" style="7" customWidth="1"/>
    <col min="1034" max="1034" width="5.140625" style="7" customWidth="1"/>
    <col min="1035" max="1035" width="10.42578125" style="7" customWidth="1"/>
    <col min="1036" max="1036" width="4.5703125" style="7" customWidth="1"/>
    <col min="1037" max="1037" width="9" style="7" customWidth="1"/>
    <col min="1038" max="1039" width="10" style="7" customWidth="1"/>
    <col min="1040" max="1040" width="7" style="7" customWidth="1"/>
    <col min="1041" max="1041" width="8.85546875" style="7" customWidth="1"/>
    <col min="1042" max="1043" width="6.85546875" style="7" customWidth="1"/>
    <col min="1044" max="1044" width="9.85546875" style="7" bestFit="1" customWidth="1"/>
    <col min="1045" max="1045" width="8.85546875" style="7" customWidth="1"/>
    <col min="1046" max="1279" width="9" style="7"/>
    <col min="1280" max="1281" width="9.42578125" style="7" customWidth="1"/>
    <col min="1282" max="1283" width="9" style="7" customWidth="1"/>
    <col min="1284" max="1284" width="1.85546875" style="7" customWidth="1"/>
    <col min="1285" max="1285" width="10.85546875" style="7" customWidth="1"/>
    <col min="1286" max="1286" width="5.140625" style="7" customWidth="1"/>
    <col min="1287" max="1287" width="10" style="7" customWidth="1"/>
    <col min="1288" max="1288" width="5.85546875" style="7" customWidth="1"/>
    <col min="1289" max="1289" width="11" style="7" customWidth="1"/>
    <col min="1290" max="1290" width="5.140625" style="7" customWidth="1"/>
    <col min="1291" max="1291" width="10.42578125" style="7" customWidth="1"/>
    <col min="1292" max="1292" width="4.5703125" style="7" customWidth="1"/>
    <col min="1293" max="1293" width="9" style="7" customWidth="1"/>
    <col min="1294" max="1295" width="10" style="7" customWidth="1"/>
    <col min="1296" max="1296" width="7" style="7" customWidth="1"/>
    <col min="1297" max="1297" width="8.85546875" style="7" customWidth="1"/>
    <col min="1298" max="1299" width="6.85546875" style="7" customWidth="1"/>
    <col min="1300" max="1300" width="9.85546875" style="7" bestFit="1" customWidth="1"/>
    <col min="1301" max="1301" width="8.85546875" style="7" customWidth="1"/>
    <col min="1302" max="1535" width="9" style="7"/>
    <col min="1536" max="1537" width="9.42578125" style="7" customWidth="1"/>
    <col min="1538" max="1539" width="9" style="7" customWidth="1"/>
    <col min="1540" max="1540" width="1.85546875" style="7" customWidth="1"/>
    <col min="1541" max="1541" width="10.85546875" style="7" customWidth="1"/>
    <col min="1542" max="1542" width="5.140625" style="7" customWidth="1"/>
    <col min="1543" max="1543" width="10" style="7" customWidth="1"/>
    <col min="1544" max="1544" width="5.85546875" style="7" customWidth="1"/>
    <col min="1545" max="1545" width="11" style="7" customWidth="1"/>
    <col min="1546" max="1546" width="5.140625" style="7" customWidth="1"/>
    <col min="1547" max="1547" width="10.42578125" style="7" customWidth="1"/>
    <col min="1548" max="1548" width="4.5703125" style="7" customWidth="1"/>
    <col min="1549" max="1549" width="9" style="7" customWidth="1"/>
    <col min="1550" max="1551" width="10" style="7" customWidth="1"/>
    <col min="1552" max="1552" width="7" style="7" customWidth="1"/>
    <col min="1553" max="1553" width="8.85546875" style="7" customWidth="1"/>
    <col min="1554" max="1555" width="6.85546875" style="7" customWidth="1"/>
    <col min="1556" max="1556" width="9.85546875" style="7" bestFit="1" customWidth="1"/>
    <col min="1557" max="1557" width="8.85546875" style="7" customWidth="1"/>
    <col min="1558" max="1791" width="9" style="7"/>
    <col min="1792" max="1793" width="9.42578125" style="7" customWidth="1"/>
    <col min="1794" max="1795" width="9" style="7" customWidth="1"/>
    <col min="1796" max="1796" width="1.85546875" style="7" customWidth="1"/>
    <col min="1797" max="1797" width="10.85546875" style="7" customWidth="1"/>
    <col min="1798" max="1798" width="5.140625" style="7" customWidth="1"/>
    <col min="1799" max="1799" width="10" style="7" customWidth="1"/>
    <col min="1800" max="1800" width="5.85546875" style="7" customWidth="1"/>
    <col min="1801" max="1801" width="11" style="7" customWidth="1"/>
    <col min="1802" max="1802" width="5.140625" style="7" customWidth="1"/>
    <col min="1803" max="1803" width="10.42578125" style="7" customWidth="1"/>
    <col min="1804" max="1804" width="4.5703125" style="7" customWidth="1"/>
    <col min="1805" max="1805" width="9" style="7" customWidth="1"/>
    <col min="1806" max="1807" width="10" style="7" customWidth="1"/>
    <col min="1808" max="1808" width="7" style="7" customWidth="1"/>
    <col min="1809" max="1809" width="8.85546875" style="7" customWidth="1"/>
    <col min="1810" max="1811" width="6.85546875" style="7" customWidth="1"/>
    <col min="1812" max="1812" width="9.85546875" style="7" bestFit="1" customWidth="1"/>
    <col min="1813" max="1813" width="8.85546875" style="7" customWidth="1"/>
    <col min="1814" max="2047" width="9" style="7"/>
    <col min="2048" max="2049" width="9.42578125" style="7" customWidth="1"/>
    <col min="2050" max="2051" width="9" style="7" customWidth="1"/>
    <col min="2052" max="2052" width="1.85546875" style="7" customWidth="1"/>
    <col min="2053" max="2053" width="10.85546875" style="7" customWidth="1"/>
    <col min="2054" max="2054" width="5.140625" style="7" customWidth="1"/>
    <col min="2055" max="2055" width="10" style="7" customWidth="1"/>
    <col min="2056" max="2056" width="5.85546875" style="7" customWidth="1"/>
    <col min="2057" max="2057" width="11" style="7" customWidth="1"/>
    <col min="2058" max="2058" width="5.140625" style="7" customWidth="1"/>
    <col min="2059" max="2059" width="10.42578125" style="7" customWidth="1"/>
    <col min="2060" max="2060" width="4.5703125" style="7" customWidth="1"/>
    <col min="2061" max="2061" width="9" style="7" customWidth="1"/>
    <col min="2062" max="2063" width="10" style="7" customWidth="1"/>
    <col min="2064" max="2064" width="7" style="7" customWidth="1"/>
    <col min="2065" max="2065" width="8.85546875" style="7" customWidth="1"/>
    <col min="2066" max="2067" width="6.85546875" style="7" customWidth="1"/>
    <col min="2068" max="2068" width="9.85546875" style="7" bestFit="1" customWidth="1"/>
    <col min="2069" max="2069" width="8.85546875" style="7" customWidth="1"/>
    <col min="2070" max="2303" width="9" style="7"/>
    <col min="2304" max="2305" width="9.42578125" style="7" customWidth="1"/>
    <col min="2306" max="2307" width="9" style="7" customWidth="1"/>
    <col min="2308" max="2308" width="1.85546875" style="7" customWidth="1"/>
    <col min="2309" max="2309" width="10.85546875" style="7" customWidth="1"/>
    <col min="2310" max="2310" width="5.140625" style="7" customWidth="1"/>
    <col min="2311" max="2311" width="10" style="7" customWidth="1"/>
    <col min="2312" max="2312" width="5.85546875" style="7" customWidth="1"/>
    <col min="2313" max="2313" width="11" style="7" customWidth="1"/>
    <col min="2314" max="2314" width="5.140625" style="7" customWidth="1"/>
    <col min="2315" max="2315" width="10.42578125" style="7" customWidth="1"/>
    <col min="2316" max="2316" width="4.5703125" style="7" customWidth="1"/>
    <col min="2317" max="2317" width="9" style="7" customWidth="1"/>
    <col min="2318" max="2319" width="10" style="7" customWidth="1"/>
    <col min="2320" max="2320" width="7" style="7" customWidth="1"/>
    <col min="2321" max="2321" width="8.85546875" style="7" customWidth="1"/>
    <col min="2322" max="2323" width="6.85546875" style="7" customWidth="1"/>
    <col min="2324" max="2324" width="9.85546875" style="7" bestFit="1" customWidth="1"/>
    <col min="2325" max="2325" width="8.85546875" style="7" customWidth="1"/>
    <col min="2326" max="2559" width="9" style="7"/>
    <col min="2560" max="2561" width="9.42578125" style="7" customWidth="1"/>
    <col min="2562" max="2563" width="9" style="7" customWidth="1"/>
    <col min="2564" max="2564" width="1.85546875" style="7" customWidth="1"/>
    <col min="2565" max="2565" width="10.85546875" style="7" customWidth="1"/>
    <col min="2566" max="2566" width="5.140625" style="7" customWidth="1"/>
    <col min="2567" max="2567" width="10" style="7" customWidth="1"/>
    <col min="2568" max="2568" width="5.85546875" style="7" customWidth="1"/>
    <col min="2569" max="2569" width="11" style="7" customWidth="1"/>
    <col min="2570" max="2570" width="5.140625" style="7" customWidth="1"/>
    <col min="2571" max="2571" width="10.42578125" style="7" customWidth="1"/>
    <col min="2572" max="2572" width="4.5703125" style="7" customWidth="1"/>
    <col min="2573" max="2573" width="9" style="7" customWidth="1"/>
    <col min="2574" max="2575" width="10" style="7" customWidth="1"/>
    <col min="2576" max="2576" width="7" style="7" customWidth="1"/>
    <col min="2577" max="2577" width="8.85546875" style="7" customWidth="1"/>
    <col min="2578" max="2579" width="6.85546875" style="7" customWidth="1"/>
    <col min="2580" max="2580" width="9.85546875" style="7" bestFit="1" customWidth="1"/>
    <col min="2581" max="2581" width="8.85546875" style="7" customWidth="1"/>
    <col min="2582" max="2815" width="9" style="7"/>
    <col min="2816" max="2817" width="9.42578125" style="7" customWidth="1"/>
    <col min="2818" max="2819" width="9" style="7" customWidth="1"/>
    <col min="2820" max="2820" width="1.85546875" style="7" customWidth="1"/>
    <col min="2821" max="2821" width="10.85546875" style="7" customWidth="1"/>
    <col min="2822" max="2822" width="5.140625" style="7" customWidth="1"/>
    <col min="2823" max="2823" width="10" style="7" customWidth="1"/>
    <col min="2824" max="2824" width="5.85546875" style="7" customWidth="1"/>
    <col min="2825" max="2825" width="11" style="7" customWidth="1"/>
    <col min="2826" max="2826" width="5.140625" style="7" customWidth="1"/>
    <col min="2827" max="2827" width="10.42578125" style="7" customWidth="1"/>
    <col min="2828" max="2828" width="4.5703125" style="7" customWidth="1"/>
    <col min="2829" max="2829" width="9" style="7" customWidth="1"/>
    <col min="2830" max="2831" width="10" style="7" customWidth="1"/>
    <col min="2832" max="2832" width="7" style="7" customWidth="1"/>
    <col min="2833" max="2833" width="8.85546875" style="7" customWidth="1"/>
    <col min="2834" max="2835" width="6.85546875" style="7" customWidth="1"/>
    <col min="2836" max="2836" width="9.85546875" style="7" bestFit="1" customWidth="1"/>
    <col min="2837" max="2837" width="8.85546875" style="7" customWidth="1"/>
    <col min="2838" max="3071" width="9" style="7"/>
    <col min="3072" max="3073" width="9.42578125" style="7" customWidth="1"/>
    <col min="3074" max="3075" width="9" style="7" customWidth="1"/>
    <col min="3076" max="3076" width="1.85546875" style="7" customWidth="1"/>
    <col min="3077" max="3077" width="10.85546875" style="7" customWidth="1"/>
    <col min="3078" max="3078" width="5.140625" style="7" customWidth="1"/>
    <col min="3079" max="3079" width="10" style="7" customWidth="1"/>
    <col min="3080" max="3080" width="5.85546875" style="7" customWidth="1"/>
    <col min="3081" max="3081" width="11" style="7" customWidth="1"/>
    <col min="3082" max="3082" width="5.140625" style="7" customWidth="1"/>
    <col min="3083" max="3083" width="10.42578125" style="7" customWidth="1"/>
    <col min="3084" max="3084" width="4.5703125" style="7" customWidth="1"/>
    <col min="3085" max="3085" width="9" style="7" customWidth="1"/>
    <col min="3086" max="3087" width="10" style="7" customWidth="1"/>
    <col min="3088" max="3088" width="7" style="7" customWidth="1"/>
    <col min="3089" max="3089" width="8.85546875" style="7" customWidth="1"/>
    <col min="3090" max="3091" width="6.85546875" style="7" customWidth="1"/>
    <col min="3092" max="3092" width="9.85546875" style="7" bestFit="1" customWidth="1"/>
    <col min="3093" max="3093" width="8.85546875" style="7" customWidth="1"/>
    <col min="3094" max="3327" width="9" style="7"/>
    <col min="3328" max="3329" width="9.42578125" style="7" customWidth="1"/>
    <col min="3330" max="3331" width="9" style="7" customWidth="1"/>
    <col min="3332" max="3332" width="1.85546875" style="7" customWidth="1"/>
    <col min="3333" max="3333" width="10.85546875" style="7" customWidth="1"/>
    <col min="3334" max="3334" width="5.140625" style="7" customWidth="1"/>
    <col min="3335" max="3335" width="10" style="7" customWidth="1"/>
    <col min="3336" max="3336" width="5.85546875" style="7" customWidth="1"/>
    <col min="3337" max="3337" width="11" style="7" customWidth="1"/>
    <col min="3338" max="3338" width="5.140625" style="7" customWidth="1"/>
    <col min="3339" max="3339" width="10.42578125" style="7" customWidth="1"/>
    <col min="3340" max="3340" width="4.5703125" style="7" customWidth="1"/>
    <col min="3341" max="3341" width="9" style="7" customWidth="1"/>
    <col min="3342" max="3343" width="10" style="7" customWidth="1"/>
    <col min="3344" max="3344" width="7" style="7" customWidth="1"/>
    <col min="3345" max="3345" width="8.85546875" style="7" customWidth="1"/>
    <col min="3346" max="3347" width="6.85546875" style="7" customWidth="1"/>
    <col min="3348" max="3348" width="9.85546875" style="7" bestFit="1" customWidth="1"/>
    <col min="3349" max="3349" width="8.85546875" style="7" customWidth="1"/>
    <col min="3350" max="3583" width="9" style="7"/>
    <col min="3584" max="3585" width="9.42578125" style="7" customWidth="1"/>
    <col min="3586" max="3587" width="9" style="7" customWidth="1"/>
    <col min="3588" max="3588" width="1.85546875" style="7" customWidth="1"/>
    <col min="3589" max="3589" width="10.85546875" style="7" customWidth="1"/>
    <col min="3590" max="3590" width="5.140625" style="7" customWidth="1"/>
    <col min="3591" max="3591" width="10" style="7" customWidth="1"/>
    <col min="3592" max="3592" width="5.85546875" style="7" customWidth="1"/>
    <col min="3593" max="3593" width="11" style="7" customWidth="1"/>
    <col min="3594" max="3594" width="5.140625" style="7" customWidth="1"/>
    <col min="3595" max="3595" width="10.42578125" style="7" customWidth="1"/>
    <col min="3596" max="3596" width="4.5703125" style="7" customWidth="1"/>
    <col min="3597" max="3597" width="9" style="7" customWidth="1"/>
    <col min="3598" max="3599" width="10" style="7" customWidth="1"/>
    <col min="3600" max="3600" width="7" style="7" customWidth="1"/>
    <col min="3601" max="3601" width="8.85546875" style="7" customWidth="1"/>
    <col min="3602" max="3603" width="6.85546875" style="7" customWidth="1"/>
    <col min="3604" max="3604" width="9.85546875" style="7" bestFit="1" customWidth="1"/>
    <col min="3605" max="3605" width="8.85546875" style="7" customWidth="1"/>
    <col min="3606" max="3839" width="9" style="7"/>
    <col min="3840" max="3841" width="9.42578125" style="7" customWidth="1"/>
    <col min="3842" max="3843" width="9" style="7" customWidth="1"/>
    <col min="3844" max="3844" width="1.85546875" style="7" customWidth="1"/>
    <col min="3845" max="3845" width="10.85546875" style="7" customWidth="1"/>
    <col min="3846" max="3846" width="5.140625" style="7" customWidth="1"/>
    <col min="3847" max="3847" width="10" style="7" customWidth="1"/>
    <col min="3848" max="3848" width="5.85546875" style="7" customWidth="1"/>
    <col min="3849" max="3849" width="11" style="7" customWidth="1"/>
    <col min="3850" max="3850" width="5.140625" style="7" customWidth="1"/>
    <col min="3851" max="3851" width="10.42578125" style="7" customWidth="1"/>
    <col min="3852" max="3852" width="4.5703125" style="7" customWidth="1"/>
    <col min="3853" max="3853" width="9" style="7" customWidth="1"/>
    <col min="3854" max="3855" width="10" style="7" customWidth="1"/>
    <col min="3856" max="3856" width="7" style="7" customWidth="1"/>
    <col min="3857" max="3857" width="8.85546875" style="7" customWidth="1"/>
    <col min="3858" max="3859" width="6.85546875" style="7" customWidth="1"/>
    <col min="3860" max="3860" width="9.85546875" style="7" bestFit="1" customWidth="1"/>
    <col min="3861" max="3861" width="8.85546875" style="7" customWidth="1"/>
    <col min="3862" max="4095" width="9" style="7"/>
    <col min="4096" max="4097" width="9.42578125" style="7" customWidth="1"/>
    <col min="4098" max="4099" width="9" style="7" customWidth="1"/>
    <col min="4100" max="4100" width="1.85546875" style="7" customWidth="1"/>
    <col min="4101" max="4101" width="10.85546875" style="7" customWidth="1"/>
    <col min="4102" max="4102" width="5.140625" style="7" customWidth="1"/>
    <col min="4103" max="4103" width="10" style="7" customWidth="1"/>
    <col min="4104" max="4104" width="5.85546875" style="7" customWidth="1"/>
    <col min="4105" max="4105" width="11" style="7" customWidth="1"/>
    <col min="4106" max="4106" width="5.140625" style="7" customWidth="1"/>
    <col min="4107" max="4107" width="10.42578125" style="7" customWidth="1"/>
    <col min="4108" max="4108" width="4.5703125" style="7" customWidth="1"/>
    <col min="4109" max="4109" width="9" style="7" customWidth="1"/>
    <col min="4110" max="4111" width="10" style="7" customWidth="1"/>
    <col min="4112" max="4112" width="7" style="7" customWidth="1"/>
    <col min="4113" max="4113" width="8.85546875" style="7" customWidth="1"/>
    <col min="4114" max="4115" width="6.85546875" style="7" customWidth="1"/>
    <col min="4116" max="4116" width="9.85546875" style="7" bestFit="1" customWidth="1"/>
    <col min="4117" max="4117" width="8.85546875" style="7" customWidth="1"/>
    <col min="4118" max="4351" width="9" style="7"/>
    <col min="4352" max="4353" width="9.42578125" style="7" customWidth="1"/>
    <col min="4354" max="4355" width="9" style="7" customWidth="1"/>
    <col min="4356" max="4356" width="1.85546875" style="7" customWidth="1"/>
    <col min="4357" max="4357" width="10.85546875" style="7" customWidth="1"/>
    <col min="4358" max="4358" width="5.140625" style="7" customWidth="1"/>
    <col min="4359" max="4359" width="10" style="7" customWidth="1"/>
    <col min="4360" max="4360" width="5.85546875" style="7" customWidth="1"/>
    <col min="4361" max="4361" width="11" style="7" customWidth="1"/>
    <col min="4362" max="4362" width="5.140625" style="7" customWidth="1"/>
    <col min="4363" max="4363" width="10.42578125" style="7" customWidth="1"/>
    <col min="4364" max="4364" width="4.5703125" style="7" customWidth="1"/>
    <col min="4365" max="4365" width="9" style="7" customWidth="1"/>
    <col min="4366" max="4367" width="10" style="7" customWidth="1"/>
    <col min="4368" max="4368" width="7" style="7" customWidth="1"/>
    <col min="4369" max="4369" width="8.85546875" style="7" customWidth="1"/>
    <col min="4370" max="4371" width="6.85546875" style="7" customWidth="1"/>
    <col min="4372" max="4372" width="9.85546875" style="7" bestFit="1" customWidth="1"/>
    <col min="4373" max="4373" width="8.85546875" style="7" customWidth="1"/>
    <col min="4374" max="4607" width="9" style="7"/>
    <col min="4608" max="4609" width="9.42578125" style="7" customWidth="1"/>
    <col min="4610" max="4611" width="9" style="7" customWidth="1"/>
    <col min="4612" max="4612" width="1.85546875" style="7" customWidth="1"/>
    <col min="4613" max="4613" width="10.85546875" style="7" customWidth="1"/>
    <col min="4614" max="4614" width="5.140625" style="7" customWidth="1"/>
    <col min="4615" max="4615" width="10" style="7" customWidth="1"/>
    <col min="4616" max="4616" width="5.85546875" style="7" customWidth="1"/>
    <col min="4617" max="4617" width="11" style="7" customWidth="1"/>
    <col min="4618" max="4618" width="5.140625" style="7" customWidth="1"/>
    <col min="4619" max="4619" width="10.42578125" style="7" customWidth="1"/>
    <col min="4620" max="4620" width="4.5703125" style="7" customWidth="1"/>
    <col min="4621" max="4621" width="9" style="7" customWidth="1"/>
    <col min="4622" max="4623" width="10" style="7" customWidth="1"/>
    <col min="4624" max="4624" width="7" style="7" customWidth="1"/>
    <col min="4625" max="4625" width="8.85546875" style="7" customWidth="1"/>
    <col min="4626" max="4627" width="6.85546875" style="7" customWidth="1"/>
    <col min="4628" max="4628" width="9.85546875" style="7" bestFit="1" customWidth="1"/>
    <col min="4629" max="4629" width="8.85546875" style="7" customWidth="1"/>
    <col min="4630" max="4863" width="9" style="7"/>
    <col min="4864" max="4865" width="9.42578125" style="7" customWidth="1"/>
    <col min="4866" max="4867" width="9" style="7" customWidth="1"/>
    <col min="4868" max="4868" width="1.85546875" style="7" customWidth="1"/>
    <col min="4869" max="4869" width="10.85546875" style="7" customWidth="1"/>
    <col min="4870" max="4870" width="5.140625" style="7" customWidth="1"/>
    <col min="4871" max="4871" width="10" style="7" customWidth="1"/>
    <col min="4872" max="4872" width="5.85546875" style="7" customWidth="1"/>
    <col min="4873" max="4873" width="11" style="7" customWidth="1"/>
    <col min="4874" max="4874" width="5.140625" style="7" customWidth="1"/>
    <col min="4875" max="4875" width="10.42578125" style="7" customWidth="1"/>
    <col min="4876" max="4876" width="4.5703125" style="7" customWidth="1"/>
    <col min="4877" max="4877" width="9" style="7" customWidth="1"/>
    <col min="4878" max="4879" width="10" style="7" customWidth="1"/>
    <col min="4880" max="4880" width="7" style="7" customWidth="1"/>
    <col min="4881" max="4881" width="8.85546875" style="7" customWidth="1"/>
    <col min="4882" max="4883" width="6.85546875" style="7" customWidth="1"/>
    <col min="4884" max="4884" width="9.85546875" style="7" bestFit="1" customWidth="1"/>
    <col min="4885" max="4885" width="8.85546875" style="7" customWidth="1"/>
    <col min="4886" max="5119" width="9" style="7"/>
    <col min="5120" max="5121" width="9.42578125" style="7" customWidth="1"/>
    <col min="5122" max="5123" width="9" style="7" customWidth="1"/>
    <col min="5124" max="5124" width="1.85546875" style="7" customWidth="1"/>
    <col min="5125" max="5125" width="10.85546875" style="7" customWidth="1"/>
    <col min="5126" max="5126" width="5.140625" style="7" customWidth="1"/>
    <col min="5127" max="5127" width="10" style="7" customWidth="1"/>
    <col min="5128" max="5128" width="5.85546875" style="7" customWidth="1"/>
    <col min="5129" max="5129" width="11" style="7" customWidth="1"/>
    <col min="5130" max="5130" width="5.140625" style="7" customWidth="1"/>
    <col min="5131" max="5131" width="10.42578125" style="7" customWidth="1"/>
    <col min="5132" max="5132" width="4.5703125" style="7" customWidth="1"/>
    <col min="5133" max="5133" width="9" style="7" customWidth="1"/>
    <col min="5134" max="5135" width="10" style="7" customWidth="1"/>
    <col min="5136" max="5136" width="7" style="7" customWidth="1"/>
    <col min="5137" max="5137" width="8.85546875" style="7" customWidth="1"/>
    <col min="5138" max="5139" width="6.85546875" style="7" customWidth="1"/>
    <col min="5140" max="5140" width="9.85546875" style="7" bestFit="1" customWidth="1"/>
    <col min="5141" max="5141" width="8.85546875" style="7" customWidth="1"/>
    <col min="5142" max="5375" width="9" style="7"/>
    <col min="5376" max="5377" width="9.42578125" style="7" customWidth="1"/>
    <col min="5378" max="5379" width="9" style="7" customWidth="1"/>
    <col min="5380" max="5380" width="1.85546875" style="7" customWidth="1"/>
    <col min="5381" max="5381" width="10.85546875" style="7" customWidth="1"/>
    <col min="5382" max="5382" width="5.140625" style="7" customWidth="1"/>
    <col min="5383" max="5383" width="10" style="7" customWidth="1"/>
    <col min="5384" max="5384" width="5.85546875" style="7" customWidth="1"/>
    <col min="5385" max="5385" width="11" style="7" customWidth="1"/>
    <col min="5386" max="5386" width="5.140625" style="7" customWidth="1"/>
    <col min="5387" max="5387" width="10.42578125" style="7" customWidth="1"/>
    <col min="5388" max="5388" width="4.5703125" style="7" customWidth="1"/>
    <col min="5389" max="5389" width="9" style="7" customWidth="1"/>
    <col min="5390" max="5391" width="10" style="7" customWidth="1"/>
    <col min="5392" max="5392" width="7" style="7" customWidth="1"/>
    <col min="5393" max="5393" width="8.85546875" style="7" customWidth="1"/>
    <col min="5394" max="5395" width="6.85546875" style="7" customWidth="1"/>
    <col min="5396" max="5396" width="9.85546875" style="7" bestFit="1" customWidth="1"/>
    <col min="5397" max="5397" width="8.85546875" style="7" customWidth="1"/>
    <col min="5398" max="5631" width="9" style="7"/>
    <col min="5632" max="5633" width="9.42578125" style="7" customWidth="1"/>
    <col min="5634" max="5635" width="9" style="7" customWidth="1"/>
    <col min="5636" max="5636" width="1.85546875" style="7" customWidth="1"/>
    <col min="5637" max="5637" width="10.85546875" style="7" customWidth="1"/>
    <col min="5638" max="5638" width="5.140625" style="7" customWidth="1"/>
    <col min="5639" max="5639" width="10" style="7" customWidth="1"/>
    <col min="5640" max="5640" width="5.85546875" style="7" customWidth="1"/>
    <col min="5641" max="5641" width="11" style="7" customWidth="1"/>
    <col min="5642" max="5642" width="5.140625" style="7" customWidth="1"/>
    <col min="5643" max="5643" width="10.42578125" style="7" customWidth="1"/>
    <col min="5644" max="5644" width="4.5703125" style="7" customWidth="1"/>
    <col min="5645" max="5645" width="9" style="7" customWidth="1"/>
    <col min="5646" max="5647" width="10" style="7" customWidth="1"/>
    <col min="5648" max="5648" width="7" style="7" customWidth="1"/>
    <col min="5649" max="5649" width="8.85546875" style="7" customWidth="1"/>
    <col min="5650" max="5651" width="6.85546875" style="7" customWidth="1"/>
    <col min="5652" max="5652" width="9.85546875" style="7" bestFit="1" customWidth="1"/>
    <col min="5653" max="5653" width="8.85546875" style="7" customWidth="1"/>
    <col min="5654" max="5887" width="9" style="7"/>
    <col min="5888" max="5889" width="9.42578125" style="7" customWidth="1"/>
    <col min="5890" max="5891" width="9" style="7" customWidth="1"/>
    <col min="5892" max="5892" width="1.85546875" style="7" customWidth="1"/>
    <col min="5893" max="5893" width="10.85546875" style="7" customWidth="1"/>
    <col min="5894" max="5894" width="5.140625" style="7" customWidth="1"/>
    <col min="5895" max="5895" width="10" style="7" customWidth="1"/>
    <col min="5896" max="5896" width="5.85546875" style="7" customWidth="1"/>
    <col min="5897" max="5897" width="11" style="7" customWidth="1"/>
    <col min="5898" max="5898" width="5.140625" style="7" customWidth="1"/>
    <col min="5899" max="5899" width="10.42578125" style="7" customWidth="1"/>
    <col min="5900" max="5900" width="4.5703125" style="7" customWidth="1"/>
    <col min="5901" max="5901" width="9" style="7" customWidth="1"/>
    <col min="5902" max="5903" width="10" style="7" customWidth="1"/>
    <col min="5904" max="5904" width="7" style="7" customWidth="1"/>
    <col min="5905" max="5905" width="8.85546875" style="7" customWidth="1"/>
    <col min="5906" max="5907" width="6.85546875" style="7" customWidth="1"/>
    <col min="5908" max="5908" width="9.85546875" style="7" bestFit="1" customWidth="1"/>
    <col min="5909" max="5909" width="8.85546875" style="7" customWidth="1"/>
    <col min="5910" max="6143" width="9" style="7"/>
    <col min="6144" max="6145" width="9.42578125" style="7" customWidth="1"/>
    <col min="6146" max="6147" width="9" style="7" customWidth="1"/>
    <col min="6148" max="6148" width="1.85546875" style="7" customWidth="1"/>
    <col min="6149" max="6149" width="10.85546875" style="7" customWidth="1"/>
    <col min="6150" max="6150" width="5.140625" style="7" customWidth="1"/>
    <col min="6151" max="6151" width="10" style="7" customWidth="1"/>
    <col min="6152" max="6152" width="5.85546875" style="7" customWidth="1"/>
    <col min="6153" max="6153" width="11" style="7" customWidth="1"/>
    <col min="6154" max="6154" width="5.140625" style="7" customWidth="1"/>
    <col min="6155" max="6155" width="10.42578125" style="7" customWidth="1"/>
    <col min="6156" max="6156" width="4.5703125" style="7" customWidth="1"/>
    <col min="6157" max="6157" width="9" style="7" customWidth="1"/>
    <col min="6158" max="6159" width="10" style="7" customWidth="1"/>
    <col min="6160" max="6160" width="7" style="7" customWidth="1"/>
    <col min="6161" max="6161" width="8.85546875" style="7" customWidth="1"/>
    <col min="6162" max="6163" width="6.85546875" style="7" customWidth="1"/>
    <col min="6164" max="6164" width="9.85546875" style="7" bestFit="1" customWidth="1"/>
    <col min="6165" max="6165" width="8.85546875" style="7" customWidth="1"/>
    <col min="6166" max="6399" width="9" style="7"/>
    <col min="6400" max="6401" width="9.42578125" style="7" customWidth="1"/>
    <col min="6402" max="6403" width="9" style="7" customWidth="1"/>
    <col min="6404" max="6404" width="1.85546875" style="7" customWidth="1"/>
    <col min="6405" max="6405" width="10.85546875" style="7" customWidth="1"/>
    <col min="6406" max="6406" width="5.140625" style="7" customWidth="1"/>
    <col min="6407" max="6407" width="10" style="7" customWidth="1"/>
    <col min="6408" max="6408" width="5.85546875" style="7" customWidth="1"/>
    <col min="6409" max="6409" width="11" style="7" customWidth="1"/>
    <col min="6410" max="6410" width="5.140625" style="7" customWidth="1"/>
    <col min="6411" max="6411" width="10.42578125" style="7" customWidth="1"/>
    <col min="6412" max="6412" width="4.5703125" style="7" customWidth="1"/>
    <col min="6413" max="6413" width="9" style="7" customWidth="1"/>
    <col min="6414" max="6415" width="10" style="7" customWidth="1"/>
    <col min="6416" max="6416" width="7" style="7" customWidth="1"/>
    <col min="6417" max="6417" width="8.85546875" style="7" customWidth="1"/>
    <col min="6418" max="6419" width="6.85546875" style="7" customWidth="1"/>
    <col min="6420" max="6420" width="9.85546875" style="7" bestFit="1" customWidth="1"/>
    <col min="6421" max="6421" width="8.85546875" style="7" customWidth="1"/>
    <col min="6422" max="6655" width="9" style="7"/>
    <col min="6656" max="6657" width="9.42578125" style="7" customWidth="1"/>
    <col min="6658" max="6659" width="9" style="7" customWidth="1"/>
    <col min="6660" max="6660" width="1.85546875" style="7" customWidth="1"/>
    <col min="6661" max="6661" width="10.85546875" style="7" customWidth="1"/>
    <col min="6662" max="6662" width="5.140625" style="7" customWidth="1"/>
    <col min="6663" max="6663" width="10" style="7" customWidth="1"/>
    <col min="6664" max="6664" width="5.85546875" style="7" customWidth="1"/>
    <col min="6665" max="6665" width="11" style="7" customWidth="1"/>
    <col min="6666" max="6666" width="5.140625" style="7" customWidth="1"/>
    <col min="6667" max="6667" width="10.42578125" style="7" customWidth="1"/>
    <col min="6668" max="6668" width="4.5703125" style="7" customWidth="1"/>
    <col min="6669" max="6669" width="9" style="7" customWidth="1"/>
    <col min="6670" max="6671" width="10" style="7" customWidth="1"/>
    <col min="6672" max="6672" width="7" style="7" customWidth="1"/>
    <col min="6673" max="6673" width="8.85546875" style="7" customWidth="1"/>
    <col min="6674" max="6675" width="6.85546875" style="7" customWidth="1"/>
    <col min="6676" max="6676" width="9.85546875" style="7" bestFit="1" customWidth="1"/>
    <col min="6677" max="6677" width="8.85546875" style="7" customWidth="1"/>
    <col min="6678" max="6911" width="9" style="7"/>
    <col min="6912" max="6913" width="9.42578125" style="7" customWidth="1"/>
    <col min="6914" max="6915" width="9" style="7" customWidth="1"/>
    <col min="6916" max="6916" width="1.85546875" style="7" customWidth="1"/>
    <col min="6917" max="6917" width="10.85546875" style="7" customWidth="1"/>
    <col min="6918" max="6918" width="5.140625" style="7" customWidth="1"/>
    <col min="6919" max="6919" width="10" style="7" customWidth="1"/>
    <col min="6920" max="6920" width="5.85546875" style="7" customWidth="1"/>
    <col min="6921" max="6921" width="11" style="7" customWidth="1"/>
    <col min="6922" max="6922" width="5.140625" style="7" customWidth="1"/>
    <col min="6923" max="6923" width="10.42578125" style="7" customWidth="1"/>
    <col min="6924" max="6924" width="4.5703125" style="7" customWidth="1"/>
    <col min="6925" max="6925" width="9" style="7" customWidth="1"/>
    <col min="6926" max="6927" width="10" style="7" customWidth="1"/>
    <col min="6928" max="6928" width="7" style="7" customWidth="1"/>
    <col min="6929" max="6929" width="8.85546875" style="7" customWidth="1"/>
    <col min="6930" max="6931" width="6.85546875" style="7" customWidth="1"/>
    <col min="6932" max="6932" width="9.85546875" style="7" bestFit="1" customWidth="1"/>
    <col min="6933" max="6933" width="8.85546875" style="7" customWidth="1"/>
    <col min="6934" max="7167" width="9" style="7"/>
    <col min="7168" max="7169" width="9.42578125" style="7" customWidth="1"/>
    <col min="7170" max="7171" width="9" style="7" customWidth="1"/>
    <col min="7172" max="7172" width="1.85546875" style="7" customWidth="1"/>
    <col min="7173" max="7173" width="10.85546875" style="7" customWidth="1"/>
    <col min="7174" max="7174" width="5.140625" style="7" customWidth="1"/>
    <col min="7175" max="7175" width="10" style="7" customWidth="1"/>
    <col min="7176" max="7176" width="5.85546875" style="7" customWidth="1"/>
    <col min="7177" max="7177" width="11" style="7" customWidth="1"/>
    <col min="7178" max="7178" width="5.140625" style="7" customWidth="1"/>
    <col min="7179" max="7179" width="10.42578125" style="7" customWidth="1"/>
    <col min="7180" max="7180" width="4.5703125" style="7" customWidth="1"/>
    <col min="7181" max="7181" width="9" style="7" customWidth="1"/>
    <col min="7182" max="7183" width="10" style="7" customWidth="1"/>
    <col min="7184" max="7184" width="7" style="7" customWidth="1"/>
    <col min="7185" max="7185" width="8.85546875" style="7" customWidth="1"/>
    <col min="7186" max="7187" width="6.85546875" style="7" customWidth="1"/>
    <col min="7188" max="7188" width="9.85546875" style="7" bestFit="1" customWidth="1"/>
    <col min="7189" max="7189" width="8.85546875" style="7" customWidth="1"/>
    <col min="7190" max="7423" width="9" style="7"/>
    <col min="7424" max="7425" width="9.42578125" style="7" customWidth="1"/>
    <col min="7426" max="7427" width="9" style="7" customWidth="1"/>
    <col min="7428" max="7428" width="1.85546875" style="7" customWidth="1"/>
    <col min="7429" max="7429" width="10.85546875" style="7" customWidth="1"/>
    <col min="7430" max="7430" width="5.140625" style="7" customWidth="1"/>
    <col min="7431" max="7431" width="10" style="7" customWidth="1"/>
    <col min="7432" max="7432" width="5.85546875" style="7" customWidth="1"/>
    <col min="7433" max="7433" width="11" style="7" customWidth="1"/>
    <col min="7434" max="7434" width="5.140625" style="7" customWidth="1"/>
    <col min="7435" max="7435" width="10.42578125" style="7" customWidth="1"/>
    <col min="7436" max="7436" width="4.5703125" style="7" customWidth="1"/>
    <col min="7437" max="7437" width="9" style="7" customWidth="1"/>
    <col min="7438" max="7439" width="10" style="7" customWidth="1"/>
    <col min="7440" max="7440" width="7" style="7" customWidth="1"/>
    <col min="7441" max="7441" width="8.85546875" style="7" customWidth="1"/>
    <col min="7442" max="7443" width="6.85546875" style="7" customWidth="1"/>
    <col min="7444" max="7444" width="9.85546875" style="7" bestFit="1" customWidth="1"/>
    <col min="7445" max="7445" width="8.85546875" style="7" customWidth="1"/>
    <col min="7446" max="7679" width="9" style="7"/>
    <col min="7680" max="7681" width="9.42578125" style="7" customWidth="1"/>
    <col min="7682" max="7683" width="9" style="7" customWidth="1"/>
    <col min="7684" max="7684" width="1.85546875" style="7" customWidth="1"/>
    <col min="7685" max="7685" width="10.85546875" style="7" customWidth="1"/>
    <col min="7686" max="7686" width="5.140625" style="7" customWidth="1"/>
    <col min="7687" max="7687" width="10" style="7" customWidth="1"/>
    <col min="7688" max="7688" width="5.85546875" style="7" customWidth="1"/>
    <col min="7689" max="7689" width="11" style="7" customWidth="1"/>
    <col min="7690" max="7690" width="5.140625" style="7" customWidth="1"/>
    <col min="7691" max="7691" width="10.42578125" style="7" customWidth="1"/>
    <col min="7692" max="7692" width="4.5703125" style="7" customWidth="1"/>
    <col min="7693" max="7693" width="9" style="7" customWidth="1"/>
    <col min="7694" max="7695" width="10" style="7" customWidth="1"/>
    <col min="7696" max="7696" width="7" style="7" customWidth="1"/>
    <col min="7697" max="7697" width="8.85546875" style="7" customWidth="1"/>
    <col min="7698" max="7699" width="6.85546875" style="7" customWidth="1"/>
    <col min="7700" max="7700" width="9.85546875" style="7" bestFit="1" customWidth="1"/>
    <col min="7701" max="7701" width="8.85546875" style="7" customWidth="1"/>
    <col min="7702" max="7935" width="9" style="7"/>
    <col min="7936" max="7937" width="9.42578125" style="7" customWidth="1"/>
    <col min="7938" max="7939" width="9" style="7" customWidth="1"/>
    <col min="7940" max="7940" width="1.85546875" style="7" customWidth="1"/>
    <col min="7941" max="7941" width="10.85546875" style="7" customWidth="1"/>
    <col min="7942" max="7942" width="5.140625" style="7" customWidth="1"/>
    <col min="7943" max="7943" width="10" style="7" customWidth="1"/>
    <col min="7944" max="7944" width="5.85546875" style="7" customWidth="1"/>
    <col min="7945" max="7945" width="11" style="7" customWidth="1"/>
    <col min="7946" max="7946" width="5.140625" style="7" customWidth="1"/>
    <col min="7947" max="7947" width="10.42578125" style="7" customWidth="1"/>
    <col min="7948" max="7948" width="4.5703125" style="7" customWidth="1"/>
    <col min="7949" max="7949" width="9" style="7" customWidth="1"/>
    <col min="7950" max="7951" width="10" style="7" customWidth="1"/>
    <col min="7952" max="7952" width="7" style="7" customWidth="1"/>
    <col min="7953" max="7953" width="8.85546875" style="7" customWidth="1"/>
    <col min="7954" max="7955" width="6.85546875" style="7" customWidth="1"/>
    <col min="7956" max="7956" width="9.85546875" style="7" bestFit="1" customWidth="1"/>
    <col min="7957" max="7957" width="8.85546875" style="7" customWidth="1"/>
    <col min="7958" max="8191" width="9" style="7"/>
    <col min="8192" max="8193" width="9.42578125" style="7" customWidth="1"/>
    <col min="8194" max="8195" width="9" style="7" customWidth="1"/>
    <col min="8196" max="8196" width="1.85546875" style="7" customWidth="1"/>
    <col min="8197" max="8197" width="10.85546875" style="7" customWidth="1"/>
    <col min="8198" max="8198" width="5.140625" style="7" customWidth="1"/>
    <col min="8199" max="8199" width="10" style="7" customWidth="1"/>
    <col min="8200" max="8200" width="5.85546875" style="7" customWidth="1"/>
    <col min="8201" max="8201" width="11" style="7" customWidth="1"/>
    <col min="8202" max="8202" width="5.140625" style="7" customWidth="1"/>
    <col min="8203" max="8203" width="10.42578125" style="7" customWidth="1"/>
    <col min="8204" max="8204" width="4.5703125" style="7" customWidth="1"/>
    <col min="8205" max="8205" width="9" style="7" customWidth="1"/>
    <col min="8206" max="8207" width="10" style="7" customWidth="1"/>
    <col min="8208" max="8208" width="7" style="7" customWidth="1"/>
    <col min="8209" max="8209" width="8.85546875" style="7" customWidth="1"/>
    <col min="8210" max="8211" width="6.85546875" style="7" customWidth="1"/>
    <col min="8212" max="8212" width="9.85546875" style="7" bestFit="1" customWidth="1"/>
    <col min="8213" max="8213" width="8.85546875" style="7" customWidth="1"/>
    <col min="8214" max="8447" width="9" style="7"/>
    <col min="8448" max="8449" width="9.42578125" style="7" customWidth="1"/>
    <col min="8450" max="8451" width="9" style="7" customWidth="1"/>
    <col min="8452" max="8452" width="1.85546875" style="7" customWidth="1"/>
    <col min="8453" max="8453" width="10.85546875" style="7" customWidth="1"/>
    <col min="8454" max="8454" width="5.140625" style="7" customWidth="1"/>
    <col min="8455" max="8455" width="10" style="7" customWidth="1"/>
    <col min="8456" max="8456" width="5.85546875" style="7" customWidth="1"/>
    <col min="8457" max="8457" width="11" style="7" customWidth="1"/>
    <col min="8458" max="8458" width="5.140625" style="7" customWidth="1"/>
    <col min="8459" max="8459" width="10.42578125" style="7" customWidth="1"/>
    <col min="8460" max="8460" width="4.5703125" style="7" customWidth="1"/>
    <col min="8461" max="8461" width="9" style="7" customWidth="1"/>
    <col min="8462" max="8463" width="10" style="7" customWidth="1"/>
    <col min="8464" max="8464" width="7" style="7" customWidth="1"/>
    <col min="8465" max="8465" width="8.85546875" style="7" customWidth="1"/>
    <col min="8466" max="8467" width="6.85546875" style="7" customWidth="1"/>
    <col min="8468" max="8468" width="9.85546875" style="7" bestFit="1" customWidth="1"/>
    <col min="8469" max="8469" width="8.85546875" style="7" customWidth="1"/>
    <col min="8470" max="8703" width="9" style="7"/>
    <col min="8704" max="8705" width="9.42578125" style="7" customWidth="1"/>
    <col min="8706" max="8707" width="9" style="7" customWidth="1"/>
    <col min="8708" max="8708" width="1.85546875" style="7" customWidth="1"/>
    <col min="8709" max="8709" width="10.85546875" style="7" customWidth="1"/>
    <col min="8710" max="8710" width="5.140625" style="7" customWidth="1"/>
    <col min="8711" max="8711" width="10" style="7" customWidth="1"/>
    <col min="8712" max="8712" width="5.85546875" style="7" customWidth="1"/>
    <col min="8713" max="8713" width="11" style="7" customWidth="1"/>
    <col min="8714" max="8714" width="5.140625" style="7" customWidth="1"/>
    <col min="8715" max="8715" width="10.42578125" style="7" customWidth="1"/>
    <col min="8716" max="8716" width="4.5703125" style="7" customWidth="1"/>
    <col min="8717" max="8717" width="9" style="7" customWidth="1"/>
    <col min="8718" max="8719" width="10" style="7" customWidth="1"/>
    <col min="8720" max="8720" width="7" style="7" customWidth="1"/>
    <col min="8721" max="8721" width="8.85546875" style="7" customWidth="1"/>
    <col min="8722" max="8723" width="6.85546875" style="7" customWidth="1"/>
    <col min="8724" max="8724" width="9.85546875" style="7" bestFit="1" customWidth="1"/>
    <col min="8725" max="8725" width="8.85546875" style="7" customWidth="1"/>
    <col min="8726" max="8959" width="9" style="7"/>
    <col min="8960" max="8961" width="9.42578125" style="7" customWidth="1"/>
    <col min="8962" max="8963" width="9" style="7" customWidth="1"/>
    <col min="8964" max="8964" width="1.85546875" style="7" customWidth="1"/>
    <col min="8965" max="8965" width="10.85546875" style="7" customWidth="1"/>
    <col min="8966" max="8966" width="5.140625" style="7" customWidth="1"/>
    <col min="8967" max="8967" width="10" style="7" customWidth="1"/>
    <col min="8968" max="8968" width="5.85546875" style="7" customWidth="1"/>
    <col min="8969" max="8969" width="11" style="7" customWidth="1"/>
    <col min="8970" max="8970" width="5.140625" style="7" customWidth="1"/>
    <col min="8971" max="8971" width="10.42578125" style="7" customWidth="1"/>
    <col min="8972" max="8972" width="4.5703125" style="7" customWidth="1"/>
    <col min="8973" max="8973" width="9" style="7" customWidth="1"/>
    <col min="8974" max="8975" width="10" style="7" customWidth="1"/>
    <col min="8976" max="8976" width="7" style="7" customWidth="1"/>
    <col min="8977" max="8977" width="8.85546875" style="7" customWidth="1"/>
    <col min="8978" max="8979" width="6.85546875" style="7" customWidth="1"/>
    <col min="8980" max="8980" width="9.85546875" style="7" bestFit="1" customWidth="1"/>
    <col min="8981" max="8981" width="8.85546875" style="7" customWidth="1"/>
    <col min="8982" max="9215" width="9" style="7"/>
    <col min="9216" max="9217" width="9.42578125" style="7" customWidth="1"/>
    <col min="9218" max="9219" width="9" style="7" customWidth="1"/>
    <col min="9220" max="9220" width="1.85546875" style="7" customWidth="1"/>
    <col min="9221" max="9221" width="10.85546875" style="7" customWidth="1"/>
    <col min="9222" max="9222" width="5.140625" style="7" customWidth="1"/>
    <col min="9223" max="9223" width="10" style="7" customWidth="1"/>
    <col min="9224" max="9224" width="5.85546875" style="7" customWidth="1"/>
    <col min="9225" max="9225" width="11" style="7" customWidth="1"/>
    <col min="9226" max="9226" width="5.140625" style="7" customWidth="1"/>
    <col min="9227" max="9227" width="10.42578125" style="7" customWidth="1"/>
    <col min="9228" max="9228" width="4.5703125" style="7" customWidth="1"/>
    <col min="9229" max="9229" width="9" style="7" customWidth="1"/>
    <col min="9230" max="9231" width="10" style="7" customWidth="1"/>
    <col min="9232" max="9232" width="7" style="7" customWidth="1"/>
    <col min="9233" max="9233" width="8.85546875" style="7" customWidth="1"/>
    <col min="9234" max="9235" width="6.85546875" style="7" customWidth="1"/>
    <col min="9236" max="9236" width="9.85546875" style="7" bestFit="1" customWidth="1"/>
    <col min="9237" max="9237" width="8.85546875" style="7" customWidth="1"/>
    <col min="9238" max="9471" width="9" style="7"/>
    <col min="9472" max="9473" width="9.42578125" style="7" customWidth="1"/>
    <col min="9474" max="9475" width="9" style="7" customWidth="1"/>
    <col min="9476" max="9476" width="1.85546875" style="7" customWidth="1"/>
    <col min="9477" max="9477" width="10.85546875" style="7" customWidth="1"/>
    <col min="9478" max="9478" width="5.140625" style="7" customWidth="1"/>
    <col min="9479" max="9479" width="10" style="7" customWidth="1"/>
    <col min="9480" max="9480" width="5.85546875" style="7" customWidth="1"/>
    <col min="9481" max="9481" width="11" style="7" customWidth="1"/>
    <col min="9482" max="9482" width="5.140625" style="7" customWidth="1"/>
    <col min="9483" max="9483" width="10.42578125" style="7" customWidth="1"/>
    <col min="9484" max="9484" width="4.5703125" style="7" customWidth="1"/>
    <col min="9485" max="9485" width="9" style="7" customWidth="1"/>
    <col min="9486" max="9487" width="10" style="7" customWidth="1"/>
    <col min="9488" max="9488" width="7" style="7" customWidth="1"/>
    <col min="9489" max="9489" width="8.85546875" style="7" customWidth="1"/>
    <col min="9490" max="9491" width="6.85546875" style="7" customWidth="1"/>
    <col min="9492" max="9492" width="9.85546875" style="7" bestFit="1" customWidth="1"/>
    <col min="9493" max="9493" width="8.85546875" style="7" customWidth="1"/>
    <col min="9494" max="9727" width="9" style="7"/>
    <col min="9728" max="9729" width="9.42578125" style="7" customWidth="1"/>
    <col min="9730" max="9731" width="9" style="7" customWidth="1"/>
    <col min="9732" max="9732" width="1.85546875" style="7" customWidth="1"/>
    <col min="9733" max="9733" width="10.85546875" style="7" customWidth="1"/>
    <col min="9734" max="9734" width="5.140625" style="7" customWidth="1"/>
    <col min="9735" max="9735" width="10" style="7" customWidth="1"/>
    <col min="9736" max="9736" width="5.85546875" style="7" customWidth="1"/>
    <col min="9737" max="9737" width="11" style="7" customWidth="1"/>
    <col min="9738" max="9738" width="5.140625" style="7" customWidth="1"/>
    <col min="9739" max="9739" width="10.42578125" style="7" customWidth="1"/>
    <col min="9740" max="9740" width="4.5703125" style="7" customWidth="1"/>
    <col min="9741" max="9741" width="9" style="7" customWidth="1"/>
    <col min="9742" max="9743" width="10" style="7" customWidth="1"/>
    <col min="9744" max="9744" width="7" style="7" customWidth="1"/>
    <col min="9745" max="9745" width="8.85546875" style="7" customWidth="1"/>
    <col min="9746" max="9747" width="6.85546875" style="7" customWidth="1"/>
    <col min="9748" max="9748" width="9.85546875" style="7" bestFit="1" customWidth="1"/>
    <col min="9749" max="9749" width="8.85546875" style="7" customWidth="1"/>
    <col min="9750" max="9983" width="9" style="7"/>
    <col min="9984" max="9985" width="9.42578125" style="7" customWidth="1"/>
    <col min="9986" max="9987" width="9" style="7" customWidth="1"/>
    <col min="9988" max="9988" width="1.85546875" style="7" customWidth="1"/>
    <col min="9989" max="9989" width="10.85546875" style="7" customWidth="1"/>
    <col min="9990" max="9990" width="5.140625" style="7" customWidth="1"/>
    <col min="9991" max="9991" width="10" style="7" customWidth="1"/>
    <col min="9992" max="9992" width="5.85546875" style="7" customWidth="1"/>
    <col min="9993" max="9993" width="11" style="7" customWidth="1"/>
    <col min="9994" max="9994" width="5.140625" style="7" customWidth="1"/>
    <col min="9995" max="9995" width="10.42578125" style="7" customWidth="1"/>
    <col min="9996" max="9996" width="4.5703125" style="7" customWidth="1"/>
    <col min="9997" max="9997" width="9" style="7" customWidth="1"/>
    <col min="9998" max="9999" width="10" style="7" customWidth="1"/>
    <col min="10000" max="10000" width="7" style="7" customWidth="1"/>
    <col min="10001" max="10001" width="8.85546875" style="7" customWidth="1"/>
    <col min="10002" max="10003" width="6.85546875" style="7" customWidth="1"/>
    <col min="10004" max="10004" width="9.85546875" style="7" bestFit="1" customWidth="1"/>
    <col min="10005" max="10005" width="8.85546875" style="7" customWidth="1"/>
    <col min="10006" max="10239" width="9" style="7"/>
    <col min="10240" max="10241" width="9.42578125" style="7" customWidth="1"/>
    <col min="10242" max="10243" width="9" style="7" customWidth="1"/>
    <col min="10244" max="10244" width="1.85546875" style="7" customWidth="1"/>
    <col min="10245" max="10245" width="10.85546875" style="7" customWidth="1"/>
    <col min="10246" max="10246" width="5.140625" style="7" customWidth="1"/>
    <col min="10247" max="10247" width="10" style="7" customWidth="1"/>
    <col min="10248" max="10248" width="5.85546875" style="7" customWidth="1"/>
    <col min="10249" max="10249" width="11" style="7" customWidth="1"/>
    <col min="10250" max="10250" width="5.140625" style="7" customWidth="1"/>
    <col min="10251" max="10251" width="10.42578125" style="7" customWidth="1"/>
    <col min="10252" max="10252" width="4.5703125" style="7" customWidth="1"/>
    <col min="10253" max="10253" width="9" style="7" customWidth="1"/>
    <col min="10254" max="10255" width="10" style="7" customWidth="1"/>
    <col min="10256" max="10256" width="7" style="7" customWidth="1"/>
    <col min="10257" max="10257" width="8.85546875" style="7" customWidth="1"/>
    <col min="10258" max="10259" width="6.85546875" style="7" customWidth="1"/>
    <col min="10260" max="10260" width="9.85546875" style="7" bestFit="1" customWidth="1"/>
    <col min="10261" max="10261" width="8.85546875" style="7" customWidth="1"/>
    <col min="10262" max="10495" width="9" style="7"/>
    <col min="10496" max="10497" width="9.42578125" style="7" customWidth="1"/>
    <col min="10498" max="10499" width="9" style="7" customWidth="1"/>
    <col min="10500" max="10500" width="1.85546875" style="7" customWidth="1"/>
    <col min="10501" max="10501" width="10.85546875" style="7" customWidth="1"/>
    <col min="10502" max="10502" width="5.140625" style="7" customWidth="1"/>
    <col min="10503" max="10503" width="10" style="7" customWidth="1"/>
    <col min="10504" max="10504" width="5.85546875" style="7" customWidth="1"/>
    <col min="10505" max="10505" width="11" style="7" customWidth="1"/>
    <col min="10506" max="10506" width="5.140625" style="7" customWidth="1"/>
    <col min="10507" max="10507" width="10.42578125" style="7" customWidth="1"/>
    <col min="10508" max="10508" width="4.5703125" style="7" customWidth="1"/>
    <col min="10509" max="10509" width="9" style="7" customWidth="1"/>
    <col min="10510" max="10511" width="10" style="7" customWidth="1"/>
    <col min="10512" max="10512" width="7" style="7" customWidth="1"/>
    <col min="10513" max="10513" width="8.85546875" style="7" customWidth="1"/>
    <col min="10514" max="10515" width="6.85546875" style="7" customWidth="1"/>
    <col min="10516" max="10516" width="9.85546875" style="7" bestFit="1" customWidth="1"/>
    <col min="10517" max="10517" width="8.85546875" style="7" customWidth="1"/>
    <col min="10518" max="10751" width="9" style="7"/>
    <col min="10752" max="10753" width="9.42578125" style="7" customWidth="1"/>
    <col min="10754" max="10755" width="9" style="7" customWidth="1"/>
    <col min="10756" max="10756" width="1.85546875" style="7" customWidth="1"/>
    <col min="10757" max="10757" width="10.85546875" style="7" customWidth="1"/>
    <col min="10758" max="10758" width="5.140625" style="7" customWidth="1"/>
    <col min="10759" max="10759" width="10" style="7" customWidth="1"/>
    <col min="10760" max="10760" width="5.85546875" style="7" customWidth="1"/>
    <col min="10761" max="10761" width="11" style="7" customWidth="1"/>
    <col min="10762" max="10762" width="5.140625" style="7" customWidth="1"/>
    <col min="10763" max="10763" width="10.42578125" style="7" customWidth="1"/>
    <col min="10764" max="10764" width="4.5703125" style="7" customWidth="1"/>
    <col min="10765" max="10765" width="9" style="7" customWidth="1"/>
    <col min="10766" max="10767" width="10" style="7" customWidth="1"/>
    <col min="10768" max="10768" width="7" style="7" customWidth="1"/>
    <col min="10769" max="10769" width="8.85546875" style="7" customWidth="1"/>
    <col min="10770" max="10771" width="6.85546875" style="7" customWidth="1"/>
    <col min="10772" max="10772" width="9.85546875" style="7" bestFit="1" customWidth="1"/>
    <col min="10773" max="10773" width="8.85546875" style="7" customWidth="1"/>
    <col min="10774" max="11007" width="9" style="7"/>
    <col min="11008" max="11009" width="9.42578125" style="7" customWidth="1"/>
    <col min="11010" max="11011" width="9" style="7" customWidth="1"/>
    <col min="11012" max="11012" width="1.85546875" style="7" customWidth="1"/>
    <col min="11013" max="11013" width="10.85546875" style="7" customWidth="1"/>
    <col min="11014" max="11014" width="5.140625" style="7" customWidth="1"/>
    <col min="11015" max="11015" width="10" style="7" customWidth="1"/>
    <col min="11016" max="11016" width="5.85546875" style="7" customWidth="1"/>
    <col min="11017" max="11017" width="11" style="7" customWidth="1"/>
    <col min="11018" max="11018" width="5.140625" style="7" customWidth="1"/>
    <col min="11019" max="11019" width="10.42578125" style="7" customWidth="1"/>
    <col min="11020" max="11020" width="4.5703125" style="7" customWidth="1"/>
    <col min="11021" max="11021" width="9" style="7" customWidth="1"/>
    <col min="11022" max="11023" width="10" style="7" customWidth="1"/>
    <col min="11024" max="11024" width="7" style="7" customWidth="1"/>
    <col min="11025" max="11025" width="8.85546875" style="7" customWidth="1"/>
    <col min="11026" max="11027" width="6.85546875" style="7" customWidth="1"/>
    <col min="11028" max="11028" width="9.85546875" style="7" bestFit="1" customWidth="1"/>
    <col min="11029" max="11029" width="8.85546875" style="7" customWidth="1"/>
    <col min="11030" max="11263" width="9" style="7"/>
    <col min="11264" max="11265" width="9.42578125" style="7" customWidth="1"/>
    <col min="11266" max="11267" width="9" style="7" customWidth="1"/>
    <col min="11268" max="11268" width="1.85546875" style="7" customWidth="1"/>
    <col min="11269" max="11269" width="10.85546875" style="7" customWidth="1"/>
    <col min="11270" max="11270" width="5.140625" style="7" customWidth="1"/>
    <col min="11271" max="11271" width="10" style="7" customWidth="1"/>
    <col min="11272" max="11272" width="5.85546875" style="7" customWidth="1"/>
    <col min="11273" max="11273" width="11" style="7" customWidth="1"/>
    <col min="11274" max="11274" width="5.140625" style="7" customWidth="1"/>
    <col min="11275" max="11275" width="10.42578125" style="7" customWidth="1"/>
    <col min="11276" max="11276" width="4.5703125" style="7" customWidth="1"/>
    <col min="11277" max="11277" width="9" style="7" customWidth="1"/>
    <col min="11278" max="11279" width="10" style="7" customWidth="1"/>
    <col min="11280" max="11280" width="7" style="7" customWidth="1"/>
    <col min="11281" max="11281" width="8.85546875" style="7" customWidth="1"/>
    <col min="11282" max="11283" width="6.85546875" style="7" customWidth="1"/>
    <col min="11284" max="11284" width="9.85546875" style="7" bestFit="1" customWidth="1"/>
    <col min="11285" max="11285" width="8.85546875" style="7" customWidth="1"/>
    <col min="11286" max="11519" width="9" style="7"/>
    <col min="11520" max="11521" width="9.42578125" style="7" customWidth="1"/>
    <col min="11522" max="11523" width="9" style="7" customWidth="1"/>
    <col min="11524" max="11524" width="1.85546875" style="7" customWidth="1"/>
    <col min="11525" max="11525" width="10.85546875" style="7" customWidth="1"/>
    <col min="11526" max="11526" width="5.140625" style="7" customWidth="1"/>
    <col min="11527" max="11527" width="10" style="7" customWidth="1"/>
    <col min="11528" max="11528" width="5.85546875" style="7" customWidth="1"/>
    <col min="11529" max="11529" width="11" style="7" customWidth="1"/>
    <col min="11530" max="11530" width="5.140625" style="7" customWidth="1"/>
    <col min="11531" max="11531" width="10.42578125" style="7" customWidth="1"/>
    <col min="11532" max="11532" width="4.5703125" style="7" customWidth="1"/>
    <col min="11533" max="11533" width="9" style="7" customWidth="1"/>
    <col min="11534" max="11535" width="10" style="7" customWidth="1"/>
    <col min="11536" max="11536" width="7" style="7" customWidth="1"/>
    <col min="11537" max="11537" width="8.85546875" style="7" customWidth="1"/>
    <col min="11538" max="11539" width="6.85546875" style="7" customWidth="1"/>
    <col min="11540" max="11540" width="9.85546875" style="7" bestFit="1" customWidth="1"/>
    <col min="11541" max="11541" width="8.85546875" style="7" customWidth="1"/>
    <col min="11542" max="11775" width="9" style="7"/>
    <col min="11776" max="11777" width="9.42578125" style="7" customWidth="1"/>
    <col min="11778" max="11779" width="9" style="7" customWidth="1"/>
    <col min="11780" max="11780" width="1.85546875" style="7" customWidth="1"/>
    <col min="11781" max="11781" width="10.85546875" style="7" customWidth="1"/>
    <col min="11782" max="11782" width="5.140625" style="7" customWidth="1"/>
    <col min="11783" max="11783" width="10" style="7" customWidth="1"/>
    <col min="11784" max="11784" width="5.85546875" style="7" customWidth="1"/>
    <col min="11785" max="11785" width="11" style="7" customWidth="1"/>
    <col min="11786" max="11786" width="5.140625" style="7" customWidth="1"/>
    <col min="11787" max="11787" width="10.42578125" style="7" customWidth="1"/>
    <col min="11788" max="11788" width="4.5703125" style="7" customWidth="1"/>
    <col min="11789" max="11789" width="9" style="7" customWidth="1"/>
    <col min="11790" max="11791" width="10" style="7" customWidth="1"/>
    <col min="11792" max="11792" width="7" style="7" customWidth="1"/>
    <col min="11793" max="11793" width="8.85546875" style="7" customWidth="1"/>
    <col min="11794" max="11795" width="6.85546875" style="7" customWidth="1"/>
    <col min="11796" max="11796" width="9.85546875" style="7" bestFit="1" customWidth="1"/>
    <col min="11797" max="11797" width="8.85546875" style="7" customWidth="1"/>
    <col min="11798" max="12031" width="9" style="7"/>
    <col min="12032" max="12033" width="9.42578125" style="7" customWidth="1"/>
    <col min="12034" max="12035" width="9" style="7" customWidth="1"/>
    <col min="12036" max="12036" width="1.85546875" style="7" customWidth="1"/>
    <col min="12037" max="12037" width="10.85546875" style="7" customWidth="1"/>
    <col min="12038" max="12038" width="5.140625" style="7" customWidth="1"/>
    <col min="12039" max="12039" width="10" style="7" customWidth="1"/>
    <col min="12040" max="12040" width="5.85546875" style="7" customWidth="1"/>
    <col min="12041" max="12041" width="11" style="7" customWidth="1"/>
    <col min="12042" max="12042" width="5.140625" style="7" customWidth="1"/>
    <col min="12043" max="12043" width="10.42578125" style="7" customWidth="1"/>
    <col min="12044" max="12044" width="4.5703125" style="7" customWidth="1"/>
    <col min="12045" max="12045" width="9" style="7" customWidth="1"/>
    <col min="12046" max="12047" width="10" style="7" customWidth="1"/>
    <col min="12048" max="12048" width="7" style="7" customWidth="1"/>
    <col min="12049" max="12049" width="8.85546875" style="7" customWidth="1"/>
    <col min="12050" max="12051" width="6.85546875" style="7" customWidth="1"/>
    <col min="12052" max="12052" width="9.85546875" style="7" bestFit="1" customWidth="1"/>
    <col min="12053" max="12053" width="8.85546875" style="7" customWidth="1"/>
    <col min="12054" max="12287" width="9" style="7"/>
    <col min="12288" max="12289" width="9.42578125" style="7" customWidth="1"/>
    <col min="12290" max="12291" width="9" style="7" customWidth="1"/>
    <col min="12292" max="12292" width="1.85546875" style="7" customWidth="1"/>
    <col min="12293" max="12293" width="10.85546875" style="7" customWidth="1"/>
    <col min="12294" max="12294" width="5.140625" style="7" customWidth="1"/>
    <col min="12295" max="12295" width="10" style="7" customWidth="1"/>
    <col min="12296" max="12296" width="5.85546875" style="7" customWidth="1"/>
    <col min="12297" max="12297" width="11" style="7" customWidth="1"/>
    <col min="12298" max="12298" width="5.140625" style="7" customWidth="1"/>
    <col min="12299" max="12299" width="10.42578125" style="7" customWidth="1"/>
    <col min="12300" max="12300" width="4.5703125" style="7" customWidth="1"/>
    <col min="12301" max="12301" width="9" style="7" customWidth="1"/>
    <col min="12302" max="12303" width="10" style="7" customWidth="1"/>
    <col min="12304" max="12304" width="7" style="7" customWidth="1"/>
    <col min="12305" max="12305" width="8.85546875" style="7" customWidth="1"/>
    <col min="12306" max="12307" width="6.85546875" style="7" customWidth="1"/>
    <col min="12308" max="12308" width="9.85546875" style="7" bestFit="1" customWidth="1"/>
    <col min="12309" max="12309" width="8.85546875" style="7" customWidth="1"/>
    <col min="12310" max="12543" width="9" style="7"/>
    <col min="12544" max="12545" width="9.42578125" style="7" customWidth="1"/>
    <col min="12546" max="12547" width="9" style="7" customWidth="1"/>
    <col min="12548" max="12548" width="1.85546875" style="7" customWidth="1"/>
    <col min="12549" max="12549" width="10.85546875" style="7" customWidth="1"/>
    <col min="12550" max="12550" width="5.140625" style="7" customWidth="1"/>
    <col min="12551" max="12551" width="10" style="7" customWidth="1"/>
    <col min="12552" max="12552" width="5.85546875" style="7" customWidth="1"/>
    <col min="12553" max="12553" width="11" style="7" customWidth="1"/>
    <col min="12554" max="12554" width="5.140625" style="7" customWidth="1"/>
    <col min="12555" max="12555" width="10.42578125" style="7" customWidth="1"/>
    <col min="12556" max="12556" width="4.5703125" style="7" customWidth="1"/>
    <col min="12557" max="12557" width="9" style="7" customWidth="1"/>
    <col min="12558" max="12559" width="10" style="7" customWidth="1"/>
    <col min="12560" max="12560" width="7" style="7" customWidth="1"/>
    <col min="12561" max="12561" width="8.85546875" style="7" customWidth="1"/>
    <col min="12562" max="12563" width="6.85546875" style="7" customWidth="1"/>
    <col min="12564" max="12564" width="9.85546875" style="7" bestFit="1" customWidth="1"/>
    <col min="12565" max="12565" width="8.85546875" style="7" customWidth="1"/>
    <col min="12566" max="12799" width="9" style="7"/>
    <col min="12800" max="12801" width="9.42578125" style="7" customWidth="1"/>
    <col min="12802" max="12803" width="9" style="7" customWidth="1"/>
    <col min="12804" max="12804" width="1.85546875" style="7" customWidth="1"/>
    <col min="12805" max="12805" width="10.85546875" style="7" customWidth="1"/>
    <col min="12806" max="12806" width="5.140625" style="7" customWidth="1"/>
    <col min="12807" max="12807" width="10" style="7" customWidth="1"/>
    <col min="12808" max="12808" width="5.85546875" style="7" customWidth="1"/>
    <col min="12809" max="12809" width="11" style="7" customWidth="1"/>
    <col min="12810" max="12810" width="5.140625" style="7" customWidth="1"/>
    <col min="12811" max="12811" width="10.42578125" style="7" customWidth="1"/>
    <col min="12812" max="12812" width="4.5703125" style="7" customWidth="1"/>
    <col min="12813" max="12813" width="9" style="7" customWidth="1"/>
    <col min="12814" max="12815" width="10" style="7" customWidth="1"/>
    <col min="12816" max="12816" width="7" style="7" customWidth="1"/>
    <col min="12817" max="12817" width="8.85546875" style="7" customWidth="1"/>
    <col min="12818" max="12819" width="6.85546875" style="7" customWidth="1"/>
    <col min="12820" max="12820" width="9.85546875" style="7" bestFit="1" customWidth="1"/>
    <col min="12821" max="12821" width="8.85546875" style="7" customWidth="1"/>
    <col min="12822" max="13055" width="9" style="7"/>
    <col min="13056" max="13057" width="9.42578125" style="7" customWidth="1"/>
    <col min="13058" max="13059" width="9" style="7" customWidth="1"/>
    <col min="13060" max="13060" width="1.85546875" style="7" customWidth="1"/>
    <col min="13061" max="13061" width="10.85546875" style="7" customWidth="1"/>
    <col min="13062" max="13062" width="5.140625" style="7" customWidth="1"/>
    <col min="13063" max="13063" width="10" style="7" customWidth="1"/>
    <col min="13064" max="13064" width="5.85546875" style="7" customWidth="1"/>
    <col min="13065" max="13065" width="11" style="7" customWidth="1"/>
    <col min="13066" max="13066" width="5.140625" style="7" customWidth="1"/>
    <col min="13067" max="13067" width="10.42578125" style="7" customWidth="1"/>
    <col min="13068" max="13068" width="4.5703125" style="7" customWidth="1"/>
    <col min="13069" max="13069" width="9" style="7" customWidth="1"/>
    <col min="13070" max="13071" width="10" style="7" customWidth="1"/>
    <col min="13072" max="13072" width="7" style="7" customWidth="1"/>
    <col min="13073" max="13073" width="8.85546875" style="7" customWidth="1"/>
    <col min="13074" max="13075" width="6.85546875" style="7" customWidth="1"/>
    <col min="13076" max="13076" width="9.85546875" style="7" bestFit="1" customWidth="1"/>
    <col min="13077" max="13077" width="8.85546875" style="7" customWidth="1"/>
    <col min="13078" max="13311" width="9" style="7"/>
    <col min="13312" max="13313" width="9.42578125" style="7" customWidth="1"/>
    <col min="13314" max="13315" width="9" style="7" customWidth="1"/>
    <col min="13316" max="13316" width="1.85546875" style="7" customWidth="1"/>
    <col min="13317" max="13317" width="10.85546875" style="7" customWidth="1"/>
    <col min="13318" max="13318" width="5.140625" style="7" customWidth="1"/>
    <col min="13319" max="13319" width="10" style="7" customWidth="1"/>
    <col min="13320" max="13320" width="5.85546875" style="7" customWidth="1"/>
    <col min="13321" max="13321" width="11" style="7" customWidth="1"/>
    <col min="13322" max="13322" width="5.140625" style="7" customWidth="1"/>
    <col min="13323" max="13323" width="10.42578125" style="7" customWidth="1"/>
    <col min="13324" max="13324" width="4.5703125" style="7" customWidth="1"/>
    <col min="13325" max="13325" width="9" style="7" customWidth="1"/>
    <col min="13326" max="13327" width="10" style="7" customWidth="1"/>
    <col min="13328" max="13328" width="7" style="7" customWidth="1"/>
    <col min="13329" max="13329" width="8.85546875" style="7" customWidth="1"/>
    <col min="13330" max="13331" width="6.85546875" style="7" customWidth="1"/>
    <col min="13332" max="13332" width="9.85546875" style="7" bestFit="1" customWidth="1"/>
    <col min="13333" max="13333" width="8.85546875" style="7" customWidth="1"/>
    <col min="13334" max="13567" width="9" style="7"/>
    <col min="13568" max="13569" width="9.42578125" style="7" customWidth="1"/>
    <col min="13570" max="13571" width="9" style="7" customWidth="1"/>
    <col min="13572" max="13572" width="1.85546875" style="7" customWidth="1"/>
    <col min="13573" max="13573" width="10.85546875" style="7" customWidth="1"/>
    <col min="13574" max="13574" width="5.140625" style="7" customWidth="1"/>
    <col min="13575" max="13575" width="10" style="7" customWidth="1"/>
    <col min="13576" max="13576" width="5.85546875" style="7" customWidth="1"/>
    <col min="13577" max="13577" width="11" style="7" customWidth="1"/>
    <col min="13578" max="13578" width="5.140625" style="7" customWidth="1"/>
    <col min="13579" max="13579" width="10.42578125" style="7" customWidth="1"/>
    <col min="13580" max="13580" width="4.5703125" style="7" customWidth="1"/>
    <col min="13581" max="13581" width="9" style="7" customWidth="1"/>
    <col min="13582" max="13583" width="10" style="7" customWidth="1"/>
    <col min="13584" max="13584" width="7" style="7" customWidth="1"/>
    <col min="13585" max="13585" width="8.85546875" style="7" customWidth="1"/>
    <col min="13586" max="13587" width="6.85546875" style="7" customWidth="1"/>
    <col min="13588" max="13588" width="9.85546875" style="7" bestFit="1" customWidth="1"/>
    <col min="13589" max="13589" width="8.85546875" style="7" customWidth="1"/>
    <col min="13590" max="13823" width="9" style="7"/>
    <col min="13824" max="13825" width="9.42578125" style="7" customWidth="1"/>
    <col min="13826" max="13827" width="9" style="7" customWidth="1"/>
    <col min="13828" max="13828" width="1.85546875" style="7" customWidth="1"/>
    <col min="13829" max="13829" width="10.85546875" style="7" customWidth="1"/>
    <col min="13830" max="13830" width="5.140625" style="7" customWidth="1"/>
    <col min="13831" max="13831" width="10" style="7" customWidth="1"/>
    <col min="13832" max="13832" width="5.85546875" style="7" customWidth="1"/>
    <col min="13833" max="13833" width="11" style="7" customWidth="1"/>
    <col min="13834" max="13834" width="5.140625" style="7" customWidth="1"/>
    <col min="13835" max="13835" width="10.42578125" style="7" customWidth="1"/>
    <col min="13836" max="13836" width="4.5703125" style="7" customWidth="1"/>
    <col min="13837" max="13837" width="9" style="7" customWidth="1"/>
    <col min="13838" max="13839" width="10" style="7" customWidth="1"/>
    <col min="13840" max="13840" width="7" style="7" customWidth="1"/>
    <col min="13841" max="13841" width="8.85546875" style="7" customWidth="1"/>
    <col min="13842" max="13843" width="6.85546875" style="7" customWidth="1"/>
    <col min="13844" max="13844" width="9.85546875" style="7" bestFit="1" customWidth="1"/>
    <col min="13845" max="13845" width="8.85546875" style="7" customWidth="1"/>
    <col min="13846" max="14079" width="9" style="7"/>
    <col min="14080" max="14081" width="9.42578125" style="7" customWidth="1"/>
    <col min="14082" max="14083" width="9" style="7" customWidth="1"/>
    <col min="14084" max="14084" width="1.85546875" style="7" customWidth="1"/>
    <col min="14085" max="14085" width="10.85546875" style="7" customWidth="1"/>
    <col min="14086" max="14086" width="5.140625" style="7" customWidth="1"/>
    <col min="14087" max="14087" width="10" style="7" customWidth="1"/>
    <col min="14088" max="14088" width="5.85546875" style="7" customWidth="1"/>
    <col min="14089" max="14089" width="11" style="7" customWidth="1"/>
    <col min="14090" max="14090" width="5.140625" style="7" customWidth="1"/>
    <col min="14091" max="14091" width="10.42578125" style="7" customWidth="1"/>
    <col min="14092" max="14092" width="4.5703125" style="7" customWidth="1"/>
    <col min="14093" max="14093" width="9" style="7" customWidth="1"/>
    <col min="14094" max="14095" width="10" style="7" customWidth="1"/>
    <col min="14096" max="14096" width="7" style="7" customWidth="1"/>
    <col min="14097" max="14097" width="8.85546875" style="7" customWidth="1"/>
    <col min="14098" max="14099" width="6.85546875" style="7" customWidth="1"/>
    <col min="14100" max="14100" width="9.85546875" style="7" bestFit="1" customWidth="1"/>
    <col min="14101" max="14101" width="8.85546875" style="7" customWidth="1"/>
    <col min="14102" max="14335" width="9" style="7"/>
    <col min="14336" max="14337" width="9.42578125" style="7" customWidth="1"/>
    <col min="14338" max="14339" width="9" style="7" customWidth="1"/>
    <col min="14340" max="14340" width="1.85546875" style="7" customWidth="1"/>
    <col min="14341" max="14341" width="10.85546875" style="7" customWidth="1"/>
    <col min="14342" max="14342" width="5.140625" style="7" customWidth="1"/>
    <col min="14343" max="14343" width="10" style="7" customWidth="1"/>
    <col min="14344" max="14344" width="5.85546875" style="7" customWidth="1"/>
    <col min="14345" max="14345" width="11" style="7" customWidth="1"/>
    <col min="14346" max="14346" width="5.140625" style="7" customWidth="1"/>
    <col min="14347" max="14347" width="10.42578125" style="7" customWidth="1"/>
    <col min="14348" max="14348" width="4.5703125" style="7" customWidth="1"/>
    <col min="14349" max="14349" width="9" style="7" customWidth="1"/>
    <col min="14350" max="14351" width="10" style="7" customWidth="1"/>
    <col min="14352" max="14352" width="7" style="7" customWidth="1"/>
    <col min="14353" max="14353" width="8.85546875" style="7" customWidth="1"/>
    <col min="14354" max="14355" width="6.85546875" style="7" customWidth="1"/>
    <col min="14356" max="14356" width="9.85546875" style="7" bestFit="1" customWidth="1"/>
    <col min="14357" max="14357" width="8.85546875" style="7" customWidth="1"/>
    <col min="14358" max="14591" width="9" style="7"/>
    <col min="14592" max="14593" width="9.42578125" style="7" customWidth="1"/>
    <col min="14594" max="14595" width="9" style="7" customWidth="1"/>
    <col min="14596" max="14596" width="1.85546875" style="7" customWidth="1"/>
    <col min="14597" max="14597" width="10.85546875" style="7" customWidth="1"/>
    <col min="14598" max="14598" width="5.140625" style="7" customWidth="1"/>
    <col min="14599" max="14599" width="10" style="7" customWidth="1"/>
    <col min="14600" max="14600" width="5.85546875" style="7" customWidth="1"/>
    <col min="14601" max="14601" width="11" style="7" customWidth="1"/>
    <col min="14602" max="14602" width="5.140625" style="7" customWidth="1"/>
    <col min="14603" max="14603" width="10.42578125" style="7" customWidth="1"/>
    <col min="14604" max="14604" width="4.5703125" style="7" customWidth="1"/>
    <col min="14605" max="14605" width="9" style="7" customWidth="1"/>
    <col min="14606" max="14607" width="10" style="7" customWidth="1"/>
    <col min="14608" max="14608" width="7" style="7" customWidth="1"/>
    <col min="14609" max="14609" width="8.85546875" style="7" customWidth="1"/>
    <col min="14610" max="14611" width="6.85546875" style="7" customWidth="1"/>
    <col min="14612" max="14612" width="9.85546875" style="7" bestFit="1" customWidth="1"/>
    <col min="14613" max="14613" width="8.85546875" style="7" customWidth="1"/>
    <col min="14614" max="14847" width="9" style="7"/>
    <col min="14848" max="14849" width="9.42578125" style="7" customWidth="1"/>
    <col min="14850" max="14851" width="9" style="7" customWidth="1"/>
    <col min="14852" max="14852" width="1.85546875" style="7" customWidth="1"/>
    <col min="14853" max="14853" width="10.85546875" style="7" customWidth="1"/>
    <col min="14854" max="14854" width="5.140625" style="7" customWidth="1"/>
    <col min="14855" max="14855" width="10" style="7" customWidth="1"/>
    <col min="14856" max="14856" width="5.85546875" style="7" customWidth="1"/>
    <col min="14857" max="14857" width="11" style="7" customWidth="1"/>
    <col min="14858" max="14858" width="5.140625" style="7" customWidth="1"/>
    <col min="14859" max="14859" width="10.42578125" style="7" customWidth="1"/>
    <col min="14860" max="14860" width="4.5703125" style="7" customWidth="1"/>
    <col min="14861" max="14861" width="9" style="7" customWidth="1"/>
    <col min="14862" max="14863" width="10" style="7" customWidth="1"/>
    <col min="14864" max="14864" width="7" style="7" customWidth="1"/>
    <col min="14865" max="14865" width="8.85546875" style="7" customWidth="1"/>
    <col min="14866" max="14867" width="6.85546875" style="7" customWidth="1"/>
    <col min="14868" max="14868" width="9.85546875" style="7" bestFit="1" customWidth="1"/>
    <col min="14869" max="14869" width="8.85546875" style="7" customWidth="1"/>
    <col min="14870" max="15103" width="9" style="7"/>
    <col min="15104" max="15105" width="9.42578125" style="7" customWidth="1"/>
    <col min="15106" max="15107" width="9" style="7" customWidth="1"/>
    <col min="15108" max="15108" width="1.85546875" style="7" customWidth="1"/>
    <col min="15109" max="15109" width="10.85546875" style="7" customWidth="1"/>
    <col min="15110" max="15110" width="5.140625" style="7" customWidth="1"/>
    <col min="15111" max="15111" width="10" style="7" customWidth="1"/>
    <col min="15112" max="15112" width="5.85546875" style="7" customWidth="1"/>
    <col min="15113" max="15113" width="11" style="7" customWidth="1"/>
    <col min="15114" max="15114" width="5.140625" style="7" customWidth="1"/>
    <col min="15115" max="15115" width="10.42578125" style="7" customWidth="1"/>
    <col min="15116" max="15116" width="4.5703125" style="7" customWidth="1"/>
    <col min="15117" max="15117" width="9" style="7" customWidth="1"/>
    <col min="15118" max="15119" width="10" style="7" customWidth="1"/>
    <col min="15120" max="15120" width="7" style="7" customWidth="1"/>
    <col min="15121" max="15121" width="8.85546875" style="7" customWidth="1"/>
    <col min="15122" max="15123" width="6.85546875" style="7" customWidth="1"/>
    <col min="15124" max="15124" width="9.85546875" style="7" bestFit="1" customWidth="1"/>
    <col min="15125" max="15125" width="8.85546875" style="7" customWidth="1"/>
    <col min="15126" max="15359" width="9" style="7"/>
    <col min="15360" max="15361" width="9.42578125" style="7" customWidth="1"/>
    <col min="15362" max="15363" width="9" style="7" customWidth="1"/>
    <col min="15364" max="15364" width="1.85546875" style="7" customWidth="1"/>
    <col min="15365" max="15365" width="10.85546875" style="7" customWidth="1"/>
    <col min="15366" max="15366" width="5.140625" style="7" customWidth="1"/>
    <col min="15367" max="15367" width="10" style="7" customWidth="1"/>
    <col min="15368" max="15368" width="5.85546875" style="7" customWidth="1"/>
    <col min="15369" max="15369" width="11" style="7" customWidth="1"/>
    <col min="15370" max="15370" width="5.140625" style="7" customWidth="1"/>
    <col min="15371" max="15371" width="10.42578125" style="7" customWidth="1"/>
    <col min="15372" max="15372" width="4.5703125" style="7" customWidth="1"/>
    <col min="15373" max="15373" width="9" style="7" customWidth="1"/>
    <col min="15374" max="15375" width="10" style="7" customWidth="1"/>
    <col min="15376" max="15376" width="7" style="7" customWidth="1"/>
    <col min="15377" max="15377" width="8.85546875" style="7" customWidth="1"/>
    <col min="15378" max="15379" width="6.85546875" style="7" customWidth="1"/>
    <col min="15380" max="15380" width="9.85546875" style="7" bestFit="1" customWidth="1"/>
    <col min="15381" max="15381" width="8.85546875" style="7" customWidth="1"/>
    <col min="15382" max="15615" width="9" style="7"/>
    <col min="15616" max="15617" width="9.42578125" style="7" customWidth="1"/>
    <col min="15618" max="15619" width="9" style="7" customWidth="1"/>
    <col min="15620" max="15620" width="1.85546875" style="7" customWidth="1"/>
    <col min="15621" max="15621" width="10.85546875" style="7" customWidth="1"/>
    <col min="15622" max="15622" width="5.140625" style="7" customWidth="1"/>
    <col min="15623" max="15623" width="10" style="7" customWidth="1"/>
    <col min="15624" max="15624" width="5.85546875" style="7" customWidth="1"/>
    <col min="15625" max="15625" width="11" style="7" customWidth="1"/>
    <col min="15626" max="15626" width="5.140625" style="7" customWidth="1"/>
    <col min="15627" max="15627" width="10.42578125" style="7" customWidth="1"/>
    <col min="15628" max="15628" width="4.5703125" style="7" customWidth="1"/>
    <col min="15629" max="15629" width="9" style="7" customWidth="1"/>
    <col min="15630" max="15631" width="10" style="7" customWidth="1"/>
    <col min="15632" max="15632" width="7" style="7" customWidth="1"/>
    <col min="15633" max="15633" width="8.85546875" style="7" customWidth="1"/>
    <col min="15634" max="15635" width="6.85546875" style="7" customWidth="1"/>
    <col min="15636" max="15636" width="9.85546875" style="7" bestFit="1" customWidth="1"/>
    <col min="15637" max="15637" width="8.85546875" style="7" customWidth="1"/>
    <col min="15638" max="15871" width="9" style="7"/>
    <col min="15872" max="15873" width="9.42578125" style="7" customWidth="1"/>
    <col min="15874" max="15875" width="9" style="7" customWidth="1"/>
    <col min="15876" max="15876" width="1.85546875" style="7" customWidth="1"/>
    <col min="15877" max="15877" width="10.85546875" style="7" customWidth="1"/>
    <col min="15878" max="15878" width="5.140625" style="7" customWidth="1"/>
    <col min="15879" max="15879" width="10" style="7" customWidth="1"/>
    <col min="15880" max="15880" width="5.85546875" style="7" customWidth="1"/>
    <col min="15881" max="15881" width="11" style="7" customWidth="1"/>
    <col min="15882" max="15882" width="5.140625" style="7" customWidth="1"/>
    <col min="15883" max="15883" width="10.42578125" style="7" customWidth="1"/>
    <col min="15884" max="15884" width="4.5703125" style="7" customWidth="1"/>
    <col min="15885" max="15885" width="9" style="7" customWidth="1"/>
    <col min="15886" max="15887" width="10" style="7" customWidth="1"/>
    <col min="15888" max="15888" width="7" style="7" customWidth="1"/>
    <col min="15889" max="15889" width="8.85546875" style="7" customWidth="1"/>
    <col min="15890" max="15891" width="6.85546875" style="7" customWidth="1"/>
    <col min="15892" max="15892" width="9.85546875" style="7" bestFit="1" customWidth="1"/>
    <col min="15893" max="15893" width="8.85546875" style="7" customWidth="1"/>
    <col min="15894" max="16127" width="9" style="7"/>
    <col min="16128" max="16129" width="9.42578125" style="7" customWidth="1"/>
    <col min="16130" max="16131" width="9" style="7" customWidth="1"/>
    <col min="16132" max="16132" width="1.85546875" style="7" customWidth="1"/>
    <col min="16133" max="16133" width="10.85546875" style="7" customWidth="1"/>
    <col min="16134" max="16134" width="5.140625" style="7" customWidth="1"/>
    <col min="16135" max="16135" width="10" style="7" customWidth="1"/>
    <col min="16136" max="16136" width="5.85546875" style="7" customWidth="1"/>
    <col min="16137" max="16137" width="11" style="7" customWidth="1"/>
    <col min="16138" max="16138" width="5.140625" style="7" customWidth="1"/>
    <col min="16139" max="16139" width="10.42578125" style="7" customWidth="1"/>
    <col min="16140" max="16140" width="4.5703125" style="7" customWidth="1"/>
    <col min="16141" max="16141" width="9" style="7" customWidth="1"/>
    <col min="16142" max="16143" width="10" style="7" customWidth="1"/>
    <col min="16144" max="16144" width="7" style="7" customWidth="1"/>
    <col min="16145" max="16145" width="8.85546875" style="7" customWidth="1"/>
    <col min="16146" max="16147" width="6.85546875" style="7" customWidth="1"/>
    <col min="16148" max="16148" width="9.85546875" style="7" bestFit="1" customWidth="1"/>
    <col min="16149" max="16149" width="8.85546875" style="7" customWidth="1"/>
    <col min="16150" max="16382" width="9" style="7"/>
    <col min="16383" max="16384" width="9" style="7" customWidth="1"/>
  </cols>
  <sheetData>
    <row r="1" spans="1:28" s="63" customFormat="1" ht="47.25" customHeight="1">
      <c r="A1" s="42" t="s">
        <v>337</v>
      </c>
      <c r="B1" s="3" t="s">
        <v>14</v>
      </c>
      <c r="C1" s="4" t="s">
        <v>15</v>
      </c>
      <c r="D1" s="57" t="s">
        <v>475</v>
      </c>
      <c r="E1" s="57" t="s">
        <v>476</v>
      </c>
      <c r="F1" s="58" t="s">
        <v>477</v>
      </c>
      <c r="G1" s="58" t="s">
        <v>478</v>
      </c>
      <c r="H1" s="134" t="s">
        <v>401</v>
      </c>
      <c r="I1" s="135" t="s">
        <v>341</v>
      </c>
      <c r="J1" s="136" t="s">
        <v>342</v>
      </c>
      <c r="K1" s="134" t="s">
        <v>479</v>
      </c>
      <c r="L1" s="135" t="s">
        <v>343</v>
      </c>
      <c r="M1" s="136" t="s">
        <v>344</v>
      </c>
      <c r="N1" s="134" t="s">
        <v>480</v>
      </c>
      <c r="O1" s="135" t="s">
        <v>402</v>
      </c>
      <c r="P1" s="135" t="s">
        <v>403</v>
      </c>
      <c r="Q1" s="130" t="s">
        <v>404</v>
      </c>
      <c r="R1" s="128" t="s">
        <v>275</v>
      </c>
      <c r="S1" s="59" t="s">
        <v>277</v>
      </c>
      <c r="T1" s="41" t="s">
        <v>405</v>
      </c>
      <c r="U1" s="59" t="s">
        <v>406</v>
      </c>
      <c r="V1" s="60" t="s">
        <v>407</v>
      </c>
      <c r="W1" s="60" t="s">
        <v>276</v>
      </c>
      <c r="X1" s="61" t="s">
        <v>348</v>
      </c>
      <c r="Y1" s="62" t="s">
        <v>282</v>
      </c>
      <c r="Z1" s="62" t="s">
        <v>283</v>
      </c>
      <c r="AA1" s="62" t="s">
        <v>284</v>
      </c>
    </row>
    <row r="2" spans="1:28" s="56" customFormat="1" ht="30" customHeight="1">
      <c r="B2" s="6" t="s">
        <v>481</v>
      </c>
      <c r="C2" s="6"/>
      <c r="D2" s="64" t="s">
        <v>482</v>
      </c>
      <c r="E2" s="65" t="s">
        <v>483</v>
      </c>
      <c r="F2" s="66"/>
      <c r="G2" s="66"/>
      <c r="H2" s="137" t="s">
        <v>401</v>
      </c>
      <c r="I2" s="16" t="s">
        <v>341</v>
      </c>
      <c r="J2" s="138" t="s">
        <v>342</v>
      </c>
      <c r="K2" s="137" t="s">
        <v>401</v>
      </c>
      <c r="L2" s="16" t="s">
        <v>341</v>
      </c>
      <c r="M2" s="138" t="s">
        <v>342</v>
      </c>
      <c r="N2" s="137" t="s">
        <v>401</v>
      </c>
      <c r="O2" s="16" t="s">
        <v>341</v>
      </c>
      <c r="P2" s="16" t="s">
        <v>342</v>
      </c>
      <c r="Q2" s="67"/>
      <c r="R2" s="68"/>
      <c r="S2" s="31"/>
      <c r="T2" s="6" t="s">
        <v>411</v>
      </c>
      <c r="U2" s="31"/>
      <c r="V2" s="261" t="e">
        <f>Table4[[#This Row],[Normal Length]]*Table4[[#This Row],[£Cost /m]]</f>
        <v>#VALUE!</v>
      </c>
      <c r="W2" s="31"/>
      <c r="X2" s="258">
        <v>0.3</v>
      </c>
      <c r="Y2" s="258">
        <v>0.35</v>
      </c>
      <c r="Z2" s="258">
        <v>0.4</v>
      </c>
      <c r="AA2" s="258">
        <v>0.5</v>
      </c>
      <c r="AB2" s="258"/>
    </row>
    <row r="3" spans="1:28" ht="25.35" customHeight="1">
      <c r="A3" s="7" t="s">
        <v>75</v>
      </c>
      <c r="B3" s="7" t="str">
        <f>_xlfn.CONCAT(A3,"_",D3,"_",E3,"_",F3)</f>
        <v>CHS_16_12_2</v>
      </c>
      <c r="C3" s="7" t="str">
        <f t="shared" ref="C3:C44" si="0">_xlfn.CONCAT(A3," ",D3,"OD ",E3,"ID  ",F3,"mm Thick", " @ ",ROUND(G3,2),"Kg/m")</f>
        <v>CHS 16OD 12ID  2mm Thick @ 0.69Kg/m</v>
      </c>
      <c r="D3" s="69">
        <v>16</v>
      </c>
      <c r="E3" s="70">
        <f>D3-F3*2</f>
        <v>12</v>
      </c>
      <c r="F3" s="16">
        <v>2</v>
      </c>
      <c r="G3" s="71">
        <v>0.69052206525903637</v>
      </c>
      <c r="H3" s="139"/>
      <c r="I3" s="9"/>
      <c r="J3" s="140"/>
      <c r="K3" s="139"/>
      <c r="L3" s="9"/>
      <c r="M3" s="140"/>
      <c r="N3" s="139"/>
      <c r="O3" s="9"/>
      <c r="P3" s="9"/>
      <c r="Q3" s="149">
        <f>SUM(H3*I3)+(K3*L3)+(N3*O3)</f>
        <v>0</v>
      </c>
      <c r="R3" s="72">
        <f>Table4[[#This Row],[Total Metres]]*Table4[[#This Row],[Weight   Kg/m]]*Table4[[#This Row],[£/Tonne]]/1000</f>
        <v>0</v>
      </c>
      <c r="S3" s="73">
        <v>550</v>
      </c>
      <c r="T3" s="74">
        <f>Table4[[#This Row],[£/Tonne]]/1000*Table4[[#This Row],[Weight   Kg/m]]</f>
        <v>0.37978713589247004</v>
      </c>
      <c r="U3" s="260">
        <v>6.1</v>
      </c>
      <c r="V3" s="10">
        <f>Table4[[#This Row],[Normal Length]]*Table4[[#This Row],[£Cost /m]]</f>
        <v>2.3167015289440669</v>
      </c>
      <c r="W3" s="10"/>
      <c r="X3" s="10">
        <f>Table4[[#This Row],[£/ Length]]*(1+X$2)</f>
        <v>3.0117119876272871</v>
      </c>
      <c r="Y3" s="10">
        <f>Table4[[#This Row],[£/ Length]]*(1+Y$2)</f>
        <v>3.1275470640744905</v>
      </c>
      <c r="Z3" s="10">
        <f>Table4[[#This Row],[£/ Length]]*(1+Z$2)</f>
        <v>3.2433821405216934</v>
      </c>
      <c r="AA3" s="10">
        <f>Table4[[#This Row],[£/ Length]]*(1+AA$2)</f>
        <v>3.4750522934161001</v>
      </c>
    </row>
    <row r="4" spans="1:28" ht="25.35" customHeight="1">
      <c r="A4" s="7" t="s">
        <v>75</v>
      </c>
      <c r="B4" s="7" t="str">
        <f t="shared" ref="B4:B65" si="1">_xlfn.CONCAT(A4,"_",D4,"_",E4,"_",F4)</f>
        <v>CHS_21_16_2.5</v>
      </c>
      <c r="C4" s="7" t="str">
        <f t="shared" si="0"/>
        <v>CHS 21OD 16ID  2.5mm Thick @ 1.14Kg/m</v>
      </c>
      <c r="D4" s="69">
        <v>21</v>
      </c>
      <c r="E4" s="70">
        <v>16</v>
      </c>
      <c r="F4" s="16">
        <v>2.5</v>
      </c>
      <c r="G4" s="71">
        <v>1.1405944827939445</v>
      </c>
      <c r="H4" s="139">
        <v>7.5</v>
      </c>
      <c r="I4" s="9">
        <v>36</v>
      </c>
      <c r="J4" s="140" t="s">
        <v>422</v>
      </c>
      <c r="K4" s="139">
        <v>7.5</v>
      </c>
      <c r="L4" s="9">
        <v>25</v>
      </c>
      <c r="M4" s="140" t="s">
        <v>255</v>
      </c>
      <c r="N4" s="139"/>
      <c r="O4" s="9"/>
      <c r="P4" s="9"/>
      <c r="Q4" s="149">
        <f t="shared" ref="Q4:Q65" si="2">SUM(H4*I4)+(K4*L4)+(N4*O4)</f>
        <v>457.5</v>
      </c>
      <c r="R4" s="72">
        <f>Table4[[#This Row],[Total Metres]]*Table4[[#This Row],[Weight   Kg/m]]*Table4[[#This Row],[£/Tonne]]/1000</f>
        <v>396.58470166745451</v>
      </c>
      <c r="S4" s="73">
        <v>760</v>
      </c>
      <c r="T4" s="74">
        <f>Table4[[#This Row],[£/Tonne]]/1000*Table4[[#This Row],[Weight   Kg/m]]</f>
        <v>0.86685180692339781</v>
      </c>
      <c r="U4" s="260">
        <v>6.1</v>
      </c>
      <c r="V4" s="10">
        <f>Table4[[#This Row],[Normal Length]]*Table4[[#This Row],[£Cost /m]]</f>
        <v>5.287796022232726</v>
      </c>
      <c r="W4" s="10"/>
      <c r="X4" s="10">
        <f>Table4[[#This Row],[£/ Length]]*(1+X$2)</f>
        <v>6.8741348289025437</v>
      </c>
      <c r="Y4" s="10">
        <f>Table4[[#This Row],[£/ Length]]*(1+Y$2)</f>
        <v>7.1385246300141807</v>
      </c>
      <c r="Z4" s="10">
        <f>Table4[[#This Row],[£/ Length]]*(1+Z$2)</f>
        <v>7.4029144311258159</v>
      </c>
      <c r="AA4" s="10">
        <f>Table4[[#This Row],[£/ Length]]*(1+AA$2)</f>
        <v>7.9316940333490891</v>
      </c>
    </row>
    <row r="5" spans="1:28" ht="25.35" customHeight="1">
      <c r="A5" s="7" t="s">
        <v>75</v>
      </c>
      <c r="B5" s="7" t="str">
        <f t="shared" si="1"/>
        <v>CHS_26.9_21_3.2</v>
      </c>
      <c r="C5" s="7" t="str">
        <f t="shared" si="0"/>
        <v>CHS 26.9OD 21ID  3.2mm Thick @ 1.74Kg/m</v>
      </c>
      <c r="D5" s="69">
        <v>26.9</v>
      </c>
      <c r="E5" s="70">
        <v>21</v>
      </c>
      <c r="F5" s="16">
        <v>3.2</v>
      </c>
      <c r="G5" s="71">
        <v>1.7423967934183588</v>
      </c>
      <c r="H5" s="139">
        <v>7.5</v>
      </c>
      <c r="I5" s="9">
        <v>18.5</v>
      </c>
      <c r="J5" s="140" t="s">
        <v>422</v>
      </c>
      <c r="K5" s="139"/>
      <c r="L5" s="9"/>
      <c r="M5" s="140"/>
      <c r="N5" s="139"/>
      <c r="O5" s="9"/>
      <c r="P5" s="9"/>
      <c r="Q5" s="149">
        <f t="shared" si="2"/>
        <v>138.75</v>
      </c>
      <c r="R5" s="72">
        <f>Table4[[#This Row],[Total Metres]]*Table4[[#This Row],[Weight   Kg/m]]*Table4[[#This Row],[£/Tonne]]/1000</f>
        <v>203.07634627290972</v>
      </c>
      <c r="S5" s="73">
        <v>840</v>
      </c>
      <c r="T5" s="74">
        <f>Table4[[#This Row],[£/Tonne]]/1000*Table4[[#This Row],[Weight   Kg/m]]</f>
        <v>1.4636133064714214</v>
      </c>
      <c r="U5" s="260">
        <v>6.1</v>
      </c>
      <c r="V5" s="10">
        <f>Table4[[#This Row],[Normal Length]]*Table4[[#This Row],[£Cost /m]]</f>
        <v>8.9280411694756694</v>
      </c>
      <c r="W5" s="10"/>
      <c r="X5" s="10">
        <f>Table4[[#This Row],[£/ Length]]*(1+X$2)</f>
        <v>11.60645352031837</v>
      </c>
      <c r="Y5" s="10">
        <f>Table4[[#This Row],[£/ Length]]*(1+Y$2)</f>
        <v>12.052855578792155</v>
      </c>
      <c r="Z5" s="10">
        <f>Table4[[#This Row],[£/ Length]]*(1+Z$2)</f>
        <v>12.499257637265936</v>
      </c>
      <c r="AA5" s="10">
        <f>Table4[[#This Row],[£/ Length]]*(1+AA$2)</f>
        <v>13.392061754213504</v>
      </c>
    </row>
    <row r="6" spans="1:28" ht="25.35" customHeight="1">
      <c r="A6" s="7" t="s">
        <v>75</v>
      </c>
      <c r="B6" s="7" t="str">
        <f t="shared" si="1"/>
        <v>CHS_33.7_27.7_3</v>
      </c>
      <c r="C6" s="7" t="str">
        <f t="shared" si="0"/>
        <v>CHS 33.7OD 27.7ID  3mm Thick @ 2.27Kg/m</v>
      </c>
      <c r="D6" s="69">
        <v>33.700000000000003</v>
      </c>
      <c r="E6" s="70">
        <v>27.7</v>
      </c>
      <c r="F6" s="16">
        <v>3</v>
      </c>
      <c r="G6" s="71">
        <v>2.2713243646556185</v>
      </c>
      <c r="H6" s="139">
        <v>7.5</v>
      </c>
      <c r="I6" s="9">
        <v>22.5</v>
      </c>
      <c r="J6" s="140" t="s">
        <v>422</v>
      </c>
      <c r="K6" s="139">
        <v>7.5</v>
      </c>
      <c r="L6" s="9">
        <v>32</v>
      </c>
      <c r="M6" s="140" t="s">
        <v>255</v>
      </c>
      <c r="N6" s="139">
        <v>7.5</v>
      </c>
      <c r="O6" s="9">
        <v>7</v>
      </c>
      <c r="P6" s="9" t="s">
        <v>255</v>
      </c>
      <c r="Q6" s="149">
        <f t="shared" si="2"/>
        <v>461.25</v>
      </c>
      <c r="R6" s="72">
        <f>Table4[[#This Row],[Total Metres]]*Table4[[#This Row],[Weight   Kg/m]]*Table4[[#This Row],[£/Tonne]]/1000</f>
        <v>932.40704324568958</v>
      </c>
      <c r="S6" s="73">
        <v>890</v>
      </c>
      <c r="T6" s="74">
        <f>Table4[[#This Row],[£/Tonne]]/1000*Table4[[#This Row],[Weight   Kg/m]]</f>
        <v>2.0214786845435007</v>
      </c>
      <c r="U6" s="260">
        <v>6.1</v>
      </c>
      <c r="V6" s="10">
        <f>Table4[[#This Row],[Normal Length]]*Table4[[#This Row],[£Cost /m]]</f>
        <v>12.331019975715353</v>
      </c>
      <c r="W6" s="10"/>
      <c r="X6" s="10">
        <f>Table4[[#This Row],[£/ Length]]*(1+X$2)</f>
        <v>16.03032596842996</v>
      </c>
      <c r="Y6" s="10">
        <f>Table4[[#This Row],[£/ Length]]*(1+Y$2)</f>
        <v>16.646876967215729</v>
      </c>
      <c r="Z6" s="10">
        <f>Table4[[#This Row],[£/ Length]]*(1+Z$2)</f>
        <v>17.263427966001494</v>
      </c>
      <c r="AA6" s="10">
        <f>Table4[[#This Row],[£/ Length]]*(1+AA$2)</f>
        <v>18.496529963573032</v>
      </c>
    </row>
    <row r="7" spans="1:28" ht="25.35" customHeight="1">
      <c r="A7" s="7" t="s">
        <v>75</v>
      </c>
      <c r="B7" s="7" t="str">
        <f t="shared" si="1"/>
        <v>CHS_38_32_3.25</v>
      </c>
      <c r="C7" s="7" t="str">
        <f t="shared" si="0"/>
        <v>CHS 38OD 32ID  3.25mm Thick @ 2.59Kg/m</v>
      </c>
      <c r="D7" s="69">
        <v>38</v>
      </c>
      <c r="E7" s="70">
        <v>32</v>
      </c>
      <c r="F7" s="16">
        <v>3.25</v>
      </c>
      <c r="G7" s="71">
        <v>2.5894577447213862</v>
      </c>
      <c r="H7" s="139">
        <v>7.5</v>
      </c>
      <c r="I7" s="9">
        <v>1</v>
      </c>
      <c r="J7" s="140" t="s">
        <v>422</v>
      </c>
      <c r="K7" s="139"/>
      <c r="L7" s="9"/>
      <c r="M7" s="140"/>
      <c r="N7" s="139"/>
      <c r="O7" s="9"/>
      <c r="P7" s="9"/>
      <c r="Q7" s="149">
        <f t="shared" si="2"/>
        <v>7.5</v>
      </c>
      <c r="R7" s="72">
        <f>Table4[[#This Row],[Total Metres]]*Table4[[#This Row],[Weight   Kg/m]]*Table4[[#This Row],[£/Tonne]]/1000</f>
        <v>10.584408531548666</v>
      </c>
      <c r="S7" s="73">
        <v>545</v>
      </c>
      <c r="T7" s="74">
        <f>Table4[[#This Row],[£/Tonne]]/1000*Table4[[#This Row],[Weight   Kg/m]]</f>
        <v>1.4112544708731556</v>
      </c>
      <c r="U7" s="260">
        <v>6.1</v>
      </c>
      <c r="V7" s="10">
        <f>Table4[[#This Row],[Normal Length]]*Table4[[#This Row],[£Cost /m]]</f>
        <v>8.608652272326248</v>
      </c>
      <c r="W7" s="10"/>
      <c r="X7" s="10">
        <f>Table4[[#This Row],[£/ Length]]*(1+X$2)</f>
        <v>11.191247954024123</v>
      </c>
      <c r="Y7" s="10">
        <f>Table4[[#This Row],[£/ Length]]*(1+Y$2)</f>
        <v>11.621680567640436</v>
      </c>
      <c r="Z7" s="10">
        <f>Table4[[#This Row],[£/ Length]]*(1+Z$2)</f>
        <v>12.052113181256747</v>
      </c>
      <c r="AA7" s="10">
        <f>Table4[[#This Row],[£/ Length]]*(1+AA$2)</f>
        <v>12.912978408489373</v>
      </c>
    </row>
    <row r="8" spans="1:28" ht="25.35" customHeight="1">
      <c r="A8" s="7" t="s">
        <v>75</v>
      </c>
      <c r="B8" s="7" t="str">
        <f t="shared" si="1"/>
        <v>CHS_42.4_36_3.25</v>
      </c>
      <c r="C8" s="7" t="str">
        <f t="shared" si="0"/>
        <v>CHS 42.4OD 36ID  3.25mm Thick @ 3.09Kg/m</v>
      </c>
      <c r="D8" s="69">
        <v>42.4</v>
      </c>
      <c r="E8" s="70">
        <v>36</v>
      </c>
      <c r="F8" s="16">
        <v>3.25</v>
      </c>
      <c r="G8" s="71">
        <v>3.0935388523604841</v>
      </c>
      <c r="H8" s="139">
        <v>7.5</v>
      </c>
      <c r="I8" s="9">
        <v>21</v>
      </c>
      <c r="J8" s="140" t="s">
        <v>422</v>
      </c>
      <c r="K8" s="139">
        <v>7.5</v>
      </c>
      <c r="L8" s="9">
        <v>3</v>
      </c>
      <c r="M8" s="140" t="s">
        <v>255</v>
      </c>
      <c r="N8" s="139"/>
      <c r="O8" s="9"/>
      <c r="P8" s="9"/>
      <c r="Q8" s="149">
        <f t="shared" si="2"/>
        <v>180</v>
      </c>
      <c r="R8" s="72">
        <f>Table4[[#This Row],[Total Metres]]*Table4[[#This Row],[Weight   Kg/m]]*Table4[[#This Row],[£/Tonne]]/1000</f>
        <v>456.60633460840745</v>
      </c>
      <c r="S8" s="73">
        <v>820</v>
      </c>
      <c r="T8" s="74">
        <f>Table4[[#This Row],[£/Tonne]]/1000*Table4[[#This Row],[Weight   Kg/m]]</f>
        <v>2.5367018589355967</v>
      </c>
      <c r="U8" s="260">
        <v>6.1</v>
      </c>
      <c r="V8" s="10">
        <f>Table4[[#This Row],[Normal Length]]*Table4[[#This Row],[£Cost /m]]</f>
        <v>15.473881339507139</v>
      </c>
      <c r="W8" s="10"/>
      <c r="X8" s="10">
        <f>Table4[[#This Row],[£/ Length]]*(1+X$2)</f>
        <v>20.116045741359283</v>
      </c>
      <c r="Y8" s="10">
        <f>Table4[[#This Row],[£/ Length]]*(1+Y$2)</f>
        <v>20.889739808334639</v>
      </c>
      <c r="Z8" s="10">
        <f>Table4[[#This Row],[£/ Length]]*(1+Z$2)</f>
        <v>21.663433875309995</v>
      </c>
      <c r="AA8" s="10">
        <f>Table4[[#This Row],[£/ Length]]*(1+AA$2)</f>
        <v>23.21082200926071</v>
      </c>
    </row>
    <row r="9" spans="1:28" ht="25.35" customHeight="1">
      <c r="A9" s="7" t="s">
        <v>75</v>
      </c>
      <c r="B9" s="7" t="str">
        <f t="shared" si="1"/>
        <v>CHS_40_29_5.5</v>
      </c>
      <c r="C9" s="7" t="str">
        <f t="shared" si="0"/>
        <v>CHS 40OD 29ID  5.5mm Thick @ 4.68Kg/m</v>
      </c>
      <c r="D9" s="69">
        <v>40</v>
      </c>
      <c r="E9" s="70">
        <v>29</v>
      </c>
      <c r="F9" s="16">
        <v>5.5</v>
      </c>
      <c r="G9" s="71">
        <v>4.6795200672465054</v>
      </c>
      <c r="H9" s="139"/>
      <c r="I9" s="9"/>
      <c r="J9" s="140"/>
      <c r="K9" s="139"/>
      <c r="L9" s="9"/>
      <c r="M9" s="140"/>
      <c r="N9" s="139"/>
      <c r="O9" s="9"/>
      <c r="P9" s="9"/>
      <c r="Q9" s="149">
        <f t="shared" si="2"/>
        <v>0</v>
      </c>
      <c r="R9" s="72">
        <f>Table4[[#This Row],[Total Metres]]*Table4[[#This Row],[Weight   Kg/m]]*Table4[[#This Row],[£/Tonne]]/1000</f>
        <v>0</v>
      </c>
      <c r="S9" s="73"/>
      <c r="T9" s="74">
        <f>Table4[[#This Row],[£/Tonne]]/1000*Table4[[#This Row],[Weight   Kg/m]]</f>
        <v>0</v>
      </c>
      <c r="U9" s="260">
        <v>6.1</v>
      </c>
      <c r="V9" s="10">
        <f>Table4[[#This Row],[Normal Length]]*Table4[[#This Row],[£Cost /m]]</f>
        <v>0</v>
      </c>
      <c r="W9" s="10"/>
      <c r="X9" s="10">
        <f>Table4[[#This Row],[£/ Length]]*(1+X$2)</f>
        <v>0</v>
      </c>
      <c r="Y9" s="10">
        <f>Table4[[#This Row],[£/ Length]]*(1+Y$2)</f>
        <v>0</v>
      </c>
      <c r="Z9" s="10">
        <f>Table4[[#This Row],[£/ Length]]*(1+Z$2)</f>
        <v>0</v>
      </c>
      <c r="AA9" s="10">
        <f>Table4[[#This Row],[£/ Length]]*(1+AA$2)</f>
        <v>0</v>
      </c>
    </row>
    <row r="10" spans="1:28" ht="25.35" customHeight="1">
      <c r="A10" s="7" t="s">
        <v>75</v>
      </c>
      <c r="B10" s="7" t="str">
        <f t="shared" si="1"/>
        <v>CHS_48.3_42.3_3</v>
      </c>
      <c r="C10" s="7" t="str">
        <f t="shared" si="0"/>
        <v>CHS 48.3OD 42.3ID  3mm Thick @ 3.35Kg/m</v>
      </c>
      <c r="D10" s="69">
        <v>48.3</v>
      </c>
      <c r="E10" s="70">
        <v>42.3</v>
      </c>
      <c r="F10" s="16">
        <v>3</v>
      </c>
      <c r="G10" s="71">
        <v>3.3514981667393968</v>
      </c>
      <c r="H10" s="139">
        <v>7.5</v>
      </c>
      <c r="I10" s="9">
        <v>19.5</v>
      </c>
      <c r="J10" s="140" t="s">
        <v>422</v>
      </c>
      <c r="K10" s="139">
        <v>7.5</v>
      </c>
      <c r="L10" s="9">
        <v>10</v>
      </c>
      <c r="M10" s="140" t="s">
        <v>255</v>
      </c>
      <c r="N10" s="139"/>
      <c r="O10" s="9"/>
      <c r="P10" s="9"/>
      <c r="Q10" s="149">
        <f t="shared" si="2"/>
        <v>221.25</v>
      </c>
      <c r="R10" s="72">
        <f>Table4[[#This Row],[Total Metres]]*Table4[[#This Row],[Weight   Kg/m]]*Table4[[#This Row],[£/Tonne]]/1000</f>
        <v>415.25062285901129</v>
      </c>
      <c r="S10" s="73">
        <v>560</v>
      </c>
      <c r="T10" s="74">
        <f>Table4[[#This Row],[£/Tonne]]/1000*Table4[[#This Row],[Weight   Kg/m]]</f>
        <v>1.8768389733740625</v>
      </c>
      <c r="U10" s="260">
        <v>6.1</v>
      </c>
      <c r="V10" s="10">
        <f>Table4[[#This Row],[Normal Length]]*Table4[[#This Row],[£Cost /m]]</f>
        <v>11.448717737581781</v>
      </c>
      <c r="W10" s="10"/>
      <c r="X10" s="10">
        <f>Table4[[#This Row],[£/ Length]]*(1+X$2)</f>
        <v>14.883333058856316</v>
      </c>
      <c r="Y10" s="10">
        <f>Table4[[#This Row],[£/ Length]]*(1+Y$2)</f>
        <v>15.455768945735405</v>
      </c>
      <c r="Z10" s="10">
        <f>Table4[[#This Row],[£/ Length]]*(1+Z$2)</f>
        <v>16.028204832614492</v>
      </c>
      <c r="AA10" s="10">
        <f>Table4[[#This Row],[£/ Length]]*(1+AA$2)</f>
        <v>17.173076606372671</v>
      </c>
    </row>
    <row r="11" spans="1:28" ht="25.35" customHeight="1">
      <c r="A11" s="7" t="s">
        <v>75</v>
      </c>
      <c r="B11" s="7" t="str">
        <f t="shared" si="1"/>
        <v>CHS_48.3_40_4</v>
      </c>
      <c r="C11" s="7" t="str">
        <f t="shared" si="0"/>
        <v>CHS 48.3OD 40ID  4mm Thick @ 4.52Kg/m</v>
      </c>
      <c r="D11" s="69">
        <v>48.3</v>
      </c>
      <c r="E11" s="70">
        <v>40</v>
      </c>
      <c r="F11" s="16">
        <v>4</v>
      </c>
      <c r="G11" s="71">
        <v>4.5185421107829935</v>
      </c>
      <c r="H11" s="139"/>
      <c r="I11" s="9"/>
      <c r="J11" s="140"/>
      <c r="K11" s="139"/>
      <c r="L11" s="9"/>
      <c r="M11" s="140"/>
      <c r="N11" s="139"/>
      <c r="O11" s="9"/>
      <c r="P11" s="9"/>
      <c r="Q11" s="149">
        <f t="shared" si="2"/>
        <v>0</v>
      </c>
      <c r="R11" s="72">
        <f>Table4[[#This Row],[Total Metres]]*Table4[[#This Row],[Weight   Kg/m]]*Table4[[#This Row],[£/Tonne]]/1000</f>
        <v>0</v>
      </c>
      <c r="S11" s="73"/>
      <c r="T11" s="74">
        <f>Table4[[#This Row],[£/Tonne]]/1000*Table4[[#This Row],[Weight   Kg/m]]</f>
        <v>0</v>
      </c>
      <c r="U11" s="260">
        <v>7.6</v>
      </c>
      <c r="V11" s="10">
        <f>Table4[[#This Row],[Normal Length]]*Table4[[#This Row],[£Cost /m]]</f>
        <v>0</v>
      </c>
      <c r="W11" s="10"/>
      <c r="X11" s="10">
        <f>Table4[[#This Row],[£/ Length]]*(1+X$2)</f>
        <v>0</v>
      </c>
      <c r="Y11" s="10">
        <f>Table4[[#This Row],[£/ Length]]*(1+Y$2)</f>
        <v>0</v>
      </c>
      <c r="Z11" s="10">
        <f>Table4[[#This Row],[£/ Length]]*(1+Z$2)</f>
        <v>0</v>
      </c>
      <c r="AA11" s="10">
        <f>Table4[[#This Row],[£/ Length]]*(1+AA$2)</f>
        <v>0</v>
      </c>
    </row>
    <row r="12" spans="1:28" ht="25.35" customHeight="1">
      <c r="A12" s="7" t="s">
        <v>75</v>
      </c>
      <c r="B12" s="7" t="str">
        <f t="shared" si="1"/>
        <v>CHS_60.3_53.9_3.2</v>
      </c>
      <c r="C12" s="7" t="str">
        <f t="shared" si="0"/>
        <v>CHS 60.3OD 53.9ID  3.2mm Thick @ 4.51Kg/m</v>
      </c>
      <c r="D12" s="69">
        <v>60.3</v>
      </c>
      <c r="E12" s="70">
        <f>D12-(F12*2)</f>
        <v>53.9</v>
      </c>
      <c r="F12" s="16">
        <v>3.2</v>
      </c>
      <c r="G12" s="71">
        <v>4.5061497058618194</v>
      </c>
      <c r="H12" s="139">
        <v>7.5</v>
      </c>
      <c r="I12" s="9">
        <v>10</v>
      </c>
      <c r="J12" s="140" t="s">
        <v>422</v>
      </c>
      <c r="K12" s="139"/>
      <c r="L12" s="9"/>
      <c r="M12" s="140"/>
      <c r="N12" s="139"/>
      <c r="O12" s="9"/>
      <c r="P12" s="9"/>
      <c r="Q12" s="149">
        <f t="shared" si="2"/>
        <v>75</v>
      </c>
      <c r="R12" s="72">
        <f>Table4[[#This Row],[Total Metres]]*Table4[[#This Row],[Weight   Kg/m]]*Table4[[#This Row],[£/Tonne]]/1000</f>
        <v>270.36898235170918</v>
      </c>
      <c r="S12" s="73">
        <v>800</v>
      </c>
      <c r="T12" s="74">
        <f>Table4[[#This Row],[£/Tonne]]/1000*Table4[[#This Row],[Weight   Kg/m]]</f>
        <v>3.6049197646894555</v>
      </c>
      <c r="U12" s="260">
        <v>7.6</v>
      </c>
      <c r="V12" s="10">
        <f>Table4[[#This Row],[Normal Length]]*Table4[[#This Row],[£Cost /m]]</f>
        <v>27.397390211639859</v>
      </c>
      <c r="W12" s="10"/>
      <c r="X12" s="10">
        <f>Table4[[#This Row],[£/ Length]]*(1+X$2)</f>
        <v>35.61660727513182</v>
      </c>
      <c r="Y12" s="10">
        <f>Table4[[#This Row],[£/ Length]]*(1+Y$2)</f>
        <v>36.986476785713812</v>
      </c>
      <c r="Z12" s="10">
        <f>Table4[[#This Row],[£/ Length]]*(1+Z$2)</f>
        <v>38.356346296295797</v>
      </c>
      <c r="AA12" s="10">
        <f>Table4[[#This Row],[£/ Length]]*(1+AA$2)</f>
        <v>41.096085317459789</v>
      </c>
    </row>
    <row r="13" spans="1:28" ht="25.35" customHeight="1">
      <c r="A13" s="7" t="s">
        <v>75</v>
      </c>
      <c r="B13" s="7" t="str">
        <f t="shared" si="1"/>
        <v>CHS_60.3_52.3_4</v>
      </c>
      <c r="C13" s="7" t="str">
        <f t="shared" si="0"/>
        <v>CHS 60.3OD 52.3ID  4mm Thick @ 5.55Kg/m</v>
      </c>
      <c r="D13" s="69">
        <v>60.3</v>
      </c>
      <c r="E13" s="70">
        <v>52.3</v>
      </c>
      <c r="F13" s="16">
        <v>4</v>
      </c>
      <c r="G13" s="71">
        <v>5.5537703248691059</v>
      </c>
      <c r="H13" s="139">
        <v>7.5</v>
      </c>
      <c r="I13" s="9">
        <v>4</v>
      </c>
      <c r="J13" s="140" t="s">
        <v>255</v>
      </c>
      <c r="K13" s="139"/>
      <c r="L13" s="9"/>
      <c r="M13" s="140"/>
      <c r="N13" s="139"/>
      <c r="O13" s="9"/>
      <c r="P13" s="9"/>
      <c r="Q13" s="149">
        <f t="shared" si="2"/>
        <v>30</v>
      </c>
      <c r="R13" s="72">
        <f>Table4[[#This Row],[Total Metres]]*Table4[[#This Row],[Weight   Kg/m]]*Table4[[#This Row],[£/Tonne]]/1000</f>
        <v>133.29048779685854</v>
      </c>
      <c r="S13" s="73">
        <f>S12</f>
        <v>800</v>
      </c>
      <c r="T13" s="74">
        <f>Table4[[#This Row],[£/Tonne]]/1000*Table4[[#This Row],[Weight   Kg/m]]</f>
        <v>4.4430162598952849</v>
      </c>
      <c r="U13" s="260">
        <v>7.6</v>
      </c>
      <c r="V13" s="10">
        <f>Table4[[#This Row],[Normal Length]]*Table4[[#This Row],[£Cost /m]]</f>
        <v>33.766923575204167</v>
      </c>
      <c r="W13" s="10"/>
      <c r="X13" s="10">
        <f>Table4[[#This Row],[£/ Length]]*(1+X$2)</f>
        <v>43.897000647765417</v>
      </c>
      <c r="Y13" s="10">
        <f>Table4[[#This Row],[£/ Length]]*(1+Y$2)</f>
        <v>45.58534682652563</v>
      </c>
      <c r="Z13" s="10">
        <f>Table4[[#This Row],[£/ Length]]*(1+Z$2)</f>
        <v>47.273693005285828</v>
      </c>
      <c r="AA13" s="10">
        <f>Table4[[#This Row],[£/ Length]]*(1+AA$2)</f>
        <v>50.650385362806247</v>
      </c>
    </row>
    <row r="14" spans="1:28" ht="25.35" customHeight="1">
      <c r="A14" s="7" t="s">
        <v>75</v>
      </c>
      <c r="B14" s="7" t="str">
        <f t="shared" si="1"/>
        <v>CHS_70_63.5_3.25</v>
      </c>
      <c r="C14" s="7" t="str">
        <f t="shared" si="0"/>
        <v>CHS 70OD 63.5ID  3.25mm Thick @ 5.35Kg/m</v>
      </c>
      <c r="D14" s="69">
        <v>70</v>
      </c>
      <c r="E14" s="70">
        <v>63.5</v>
      </c>
      <c r="F14" s="16">
        <f>(D14-E14)/2</f>
        <v>3.25</v>
      </c>
      <c r="G14" s="71">
        <v>5.3500046618618669</v>
      </c>
      <c r="H14" s="139"/>
      <c r="I14" s="9"/>
      <c r="J14" s="140"/>
      <c r="K14" s="139"/>
      <c r="L14" s="9"/>
      <c r="M14" s="140"/>
      <c r="N14" s="139"/>
      <c r="O14" s="9"/>
      <c r="P14" s="9"/>
      <c r="Q14" s="149">
        <f t="shared" si="2"/>
        <v>0</v>
      </c>
      <c r="R14" s="72">
        <f>Table4[[#This Row],[Total Metres]]*Table4[[#This Row],[Weight   Kg/m]]*Table4[[#This Row],[£/Tonne]]/1000</f>
        <v>0</v>
      </c>
      <c r="S14" s="73"/>
      <c r="T14" s="74">
        <f>Table4[[#This Row],[£/Tonne]]/1000*Table4[[#This Row],[Weight   Kg/m]]</f>
        <v>0</v>
      </c>
      <c r="U14" s="260">
        <v>7.6</v>
      </c>
      <c r="V14" s="10">
        <f>Table4[[#This Row],[Normal Length]]*Table4[[#This Row],[£Cost /m]]</f>
        <v>0</v>
      </c>
      <c r="W14" s="10"/>
      <c r="X14" s="10">
        <f>Table4[[#This Row],[£/ Length]]*(1+X$2)</f>
        <v>0</v>
      </c>
      <c r="Y14" s="10">
        <f>Table4[[#This Row],[£/ Length]]*(1+Y$2)</f>
        <v>0</v>
      </c>
      <c r="Z14" s="10">
        <f>Table4[[#This Row],[£/ Length]]*(1+Z$2)</f>
        <v>0</v>
      </c>
      <c r="AA14" s="10">
        <f>Table4[[#This Row],[£/ Length]]*(1+AA$2)</f>
        <v>0</v>
      </c>
    </row>
    <row r="15" spans="1:28" ht="25.35" customHeight="1">
      <c r="A15" s="7" t="s">
        <v>75</v>
      </c>
      <c r="B15" s="7" t="str">
        <f t="shared" si="1"/>
        <v>CHS_76.1_68.1_4</v>
      </c>
      <c r="C15" s="7" t="str">
        <f t="shared" si="0"/>
        <v>CHS 76.1OD 68.1ID  4mm Thick @ 7.11Kg/m</v>
      </c>
      <c r="D15" s="69">
        <v>76.099999999999994</v>
      </c>
      <c r="E15" s="70">
        <v>68.099999999999994</v>
      </c>
      <c r="F15" s="16">
        <v>4</v>
      </c>
      <c r="G15" s="71">
        <v>7.1123772721680751</v>
      </c>
      <c r="H15" s="139">
        <v>7.5</v>
      </c>
      <c r="I15" s="9">
        <v>3</v>
      </c>
      <c r="J15" s="140" t="s">
        <v>255</v>
      </c>
      <c r="K15" s="139"/>
      <c r="L15" s="9"/>
      <c r="M15" s="140"/>
      <c r="N15" s="139"/>
      <c r="O15" s="9"/>
      <c r="P15" s="9"/>
      <c r="Q15" s="149">
        <f t="shared" si="2"/>
        <v>22.5</v>
      </c>
      <c r="R15" s="72">
        <f>Table4[[#This Row],[Total Metres]]*Table4[[#This Row],[Weight   Kg/m]]*Table4[[#This Row],[£/Tonne]]/1000</f>
        <v>126.42250601278755</v>
      </c>
      <c r="S15" s="73">
        <v>790</v>
      </c>
      <c r="T15" s="74">
        <f>Table4[[#This Row],[£/Tonne]]/1000*Table4[[#This Row],[Weight   Kg/m]]</f>
        <v>5.61877804501278</v>
      </c>
      <c r="U15" s="260">
        <v>7.6</v>
      </c>
      <c r="V15" s="10">
        <f>Table4[[#This Row],[Normal Length]]*Table4[[#This Row],[£Cost /m]]</f>
        <v>42.702713142097124</v>
      </c>
      <c r="W15" s="10"/>
      <c r="X15" s="10">
        <f>Table4[[#This Row],[£/ Length]]*(1+X$2)</f>
        <v>55.513527084726263</v>
      </c>
      <c r="Y15" s="10">
        <f>Table4[[#This Row],[£/ Length]]*(1+Y$2)</f>
        <v>57.648662741831124</v>
      </c>
      <c r="Z15" s="10">
        <f>Table4[[#This Row],[£/ Length]]*(1+Z$2)</f>
        <v>59.783798398935971</v>
      </c>
      <c r="AA15" s="10">
        <f>Table4[[#This Row],[£/ Length]]*(1+AA$2)</f>
        <v>64.05406971314568</v>
      </c>
    </row>
    <row r="16" spans="1:28" ht="25.35" customHeight="1">
      <c r="A16" s="7" t="s">
        <v>75</v>
      </c>
      <c r="B16" s="7" t="str">
        <f t="shared" si="1"/>
        <v>CHS_76.1_66.1_5</v>
      </c>
      <c r="C16" s="7" t="str">
        <f t="shared" si="0"/>
        <v>CHS 76.1OD 66.1ID  5mm Thick @ 8.77Kg/m</v>
      </c>
      <c r="D16" s="69">
        <v>76.099999999999994</v>
      </c>
      <c r="E16" s="70">
        <v>66.099999999999994</v>
      </c>
      <c r="F16" s="16">
        <v>5</v>
      </c>
      <c r="G16" s="71">
        <v>8.7671640785567</v>
      </c>
      <c r="H16" s="139">
        <v>3</v>
      </c>
      <c r="I16" s="9">
        <v>1</v>
      </c>
      <c r="J16" s="140" t="s">
        <v>422</v>
      </c>
      <c r="K16" s="139"/>
      <c r="L16" s="9"/>
      <c r="M16" s="140"/>
      <c r="N16" s="139"/>
      <c r="O16" s="9"/>
      <c r="P16" s="9"/>
      <c r="Q16" s="149">
        <f t="shared" si="2"/>
        <v>3</v>
      </c>
      <c r="R16" s="72">
        <f>Table4[[#This Row],[Total Metres]]*Table4[[#This Row],[Weight   Kg/m]]*Table4[[#This Row],[£/Tonne]]/1000</f>
        <v>19.200089332039173</v>
      </c>
      <c r="S16" s="75">
        <v>730</v>
      </c>
      <c r="T16" s="74">
        <f>Table4[[#This Row],[£/Tonne]]/1000*Table4[[#This Row],[Weight   Kg/m]]</f>
        <v>6.4000297773463908</v>
      </c>
      <c r="U16" s="260">
        <v>7.6</v>
      </c>
      <c r="V16" s="10">
        <f>Table4[[#This Row],[Normal Length]]*Table4[[#This Row],[£Cost /m]]</f>
        <v>48.64022630783257</v>
      </c>
      <c r="W16" s="10"/>
      <c r="X16" s="10">
        <f>Table4[[#This Row],[£/ Length]]*(1+X$2)</f>
        <v>63.232294200182345</v>
      </c>
      <c r="Y16" s="10">
        <f>Table4[[#This Row],[£/ Length]]*(1+Y$2)</f>
        <v>65.664305515573972</v>
      </c>
      <c r="Z16" s="10">
        <f>Table4[[#This Row],[£/ Length]]*(1+Z$2)</f>
        <v>68.096316830965591</v>
      </c>
      <c r="AA16" s="10">
        <f>Table4[[#This Row],[£/ Length]]*(1+AA$2)</f>
        <v>72.960339461748859</v>
      </c>
    </row>
    <row r="17" spans="1:27" ht="25.35" customHeight="1">
      <c r="A17" s="7" t="s">
        <v>75</v>
      </c>
      <c r="B17" s="7" t="str">
        <f t="shared" si="1"/>
        <v>CHS_76.1_64_6</v>
      </c>
      <c r="C17" s="7" t="str">
        <f t="shared" si="0"/>
        <v>CHS 76.1OD 64ID  6mm Thick @ 10.45Kg/m</v>
      </c>
      <c r="D17" s="69">
        <v>76.099999999999994</v>
      </c>
      <c r="E17" s="70">
        <v>64</v>
      </c>
      <c r="F17" s="16">
        <v>6</v>
      </c>
      <c r="G17" s="71">
        <v>10.451606341497957</v>
      </c>
      <c r="H17" s="139">
        <v>5</v>
      </c>
      <c r="I17" s="9">
        <v>1</v>
      </c>
      <c r="J17" s="140" t="s">
        <v>422</v>
      </c>
      <c r="K17" s="139">
        <v>6.3</v>
      </c>
      <c r="L17" s="9">
        <v>1</v>
      </c>
      <c r="M17" s="140" t="s">
        <v>422</v>
      </c>
      <c r="N17" s="139">
        <v>1.46</v>
      </c>
      <c r="O17" s="9">
        <v>1</v>
      </c>
      <c r="P17" s="9" t="s">
        <v>422</v>
      </c>
      <c r="Q17" s="149">
        <f t="shared" si="2"/>
        <v>12.760000000000002</v>
      </c>
      <c r="R17" s="72">
        <f>Table4[[#This Row],[Total Metres]]*Table4[[#This Row],[Weight   Kg/m]]*Table4[[#This Row],[£/Tonne]]/1000</f>
        <v>97.354622749785179</v>
      </c>
      <c r="S17" s="73">
        <f>S16</f>
        <v>730</v>
      </c>
      <c r="T17" s="74">
        <f>Table4[[#This Row],[£/Tonne]]/1000*Table4[[#This Row],[Weight   Kg/m]]</f>
        <v>7.6296726292935082</v>
      </c>
      <c r="U17" s="260">
        <v>7.6</v>
      </c>
      <c r="V17" s="10">
        <f>Table4[[#This Row],[Normal Length]]*Table4[[#This Row],[£Cost /m]]</f>
        <v>57.985511982630662</v>
      </c>
      <c r="W17" s="10"/>
      <c r="X17" s="10">
        <f>Table4[[#This Row],[£/ Length]]*(1+X$2)</f>
        <v>75.381165577419864</v>
      </c>
      <c r="Y17" s="10">
        <f>Table4[[#This Row],[£/ Length]]*(1+Y$2)</f>
        <v>78.280441176551392</v>
      </c>
      <c r="Z17" s="10">
        <f>Table4[[#This Row],[£/ Length]]*(1+Z$2)</f>
        <v>81.17971677568292</v>
      </c>
      <c r="AA17" s="10">
        <f>Table4[[#This Row],[£/ Length]]*(1+AA$2)</f>
        <v>86.978267973945989</v>
      </c>
    </row>
    <row r="18" spans="1:27" ht="25.35" customHeight="1">
      <c r="A18" s="7" t="s">
        <v>75</v>
      </c>
      <c r="B18" s="7" t="str">
        <f t="shared" si="1"/>
        <v>CHS_76.1_52.1_12</v>
      </c>
      <c r="C18" s="7" t="str">
        <f t="shared" si="0"/>
        <v>CHS 76.1OD 52.1ID  12mm Thick @ 18.97Kg/m</v>
      </c>
      <c r="D18" s="69">
        <v>76.099999999999994</v>
      </c>
      <c r="E18" s="70">
        <v>52.1</v>
      </c>
      <c r="F18" s="16">
        <v>12</v>
      </c>
      <c r="G18" s="71">
        <v>18.969627592758954</v>
      </c>
      <c r="H18" s="139"/>
      <c r="I18" s="9"/>
      <c r="J18" s="140"/>
      <c r="K18" s="139"/>
      <c r="L18" s="9"/>
      <c r="M18" s="140"/>
      <c r="N18" s="139"/>
      <c r="O18" s="9"/>
      <c r="P18" s="9"/>
      <c r="Q18" s="149">
        <f t="shared" si="2"/>
        <v>0</v>
      </c>
      <c r="R18" s="72">
        <f>Table4[[#This Row],[Total Metres]]*Table4[[#This Row],[Weight   Kg/m]]*Table4[[#This Row],[£/Tonne]]/1000</f>
        <v>0</v>
      </c>
      <c r="S18" s="76">
        <v>1498</v>
      </c>
      <c r="T18" s="74">
        <f>Table4[[#This Row],[£/Tonne]]/1000*Table4[[#This Row],[Weight   Kg/m]]</f>
        <v>28.416502133952914</v>
      </c>
      <c r="U18" s="260">
        <v>7.6</v>
      </c>
      <c r="V18" s="10">
        <f>Table4[[#This Row],[Normal Length]]*Table4[[#This Row],[£Cost /m]]</f>
        <v>215.96541621804212</v>
      </c>
      <c r="W18" s="10"/>
      <c r="X18" s="10">
        <f>Table4[[#This Row],[£/ Length]]*(1+X$2)</f>
        <v>280.75504108345478</v>
      </c>
      <c r="Y18" s="10">
        <f>Table4[[#This Row],[£/ Length]]*(1+Y$2)</f>
        <v>291.55331189435691</v>
      </c>
      <c r="Z18" s="10">
        <f>Table4[[#This Row],[£/ Length]]*(1+Z$2)</f>
        <v>302.35158270525898</v>
      </c>
      <c r="AA18" s="10">
        <f>Table4[[#This Row],[£/ Length]]*(1+AA$2)</f>
        <v>323.94812432706317</v>
      </c>
    </row>
    <row r="19" spans="1:27" ht="25.35" customHeight="1">
      <c r="A19" s="7" t="s">
        <v>75</v>
      </c>
      <c r="B19" s="7" t="str">
        <f t="shared" si="1"/>
        <v>CHS_78_70_4</v>
      </c>
      <c r="C19" s="7" t="str">
        <f t="shared" si="0"/>
        <v>CHS 78OD 70ID  4mm Thick @ 7.3Kg/m</v>
      </c>
      <c r="D19" s="69">
        <v>78</v>
      </c>
      <c r="E19" s="70">
        <v>70</v>
      </c>
      <c r="F19" s="16">
        <v>4</v>
      </c>
      <c r="G19" s="71">
        <v>7.2998046898812419</v>
      </c>
      <c r="H19" s="139"/>
      <c r="I19" s="9"/>
      <c r="J19" s="140"/>
      <c r="K19" s="139"/>
      <c r="L19" s="9"/>
      <c r="M19" s="140"/>
      <c r="N19" s="139"/>
      <c r="O19" s="9"/>
      <c r="P19" s="9"/>
      <c r="Q19" s="149">
        <f t="shared" si="2"/>
        <v>0</v>
      </c>
      <c r="R19" s="72">
        <f>Table4[[#This Row],[Total Metres]]*Table4[[#This Row],[Weight   Kg/m]]*Table4[[#This Row],[£/Tonne]]/1000</f>
        <v>0</v>
      </c>
      <c r="S19" s="73"/>
      <c r="T19" s="74">
        <f>Table4[[#This Row],[£/Tonne]]/1000*Table4[[#This Row],[Weight   Kg/m]]</f>
        <v>0</v>
      </c>
      <c r="U19" s="260">
        <v>7.6</v>
      </c>
      <c r="V19" s="10">
        <f>Table4[[#This Row],[Normal Length]]*Table4[[#This Row],[£Cost /m]]</f>
        <v>0</v>
      </c>
      <c r="W19" s="10"/>
      <c r="X19" s="10">
        <f>Table4[[#This Row],[£/ Length]]*(1+X$2)</f>
        <v>0</v>
      </c>
      <c r="Y19" s="10">
        <f>Table4[[#This Row],[£/ Length]]*(1+Y$2)</f>
        <v>0</v>
      </c>
      <c r="Z19" s="10">
        <f>Table4[[#This Row],[£/ Length]]*(1+Z$2)</f>
        <v>0</v>
      </c>
      <c r="AA19" s="10">
        <f>Table4[[#This Row],[£/ Length]]*(1+AA$2)</f>
        <v>0</v>
      </c>
    </row>
    <row r="20" spans="1:27" ht="25.35" customHeight="1">
      <c r="A20" s="7" t="s">
        <v>75</v>
      </c>
      <c r="B20" s="7" t="str">
        <f t="shared" si="1"/>
        <v>CHS_80_74_3</v>
      </c>
      <c r="C20" s="7" t="str">
        <f t="shared" si="0"/>
        <v>CHS 80OD 74ID  3mm Thick @ 5.7Kg/m</v>
      </c>
      <c r="D20" s="69">
        <v>80</v>
      </c>
      <c r="E20" s="70">
        <v>74</v>
      </c>
      <c r="F20" s="16">
        <v>3</v>
      </c>
      <c r="G20" s="71">
        <v>5.6968070383870426</v>
      </c>
      <c r="H20" s="139"/>
      <c r="I20" s="9"/>
      <c r="J20" s="140"/>
      <c r="K20" s="139"/>
      <c r="L20" s="9"/>
      <c r="M20" s="140"/>
      <c r="N20" s="139"/>
      <c r="O20" s="9"/>
      <c r="P20" s="9"/>
      <c r="Q20" s="149">
        <f t="shared" si="2"/>
        <v>0</v>
      </c>
      <c r="R20" s="72">
        <f>Table4[[#This Row],[Total Metres]]*Table4[[#This Row],[Weight   Kg/m]]*Table4[[#This Row],[£/Tonne]]/1000</f>
        <v>0</v>
      </c>
      <c r="S20" s="77"/>
      <c r="T20" s="74">
        <f>Table4[[#This Row],[£/Tonne]]/1000*Table4[[#This Row],[Weight   Kg/m]]</f>
        <v>0</v>
      </c>
      <c r="U20" s="260">
        <v>7.6</v>
      </c>
      <c r="V20" s="10">
        <f>Table4[[#This Row],[Normal Length]]*Table4[[#This Row],[£Cost /m]]</f>
        <v>0</v>
      </c>
      <c r="W20" s="10"/>
      <c r="X20" s="10">
        <f>Table4[[#This Row],[£/ Length]]*(1+X$2)</f>
        <v>0</v>
      </c>
      <c r="Y20" s="10">
        <f>Table4[[#This Row],[£/ Length]]*(1+Y$2)</f>
        <v>0</v>
      </c>
      <c r="Z20" s="10">
        <f>Table4[[#This Row],[£/ Length]]*(1+Z$2)</f>
        <v>0</v>
      </c>
      <c r="AA20" s="10">
        <f>Table4[[#This Row],[£/ Length]]*(1+AA$2)</f>
        <v>0</v>
      </c>
    </row>
    <row r="21" spans="1:27" ht="25.35" customHeight="1">
      <c r="A21" s="7" t="s">
        <v>75</v>
      </c>
      <c r="B21" s="7" t="str">
        <f t="shared" si="1"/>
        <v>CHS_80_67_6.5</v>
      </c>
      <c r="C21" s="7" t="str">
        <f t="shared" si="0"/>
        <v>CHS 80OD 67ID  6.5mm Thick @ 11.78Kg/m</v>
      </c>
      <c r="D21" s="69">
        <v>80</v>
      </c>
      <c r="E21" s="70">
        <v>67</v>
      </c>
      <c r="F21" s="16">
        <v>6.5</v>
      </c>
      <c r="G21" s="71">
        <v>11.782032738482307</v>
      </c>
      <c r="H21" s="139"/>
      <c r="I21" s="9"/>
      <c r="J21" s="140"/>
      <c r="K21" s="139"/>
      <c r="L21" s="9"/>
      <c r="M21" s="140"/>
      <c r="N21" s="139"/>
      <c r="O21" s="9"/>
      <c r="P21" s="9"/>
      <c r="Q21" s="149">
        <f t="shared" si="2"/>
        <v>0</v>
      </c>
      <c r="R21" s="72">
        <f>Table4[[#This Row],[Total Metres]]*Table4[[#This Row],[Weight   Kg/m]]*Table4[[#This Row],[£/Tonne]]/1000</f>
        <v>0</v>
      </c>
      <c r="S21" s="77"/>
      <c r="T21" s="74">
        <f>Table4[[#This Row],[£/Tonne]]/1000*Table4[[#This Row],[Weight   Kg/m]]</f>
        <v>0</v>
      </c>
      <c r="U21" s="260">
        <v>7.6</v>
      </c>
      <c r="V21" s="10">
        <f>Table4[[#This Row],[Normal Length]]*Table4[[#This Row],[£Cost /m]]</f>
        <v>0</v>
      </c>
      <c r="W21" s="10"/>
      <c r="X21" s="10">
        <f>Table4[[#This Row],[£/ Length]]*(1+X$2)</f>
        <v>0</v>
      </c>
      <c r="Y21" s="10">
        <f>Table4[[#This Row],[£/ Length]]*(1+Y$2)</f>
        <v>0</v>
      </c>
      <c r="Z21" s="10">
        <f>Table4[[#This Row],[£/ Length]]*(1+Z$2)</f>
        <v>0</v>
      </c>
      <c r="AA21" s="10">
        <f>Table4[[#This Row],[£/ Length]]*(1+AA$2)</f>
        <v>0</v>
      </c>
    </row>
    <row r="22" spans="1:27" ht="25.35" customHeight="1">
      <c r="A22" s="7" t="s">
        <v>75</v>
      </c>
      <c r="B22" s="7" t="str">
        <f t="shared" si="1"/>
        <v>CHS_82_64.4_8.8</v>
      </c>
      <c r="C22" s="7" t="str">
        <f t="shared" si="0"/>
        <v>CHS 82OD 64.4ID  8.8mm Thick @ 15.89Kg/m</v>
      </c>
      <c r="D22" s="69">
        <v>82</v>
      </c>
      <c r="E22" s="70">
        <f>D22-F22*2</f>
        <v>64.400000000000006</v>
      </c>
      <c r="F22" s="16">
        <v>8.8000000000000007</v>
      </c>
      <c r="G22" s="71">
        <v>15.885953341330744</v>
      </c>
      <c r="H22" s="139">
        <v>3.2</v>
      </c>
      <c r="I22" s="9">
        <v>1</v>
      </c>
      <c r="J22" s="140" t="s">
        <v>422</v>
      </c>
      <c r="K22" s="139">
        <v>7.5</v>
      </c>
      <c r="L22" s="9">
        <v>1</v>
      </c>
      <c r="M22" s="140" t="s">
        <v>255</v>
      </c>
      <c r="N22" s="139"/>
      <c r="O22" s="9"/>
      <c r="P22" s="9"/>
      <c r="Q22" s="149">
        <f t="shared" si="2"/>
        <v>10.7</v>
      </c>
      <c r="R22" s="72">
        <f>Table4[[#This Row],[Total Metres]]*Table4[[#This Row],[Weight   Kg/m]]*Table4[[#This Row],[£/Tonne]]/1000</f>
        <v>127.48477556417922</v>
      </c>
      <c r="S22" s="77">
        <v>750</v>
      </c>
      <c r="T22" s="74">
        <f>Table4[[#This Row],[£/Tonne]]/1000*Table4[[#This Row],[Weight   Kg/m]]</f>
        <v>11.914465005998057</v>
      </c>
      <c r="U22" s="260">
        <v>7.6</v>
      </c>
      <c r="V22" s="10">
        <f>Table4[[#This Row],[Normal Length]]*Table4[[#This Row],[£Cost /m]]</f>
        <v>90.549934045585232</v>
      </c>
      <c r="W22" s="10"/>
      <c r="X22" s="10">
        <f>Table4[[#This Row],[£/ Length]]*(1+X$2)</f>
        <v>117.71491425926081</v>
      </c>
      <c r="Y22" s="10">
        <f>Table4[[#This Row],[£/ Length]]*(1+Y$2)</f>
        <v>122.24241096154007</v>
      </c>
      <c r="Z22" s="10">
        <f>Table4[[#This Row],[£/ Length]]*(1+Z$2)</f>
        <v>126.76990766381931</v>
      </c>
      <c r="AA22" s="10">
        <f>Table4[[#This Row],[£/ Length]]*(1+AA$2)</f>
        <v>135.82490106837784</v>
      </c>
    </row>
    <row r="23" spans="1:27" ht="25.35" customHeight="1">
      <c r="A23" s="7" t="s">
        <v>75</v>
      </c>
      <c r="B23" s="7" t="str">
        <f t="shared" si="1"/>
        <v>CHS_88.9_82.9_3</v>
      </c>
      <c r="C23" s="7" t="str">
        <f t="shared" si="0"/>
        <v>CHS 88.9OD 82.9ID  3mm Thick @ 6.36Kg/m</v>
      </c>
      <c r="D23" s="69">
        <v>88.9</v>
      </c>
      <c r="E23" s="70">
        <v>82.9</v>
      </c>
      <c r="F23" s="16">
        <v>3</v>
      </c>
      <c r="G23" s="71">
        <v>6.355269150616202</v>
      </c>
      <c r="H23" s="139">
        <v>7.5</v>
      </c>
      <c r="I23" s="9">
        <v>38</v>
      </c>
      <c r="J23" s="140" t="s">
        <v>255</v>
      </c>
      <c r="K23" s="139"/>
      <c r="L23" s="9"/>
      <c r="M23" s="140"/>
      <c r="N23" s="139"/>
      <c r="O23" s="9"/>
      <c r="P23" s="9"/>
      <c r="Q23" s="149">
        <f t="shared" si="2"/>
        <v>285</v>
      </c>
      <c r="R23" s="72">
        <f>Table4[[#This Row],[Total Metres]]*Table4[[#This Row],[Weight   Kg/m]]*Table4[[#This Row],[£/Tonne]]/1000</f>
        <v>996.18843935908967</v>
      </c>
      <c r="S23" s="73">
        <v>550</v>
      </c>
      <c r="T23" s="74">
        <f>Table4[[#This Row],[£/Tonne]]/1000*Table4[[#This Row],[Weight   Kg/m]]</f>
        <v>3.4953980328389114</v>
      </c>
      <c r="U23" s="260">
        <v>7.6</v>
      </c>
      <c r="V23" s="10">
        <f>Table4[[#This Row],[Normal Length]]*Table4[[#This Row],[£Cost /m]]</f>
        <v>26.565025049575727</v>
      </c>
      <c r="W23" s="10"/>
      <c r="X23" s="10">
        <f>Table4[[#This Row],[£/ Length]]*(1+X$2)</f>
        <v>34.534532564448448</v>
      </c>
      <c r="Y23" s="10">
        <f>Table4[[#This Row],[£/ Length]]*(1+Y$2)</f>
        <v>35.862783816927234</v>
      </c>
      <c r="Z23" s="10">
        <f>Table4[[#This Row],[£/ Length]]*(1+Z$2)</f>
        <v>37.191035069406013</v>
      </c>
      <c r="AA23" s="10">
        <f>Table4[[#This Row],[£/ Length]]*(1+AA$2)</f>
        <v>39.847537574363592</v>
      </c>
    </row>
    <row r="24" spans="1:27" ht="25.35" customHeight="1">
      <c r="A24" s="7" t="s">
        <v>75</v>
      </c>
      <c r="B24" s="7" t="str">
        <f t="shared" si="1"/>
        <v>CHS_88.9_80_4.25</v>
      </c>
      <c r="C24" s="7" t="str">
        <f t="shared" si="0"/>
        <v>CHS 88.9OD 80ID  4.25mm Thick @ 9.27Kg/m</v>
      </c>
      <c r="D24" s="69">
        <v>88.9</v>
      </c>
      <c r="E24" s="70">
        <v>80</v>
      </c>
      <c r="F24" s="16">
        <v>4.25</v>
      </c>
      <c r="G24" s="71">
        <v>9.2678542296253283</v>
      </c>
      <c r="H24" s="139">
        <v>4.8</v>
      </c>
      <c r="I24" s="9">
        <v>2</v>
      </c>
      <c r="J24" s="140" t="s">
        <v>422</v>
      </c>
      <c r="K24" s="139"/>
      <c r="L24" s="9"/>
      <c r="M24" s="140"/>
      <c r="N24" s="139"/>
      <c r="O24" s="9"/>
      <c r="P24" s="9"/>
      <c r="Q24" s="149">
        <f t="shared" si="2"/>
        <v>9.6</v>
      </c>
      <c r="R24" s="72">
        <f>Table4[[#This Row],[Total Metres]]*Table4[[#This Row],[Weight   Kg/m]]*Table4[[#This Row],[£/Tonne]]/1000</f>
        <v>51.158555347531809</v>
      </c>
      <c r="S24" s="73">
        <v>575</v>
      </c>
      <c r="T24" s="74">
        <f>Table4[[#This Row],[£/Tonne]]/1000*Table4[[#This Row],[Weight   Kg/m]]</f>
        <v>5.3290161820345636</v>
      </c>
      <c r="U24" s="260">
        <v>7.6</v>
      </c>
      <c r="V24" s="10">
        <f>Table4[[#This Row],[Normal Length]]*Table4[[#This Row],[£Cost /m]]</f>
        <v>40.50052298346268</v>
      </c>
      <c r="W24" s="10"/>
      <c r="X24" s="10">
        <f>Table4[[#This Row],[£/ Length]]*(1+X$2)</f>
        <v>52.650679878501485</v>
      </c>
      <c r="Y24" s="10">
        <f>Table4[[#This Row],[£/ Length]]*(1+Y$2)</f>
        <v>54.675706027674622</v>
      </c>
      <c r="Z24" s="10">
        <f>Table4[[#This Row],[£/ Length]]*(1+Z$2)</f>
        <v>56.700732176847751</v>
      </c>
      <c r="AA24" s="10">
        <f>Table4[[#This Row],[£/ Length]]*(1+AA$2)</f>
        <v>60.750784475194024</v>
      </c>
    </row>
    <row r="25" spans="1:27" ht="25.35" customHeight="1">
      <c r="A25" s="7" t="s">
        <v>75</v>
      </c>
      <c r="B25" s="7" t="str">
        <f t="shared" si="1"/>
        <v>CHS_88.9_81_4</v>
      </c>
      <c r="C25" s="7" t="str">
        <f t="shared" si="0"/>
        <v>CHS 88.9OD 81ID  4mm Thick @ 8.28Kg/m</v>
      </c>
      <c r="D25" s="69">
        <v>88.9</v>
      </c>
      <c r="E25" s="70">
        <v>81</v>
      </c>
      <c r="F25" s="16">
        <v>4</v>
      </c>
      <c r="G25" s="71">
        <v>8.2752287608154518</v>
      </c>
      <c r="H25" s="139"/>
      <c r="I25" s="9"/>
      <c r="J25" s="140"/>
      <c r="K25" s="139"/>
      <c r="L25" s="9"/>
      <c r="M25" s="140"/>
      <c r="N25" s="139"/>
      <c r="O25" s="9"/>
      <c r="P25" s="9"/>
      <c r="Q25" s="149">
        <f t="shared" si="2"/>
        <v>0</v>
      </c>
      <c r="R25" s="72">
        <f>Table4[[#This Row],[Total Metres]]*Table4[[#This Row],[Weight   Kg/m]]*Table4[[#This Row],[£/Tonne]]/1000</f>
        <v>0</v>
      </c>
      <c r="S25" s="73">
        <v>575</v>
      </c>
      <c r="T25" s="74">
        <f>Table4[[#This Row],[£/Tonne]]/1000*Table4[[#This Row],[Weight   Kg/m]]</f>
        <v>4.7582565374688848</v>
      </c>
      <c r="U25" s="260">
        <v>7.6</v>
      </c>
      <c r="V25" s="10">
        <f>Table4[[#This Row],[Normal Length]]*Table4[[#This Row],[£Cost /m]]</f>
        <v>36.162749684763526</v>
      </c>
      <c r="W25" s="10"/>
      <c r="X25" s="10">
        <f>Table4[[#This Row],[£/ Length]]*(1+X$2)</f>
        <v>47.011574590192588</v>
      </c>
      <c r="Y25" s="10">
        <f>Table4[[#This Row],[£/ Length]]*(1+Y$2)</f>
        <v>48.819712074430761</v>
      </c>
      <c r="Z25" s="10">
        <f>Table4[[#This Row],[£/ Length]]*(1+Z$2)</f>
        <v>50.627849558668935</v>
      </c>
      <c r="AA25" s="10">
        <f>Table4[[#This Row],[£/ Length]]*(1+AA$2)</f>
        <v>54.244124527145289</v>
      </c>
    </row>
    <row r="26" spans="1:27" ht="25.35" customHeight="1">
      <c r="A26" s="7" t="s">
        <v>75</v>
      </c>
      <c r="B26" s="7" t="str">
        <f t="shared" si="1"/>
        <v>CHS_88.9_78.9_4</v>
      </c>
      <c r="C26" s="7" t="str">
        <f t="shared" si="0"/>
        <v>CHS 88.9OD 78.9ID  4mm Thick @ 10.35Kg/m</v>
      </c>
      <c r="D26" s="69">
        <v>88.9</v>
      </c>
      <c r="E26" s="70">
        <v>78.900000000000006</v>
      </c>
      <c r="F26" s="16">
        <v>4</v>
      </c>
      <c r="G26" s="71">
        <v>10.345500227720201</v>
      </c>
      <c r="H26" s="139">
        <v>7.5</v>
      </c>
      <c r="I26" s="9">
        <v>12</v>
      </c>
      <c r="J26" s="140" t="s">
        <v>255</v>
      </c>
      <c r="K26" s="139"/>
      <c r="L26" s="9"/>
      <c r="M26" s="140"/>
      <c r="N26" s="139"/>
      <c r="O26" s="9"/>
      <c r="P26" s="9"/>
      <c r="Q26" s="149">
        <f t="shared" si="2"/>
        <v>90</v>
      </c>
      <c r="R26" s="72">
        <f>Table4[[#This Row],[Total Metres]]*Table4[[#This Row],[Weight   Kg/m]]*Table4[[#This Row],[£/Tonne]]/1000</f>
        <v>535.37963678452036</v>
      </c>
      <c r="S26" s="73">
        <v>575</v>
      </c>
      <c r="T26" s="74">
        <f>Table4[[#This Row],[£/Tonne]]/1000*Table4[[#This Row],[Weight   Kg/m]]</f>
        <v>5.9486626309391148</v>
      </c>
      <c r="U26" s="260">
        <v>7.6</v>
      </c>
      <c r="V26" s="10">
        <f>Table4[[#This Row],[Normal Length]]*Table4[[#This Row],[£Cost /m]]</f>
        <v>45.209835995137269</v>
      </c>
      <c r="W26" s="10"/>
      <c r="X26" s="10">
        <f>Table4[[#This Row],[£/ Length]]*(1+X$2)</f>
        <v>58.772786793678449</v>
      </c>
      <c r="Y26" s="10">
        <f>Table4[[#This Row],[£/ Length]]*(1+Y$2)</f>
        <v>61.03327859343532</v>
      </c>
      <c r="Z26" s="10">
        <f>Table4[[#This Row],[£/ Length]]*(1+Z$2)</f>
        <v>63.293770393192169</v>
      </c>
      <c r="AA26" s="10">
        <f>Table4[[#This Row],[£/ Length]]*(1+AA$2)</f>
        <v>67.814753992705903</v>
      </c>
    </row>
    <row r="27" spans="1:27" ht="25.35" customHeight="1">
      <c r="A27" s="7" t="s">
        <v>75</v>
      </c>
      <c r="B27" s="7" t="str">
        <f t="shared" si="1"/>
        <v>CHS_88.9_78.9_5</v>
      </c>
      <c r="C27" s="7" t="str">
        <f t="shared" si="0"/>
        <v>CHS 88.9OD 78.9ID  5mm Thick @ 10.35Kg/m</v>
      </c>
      <c r="D27" s="69">
        <v>88.9</v>
      </c>
      <c r="E27" s="70">
        <v>78.900000000000006</v>
      </c>
      <c r="F27" s="16">
        <v>5</v>
      </c>
      <c r="G27" s="71">
        <v>10.345500227720201</v>
      </c>
      <c r="H27" s="139"/>
      <c r="I27" s="9"/>
      <c r="J27" s="140"/>
      <c r="K27" s="139"/>
      <c r="L27" s="9"/>
      <c r="M27" s="140"/>
      <c r="N27" s="139"/>
      <c r="O27" s="9"/>
      <c r="P27" s="9"/>
      <c r="Q27" s="149">
        <f t="shared" si="2"/>
        <v>0</v>
      </c>
      <c r="R27" s="72">
        <f>Table4[[#This Row],[Total Metres]]*Table4[[#This Row],[Weight   Kg/m]]*Table4[[#This Row],[£/Tonne]]/1000</f>
        <v>0</v>
      </c>
      <c r="S27" s="73">
        <v>895</v>
      </c>
      <c r="T27" s="74">
        <f>Table4[[#This Row],[£/Tonne]]/1000*Table4[[#This Row],[Weight   Kg/m]]</f>
        <v>9.2592227038095807</v>
      </c>
      <c r="U27" s="260">
        <v>7.6</v>
      </c>
      <c r="V27" s="10">
        <f>Table4[[#This Row],[Normal Length]]*Table4[[#This Row],[£Cost /m]]</f>
        <v>70.370092548952812</v>
      </c>
      <c r="W27" s="10"/>
      <c r="X27" s="10">
        <f>Table4[[#This Row],[£/ Length]]*(1+X$2)</f>
        <v>91.481120313638655</v>
      </c>
      <c r="Y27" s="10">
        <f>Table4[[#This Row],[£/ Length]]*(1+Y$2)</f>
        <v>94.999624941086296</v>
      </c>
      <c r="Z27" s="10">
        <f>Table4[[#This Row],[£/ Length]]*(1+Z$2)</f>
        <v>98.518129568533936</v>
      </c>
      <c r="AA27" s="10">
        <f>Table4[[#This Row],[£/ Length]]*(1+AA$2)</f>
        <v>105.55513882342922</v>
      </c>
    </row>
    <row r="28" spans="1:27" ht="25.35" customHeight="1">
      <c r="A28" s="7" t="s">
        <v>75</v>
      </c>
      <c r="B28" s="7" t="str">
        <f t="shared" si="1"/>
        <v>CHS_88.9_78.9_5</v>
      </c>
      <c r="C28" s="7" t="str">
        <f t="shared" si="0"/>
        <v>CHS 88.9OD 78.9ID  5mm Thick @ 10.35Kg/m</v>
      </c>
      <c r="D28" s="69">
        <v>88.9</v>
      </c>
      <c r="E28" s="70">
        <v>78.900000000000006</v>
      </c>
      <c r="F28" s="16">
        <v>5</v>
      </c>
      <c r="G28" s="71">
        <v>10.345500227720201</v>
      </c>
      <c r="H28" s="139"/>
      <c r="I28" s="9"/>
      <c r="J28" s="140"/>
      <c r="K28" s="139"/>
      <c r="L28" s="9"/>
      <c r="M28" s="140"/>
      <c r="N28" s="139"/>
      <c r="O28" s="9"/>
      <c r="P28" s="9"/>
      <c r="Q28" s="149">
        <f t="shared" si="2"/>
        <v>0</v>
      </c>
      <c r="R28" s="72">
        <f>Table4[[#This Row],[Total Metres]]*Table4[[#This Row],[Weight   Kg/m]]*Table4[[#This Row],[£/Tonne]]/1000</f>
        <v>0</v>
      </c>
      <c r="S28" s="73">
        <v>895</v>
      </c>
      <c r="T28" s="74">
        <f>Table4[[#This Row],[£/Tonne]]/1000*Table4[[#This Row],[Weight   Kg/m]]</f>
        <v>9.2592227038095807</v>
      </c>
      <c r="U28" s="260">
        <v>7.6</v>
      </c>
      <c r="V28" s="10">
        <f>Table4[[#This Row],[Normal Length]]*Table4[[#This Row],[£Cost /m]]</f>
        <v>70.370092548952812</v>
      </c>
      <c r="W28" s="10"/>
      <c r="X28" s="10">
        <f>Table4[[#This Row],[£/ Length]]*(1+X$2)</f>
        <v>91.481120313638655</v>
      </c>
      <c r="Y28" s="10">
        <f>Table4[[#This Row],[£/ Length]]*(1+Y$2)</f>
        <v>94.999624941086296</v>
      </c>
      <c r="Z28" s="10">
        <f>Table4[[#This Row],[£/ Length]]*(1+Z$2)</f>
        <v>98.518129568533936</v>
      </c>
      <c r="AA28" s="10">
        <f>Table4[[#This Row],[£/ Length]]*(1+AA$2)</f>
        <v>105.55513882342922</v>
      </c>
    </row>
    <row r="29" spans="1:27" ht="25.35" customHeight="1">
      <c r="A29" s="7" t="s">
        <v>75</v>
      </c>
      <c r="B29" s="7" t="str">
        <f t="shared" si="1"/>
        <v>CHS_88.9_76.9_6</v>
      </c>
      <c r="C29" s="7" t="str">
        <f t="shared" si="0"/>
        <v>CHS 88.9OD 76.9ID  6mm Thick @ 12.27Kg/m</v>
      </c>
      <c r="D29" s="69">
        <v>88.9</v>
      </c>
      <c r="E29" s="70">
        <v>76.900000000000006</v>
      </c>
      <c r="F29" s="16">
        <v>6</v>
      </c>
      <c r="G29" s="71">
        <v>12.266631259280167</v>
      </c>
      <c r="H29" s="139">
        <v>10</v>
      </c>
      <c r="I29" s="9">
        <v>2</v>
      </c>
      <c r="J29" s="140" t="s">
        <v>255</v>
      </c>
      <c r="K29" s="139"/>
      <c r="L29" s="9"/>
      <c r="M29" s="140"/>
      <c r="N29" s="139"/>
      <c r="O29" s="9"/>
      <c r="P29" s="9"/>
      <c r="Q29" s="149">
        <f t="shared" si="2"/>
        <v>20</v>
      </c>
      <c r="R29" s="72">
        <f>Table4[[#This Row],[Total Metres]]*Table4[[#This Row],[Weight   Kg/m]]*Table4[[#This Row],[£/Tonne]]/1000</f>
        <v>152.10622761507409</v>
      </c>
      <c r="S29" s="73">
        <v>620</v>
      </c>
      <c r="T29" s="74">
        <f>Table4[[#This Row],[£/Tonne]]/1000*Table4[[#This Row],[Weight   Kg/m]]</f>
        <v>7.6053113807537036</v>
      </c>
      <c r="U29" s="260">
        <v>7.6</v>
      </c>
      <c r="V29" s="10">
        <f>Table4[[#This Row],[Normal Length]]*Table4[[#This Row],[£Cost /m]]</f>
        <v>57.800366493728141</v>
      </c>
      <c r="W29" s="10"/>
      <c r="X29" s="10">
        <f>Table4[[#This Row],[£/ Length]]*(1+X$2)</f>
        <v>75.140476441846587</v>
      </c>
      <c r="Y29" s="10">
        <f>Table4[[#This Row],[£/ Length]]*(1+Y$2)</f>
        <v>78.030494766532996</v>
      </c>
      <c r="Z29" s="10">
        <f>Table4[[#This Row],[£/ Length]]*(1+Z$2)</f>
        <v>80.920513091219391</v>
      </c>
      <c r="AA29" s="10">
        <f>Table4[[#This Row],[£/ Length]]*(1+AA$2)</f>
        <v>86.700549740592209</v>
      </c>
    </row>
    <row r="30" spans="1:27" ht="25.35" customHeight="1">
      <c r="A30" s="7" t="s">
        <v>75</v>
      </c>
      <c r="B30" s="7" t="str">
        <f t="shared" si="1"/>
        <v>CHS_89_73_8</v>
      </c>
      <c r="C30" s="7" t="str">
        <f t="shared" si="0"/>
        <v>CHS 89OD 73ID  8mm Thick @ 15.98Kg/m</v>
      </c>
      <c r="D30" s="69">
        <v>89</v>
      </c>
      <c r="E30" s="70">
        <v>73</v>
      </c>
      <c r="F30" s="16">
        <v>8</v>
      </c>
      <c r="G30" s="71">
        <v>15.980653510280554</v>
      </c>
      <c r="H30" s="139">
        <v>7.5</v>
      </c>
      <c r="I30" s="9">
        <v>1</v>
      </c>
      <c r="J30" s="140" t="s">
        <v>255</v>
      </c>
      <c r="K30" s="139"/>
      <c r="L30" s="9"/>
      <c r="M30" s="140"/>
      <c r="N30" s="139"/>
      <c r="O30" s="9"/>
      <c r="P30" s="9"/>
      <c r="Q30" s="149">
        <f t="shared" si="2"/>
        <v>7.5</v>
      </c>
      <c r="R30" s="72">
        <f>Table4[[#This Row],[Total Metres]]*Table4[[#This Row],[Weight   Kg/m]]*Table4[[#This Row],[£/Tonne]]/1000</f>
        <v>68.916568263084883</v>
      </c>
      <c r="S30" s="73">
        <f>S26</f>
        <v>575</v>
      </c>
      <c r="T30" s="74">
        <f>Table4[[#This Row],[£/Tonne]]/1000*Table4[[#This Row],[Weight   Kg/m]]</f>
        <v>9.188875768411318</v>
      </c>
      <c r="U30" s="260">
        <v>7.6</v>
      </c>
      <c r="V30" s="10">
        <f>Table4[[#This Row],[Normal Length]]*Table4[[#This Row],[£Cost /m]]</f>
        <v>69.835455839926013</v>
      </c>
      <c r="W30" s="10"/>
      <c r="X30" s="10">
        <f>Table4[[#This Row],[£/ Length]]*(1+X$2)</f>
        <v>90.786092591903824</v>
      </c>
      <c r="Y30" s="10">
        <f>Table4[[#This Row],[£/ Length]]*(1+Y$2)</f>
        <v>94.277865383900121</v>
      </c>
      <c r="Z30" s="10">
        <f>Table4[[#This Row],[£/ Length]]*(1+Z$2)</f>
        <v>97.769638175896418</v>
      </c>
      <c r="AA30" s="10">
        <f>Table4[[#This Row],[£/ Length]]*(1+AA$2)</f>
        <v>104.75318375988903</v>
      </c>
    </row>
    <row r="31" spans="1:27" ht="25.35" customHeight="1">
      <c r="A31" s="198" t="s">
        <v>75</v>
      </c>
      <c r="B31" s="7" t="str">
        <f t="shared" ref="B31" si="3">_xlfn.CONCAT(A31,"_",D31,"_",E31,"_",F31)</f>
        <v>CHS_89_73_9</v>
      </c>
      <c r="C31" s="7" t="str">
        <f t="shared" ref="C31" si="4">_xlfn.CONCAT(A31," ",D31,"OD ",E31,"ID  ",F31,"mm Thick", " @ ",ROUND(G31,2),"Kg/m")</f>
        <v>CHS 89OD 73ID  9mm Thick @ 15.98Kg/m</v>
      </c>
      <c r="D31" s="69">
        <v>89</v>
      </c>
      <c r="E31" s="70">
        <v>73</v>
      </c>
      <c r="F31" s="16">
        <v>9</v>
      </c>
      <c r="G31" s="71">
        <v>15.980653510280554</v>
      </c>
      <c r="H31" s="139">
        <v>4.5</v>
      </c>
      <c r="I31" s="9">
        <v>1</v>
      </c>
      <c r="J31" s="140" t="s">
        <v>484</v>
      </c>
      <c r="K31" s="139">
        <v>4.3</v>
      </c>
      <c r="L31" s="9">
        <v>1</v>
      </c>
      <c r="M31" s="140" t="s">
        <v>484</v>
      </c>
      <c r="N31" s="139">
        <v>5</v>
      </c>
      <c r="O31" s="9">
        <v>1</v>
      </c>
      <c r="P31" s="9" t="s">
        <v>484</v>
      </c>
      <c r="Q31" s="149">
        <f t="shared" si="2"/>
        <v>13.8</v>
      </c>
      <c r="R31" s="72">
        <f>Table4[[#This Row],[Total Metres]]*Table4[[#This Row],[Weight   Kg/m]]*Table4[[#This Row],[£/Tonne]]/1000</f>
        <v>126.80648560407622</v>
      </c>
      <c r="S31" s="73">
        <f>S30</f>
        <v>575</v>
      </c>
      <c r="T31" s="74">
        <f>Table4[[#This Row],[£/Tonne]]/1000*Table4[[#This Row],[Weight   Kg/m]]</f>
        <v>9.188875768411318</v>
      </c>
      <c r="U31" s="260">
        <v>7.6</v>
      </c>
      <c r="V31" s="10">
        <f>Table4[[#This Row],[Normal Length]]*Table4[[#This Row],[£Cost /m]]</f>
        <v>69.835455839926013</v>
      </c>
      <c r="W31" s="10"/>
      <c r="X31" s="10">
        <f>Table4[[#This Row],[£/ Length]]*(1+X$2)</f>
        <v>90.786092591903824</v>
      </c>
      <c r="Y31" s="10">
        <f>Table4[[#This Row],[£/ Length]]*(1+Y$2)</f>
        <v>94.277865383900121</v>
      </c>
      <c r="Z31" s="10">
        <f>Table4[[#This Row],[£/ Length]]*(1+Z$2)</f>
        <v>97.769638175896418</v>
      </c>
      <c r="AA31" s="10">
        <f>Table4[[#This Row],[£/ Length]]*(1+AA$2)</f>
        <v>104.75318375988903</v>
      </c>
    </row>
    <row r="32" spans="1:27" ht="25.35" customHeight="1">
      <c r="A32" s="7" t="s">
        <v>75</v>
      </c>
      <c r="B32" s="7" t="str">
        <f t="shared" si="1"/>
        <v>CHS_90_84_3</v>
      </c>
      <c r="C32" s="7" t="str">
        <f t="shared" si="0"/>
        <v>CHS 90OD 84ID  3mm Thick @ 6.44Kg/m</v>
      </c>
      <c r="D32" s="69">
        <v>90</v>
      </c>
      <c r="E32" s="70">
        <v>84</v>
      </c>
      <c r="F32" s="16">
        <v>3</v>
      </c>
      <c r="G32" s="71">
        <v>6.4366521083074417</v>
      </c>
      <c r="H32" s="139"/>
      <c r="I32" s="9"/>
      <c r="J32" s="140"/>
      <c r="K32" s="139"/>
      <c r="L32" s="9"/>
      <c r="M32" s="140"/>
      <c r="N32" s="139"/>
      <c r="O32" s="9"/>
      <c r="P32" s="9"/>
      <c r="Q32" s="149">
        <f t="shared" si="2"/>
        <v>0</v>
      </c>
      <c r="R32" s="72">
        <f>Table4[[#This Row],[Total Metres]]*Table4[[#This Row],[Weight   Kg/m]]*Table4[[#This Row],[£/Tonne]]/1000</f>
        <v>0</v>
      </c>
      <c r="S32" s="73"/>
      <c r="T32" s="74">
        <f>Table4[[#This Row],[£/Tonne]]/1000*Table4[[#This Row],[Weight   Kg/m]]</f>
        <v>0</v>
      </c>
      <c r="U32" s="260">
        <v>7.6</v>
      </c>
      <c r="V32" s="10">
        <f>Table4[[#This Row],[Normal Length]]*Table4[[#This Row],[£Cost /m]]</f>
        <v>0</v>
      </c>
      <c r="W32" s="10"/>
      <c r="X32" s="10">
        <f>Table4[[#This Row],[£/ Length]]*(1+X$2)</f>
        <v>0</v>
      </c>
      <c r="Y32" s="10">
        <f>Table4[[#This Row],[£/ Length]]*(1+Y$2)</f>
        <v>0</v>
      </c>
      <c r="Z32" s="10">
        <f>Table4[[#This Row],[£/ Length]]*(1+Z$2)</f>
        <v>0</v>
      </c>
      <c r="AA32" s="10">
        <f>Table4[[#This Row],[£/ Length]]*(1+AA$2)</f>
        <v>0</v>
      </c>
    </row>
    <row r="33" spans="1:27" ht="25.35" customHeight="1">
      <c r="A33" s="7" t="s">
        <v>75</v>
      </c>
      <c r="B33" s="7" t="str">
        <f t="shared" si="1"/>
        <v>CHS_90_82_4</v>
      </c>
      <c r="C33" s="7" t="str">
        <f t="shared" si="0"/>
        <v>CHS 90OD 82ID  4mm Thick @ 8.48Kg/m</v>
      </c>
      <c r="D33" s="69">
        <v>90</v>
      </c>
      <c r="E33" s="70">
        <v>82</v>
      </c>
      <c r="F33" s="16">
        <v>4</v>
      </c>
      <c r="G33" s="71">
        <v>8.4835568017538776</v>
      </c>
      <c r="H33" s="139"/>
      <c r="I33" s="9"/>
      <c r="J33" s="140"/>
      <c r="K33" s="139"/>
      <c r="L33" s="9"/>
      <c r="M33" s="140"/>
      <c r="N33" s="139"/>
      <c r="O33" s="9"/>
      <c r="P33" s="9"/>
      <c r="Q33" s="149">
        <f t="shared" si="2"/>
        <v>0</v>
      </c>
      <c r="R33" s="72">
        <f>Table4[[#This Row],[Total Metres]]*Table4[[#This Row],[Weight   Kg/m]]*Table4[[#This Row],[£/Tonne]]/1000</f>
        <v>0</v>
      </c>
      <c r="S33" s="73"/>
      <c r="T33" s="74">
        <f>Table4[[#This Row],[£/Tonne]]/1000*Table4[[#This Row],[Weight   Kg/m]]</f>
        <v>0</v>
      </c>
      <c r="U33" s="260">
        <v>7.6</v>
      </c>
      <c r="V33" s="10">
        <f>Table4[[#This Row],[Normal Length]]*Table4[[#This Row],[£Cost /m]]</f>
        <v>0</v>
      </c>
      <c r="W33" s="10"/>
      <c r="X33" s="10">
        <f>Table4[[#This Row],[£/ Length]]*(1+X$2)</f>
        <v>0</v>
      </c>
      <c r="Y33" s="10">
        <f>Table4[[#This Row],[£/ Length]]*(1+Y$2)</f>
        <v>0</v>
      </c>
      <c r="Z33" s="10">
        <f>Table4[[#This Row],[£/ Length]]*(1+Z$2)</f>
        <v>0</v>
      </c>
      <c r="AA33" s="10">
        <f>Table4[[#This Row],[£/ Length]]*(1+AA$2)</f>
        <v>0</v>
      </c>
    </row>
    <row r="34" spans="1:27" ht="25.35" customHeight="1">
      <c r="A34" s="7" t="s">
        <v>75</v>
      </c>
      <c r="B34" s="7" t="str">
        <f t="shared" si="1"/>
        <v>CHS_101_94_3.5</v>
      </c>
      <c r="C34" s="7" t="str">
        <f t="shared" si="0"/>
        <v>CHS 101OD 94ID  3.5mm Thick @ 8.42Kg/m</v>
      </c>
      <c r="D34" s="69">
        <v>101</v>
      </c>
      <c r="E34" s="70">
        <v>94</v>
      </c>
      <c r="F34" s="16">
        <v>3.5</v>
      </c>
      <c r="G34" s="71">
        <v>8.4157376703445124</v>
      </c>
      <c r="H34" s="139"/>
      <c r="I34" s="9"/>
      <c r="J34" s="140"/>
      <c r="K34" s="139"/>
      <c r="L34" s="9"/>
      <c r="M34" s="140"/>
      <c r="N34" s="139"/>
      <c r="O34" s="9"/>
      <c r="P34" s="9"/>
      <c r="Q34" s="149">
        <f t="shared" si="2"/>
        <v>0</v>
      </c>
      <c r="R34" s="72">
        <f>Table4[[#This Row],[Total Metres]]*Table4[[#This Row],[Weight   Kg/m]]*Table4[[#This Row],[£/Tonne]]/1000</f>
        <v>0</v>
      </c>
      <c r="S34" s="74"/>
      <c r="T34" s="74">
        <f>Table4[[#This Row],[£/Tonne]]/1000*Table4[[#This Row],[Weight   Kg/m]]</f>
        <v>0</v>
      </c>
      <c r="U34" s="260">
        <v>7.6</v>
      </c>
      <c r="V34" s="10">
        <f>Table4[[#This Row],[Normal Length]]*Table4[[#This Row],[£Cost /m]]</f>
        <v>0</v>
      </c>
      <c r="W34" s="10"/>
      <c r="X34" s="10">
        <f>Table4[[#This Row],[£/ Length]]*(1+X$2)</f>
        <v>0</v>
      </c>
      <c r="Y34" s="10">
        <f>Table4[[#This Row],[£/ Length]]*(1+Y$2)</f>
        <v>0</v>
      </c>
      <c r="Z34" s="10">
        <f>Table4[[#This Row],[£/ Length]]*(1+Z$2)</f>
        <v>0</v>
      </c>
      <c r="AA34" s="10">
        <f>Table4[[#This Row],[£/ Length]]*(1+AA$2)</f>
        <v>0</v>
      </c>
    </row>
    <row r="35" spans="1:27" ht="25.35" customHeight="1">
      <c r="A35" s="7" t="s">
        <v>75</v>
      </c>
      <c r="B35" s="7" t="str">
        <f t="shared" si="1"/>
        <v>CHS_114.3_102.3_5</v>
      </c>
      <c r="C35" s="7" t="str">
        <f t="shared" si="0"/>
        <v>CHS 114.3OD 102.3ID  5mm Thick @ 16.03Kg/m</v>
      </c>
      <c r="D35" s="69">
        <v>114.3</v>
      </c>
      <c r="E35" s="70">
        <v>102.3</v>
      </c>
      <c r="F35" s="16">
        <v>5</v>
      </c>
      <c r="G35" s="71">
        <v>16.025044214475798</v>
      </c>
      <c r="H35" s="139"/>
      <c r="I35" s="9"/>
      <c r="J35" s="140"/>
      <c r="K35" s="139"/>
      <c r="L35" s="9"/>
      <c r="M35" s="140"/>
      <c r="N35" s="139"/>
      <c r="O35" s="9"/>
      <c r="P35" s="9"/>
      <c r="Q35" s="149">
        <f t="shared" si="2"/>
        <v>0</v>
      </c>
      <c r="R35" s="72">
        <f>Table4[[#This Row],[Total Metres]]*Table4[[#This Row],[Weight   Kg/m]]*Table4[[#This Row],[£/Tonne]]/1000</f>
        <v>0</v>
      </c>
      <c r="S35" s="74">
        <v>525</v>
      </c>
      <c r="T35" s="74">
        <f>Table4[[#This Row],[£/Tonne]]/1000*Table4[[#This Row],[Weight   Kg/m]]</f>
        <v>8.4131482125997952</v>
      </c>
      <c r="U35" s="260">
        <v>7.6</v>
      </c>
      <c r="V35" s="10">
        <f>Table4[[#This Row],[Normal Length]]*Table4[[#This Row],[£Cost /m]]</f>
        <v>63.939926415758443</v>
      </c>
      <c r="W35" s="10"/>
      <c r="X35" s="10">
        <f>Table4[[#This Row],[£/ Length]]*(1+X$2)</f>
        <v>83.121904340485983</v>
      </c>
      <c r="Y35" s="10">
        <f>Table4[[#This Row],[£/ Length]]*(1+Y$2)</f>
        <v>86.318900661273901</v>
      </c>
      <c r="Z35" s="10">
        <f>Table4[[#This Row],[£/ Length]]*(1+Z$2)</f>
        <v>89.515896982061818</v>
      </c>
      <c r="AA35" s="10">
        <f>Table4[[#This Row],[£/ Length]]*(1+AA$2)</f>
        <v>95.909889623637667</v>
      </c>
    </row>
    <row r="36" spans="1:27" ht="25.35" customHeight="1">
      <c r="A36" s="7" t="s">
        <v>75</v>
      </c>
      <c r="B36" s="7" t="str">
        <f t="shared" si="1"/>
        <v>CHS_114.3_102.3_5</v>
      </c>
      <c r="C36" s="7" t="str">
        <f t="shared" si="0"/>
        <v>CHS 114.3OD 102.3ID  5mm Thick @ 16.03Kg/m</v>
      </c>
      <c r="D36" s="69">
        <v>114.3</v>
      </c>
      <c r="E36" s="70">
        <v>102.3</v>
      </c>
      <c r="F36" s="16">
        <v>5</v>
      </c>
      <c r="G36" s="71">
        <v>16.025044214475798</v>
      </c>
      <c r="H36" s="139"/>
      <c r="I36" s="9"/>
      <c r="J36" s="140"/>
      <c r="K36" s="139"/>
      <c r="L36" s="9"/>
      <c r="M36" s="140"/>
      <c r="N36" s="139"/>
      <c r="O36" s="9"/>
      <c r="P36" s="9"/>
      <c r="Q36" s="149">
        <f t="shared" si="2"/>
        <v>0</v>
      </c>
      <c r="R36" s="72">
        <f>Table4[[#This Row],[Total Metres]]*Table4[[#This Row],[Weight   Kg/m]]*Table4[[#This Row],[£/Tonne]]/1000</f>
        <v>0</v>
      </c>
      <c r="S36" s="74">
        <v>525</v>
      </c>
      <c r="T36" s="74">
        <f>Table4[[#This Row],[£/Tonne]]/1000*Table4[[#This Row],[Weight   Kg/m]]</f>
        <v>8.4131482125997952</v>
      </c>
      <c r="U36" s="260">
        <v>7.6</v>
      </c>
      <c r="V36" s="10">
        <f>Table4[[#This Row],[Normal Length]]*Table4[[#This Row],[£Cost /m]]</f>
        <v>63.939926415758443</v>
      </c>
      <c r="W36" s="10"/>
      <c r="X36" s="10">
        <f>Table4[[#This Row],[£/ Length]]*(1+X$2)</f>
        <v>83.121904340485983</v>
      </c>
      <c r="Y36" s="10">
        <f>Table4[[#This Row],[£/ Length]]*(1+Y$2)</f>
        <v>86.318900661273901</v>
      </c>
      <c r="Z36" s="10">
        <f>Table4[[#This Row],[£/ Length]]*(1+Z$2)</f>
        <v>89.515896982061818</v>
      </c>
      <c r="AA36" s="10">
        <f>Table4[[#This Row],[£/ Length]]*(1+AA$2)</f>
        <v>95.909889623637667</v>
      </c>
    </row>
    <row r="37" spans="1:27" ht="25.35" customHeight="1">
      <c r="A37" s="7" t="s">
        <v>75</v>
      </c>
      <c r="B37" s="7" t="str">
        <f t="shared" ref="B37" si="5">_xlfn.CONCAT(A37,"_",D37,"_",E37,"_",F37)</f>
        <v>CHS_116_105_4</v>
      </c>
      <c r="C37" s="7" t="str">
        <f t="shared" ref="C37" si="6">_xlfn.CONCAT(A37," ",D37,"OD ",E37,"ID  ",F37,"mm Thick", " @ ",ROUND(G37,2),"Kg/m")</f>
        <v>CHS 116OD 105ID  4mm Thick @ 16.03Kg/m</v>
      </c>
      <c r="D37" s="69">
        <v>116</v>
      </c>
      <c r="E37" s="70">
        <v>105</v>
      </c>
      <c r="F37" s="16">
        <v>4</v>
      </c>
      <c r="G37" s="71">
        <v>16.025044214475798</v>
      </c>
      <c r="H37" s="139">
        <v>7.5</v>
      </c>
      <c r="I37" s="9">
        <v>3</v>
      </c>
      <c r="J37" s="140" t="s">
        <v>255</v>
      </c>
      <c r="K37" s="139">
        <v>6.5</v>
      </c>
      <c r="L37" s="9">
        <v>2</v>
      </c>
      <c r="M37" s="140" t="s">
        <v>255</v>
      </c>
      <c r="N37" s="139">
        <v>2.9</v>
      </c>
      <c r="O37" s="9">
        <v>1</v>
      </c>
      <c r="P37" s="9" t="s">
        <v>255</v>
      </c>
      <c r="Q37" s="149">
        <f t="shared" si="2"/>
        <v>38.4</v>
      </c>
      <c r="R37" s="72">
        <f>Table4[[#This Row],[Total Metres]]*Table4[[#This Row],[Weight   Kg/m]]*Table4[[#This Row],[£/Tonne]]/1000</f>
        <v>323.06489136383203</v>
      </c>
      <c r="S37" s="74">
        <v>525</v>
      </c>
      <c r="T37" s="74">
        <f>Table4[[#This Row],[£/Tonne]]/1000*Table4[[#This Row],[Weight   Kg/m]]</f>
        <v>8.4131482125997952</v>
      </c>
      <c r="U37" s="260">
        <v>7.6</v>
      </c>
      <c r="V37" s="10">
        <f>Table4[[#This Row],[Normal Length]]*Table4[[#This Row],[£Cost /m]]</f>
        <v>63.939926415758443</v>
      </c>
      <c r="W37" s="10"/>
      <c r="X37" s="10">
        <f>Table4[[#This Row],[£/ Length]]*(1+X$2)</f>
        <v>83.121904340485983</v>
      </c>
      <c r="Y37" s="10">
        <f>Table4[[#This Row],[£/ Length]]*(1+Y$2)</f>
        <v>86.318900661273901</v>
      </c>
      <c r="Z37" s="10">
        <f>Table4[[#This Row],[£/ Length]]*(1+Z$2)</f>
        <v>89.515896982061818</v>
      </c>
      <c r="AA37" s="10">
        <f>Table4[[#This Row],[£/ Length]]*(1+AA$2)</f>
        <v>95.909889623637667</v>
      </c>
    </row>
    <row r="38" spans="1:27" ht="25.35" customHeight="1">
      <c r="A38" s="7" t="s">
        <v>75</v>
      </c>
      <c r="B38" s="7" t="str">
        <f t="shared" ref="B38" si="7">_xlfn.CONCAT(A38,"_",D38,"_",E38,"_",F38)</f>
        <v>CHS_125_122_3</v>
      </c>
      <c r="C38" s="7" t="str">
        <f t="shared" ref="C38" si="8">_xlfn.CONCAT(A38," ",D38,"OD ",E38,"ID  ",F38,"mm Thick", " @ ",ROUND(G38,2),"Kg/m")</f>
        <v>CHS 125OD 122ID  3mm Thick @ 16.03Kg/m</v>
      </c>
      <c r="D38" s="69">
        <v>125</v>
      </c>
      <c r="E38" s="70">
        <v>122</v>
      </c>
      <c r="F38" s="16">
        <v>3</v>
      </c>
      <c r="G38" s="71">
        <v>16.025044214475798</v>
      </c>
      <c r="H38" s="139">
        <v>3</v>
      </c>
      <c r="I38" s="9">
        <v>1</v>
      </c>
      <c r="J38" s="140" t="s">
        <v>255</v>
      </c>
      <c r="K38" s="139">
        <v>6</v>
      </c>
      <c r="L38" s="9">
        <v>2</v>
      </c>
      <c r="M38" s="140" t="s">
        <v>255</v>
      </c>
      <c r="N38" s="139"/>
      <c r="O38" s="9"/>
      <c r="P38" s="9" t="s">
        <v>255</v>
      </c>
      <c r="Q38" s="149">
        <f t="shared" si="2"/>
        <v>15</v>
      </c>
      <c r="R38" s="72">
        <f>Table4[[#This Row],[Total Metres]]*Table4[[#This Row],[Weight   Kg/m]]*Table4[[#This Row],[£/Tonne]]/1000</f>
        <v>126.19722318899692</v>
      </c>
      <c r="S38" s="74">
        <v>525</v>
      </c>
      <c r="T38" s="74">
        <f>Table4[[#This Row],[£/Tonne]]/1000*Table4[[#This Row],[Weight   Kg/m]]</f>
        <v>8.4131482125997952</v>
      </c>
      <c r="U38" s="260">
        <v>7.6</v>
      </c>
      <c r="V38" s="10">
        <f>Table4[[#This Row],[Normal Length]]*Table4[[#This Row],[£Cost /m]]</f>
        <v>63.939926415758443</v>
      </c>
      <c r="W38" s="10"/>
      <c r="X38" s="10">
        <f>Table4[[#This Row],[£/ Length]]*(1+X$2)</f>
        <v>83.121904340485983</v>
      </c>
      <c r="Y38" s="10">
        <f>Table4[[#This Row],[£/ Length]]*(1+Y$2)</f>
        <v>86.318900661273901</v>
      </c>
      <c r="Z38" s="10">
        <f>Table4[[#This Row],[£/ Length]]*(1+Z$2)</f>
        <v>89.515896982061818</v>
      </c>
      <c r="AA38" s="10">
        <f>Table4[[#This Row],[£/ Length]]*(1+AA$2)</f>
        <v>95.909889623637667</v>
      </c>
    </row>
    <row r="39" spans="1:27" ht="25.35" customHeight="1">
      <c r="A39" s="7" t="s">
        <v>75</v>
      </c>
      <c r="B39" s="7" t="str">
        <f t="shared" ref="B39" si="9">_xlfn.CONCAT(A39,"_",D39,"_",E39,"_",F39)</f>
        <v>CHS_165_157_4</v>
      </c>
      <c r="C39" s="7" t="str">
        <f t="shared" ref="C39" si="10">_xlfn.CONCAT(A39," ",D39,"OD ",E39,"ID  ",F39,"mm Thick", " @ ",ROUND(G39,2),"Kg/m")</f>
        <v>CHS 165OD 157ID  4mm Thick @ 16.03Kg/m</v>
      </c>
      <c r="D39" s="69">
        <v>165</v>
      </c>
      <c r="E39" s="70">
        <v>157</v>
      </c>
      <c r="F39" s="16">
        <v>4</v>
      </c>
      <c r="G39" s="71">
        <v>16.025044214475798</v>
      </c>
      <c r="H39" s="139">
        <v>12</v>
      </c>
      <c r="I39" s="9">
        <v>5</v>
      </c>
      <c r="J39" s="140" t="s">
        <v>255</v>
      </c>
      <c r="K39" s="139"/>
      <c r="L39" s="9"/>
      <c r="M39" s="140" t="s">
        <v>255</v>
      </c>
      <c r="N39" s="139"/>
      <c r="O39" s="9"/>
      <c r="P39" s="9" t="s">
        <v>255</v>
      </c>
      <c r="Q39" s="149">
        <f t="shared" si="2"/>
        <v>60</v>
      </c>
      <c r="R39" s="72">
        <f>Table4[[#This Row],[Total Metres]]*Table4[[#This Row],[Weight   Kg/m]]*Table4[[#This Row],[£/Tonne]]/1000</f>
        <v>802.85471514523749</v>
      </c>
      <c r="S39" s="74">
        <v>835</v>
      </c>
      <c r="T39" s="74">
        <f>Table4[[#This Row],[£/Tonne]]/1000*Table4[[#This Row],[Weight   Kg/m]]</f>
        <v>13.380911919087291</v>
      </c>
      <c r="U39" s="260">
        <v>7.6</v>
      </c>
      <c r="V39" s="10">
        <f>Table4[[#This Row],[Normal Length]]*Table4[[#This Row],[£Cost /m]]</f>
        <v>101.6949305850634</v>
      </c>
      <c r="W39" s="10"/>
      <c r="X39" s="10">
        <f>Table4[[#This Row],[£/ Length]]*(1+X$2)</f>
        <v>132.20340976058242</v>
      </c>
      <c r="Y39" s="10">
        <f>Table4[[#This Row],[£/ Length]]*(1+Y$2)</f>
        <v>137.2881562898356</v>
      </c>
      <c r="Z39" s="10">
        <f>Table4[[#This Row],[£/ Length]]*(1+Z$2)</f>
        <v>142.37290281908875</v>
      </c>
      <c r="AA39" s="10">
        <f>Table4[[#This Row],[£/ Length]]*(1+AA$2)</f>
        <v>152.54239587759511</v>
      </c>
    </row>
    <row r="40" spans="1:27" ht="25.35" customHeight="1">
      <c r="A40" s="7" t="s">
        <v>75</v>
      </c>
      <c r="B40" s="7" t="str">
        <f t="shared" si="1"/>
        <v>CHS_127_121_3</v>
      </c>
      <c r="C40" s="7" t="str">
        <f t="shared" si="0"/>
        <v>CHS 127OD 121ID  3mm Thick @ 9.17Kg/m</v>
      </c>
      <c r="D40" s="69">
        <v>127</v>
      </c>
      <c r="E40" s="70">
        <v>121</v>
      </c>
      <c r="F40" s="16">
        <v>3</v>
      </c>
      <c r="G40" s="71">
        <v>9.1740788670129092</v>
      </c>
      <c r="H40" s="139"/>
      <c r="I40" s="9"/>
      <c r="J40" s="140"/>
      <c r="K40" s="139"/>
      <c r="L40" s="9"/>
      <c r="M40" s="140"/>
      <c r="N40" s="139"/>
      <c r="O40" s="9"/>
      <c r="P40" s="9"/>
      <c r="Q40" s="149">
        <f t="shared" si="2"/>
        <v>0</v>
      </c>
      <c r="R40" s="72">
        <f>Table4[[#This Row],[Total Metres]]*Table4[[#This Row],[Weight   Kg/m]]*Table4[[#This Row],[£/Tonne]]/1000</f>
        <v>0</v>
      </c>
      <c r="S40" s="74"/>
      <c r="T40" s="74">
        <f>Table4[[#This Row],[£/Tonne]]/1000*Table4[[#This Row],[Weight   Kg/m]]</f>
        <v>0</v>
      </c>
      <c r="U40" s="260">
        <v>7.6</v>
      </c>
      <c r="V40" s="10">
        <f>Table4[[#This Row],[Normal Length]]*Table4[[#This Row],[£Cost /m]]</f>
        <v>0</v>
      </c>
      <c r="W40" s="10"/>
      <c r="X40" s="10">
        <f>Table4[[#This Row],[£/ Length]]*(1+X$2)</f>
        <v>0</v>
      </c>
      <c r="Y40" s="10">
        <f>Table4[[#This Row],[£/ Length]]*(1+Y$2)</f>
        <v>0</v>
      </c>
      <c r="Z40" s="10">
        <f>Table4[[#This Row],[£/ Length]]*(1+Z$2)</f>
        <v>0</v>
      </c>
      <c r="AA40" s="10">
        <f>Table4[[#This Row],[£/ Length]]*(1+AA$2)</f>
        <v>0</v>
      </c>
    </row>
    <row r="41" spans="1:27" ht="25.35" customHeight="1">
      <c r="A41" s="7" t="s">
        <v>75</v>
      </c>
      <c r="B41" s="7" t="str">
        <f t="shared" si="1"/>
        <v>CHS_139.7_127.7_6</v>
      </c>
      <c r="C41" s="7" t="str">
        <f t="shared" si="0"/>
        <v>CHS 139.7OD 127.7ID  6mm Thick @ 19.78Kg/m</v>
      </c>
      <c r="D41" s="69">
        <v>139.69999999999999</v>
      </c>
      <c r="E41" s="70">
        <v>127.7</v>
      </c>
      <c r="F41" s="16">
        <v>6</v>
      </c>
      <c r="G41" s="71">
        <v>19.783457169671365</v>
      </c>
      <c r="H41" s="139"/>
      <c r="I41" s="9"/>
      <c r="J41" s="140"/>
      <c r="K41" s="139"/>
      <c r="L41" s="9"/>
      <c r="M41" s="140"/>
      <c r="N41" s="139"/>
      <c r="O41" s="9"/>
      <c r="P41" s="9"/>
      <c r="Q41" s="149">
        <f t="shared" si="2"/>
        <v>0</v>
      </c>
      <c r="R41" s="72">
        <f>Table4[[#This Row],[Total Metres]]*Table4[[#This Row],[Weight   Kg/m]]*Table4[[#This Row],[£/Tonne]]/1000</f>
        <v>0</v>
      </c>
      <c r="S41" s="74"/>
      <c r="T41" s="74">
        <f>Table4[[#This Row],[£/Tonne]]/1000*Table4[[#This Row],[Weight   Kg/m]]</f>
        <v>0</v>
      </c>
      <c r="U41" s="260">
        <v>7.6</v>
      </c>
      <c r="V41" s="10">
        <f>Table4[[#This Row],[Normal Length]]*Table4[[#This Row],[£Cost /m]]</f>
        <v>0</v>
      </c>
      <c r="W41" s="10"/>
      <c r="X41" s="10">
        <f>Table4[[#This Row],[£/ Length]]*(1+X$2)</f>
        <v>0</v>
      </c>
      <c r="Y41" s="10">
        <f>Table4[[#This Row],[£/ Length]]*(1+Y$2)</f>
        <v>0</v>
      </c>
      <c r="Z41" s="10">
        <f>Table4[[#This Row],[£/ Length]]*(1+Z$2)</f>
        <v>0</v>
      </c>
      <c r="AA41" s="10">
        <f>Table4[[#This Row],[£/ Length]]*(1+AA$2)</f>
        <v>0</v>
      </c>
    </row>
    <row r="42" spans="1:27" ht="25.35" customHeight="1">
      <c r="A42" s="7" t="s">
        <v>75</v>
      </c>
      <c r="B42" s="7" t="str">
        <f t="shared" si="1"/>
        <v>CHS_139.7_129.7_5</v>
      </c>
      <c r="C42" s="7" t="str">
        <f t="shared" si="0"/>
        <v>CHS 139.7OD 129.7ID  5mm Thick @ 16.61Kg/m</v>
      </c>
      <c r="D42" s="69">
        <v>139.69999999999999</v>
      </c>
      <c r="E42" s="70">
        <v>129.69999999999999</v>
      </c>
      <c r="F42" s="16">
        <v>5</v>
      </c>
      <c r="G42" s="71">
        <v>16.609521819712896</v>
      </c>
      <c r="H42" s="139">
        <v>4.2</v>
      </c>
      <c r="I42" s="9">
        <v>1</v>
      </c>
      <c r="J42" s="140" t="s">
        <v>422</v>
      </c>
      <c r="K42" s="139"/>
      <c r="L42" s="9"/>
      <c r="M42" s="140"/>
      <c r="N42" s="139"/>
      <c r="O42" s="9"/>
      <c r="P42" s="9"/>
      <c r="Q42" s="149">
        <f t="shared" si="2"/>
        <v>4.2</v>
      </c>
      <c r="R42" s="72">
        <f>Table4[[#This Row],[Total Metres]]*Table4[[#This Row],[Weight   Kg/m]]*Table4[[#This Row],[£/Tonne]]/1000</f>
        <v>62.783992478514747</v>
      </c>
      <c r="S42" s="74">
        <v>900</v>
      </c>
      <c r="T42" s="74">
        <f>Table4[[#This Row],[£/Tonne]]/1000*Table4[[#This Row],[Weight   Kg/m]]</f>
        <v>14.948569637741606</v>
      </c>
      <c r="U42" s="260">
        <v>7.6</v>
      </c>
      <c r="V42" s="10">
        <f>Table4[[#This Row],[Normal Length]]*Table4[[#This Row],[£Cost /m]]</f>
        <v>113.6091292468362</v>
      </c>
      <c r="W42" s="10"/>
      <c r="X42" s="10">
        <f>Table4[[#This Row],[£/ Length]]*(1+X$2)</f>
        <v>147.69186802088706</v>
      </c>
      <c r="Y42" s="10">
        <f>Table4[[#This Row],[£/ Length]]*(1+Y$2)</f>
        <v>153.37232448322888</v>
      </c>
      <c r="Z42" s="10">
        <f>Table4[[#This Row],[£/ Length]]*(1+Z$2)</f>
        <v>159.05278094557067</v>
      </c>
      <c r="AA42" s="10">
        <f>Table4[[#This Row],[£/ Length]]*(1+AA$2)</f>
        <v>170.41369387025429</v>
      </c>
    </row>
    <row r="43" spans="1:27" ht="25.35" customHeight="1">
      <c r="A43" s="7" t="s">
        <v>75</v>
      </c>
      <c r="B43" s="7" t="str">
        <f t="shared" si="1"/>
        <v>CHS_139_133_3</v>
      </c>
      <c r="C43" s="7" t="str">
        <f t="shared" si="0"/>
        <v>CHS 139OD 133ID  3mm Thick @ 10.06Kg/m</v>
      </c>
      <c r="D43" s="69">
        <v>139</v>
      </c>
      <c r="E43" s="70">
        <v>133</v>
      </c>
      <c r="F43" s="16">
        <v>3</v>
      </c>
      <c r="G43" s="71">
        <v>10.061892950917382</v>
      </c>
      <c r="H43" s="139"/>
      <c r="I43" s="9"/>
      <c r="J43" s="140"/>
      <c r="K43" s="139"/>
      <c r="L43" s="9"/>
      <c r="M43" s="140"/>
      <c r="N43" s="139"/>
      <c r="O43" s="9"/>
      <c r="P43" s="9"/>
      <c r="Q43" s="149">
        <f t="shared" si="2"/>
        <v>0</v>
      </c>
      <c r="R43" s="72">
        <f>Table4[[#This Row],[Total Metres]]*Table4[[#This Row],[Weight   Kg/m]]*Table4[[#This Row],[£/Tonne]]/1000</f>
        <v>0</v>
      </c>
      <c r="S43" s="74"/>
      <c r="T43" s="74">
        <f>Table4[[#This Row],[£/Tonne]]/1000*Table4[[#This Row],[Weight   Kg/m]]</f>
        <v>0</v>
      </c>
      <c r="U43" s="260">
        <v>7.6</v>
      </c>
      <c r="V43" s="10">
        <f>Table4[[#This Row],[Normal Length]]*Table4[[#This Row],[£Cost /m]]</f>
        <v>0</v>
      </c>
      <c r="W43" s="10"/>
      <c r="X43" s="10">
        <f>Table4[[#This Row],[£/ Length]]*(1+X$2)</f>
        <v>0</v>
      </c>
      <c r="Y43" s="10">
        <f>Table4[[#This Row],[£/ Length]]*(1+Y$2)</f>
        <v>0</v>
      </c>
      <c r="Z43" s="10">
        <f>Table4[[#This Row],[£/ Length]]*(1+Z$2)</f>
        <v>0</v>
      </c>
      <c r="AA43" s="10">
        <f>Table4[[#This Row],[£/ Length]]*(1+AA$2)</f>
        <v>0</v>
      </c>
    </row>
    <row r="44" spans="1:27" ht="25.35" customHeight="1">
      <c r="A44" s="7" t="s">
        <v>75</v>
      </c>
      <c r="B44" s="7" t="str">
        <f t="shared" si="1"/>
        <v>CHS_168.3_158.3_5</v>
      </c>
      <c r="C44" s="7" t="str">
        <f t="shared" si="0"/>
        <v>CHS 168.3OD 158.3ID  5mm Thick @ 20.14Kg/m</v>
      </c>
      <c r="D44" s="69">
        <v>168.3</v>
      </c>
      <c r="E44" s="70">
        <v>158.30000000000001</v>
      </c>
      <c r="F44" s="16">
        <v>5</v>
      </c>
      <c r="G44" s="71">
        <v>20.136116653000073</v>
      </c>
      <c r="H44" s="139"/>
      <c r="I44" s="9"/>
      <c r="J44" s="140"/>
      <c r="K44" s="139"/>
      <c r="L44" s="9"/>
      <c r="M44" s="140"/>
      <c r="N44" s="139"/>
      <c r="O44" s="9"/>
      <c r="P44" s="9"/>
      <c r="Q44" s="149">
        <f t="shared" si="2"/>
        <v>0</v>
      </c>
      <c r="R44" s="72">
        <f>Table4[[#This Row],[Total Metres]]*Table4[[#This Row],[Weight   Kg/m]]*Table4[[#This Row],[£/Tonne]]/1000</f>
        <v>0</v>
      </c>
      <c r="S44" s="74"/>
      <c r="T44" s="74">
        <f>Table4[[#This Row],[£/Tonne]]/1000*Table4[[#This Row],[Weight   Kg/m]]</f>
        <v>0</v>
      </c>
      <c r="U44" s="260">
        <v>7.6</v>
      </c>
      <c r="V44" s="10">
        <f>Table4[[#This Row],[Normal Length]]*Table4[[#This Row],[£Cost /m]]</f>
        <v>0</v>
      </c>
      <c r="W44" s="10"/>
      <c r="X44" s="10">
        <f>Table4[[#This Row],[£/ Length]]*(1+X$2)</f>
        <v>0</v>
      </c>
      <c r="Y44" s="10">
        <f>Table4[[#This Row],[£/ Length]]*(1+Y$2)</f>
        <v>0</v>
      </c>
      <c r="Z44" s="10">
        <f>Table4[[#This Row],[£/ Length]]*(1+Z$2)</f>
        <v>0</v>
      </c>
      <c r="AA44" s="10">
        <f>Table4[[#This Row],[£/ Length]]*(1+AA$2)</f>
        <v>0</v>
      </c>
    </row>
    <row r="45" spans="1:27" ht="25.35" customHeight="1">
      <c r="A45" s="7" t="s">
        <v>75</v>
      </c>
      <c r="B45" s="7" t="str">
        <f t="shared" si="1"/>
        <v>CHS_168.3_162.3_3</v>
      </c>
      <c r="C45" s="7" t="str">
        <f>_xlfn.CONCAT(A45," ",D45,"OD ",E45,"ID  ",F45,"mm Thick", " @ ",ROUND(G45,2),"Kg/m")</f>
        <v>CHS 168.3OD 162.3ID  3mm Thick @ 12.23Kg/m</v>
      </c>
      <c r="D45" s="69">
        <v>168.3</v>
      </c>
      <c r="E45" s="70">
        <v>162.30000000000001</v>
      </c>
      <c r="F45" s="16">
        <v>3</v>
      </c>
      <c r="G45" s="71">
        <v>12.229639005784122</v>
      </c>
      <c r="H45" s="139"/>
      <c r="I45" s="9"/>
      <c r="J45" s="140"/>
      <c r="K45" s="139"/>
      <c r="L45" s="9"/>
      <c r="M45" s="140"/>
      <c r="N45" s="139"/>
      <c r="O45" s="9"/>
      <c r="P45" s="9"/>
      <c r="Q45" s="149">
        <f t="shared" si="2"/>
        <v>0</v>
      </c>
      <c r="R45" s="72">
        <f>Table4[[#This Row],[Total Metres]]*Table4[[#This Row],[Weight   Kg/m]]*Table4[[#This Row],[£/Tonne]]/1000</f>
        <v>0</v>
      </c>
      <c r="S45" s="74"/>
      <c r="T45" s="74">
        <f>Table4[[#This Row],[£/Tonne]]/1000*Table4[[#This Row],[Weight   Kg/m]]</f>
        <v>0</v>
      </c>
      <c r="U45" s="260">
        <v>7.6</v>
      </c>
      <c r="V45" s="10">
        <f>Table4[[#This Row],[Normal Length]]*Table4[[#This Row],[£Cost /m]]</f>
        <v>0</v>
      </c>
      <c r="W45" s="10"/>
      <c r="X45" s="10">
        <f>Table4[[#This Row],[£/ Length]]*(1+X$2)</f>
        <v>0</v>
      </c>
      <c r="Y45" s="10">
        <f>Table4[[#This Row],[£/ Length]]*(1+Y$2)</f>
        <v>0</v>
      </c>
      <c r="Z45" s="10">
        <f>Table4[[#This Row],[£/ Length]]*(1+Z$2)</f>
        <v>0</v>
      </c>
      <c r="AA45" s="10">
        <f>Table4[[#This Row],[£/ Length]]*(1+AA$2)</f>
        <v>0</v>
      </c>
    </row>
    <row r="46" spans="1:27" ht="25.35" customHeight="1">
      <c r="A46" s="7" t="s">
        <v>75</v>
      </c>
      <c r="B46" s="7" t="str">
        <f t="shared" si="1"/>
        <v>CHS_168_153_7.5</v>
      </c>
      <c r="C46" s="7" t="str">
        <f t="shared" ref="C46:C65" si="11">_xlfn.CONCAT(A46," ",D46,"OD ",E46,"ID  ",F46,"mm Thick", " @ ",ROUND(G46,2),"Kg/m")</f>
        <v>CHS 168OD 153ID  7.5mm Thick @ 29.69Kg/m</v>
      </c>
      <c r="D46" s="69">
        <v>168</v>
      </c>
      <c r="E46" s="70">
        <v>153</v>
      </c>
      <c r="F46" s="16">
        <v>7.5</v>
      </c>
      <c r="G46" s="71">
        <v>29.686283430555903</v>
      </c>
      <c r="H46" s="139"/>
      <c r="I46" s="9"/>
      <c r="J46" s="140"/>
      <c r="K46" s="139"/>
      <c r="L46" s="9"/>
      <c r="M46" s="140"/>
      <c r="N46" s="139"/>
      <c r="O46" s="9"/>
      <c r="P46" s="9"/>
      <c r="Q46" s="149">
        <f t="shared" si="2"/>
        <v>0</v>
      </c>
      <c r="R46" s="72">
        <f>Table4[[#This Row],[Total Metres]]*Table4[[#This Row],[Weight   Kg/m]]*Table4[[#This Row],[£/Tonne]]/1000</f>
        <v>0</v>
      </c>
      <c r="S46" s="74"/>
      <c r="T46" s="74">
        <f>Table4[[#This Row],[£/Tonne]]/1000*Table4[[#This Row],[Weight   Kg/m]]</f>
        <v>0</v>
      </c>
      <c r="U46" s="260">
        <v>7.6</v>
      </c>
      <c r="V46" s="10">
        <f>Table4[[#This Row],[Normal Length]]*Table4[[#This Row],[£Cost /m]]</f>
        <v>0</v>
      </c>
      <c r="W46" s="10"/>
      <c r="X46" s="10">
        <f>Table4[[#This Row],[£/ Length]]*(1+X$2)</f>
        <v>0</v>
      </c>
      <c r="Y46" s="10">
        <f>Table4[[#This Row],[£/ Length]]*(1+Y$2)</f>
        <v>0</v>
      </c>
      <c r="Z46" s="10">
        <f>Table4[[#This Row],[£/ Length]]*(1+Z$2)</f>
        <v>0</v>
      </c>
      <c r="AA46" s="10">
        <f>Table4[[#This Row],[£/ Length]]*(1+AA$2)</f>
        <v>0</v>
      </c>
    </row>
    <row r="47" spans="1:27" ht="25.35" customHeight="1">
      <c r="A47" s="7" t="s">
        <v>75</v>
      </c>
      <c r="B47" s="7" t="str">
        <f t="shared" si="1"/>
        <v>CHS_220_210_5</v>
      </c>
      <c r="C47" s="7" t="str">
        <f t="shared" si="11"/>
        <v>CHS 220OD 210ID  5mm Thick @ 26.51Kg/m</v>
      </c>
      <c r="D47" s="70">
        <v>220</v>
      </c>
      <c r="E47" s="70">
        <f>D47-(2*F47)</f>
        <v>210</v>
      </c>
      <c r="F47" s="16">
        <v>5</v>
      </c>
      <c r="G47" s="71">
        <v>26.511115005480917</v>
      </c>
      <c r="H47" s="139"/>
      <c r="I47" s="9"/>
      <c r="J47" s="140"/>
      <c r="K47" s="139"/>
      <c r="L47" s="9"/>
      <c r="M47" s="140"/>
      <c r="N47" s="139"/>
      <c r="O47" s="9"/>
      <c r="P47" s="9"/>
      <c r="Q47" s="149">
        <f t="shared" si="2"/>
        <v>0</v>
      </c>
      <c r="R47" s="72">
        <f>Table4[[#This Row],[Total Metres]]*Table4[[#This Row],[Weight   Kg/m]]*Table4[[#This Row],[£/Tonne]]/1000</f>
        <v>0</v>
      </c>
      <c r="S47" s="74"/>
      <c r="T47" s="74">
        <f>Table4[[#This Row],[£/Tonne]]/1000*Table4[[#This Row],[Weight   Kg/m]]</f>
        <v>0</v>
      </c>
      <c r="U47" s="260">
        <v>7.6</v>
      </c>
      <c r="V47" s="10">
        <f>Table4[[#This Row],[Normal Length]]*Table4[[#This Row],[£Cost /m]]</f>
        <v>0</v>
      </c>
      <c r="W47" s="10"/>
      <c r="X47" s="10">
        <f>Table4[[#This Row],[£/ Length]]*(1+X$2)</f>
        <v>0</v>
      </c>
      <c r="Y47" s="10">
        <f>Table4[[#This Row],[£/ Length]]*(1+Y$2)</f>
        <v>0</v>
      </c>
      <c r="Z47" s="10">
        <f>Table4[[#This Row],[£/ Length]]*(1+Z$2)</f>
        <v>0</v>
      </c>
      <c r="AA47" s="10">
        <f>Table4[[#This Row],[£/ Length]]*(1+AA$2)</f>
        <v>0</v>
      </c>
    </row>
    <row r="48" spans="1:27" ht="25.35" customHeight="1">
      <c r="A48" s="7" t="s">
        <v>75</v>
      </c>
      <c r="B48" s="7" t="str">
        <f t="shared" si="1"/>
        <v>CHS_220_208_6</v>
      </c>
      <c r="C48" s="7" t="str">
        <f t="shared" si="11"/>
        <v>CHS 220OD 208ID  6mm Thick @ 31.67Kg/m</v>
      </c>
      <c r="D48" s="70">
        <v>220</v>
      </c>
      <c r="E48" s="70">
        <f>D48-(2*F48)</f>
        <v>208</v>
      </c>
      <c r="F48" s="16">
        <v>6</v>
      </c>
      <c r="G48" s="71">
        <v>31.665368992593017</v>
      </c>
      <c r="H48" s="139"/>
      <c r="I48" s="9"/>
      <c r="J48" s="140"/>
      <c r="K48" s="139"/>
      <c r="L48" s="9"/>
      <c r="M48" s="140"/>
      <c r="N48" s="139"/>
      <c r="O48" s="9"/>
      <c r="P48" s="9"/>
      <c r="Q48" s="149">
        <f t="shared" si="2"/>
        <v>0</v>
      </c>
      <c r="R48" s="72">
        <f>Table4[[#This Row],[Total Metres]]*Table4[[#This Row],[Weight   Kg/m]]*Table4[[#This Row],[£/Tonne]]/1000</f>
        <v>0</v>
      </c>
      <c r="S48" s="74"/>
      <c r="T48" s="74">
        <f>Table4[[#This Row],[£/Tonne]]/1000*Table4[[#This Row],[Weight   Kg/m]]</f>
        <v>0</v>
      </c>
      <c r="U48" s="260">
        <v>7.6</v>
      </c>
      <c r="V48" s="10">
        <f>Table4[[#This Row],[Normal Length]]*Table4[[#This Row],[£Cost /m]]</f>
        <v>0</v>
      </c>
      <c r="W48" s="10"/>
      <c r="X48" s="10">
        <f>Table4[[#This Row],[£/ Length]]*(1+X$2)</f>
        <v>0</v>
      </c>
      <c r="Y48" s="10">
        <f>Table4[[#This Row],[£/ Length]]*(1+Y$2)</f>
        <v>0</v>
      </c>
      <c r="Z48" s="10">
        <f>Table4[[#This Row],[£/ Length]]*(1+Z$2)</f>
        <v>0</v>
      </c>
      <c r="AA48" s="10">
        <f>Table4[[#This Row],[£/ Length]]*(1+AA$2)</f>
        <v>0</v>
      </c>
    </row>
    <row r="49" spans="1:27" ht="25.35" customHeight="1">
      <c r="A49" s="7" t="s">
        <v>75</v>
      </c>
      <c r="B49" s="7" t="str">
        <f t="shared" ref="B49" si="12">_xlfn.CONCAT(A49,"_",D49,"_",E49,"_",F49)</f>
        <v>CHS_220_200_8</v>
      </c>
      <c r="C49" s="7" t="str">
        <f t="shared" ref="C49" si="13">_xlfn.CONCAT(A49," ",D49,"OD ",E49,"ID  ",F49,"mm Thick", " @ ",ROUND(G49,2),"Kg/m")</f>
        <v>CHS 220OD 200ID  8mm Thick @ 31.67Kg/m</v>
      </c>
      <c r="D49" s="70">
        <v>220</v>
      </c>
      <c r="E49" s="70">
        <v>200</v>
      </c>
      <c r="F49" s="16">
        <v>8</v>
      </c>
      <c r="G49" s="199">
        <v>31.665368992593017</v>
      </c>
      <c r="H49" s="139">
        <v>27.5</v>
      </c>
      <c r="I49" s="9">
        <v>1</v>
      </c>
      <c r="J49" s="140" t="s">
        <v>255</v>
      </c>
      <c r="K49" s="139"/>
      <c r="L49" s="9"/>
      <c r="M49" s="140"/>
      <c r="N49" s="139"/>
      <c r="O49" s="9"/>
      <c r="P49" s="9"/>
      <c r="Q49" s="149">
        <f t="shared" si="2"/>
        <v>27.5</v>
      </c>
      <c r="R49" s="72">
        <f>Table4[[#This Row],[Total Metres]]*Table4[[#This Row],[Weight   Kg/m]]*Table4[[#This Row],[£/Tonne]]/1000</f>
        <v>655.71062841411992</v>
      </c>
      <c r="S49" s="74">
        <f>S50</f>
        <v>753</v>
      </c>
      <c r="T49" s="74">
        <f>Table4[[#This Row],[£/Tonne]]/1000*Table4[[#This Row],[Weight   Kg/m]]</f>
        <v>23.84402285142254</v>
      </c>
      <c r="U49" s="260">
        <v>7.6</v>
      </c>
      <c r="V49" s="10">
        <f>Table4[[#This Row],[Normal Length]]*Table4[[#This Row],[£Cost /m]]</f>
        <v>181.21457367081129</v>
      </c>
      <c r="W49" s="10"/>
      <c r="X49" s="10">
        <f>Table4[[#This Row],[£/ Length]]*(1+X$2)</f>
        <v>235.57894577205468</v>
      </c>
      <c r="Y49" s="10">
        <f>Table4[[#This Row],[£/ Length]]*(1+Y$2)</f>
        <v>244.63967445559527</v>
      </c>
      <c r="Z49" s="10">
        <f>Table4[[#This Row],[£/ Length]]*(1+Z$2)</f>
        <v>253.7004031391358</v>
      </c>
      <c r="AA49" s="10">
        <f>Table4[[#This Row],[£/ Length]]*(1+AA$2)</f>
        <v>271.82186050621692</v>
      </c>
    </row>
    <row r="50" spans="1:27" ht="25.35" customHeight="1">
      <c r="A50" s="7" t="s">
        <v>75</v>
      </c>
      <c r="B50" s="7" t="str">
        <f>_xlfn.CONCAT(A50,"_",D50,"_",E50,"_",F50)</f>
        <v>CHS_220_200_10</v>
      </c>
      <c r="C50" s="7" t="str">
        <f>_xlfn.CONCAT(A50," ",D50,"OD ",E50,"ID  ",F50,"mm Thick", " @ ",ROUND(G50,2),"Kg/m")</f>
        <v>CHS 220OD 200ID  10mm Thick @ 51.79Kg/m</v>
      </c>
      <c r="D50" s="70">
        <v>220</v>
      </c>
      <c r="E50" s="70">
        <f>D50-(2*F50)</f>
        <v>200</v>
      </c>
      <c r="F50" s="16">
        <v>10</v>
      </c>
      <c r="G50" s="71">
        <v>51.78915489442781</v>
      </c>
      <c r="H50" s="139">
        <v>4.8</v>
      </c>
      <c r="I50" s="9">
        <v>1</v>
      </c>
      <c r="J50" s="140" t="s">
        <v>255</v>
      </c>
      <c r="K50" s="139"/>
      <c r="L50" s="9"/>
      <c r="M50" s="140"/>
      <c r="N50" s="139"/>
      <c r="O50" s="9"/>
      <c r="P50" s="9"/>
      <c r="Q50" s="149">
        <f t="shared" si="2"/>
        <v>4.8</v>
      </c>
      <c r="R50" s="72">
        <f>Table4[[#This Row],[Total Metres]]*Table4[[#This Row],[Weight   Kg/m]]*Table4[[#This Row],[£/Tonne]]/1000</f>
        <v>187.18672145041987</v>
      </c>
      <c r="S50" s="74">
        <v>753</v>
      </c>
      <c r="T50" s="74">
        <f>Table4[[#This Row],[£/Tonne]]/1000*Table4[[#This Row],[Weight   Kg/m]]</f>
        <v>38.997233635504138</v>
      </c>
      <c r="U50" s="260">
        <v>7.6</v>
      </c>
      <c r="V50" s="10">
        <f>Table4[[#This Row],[Normal Length]]*Table4[[#This Row],[£Cost /m]]</f>
        <v>296.37897562983142</v>
      </c>
      <c r="W50" s="10"/>
      <c r="X50" s="10">
        <f>Table4[[#This Row],[£/ Length]]*(1+X$2)</f>
        <v>385.29266831878084</v>
      </c>
      <c r="Y50" s="10">
        <f>Table4[[#This Row],[£/ Length]]*(1+Y$2)</f>
        <v>400.11161710027244</v>
      </c>
      <c r="Z50" s="10">
        <f>Table4[[#This Row],[£/ Length]]*(1+Z$2)</f>
        <v>414.93056588176398</v>
      </c>
      <c r="AA50" s="10">
        <f>Table4[[#This Row],[£/ Length]]*(1+AA$2)</f>
        <v>444.56846344474712</v>
      </c>
    </row>
    <row r="51" spans="1:27" ht="25.35" customHeight="1">
      <c r="B51" s="7" t="str">
        <f t="shared" si="1"/>
        <v>_GALV-TUBE__</v>
      </c>
      <c r="C51" s="7" t="str">
        <f t="shared" si="11"/>
        <v xml:space="preserve"> GALV-TUBEOD ID  mm Thick @ 0Kg/m</v>
      </c>
      <c r="D51" s="78" t="s">
        <v>485</v>
      </c>
      <c r="H51" s="139"/>
      <c r="I51" s="9"/>
      <c r="J51" s="140"/>
      <c r="K51" s="139"/>
      <c r="L51" s="9"/>
      <c r="M51" s="140"/>
      <c r="N51" s="139"/>
      <c r="O51" s="9"/>
      <c r="P51" s="9"/>
      <c r="Q51" s="149">
        <f t="shared" si="2"/>
        <v>0</v>
      </c>
      <c r="R51" s="72">
        <f>Table4[[#This Row],[Total Metres]]*Table4[[#This Row],[Weight   Kg/m]]*Table4[[#This Row],[£/Tonne]]/1000</f>
        <v>0</v>
      </c>
      <c r="S51" s="74"/>
      <c r="T51" s="74"/>
      <c r="U51" s="260"/>
      <c r="V51" s="79">
        <f>Table4[[#This Row],[Normal Length]]*Table4[[#This Row],[£Cost /m]]</f>
        <v>0</v>
      </c>
      <c r="W51" s="259"/>
      <c r="X51" s="10">
        <f>Table4[[#This Row],[£/ Length]]*(1+X$2)</f>
        <v>0</v>
      </c>
      <c r="Y51" s="10">
        <f>Table4[[#This Row],[£/ Length]]*(1+Y$2)</f>
        <v>0</v>
      </c>
      <c r="Z51" s="10">
        <f>Table4[[#This Row],[£/ Length]]*(1+Z$2)</f>
        <v>0</v>
      </c>
      <c r="AA51" s="10">
        <f>Table4[[#This Row],[£/ Length]]*(1+AA$2)</f>
        <v>0</v>
      </c>
    </row>
    <row r="52" spans="1:27" ht="25.35" customHeight="1">
      <c r="A52" s="7" t="s">
        <v>78</v>
      </c>
      <c r="B52" s="7" t="str">
        <f t="shared" si="1"/>
        <v>GCHS_21.3_16_2.65</v>
      </c>
      <c r="C52" s="7" t="str">
        <f t="shared" si="11"/>
        <v>GCHS 21.3OD 16ID  2.65mm Thick @ 1.22Kg/m</v>
      </c>
      <c r="D52" s="70">
        <v>21.3</v>
      </c>
      <c r="E52" s="70">
        <v>16</v>
      </c>
      <c r="F52" s="16">
        <v>2.65</v>
      </c>
      <c r="G52" s="71">
        <v>1.2188330989380272</v>
      </c>
      <c r="H52" s="139">
        <v>2.5</v>
      </c>
      <c r="I52" s="9">
        <v>1</v>
      </c>
      <c r="J52" s="140" t="s">
        <v>422</v>
      </c>
      <c r="K52" s="139"/>
      <c r="L52" s="9"/>
      <c r="M52" s="140"/>
      <c r="N52" s="139"/>
      <c r="O52" s="9"/>
      <c r="P52" s="9"/>
      <c r="Q52" s="149">
        <f t="shared" si="2"/>
        <v>2.5</v>
      </c>
      <c r="R52" s="72">
        <f>Table4[[#This Row],[Total Metres]]*Table4[[#This Row],[Weight   Kg/m]]*Table4[[#This Row],[£/Tonne]]/1000</f>
        <v>2.4376661978760543</v>
      </c>
      <c r="S52" s="74">
        <v>800</v>
      </c>
      <c r="T52" s="74">
        <f t="shared" ref="T52:T65" si="14">S52/1000*G52</f>
        <v>0.97506647915042177</v>
      </c>
      <c r="U52" s="260">
        <v>6.1</v>
      </c>
      <c r="V52" s="10">
        <f>Table4[[#This Row],[Normal Length]]*Table4[[#This Row],[£Cost /m]]</f>
        <v>5.9479055228175728</v>
      </c>
      <c r="W52" s="10"/>
      <c r="X52" s="10">
        <f>Table4[[#This Row],[£/ Length]]*(1+X$2)</f>
        <v>7.7322771796628444</v>
      </c>
      <c r="Y52" s="10">
        <f>Table4[[#This Row],[£/ Length]]*(1+Y$2)</f>
        <v>8.0296724558037234</v>
      </c>
      <c r="Z52" s="10">
        <f>Table4[[#This Row],[£/ Length]]*(1+Z$2)</f>
        <v>8.3270677319446023</v>
      </c>
      <c r="AA52" s="10">
        <f>Table4[[#This Row],[£/ Length]]*(1+AA$2)</f>
        <v>8.9218582842263601</v>
      </c>
    </row>
    <row r="53" spans="1:27" ht="25.35" customHeight="1">
      <c r="A53" s="7" t="s">
        <v>78</v>
      </c>
      <c r="B53" s="7" t="str">
        <f t="shared" si="1"/>
        <v>GCHS_26.9_20.9_3</v>
      </c>
      <c r="C53" s="7" t="str">
        <f t="shared" si="11"/>
        <v>GCHS 26.9OD 20.9ID  3mm Thick @ 1.77Kg/m</v>
      </c>
      <c r="D53" s="70">
        <v>26.9</v>
      </c>
      <c r="E53" s="70">
        <v>20.9</v>
      </c>
      <c r="F53" s="16">
        <v>3</v>
      </c>
      <c r="G53" s="71">
        <v>1.7682297171097465</v>
      </c>
      <c r="H53" s="139"/>
      <c r="I53" s="9"/>
      <c r="J53" s="140"/>
      <c r="K53" s="139"/>
      <c r="L53" s="9"/>
      <c r="M53" s="140"/>
      <c r="N53" s="139"/>
      <c r="O53" s="9"/>
      <c r="P53" s="9"/>
      <c r="Q53" s="149">
        <f t="shared" si="2"/>
        <v>0</v>
      </c>
      <c r="R53" s="72">
        <f>Table4[[#This Row],[Total Metres]]*Table4[[#This Row],[Weight   Kg/m]]*Table4[[#This Row],[£/Tonne]]/1000</f>
        <v>0</v>
      </c>
      <c r="S53" s="74"/>
      <c r="T53" s="74">
        <f t="shared" si="14"/>
        <v>0</v>
      </c>
      <c r="U53" s="260">
        <v>6.1</v>
      </c>
      <c r="V53" s="10">
        <f>Table4[[#This Row],[Normal Length]]*Table4[[#This Row],[£Cost /m]]</f>
        <v>0</v>
      </c>
      <c r="W53" s="10"/>
      <c r="X53" s="10">
        <f>Table4[[#This Row],[£/ Length]]*(1+X$2)</f>
        <v>0</v>
      </c>
      <c r="Y53" s="10">
        <f>Table4[[#This Row],[£/ Length]]*(1+Y$2)</f>
        <v>0</v>
      </c>
      <c r="Z53" s="10">
        <f>Table4[[#This Row],[£/ Length]]*(1+Z$2)</f>
        <v>0</v>
      </c>
      <c r="AA53" s="10">
        <f>Table4[[#This Row],[£/ Length]]*(1+AA$2)</f>
        <v>0</v>
      </c>
    </row>
    <row r="54" spans="1:27" ht="25.35" customHeight="1">
      <c r="A54" s="7" t="s">
        <v>78</v>
      </c>
      <c r="B54" s="7" t="str">
        <f t="shared" si="1"/>
        <v>GCHS_33.7_27.7_3</v>
      </c>
      <c r="C54" s="7" t="str">
        <f t="shared" si="11"/>
        <v>GCHS 33.7OD 27.7ID  3mm Thick @ 2.27Kg/m</v>
      </c>
      <c r="D54" s="70">
        <v>33.700000000000003</v>
      </c>
      <c r="E54" s="70">
        <v>27.7</v>
      </c>
      <c r="F54" s="16">
        <v>3</v>
      </c>
      <c r="G54" s="71">
        <v>2.2713243646556185</v>
      </c>
      <c r="H54" s="139">
        <v>7.5</v>
      </c>
      <c r="I54" s="9">
        <v>3</v>
      </c>
      <c r="J54" s="140" t="s">
        <v>422</v>
      </c>
      <c r="K54" s="139">
        <v>1.8</v>
      </c>
      <c r="L54" s="9">
        <v>4</v>
      </c>
      <c r="M54" s="140" t="s">
        <v>422</v>
      </c>
      <c r="N54" s="139">
        <v>7.5</v>
      </c>
      <c r="O54" s="9">
        <v>6</v>
      </c>
      <c r="P54" s="9" t="s">
        <v>255</v>
      </c>
      <c r="Q54" s="149">
        <f t="shared" si="2"/>
        <v>74.7</v>
      </c>
      <c r="R54" s="72">
        <f>Table4[[#This Row],[Total Metres]]*Table4[[#This Row],[Weight   Kg/m]]*Table4[[#This Row],[£/Tonne]]/1000</f>
        <v>185.9560513235931</v>
      </c>
      <c r="S54" s="74">
        <v>1096</v>
      </c>
      <c r="T54" s="74">
        <f t="shared" si="14"/>
        <v>2.4893715036625581</v>
      </c>
      <c r="U54" s="260">
        <v>6.1</v>
      </c>
      <c r="V54" s="10">
        <f>Table4[[#This Row],[Normal Length]]*Table4[[#This Row],[£Cost /m]]</f>
        <v>15.185166172341603</v>
      </c>
      <c r="W54" s="10"/>
      <c r="X54" s="10">
        <f>Table4[[#This Row],[£/ Length]]*(1+X$2)</f>
        <v>19.740716024044083</v>
      </c>
      <c r="Y54" s="10">
        <f>Table4[[#This Row],[£/ Length]]*(1+Y$2)</f>
        <v>20.499974332661164</v>
      </c>
      <c r="Z54" s="10">
        <f>Table4[[#This Row],[£/ Length]]*(1+Z$2)</f>
        <v>21.259232641278242</v>
      </c>
      <c r="AA54" s="10">
        <f>Table4[[#This Row],[£/ Length]]*(1+AA$2)</f>
        <v>22.777749258512404</v>
      </c>
    </row>
    <row r="55" spans="1:27" ht="25.35" customHeight="1">
      <c r="A55" s="7" t="s">
        <v>78</v>
      </c>
      <c r="B55" s="7" t="str">
        <f t="shared" si="1"/>
        <v>GCHS_42.5_33_3</v>
      </c>
      <c r="C55" s="7" t="str">
        <f t="shared" si="11"/>
        <v>GCHS 42.5OD 33ID  3mm Thick @ 2.9Kg/m</v>
      </c>
      <c r="D55" s="70">
        <v>42.5</v>
      </c>
      <c r="E55" s="70">
        <v>33</v>
      </c>
      <c r="F55" s="16">
        <v>3</v>
      </c>
      <c r="G55" s="71">
        <v>2.9</v>
      </c>
      <c r="H55" s="139">
        <v>2</v>
      </c>
      <c r="I55" s="9">
        <v>2</v>
      </c>
      <c r="J55" s="140" t="s">
        <v>422</v>
      </c>
      <c r="K55" s="139">
        <v>7.5</v>
      </c>
      <c r="L55" s="9">
        <v>19</v>
      </c>
      <c r="M55" s="140" t="s">
        <v>255</v>
      </c>
      <c r="N55" s="139"/>
      <c r="O55" s="9"/>
      <c r="P55" s="9"/>
      <c r="Q55" s="149">
        <f t="shared" si="2"/>
        <v>146.5</v>
      </c>
      <c r="R55" s="72">
        <f>Table4[[#This Row],[Total Metres]]*Table4[[#This Row],[Weight   Kg/m]]*Table4[[#This Row],[£/Tonne]]/1000</f>
        <v>357.72369999999995</v>
      </c>
      <c r="S55" s="76">
        <v>842</v>
      </c>
      <c r="T55" s="74">
        <f t="shared" si="14"/>
        <v>2.4417999999999997</v>
      </c>
      <c r="U55" s="260">
        <v>6.1</v>
      </c>
      <c r="V55" s="10">
        <f>Table4[[#This Row],[Normal Length]]*Table4[[#This Row],[£Cost /m]]</f>
        <v>14.894979999999997</v>
      </c>
      <c r="W55" s="10"/>
      <c r="X55" s="10">
        <f>Table4[[#This Row],[£/ Length]]*(1+X$2)</f>
        <v>19.363473999999997</v>
      </c>
      <c r="Y55" s="10">
        <f>Table4[[#This Row],[£/ Length]]*(1+Y$2)</f>
        <v>20.108222999999995</v>
      </c>
      <c r="Z55" s="10">
        <f>Table4[[#This Row],[£/ Length]]*(1+Z$2)</f>
        <v>20.852971999999994</v>
      </c>
      <c r="AA55" s="10">
        <f>Table4[[#This Row],[£/ Length]]*(1+AA$2)</f>
        <v>22.342469999999995</v>
      </c>
    </row>
    <row r="56" spans="1:27" ht="25.35" customHeight="1">
      <c r="A56" s="7" t="s">
        <v>78</v>
      </c>
      <c r="B56" s="7" t="str">
        <f t="shared" si="1"/>
        <v>GCHS_11/2" BORE   LIGHT  BROWN BAND__</v>
      </c>
      <c r="C56" s="7" t="str">
        <f t="shared" si="11"/>
        <v>GCHS 11/2" BORE   LIGHT  BROWN BANDOD ID  mm Thick @ 0Kg/m</v>
      </c>
      <c r="D56" s="80" t="s">
        <v>486</v>
      </c>
      <c r="E56" s="81"/>
      <c r="F56" s="82"/>
      <c r="G56" s="82"/>
      <c r="H56" s="139"/>
      <c r="I56" s="9"/>
      <c r="J56" s="140"/>
      <c r="K56" s="139"/>
      <c r="L56" s="9"/>
      <c r="M56" s="140"/>
      <c r="N56" s="139"/>
      <c r="O56" s="9"/>
      <c r="P56" s="9"/>
      <c r="Q56" s="149">
        <f t="shared" si="2"/>
        <v>0</v>
      </c>
      <c r="R56" s="72">
        <f>Table4[[#This Row],[Total Metres]]*Table4[[#This Row],[Weight   Kg/m]]*Table4[[#This Row],[£/Tonne]]/1000</f>
        <v>0</v>
      </c>
      <c r="S56" s="83"/>
      <c r="T56" s="74">
        <f t="shared" si="14"/>
        <v>0</v>
      </c>
      <c r="U56" s="260">
        <v>6.1</v>
      </c>
      <c r="V56" s="10">
        <f>Table4[[#This Row],[Normal Length]]*Table4[[#This Row],[£Cost /m]]</f>
        <v>0</v>
      </c>
      <c r="W56" s="10"/>
      <c r="X56" s="10">
        <f>Table4[[#This Row],[£/ Length]]*(1+X$2)</f>
        <v>0</v>
      </c>
      <c r="Y56" s="10">
        <f>Table4[[#This Row],[£/ Length]]*(1+Y$2)</f>
        <v>0</v>
      </c>
      <c r="Z56" s="10">
        <f>Table4[[#This Row],[£/ Length]]*(1+Z$2)</f>
        <v>0</v>
      </c>
      <c r="AA56" s="10">
        <f>Table4[[#This Row],[£/ Length]]*(1+AA$2)</f>
        <v>0</v>
      </c>
    </row>
    <row r="57" spans="1:27" ht="25.35" customHeight="1">
      <c r="A57" s="7" t="s">
        <v>78</v>
      </c>
      <c r="B57" s="7" t="str">
        <f t="shared" si="1"/>
        <v>GCHS_48.3_43.1_2.6</v>
      </c>
      <c r="C57" s="7" t="str">
        <f t="shared" si="11"/>
        <v>GCHS 48.3OD 43.1ID  2.6mm Thick @ 2.93Kg/m</v>
      </c>
      <c r="D57" s="80">
        <v>48.3</v>
      </c>
      <c r="E57" s="80">
        <v>43.1</v>
      </c>
      <c r="F57" s="84">
        <v>2.6</v>
      </c>
      <c r="G57" s="85">
        <v>2.9302797069313815</v>
      </c>
      <c r="H57" s="139"/>
      <c r="I57" s="9"/>
      <c r="J57" s="140"/>
      <c r="K57" s="139"/>
      <c r="L57" s="9"/>
      <c r="M57" s="140"/>
      <c r="N57" s="139"/>
      <c r="O57" s="9"/>
      <c r="P57" s="9"/>
      <c r="Q57" s="149">
        <f t="shared" si="2"/>
        <v>0</v>
      </c>
      <c r="R57" s="72">
        <f>Table4[[#This Row],[Total Metres]]*Table4[[#This Row],[Weight   Kg/m]]*Table4[[#This Row],[£/Tonne]]/1000</f>
        <v>0</v>
      </c>
      <c r="S57" s="76">
        <v>842</v>
      </c>
      <c r="T57" s="74">
        <f t="shared" si="14"/>
        <v>2.4672955132362233</v>
      </c>
      <c r="U57" s="260">
        <v>6.1</v>
      </c>
      <c r="V57" s="10">
        <f>Table4[[#This Row],[Normal Length]]*Table4[[#This Row],[£Cost /m]]</f>
        <v>15.050502630740962</v>
      </c>
      <c r="W57" s="10"/>
      <c r="X57" s="10">
        <f>Table4[[#This Row],[£/ Length]]*(1+X$2)</f>
        <v>19.565653419963251</v>
      </c>
      <c r="Y57" s="10">
        <f>Table4[[#This Row],[£/ Length]]*(1+Y$2)</f>
        <v>20.318178551500299</v>
      </c>
      <c r="Z57" s="10">
        <f>Table4[[#This Row],[£/ Length]]*(1+Z$2)</f>
        <v>21.070703683037344</v>
      </c>
      <c r="AA57" s="10">
        <f>Table4[[#This Row],[£/ Length]]*(1+AA$2)</f>
        <v>22.57575394611144</v>
      </c>
    </row>
    <row r="58" spans="1:27" ht="25.35" customHeight="1">
      <c r="A58" s="7" t="s">
        <v>78</v>
      </c>
      <c r="B58" s="7" t="str">
        <f t="shared" si="1"/>
        <v>GCHS_11/2" BORE MEDIUM  BLUE BAND__</v>
      </c>
      <c r="C58" s="7" t="str">
        <f t="shared" si="11"/>
        <v>GCHS 11/2" BORE MEDIUM  BLUE BANDOD ID  mm Thick @ 0Kg/m</v>
      </c>
      <c r="D58" s="86" t="s">
        <v>487</v>
      </c>
      <c r="E58" s="86"/>
      <c r="F58" s="87"/>
      <c r="G58" s="88"/>
      <c r="H58" s="139"/>
      <c r="I58" s="9"/>
      <c r="J58" s="140"/>
      <c r="K58" s="139"/>
      <c r="L58" s="9"/>
      <c r="M58" s="140"/>
      <c r="N58" s="139"/>
      <c r="O58" s="9"/>
      <c r="P58" s="9"/>
      <c r="Q58" s="149">
        <f t="shared" si="2"/>
        <v>0</v>
      </c>
      <c r="R58" s="72">
        <f>Table4[[#This Row],[Total Metres]]*Table4[[#This Row],[Weight   Kg/m]]*Table4[[#This Row],[£/Tonne]]/1000</f>
        <v>0</v>
      </c>
      <c r="S58" s="89"/>
      <c r="T58" s="74">
        <f t="shared" si="14"/>
        <v>0</v>
      </c>
      <c r="U58" s="260">
        <v>6.1</v>
      </c>
      <c r="V58" s="10">
        <f>Table4[[#This Row],[Normal Length]]*Table4[[#This Row],[£Cost /m]]</f>
        <v>0</v>
      </c>
      <c r="W58" s="10"/>
      <c r="X58" s="10">
        <f>Table4[[#This Row],[£/ Length]]*(1+X$2)</f>
        <v>0</v>
      </c>
      <c r="Y58" s="10">
        <f>Table4[[#This Row],[£/ Length]]*(1+Y$2)</f>
        <v>0</v>
      </c>
      <c r="Z58" s="10">
        <f>Table4[[#This Row],[£/ Length]]*(1+Z$2)</f>
        <v>0</v>
      </c>
      <c r="AA58" s="10">
        <f>Table4[[#This Row],[£/ Length]]*(1+AA$2)</f>
        <v>0</v>
      </c>
    </row>
    <row r="59" spans="1:27" ht="25.35" customHeight="1">
      <c r="A59" s="7" t="s">
        <v>78</v>
      </c>
      <c r="B59" s="7" t="str">
        <f t="shared" si="1"/>
        <v>GCHS_48.3_42.3_3</v>
      </c>
      <c r="C59" s="7" t="str">
        <f t="shared" si="11"/>
        <v>GCHS 48.3OD 42.3ID  3mm Thick @ 3.35Kg/m</v>
      </c>
      <c r="D59" s="86">
        <v>48.3</v>
      </c>
      <c r="E59" s="86">
        <v>42.3</v>
      </c>
      <c r="F59" s="87">
        <v>3</v>
      </c>
      <c r="G59" s="90">
        <v>3.3514981667393968</v>
      </c>
      <c r="H59" s="139">
        <v>7.5</v>
      </c>
      <c r="I59" s="9">
        <v>2</v>
      </c>
      <c r="J59" s="140" t="s">
        <v>255</v>
      </c>
      <c r="K59" s="139">
        <v>5</v>
      </c>
      <c r="L59" s="9">
        <v>1</v>
      </c>
      <c r="M59" s="140" t="s">
        <v>255</v>
      </c>
      <c r="N59" s="139">
        <v>3.5</v>
      </c>
      <c r="O59" s="9">
        <v>3</v>
      </c>
      <c r="P59" s="9" t="s">
        <v>255</v>
      </c>
      <c r="Q59" s="149">
        <f t="shared" si="2"/>
        <v>30.5</v>
      </c>
      <c r="R59" s="72">
        <f>Table4[[#This Row],[Total Metres]]*Table4[[#This Row],[Weight   Kg/m]]*Table4[[#This Row],[£/Tonne]]/1000</f>
        <v>86.06982442003445</v>
      </c>
      <c r="S59" s="89">
        <v>842</v>
      </c>
      <c r="T59" s="74">
        <f t="shared" si="14"/>
        <v>2.8219614563945719</v>
      </c>
      <c r="U59" s="260">
        <v>6.1</v>
      </c>
      <c r="V59" s="10">
        <f>Table4[[#This Row],[Normal Length]]*Table4[[#This Row],[£Cost /m]]</f>
        <v>17.213964884006888</v>
      </c>
      <c r="W59" s="10"/>
      <c r="X59" s="10">
        <f>Table4[[#This Row],[£/ Length]]*(1+X$2)</f>
        <v>22.378154349208955</v>
      </c>
      <c r="Y59" s="10">
        <f>Table4[[#This Row],[£/ Length]]*(1+Y$2)</f>
        <v>23.238852593409302</v>
      </c>
      <c r="Z59" s="10">
        <f>Table4[[#This Row],[£/ Length]]*(1+Z$2)</f>
        <v>24.099550837609641</v>
      </c>
      <c r="AA59" s="10">
        <f>Table4[[#This Row],[£/ Length]]*(1+AA$2)</f>
        <v>25.820947326010334</v>
      </c>
    </row>
    <row r="60" spans="1:27" ht="25.35" customHeight="1">
      <c r="A60" s="7" t="s">
        <v>78</v>
      </c>
      <c r="B60" s="7" t="str">
        <f t="shared" si="1"/>
        <v>GCHS_60.3_53_3.65</v>
      </c>
      <c r="C60" s="7" t="str">
        <f t="shared" si="11"/>
        <v>GCHS 60.3OD 53ID  3.65mm Thick @ 5.1Kg/m</v>
      </c>
      <c r="D60" s="70">
        <v>60.3</v>
      </c>
      <c r="E60" s="70">
        <v>53</v>
      </c>
      <c r="F60" s="16">
        <v>3.65</v>
      </c>
      <c r="G60" s="71">
        <v>5.0993204906705003</v>
      </c>
      <c r="H60" s="139">
        <v>3</v>
      </c>
      <c r="I60" s="9">
        <v>1</v>
      </c>
      <c r="J60" s="140" t="s">
        <v>255</v>
      </c>
      <c r="K60" s="139"/>
      <c r="L60" s="9"/>
      <c r="M60" s="140"/>
      <c r="N60" s="139"/>
      <c r="O60" s="9"/>
      <c r="P60" s="9"/>
      <c r="Q60" s="149">
        <f t="shared" si="2"/>
        <v>3</v>
      </c>
      <c r="R60" s="72">
        <f>Table4[[#This Row],[Total Metres]]*Table4[[#This Row],[Weight   Kg/m]]*Table4[[#This Row],[£/Tonne]]/1000</f>
        <v>10.830956722184142</v>
      </c>
      <c r="S60" s="76">
        <v>708</v>
      </c>
      <c r="T60" s="74">
        <f t="shared" si="14"/>
        <v>3.6103189073947139</v>
      </c>
      <c r="U60" s="260">
        <v>6.1</v>
      </c>
      <c r="V60" s="10">
        <f>Table4[[#This Row],[Normal Length]]*Table4[[#This Row],[£Cost /m]]</f>
        <v>22.022945335107753</v>
      </c>
      <c r="W60" s="10"/>
      <c r="X60" s="10">
        <f>Table4[[#This Row],[£/ Length]]*(1+X$2)</f>
        <v>28.629828935640081</v>
      </c>
      <c r="Y60" s="10">
        <f>Table4[[#This Row],[£/ Length]]*(1+Y$2)</f>
        <v>29.730976202395468</v>
      </c>
      <c r="Z60" s="10">
        <f>Table4[[#This Row],[£/ Length]]*(1+Z$2)</f>
        <v>30.832123469150851</v>
      </c>
      <c r="AA60" s="10">
        <f>Table4[[#This Row],[£/ Length]]*(1+AA$2)</f>
        <v>33.034418002661631</v>
      </c>
    </row>
    <row r="61" spans="1:27" ht="25.35" customHeight="1">
      <c r="A61" s="7" t="s">
        <v>78</v>
      </c>
      <c r="B61" s="7" t="str">
        <f t="shared" si="1"/>
        <v>GCHS_60.3_53_3.65</v>
      </c>
      <c r="C61" s="7" t="str">
        <f t="shared" si="11"/>
        <v>GCHS 60.3OD 53ID  3.65mm Thick @ 5.1Kg/m</v>
      </c>
      <c r="D61" s="70">
        <v>60.3</v>
      </c>
      <c r="E61" s="70">
        <v>53</v>
      </c>
      <c r="F61" s="16">
        <v>3.65</v>
      </c>
      <c r="G61" s="71">
        <v>5.0993204906705003</v>
      </c>
      <c r="H61" s="139">
        <v>6.1</v>
      </c>
      <c r="I61" s="9">
        <v>12</v>
      </c>
      <c r="J61" s="140" t="s">
        <v>255</v>
      </c>
      <c r="K61" s="139">
        <v>6.1</v>
      </c>
      <c r="L61" s="9">
        <v>9</v>
      </c>
      <c r="M61" s="140"/>
      <c r="N61" s="139"/>
      <c r="O61" s="9"/>
      <c r="P61" s="9"/>
      <c r="Q61" s="149">
        <f t="shared" si="2"/>
        <v>128.1</v>
      </c>
      <c r="R61" s="72">
        <f>Table4[[#This Row],[Total Metres]]*Table4[[#This Row],[Weight   Kg/m]]*Table4[[#This Row],[£/Tonne]]/1000</f>
        <v>462.48185203726285</v>
      </c>
      <c r="S61" s="76">
        <v>708</v>
      </c>
      <c r="T61" s="74">
        <f t="shared" si="14"/>
        <v>3.6103189073947139</v>
      </c>
      <c r="U61" s="260">
        <v>6.1</v>
      </c>
      <c r="V61" s="10">
        <f>Table4[[#This Row],[Normal Length]]*Table4[[#This Row],[£Cost /m]]</f>
        <v>22.022945335107753</v>
      </c>
      <c r="W61" s="10"/>
      <c r="X61" s="10">
        <f>Table4[[#This Row],[£/ Length]]*(1+X$2)</f>
        <v>28.629828935640081</v>
      </c>
      <c r="Y61" s="10">
        <f>Table4[[#This Row],[£/ Length]]*(1+Y$2)</f>
        <v>29.730976202395468</v>
      </c>
      <c r="Z61" s="10">
        <f>Table4[[#This Row],[£/ Length]]*(1+Z$2)</f>
        <v>30.832123469150851</v>
      </c>
      <c r="AA61" s="10">
        <f>Table4[[#This Row],[£/ Length]]*(1+AA$2)</f>
        <v>33.034418002661631</v>
      </c>
    </row>
    <row r="62" spans="1:27" ht="25.35" customHeight="1">
      <c r="A62" s="7" t="s">
        <v>78</v>
      </c>
      <c r="B62" s="7" t="str">
        <f t="shared" si="1"/>
        <v>GCHS_76.1_68.8_3.65</v>
      </c>
      <c r="C62" s="7" t="str">
        <f t="shared" si="11"/>
        <v>GCHS 76.1OD 68.8ID  3.65mm Thick @ 6.52Kg/m</v>
      </c>
      <c r="D62" s="70">
        <v>76.099999999999994</v>
      </c>
      <c r="E62" s="70">
        <v>68.8</v>
      </c>
      <c r="F62" s="16">
        <v>3.65</v>
      </c>
      <c r="G62" s="71">
        <v>6.5215493300808127</v>
      </c>
      <c r="H62" s="139">
        <v>7.5</v>
      </c>
      <c r="I62" s="9">
        <v>10</v>
      </c>
      <c r="J62" s="140" t="s">
        <v>255</v>
      </c>
      <c r="K62" s="139"/>
      <c r="L62" s="9"/>
      <c r="M62" s="140"/>
      <c r="N62" s="139"/>
      <c r="O62" s="9"/>
      <c r="P62" s="9"/>
      <c r="Q62" s="149">
        <f t="shared" si="2"/>
        <v>75</v>
      </c>
      <c r="R62" s="72">
        <f>Table4[[#This Row],[Total Metres]]*Table4[[#This Row],[Weight   Kg/m]]*Table4[[#This Row],[£/Tonne]]/1000</f>
        <v>343.84868842851085</v>
      </c>
      <c r="S62" s="74">
        <v>703</v>
      </c>
      <c r="T62" s="74">
        <f t="shared" si="14"/>
        <v>4.5846491790468109</v>
      </c>
      <c r="U62" s="260">
        <v>6.1</v>
      </c>
      <c r="V62" s="10">
        <f>Table4[[#This Row],[Normal Length]]*Table4[[#This Row],[£Cost /m]]</f>
        <v>27.966359992185545</v>
      </c>
      <c r="W62" s="10"/>
      <c r="X62" s="10">
        <f>Table4[[#This Row],[£/ Length]]*(1+X$2)</f>
        <v>36.356267989841207</v>
      </c>
      <c r="Y62" s="10">
        <f>Table4[[#This Row],[£/ Length]]*(1+Y$2)</f>
        <v>37.75458598945049</v>
      </c>
      <c r="Z62" s="10">
        <f>Table4[[#This Row],[£/ Length]]*(1+Z$2)</f>
        <v>39.152903989059759</v>
      </c>
      <c r="AA62" s="10">
        <f>Table4[[#This Row],[£/ Length]]*(1+AA$2)</f>
        <v>41.949539988278318</v>
      </c>
    </row>
    <row r="63" spans="1:27" ht="25.35" customHeight="1">
      <c r="A63" s="7" t="s">
        <v>78</v>
      </c>
      <c r="B63" s="7" t="str">
        <f t="shared" si="1"/>
        <v>GCHS_88.9_73_7.95</v>
      </c>
      <c r="C63" s="7" t="str">
        <f t="shared" si="11"/>
        <v>GCHS 88.9OD 73ID  7.95mm Thick @ 15.87Kg/m</v>
      </c>
      <c r="D63" s="70">
        <v>88.9</v>
      </c>
      <c r="E63" s="70">
        <v>73</v>
      </c>
      <c r="F63" s="16">
        <f>(D63-E63)/2</f>
        <v>7.9500000000000028</v>
      </c>
      <c r="G63" s="71">
        <v>15.870971478664856</v>
      </c>
      <c r="H63" s="139"/>
      <c r="I63" s="9"/>
      <c r="J63" s="140"/>
      <c r="K63" s="139"/>
      <c r="L63" s="9"/>
      <c r="M63" s="140"/>
      <c r="N63" s="139"/>
      <c r="O63" s="9"/>
      <c r="P63" s="9"/>
      <c r="Q63" s="149">
        <f t="shared" si="2"/>
        <v>0</v>
      </c>
      <c r="R63" s="72">
        <f>Table4[[#This Row],[Total Metres]]*Table4[[#This Row],[Weight   Kg/m]]*Table4[[#This Row],[£/Tonne]]/1000</f>
        <v>0</v>
      </c>
      <c r="S63" s="74"/>
      <c r="T63" s="74">
        <f t="shared" si="14"/>
        <v>0</v>
      </c>
      <c r="U63" s="260">
        <v>6.1</v>
      </c>
      <c r="V63" s="10">
        <f>Table4[[#This Row],[Normal Length]]*Table4[[#This Row],[£Cost /m]]</f>
        <v>0</v>
      </c>
      <c r="W63" s="10"/>
      <c r="X63" s="10">
        <f>Table4[[#This Row],[£/ Length]]*(1+X$2)</f>
        <v>0</v>
      </c>
      <c r="Y63" s="10">
        <f>Table4[[#This Row],[£/ Length]]*(1+Y$2)</f>
        <v>0</v>
      </c>
      <c r="Z63" s="10">
        <f>Table4[[#This Row],[£/ Length]]*(1+Z$2)</f>
        <v>0</v>
      </c>
      <c r="AA63" s="10">
        <f>Table4[[#This Row],[£/ Length]]*(1+AA$2)</f>
        <v>0</v>
      </c>
    </row>
    <row r="64" spans="1:27" ht="25.35" customHeight="1">
      <c r="A64" s="7" t="s">
        <v>78</v>
      </c>
      <c r="B64" s="7" t="str">
        <f t="shared" si="1"/>
        <v>GCHS_88.9_80.9_4</v>
      </c>
      <c r="C64" s="7" t="str">
        <f t="shared" si="11"/>
        <v>GCHS 88.9OD 80.9ID  4mm Thick @ 8.38Kg/m</v>
      </c>
      <c r="D64" s="70">
        <v>88.9</v>
      </c>
      <c r="E64" s="70">
        <v>80.900000000000006</v>
      </c>
      <c r="F64" s="16">
        <v>4</v>
      </c>
      <c r="G64" s="71">
        <v>8.3750461914988819</v>
      </c>
      <c r="H64" s="139">
        <v>4.8</v>
      </c>
      <c r="I64" s="9">
        <v>1</v>
      </c>
      <c r="J64" s="140" t="s">
        <v>255</v>
      </c>
      <c r="K64" s="139">
        <v>3.6</v>
      </c>
      <c r="L64" s="9">
        <v>1</v>
      </c>
      <c r="M64" s="140" t="s">
        <v>255</v>
      </c>
      <c r="N64" s="139"/>
      <c r="O64" s="9"/>
      <c r="P64" s="9"/>
      <c r="Q64" s="149">
        <f t="shared" si="2"/>
        <v>8.4</v>
      </c>
      <c r="R64" s="72">
        <f>Table4[[#This Row],[Total Metres]]*Table4[[#This Row],[Weight   Kg/m]]*Table4[[#This Row],[£/Tonne]]/1000</f>
        <v>43.054437461257457</v>
      </c>
      <c r="S64" s="74">
        <v>612</v>
      </c>
      <c r="T64" s="74">
        <f t="shared" si="14"/>
        <v>5.1255282691973152</v>
      </c>
      <c r="U64" s="260">
        <v>6.1</v>
      </c>
      <c r="V64" s="10">
        <f>Table4[[#This Row],[Normal Length]]*Table4[[#This Row],[£Cost /m]]</f>
        <v>31.26572244210362</v>
      </c>
      <c r="W64" s="10"/>
      <c r="X64" s="10">
        <f>Table4[[#This Row],[£/ Length]]*(1+X$2)</f>
        <v>40.645439174734705</v>
      </c>
      <c r="Y64" s="10">
        <f>Table4[[#This Row],[£/ Length]]*(1+Y$2)</f>
        <v>42.208725296839887</v>
      </c>
      <c r="Z64" s="10">
        <f>Table4[[#This Row],[£/ Length]]*(1+Z$2)</f>
        <v>43.772011418945063</v>
      </c>
      <c r="AA64" s="10">
        <f>Table4[[#This Row],[£/ Length]]*(1+AA$2)</f>
        <v>46.898583663155428</v>
      </c>
    </row>
    <row r="65" spans="1:27" ht="25.35" customHeight="1">
      <c r="A65" s="7" t="s">
        <v>78</v>
      </c>
      <c r="B65" s="7" t="str">
        <f t="shared" si="1"/>
        <v>GCHS_114.3_105.3_4.5</v>
      </c>
      <c r="C65" s="7" t="str">
        <f t="shared" si="11"/>
        <v>GCHS 114.3OD 105.3ID  4.5mm Thick @ 12.19Kg/m</v>
      </c>
      <c r="D65" s="70">
        <v>114.3</v>
      </c>
      <c r="E65" s="70">
        <v>105.3</v>
      </c>
      <c r="F65" s="16">
        <v>4.5</v>
      </c>
      <c r="G65" s="71">
        <v>12.185248301588928</v>
      </c>
      <c r="H65" s="139">
        <v>6.5</v>
      </c>
      <c r="I65" s="9">
        <v>1</v>
      </c>
      <c r="J65" s="140" t="s">
        <v>255</v>
      </c>
      <c r="K65" s="139">
        <v>2</v>
      </c>
      <c r="L65" s="9">
        <v>1</v>
      </c>
      <c r="M65" s="140" t="s">
        <v>255</v>
      </c>
      <c r="N65" s="139">
        <v>6.5</v>
      </c>
      <c r="O65" s="9">
        <v>1</v>
      </c>
      <c r="P65" s="9" t="s">
        <v>255</v>
      </c>
      <c r="Q65" s="149">
        <f t="shared" si="2"/>
        <v>15</v>
      </c>
      <c r="R65" s="72">
        <f>Table4[[#This Row],[Total Metres]]*Table4[[#This Row],[Weight   Kg/m]]*Table4[[#This Row],[£/Tonne]]/1000</f>
        <v>133.42846890239875</v>
      </c>
      <c r="S65" s="74">
        <v>730</v>
      </c>
      <c r="T65" s="74">
        <f t="shared" si="14"/>
        <v>8.8952312601599175</v>
      </c>
      <c r="U65" s="260">
        <v>6.1</v>
      </c>
      <c r="V65" s="10">
        <f>Table4[[#This Row],[Normal Length]]*Table4[[#This Row],[£Cost /m]]</f>
        <v>54.260910686975492</v>
      </c>
      <c r="W65" s="10"/>
      <c r="X65" s="10">
        <f>Table4[[#This Row],[£/ Length]]*(1+X$2)</f>
        <v>70.539183893068142</v>
      </c>
      <c r="Y65" s="10">
        <f>Table4[[#This Row],[£/ Length]]*(1+Y$2)</f>
        <v>73.252229427416921</v>
      </c>
      <c r="Z65" s="10">
        <f>Table4[[#This Row],[£/ Length]]*(1+Z$2)</f>
        <v>75.965274961765687</v>
      </c>
      <c r="AA65" s="10">
        <f>Table4[[#This Row],[£/ Length]]*(1+AA$2)</f>
        <v>81.391366030463246</v>
      </c>
    </row>
    <row r="66" spans="1:27" ht="32.25" customHeight="1">
      <c r="H66" s="139"/>
      <c r="I66" s="9"/>
      <c r="J66" s="140"/>
      <c r="K66" s="139"/>
      <c r="L66" s="9"/>
      <c r="M66" s="140"/>
      <c r="N66" s="139"/>
      <c r="O66" s="9"/>
      <c r="P66" s="9"/>
      <c r="Q66" s="53" t="s">
        <v>474</v>
      </c>
      <c r="R66" s="54">
        <f>SUM(R3:R65)</f>
        <v>8902.8166514999957</v>
      </c>
      <c r="S66" s="74"/>
      <c r="T66" s="10"/>
      <c r="U66" s="10"/>
      <c r="V66" s="10"/>
      <c r="W66" s="10"/>
    </row>
    <row r="67" spans="1:27">
      <c r="H67" s="139"/>
      <c r="I67" s="9"/>
      <c r="J67" s="140"/>
      <c r="K67" s="139"/>
      <c r="L67" s="9"/>
      <c r="M67" s="140"/>
      <c r="N67" s="139"/>
      <c r="O67" s="9"/>
      <c r="P67" s="9"/>
      <c r="S67" s="74"/>
      <c r="T67" s="10"/>
      <c r="U67" s="10"/>
      <c r="V67" s="10"/>
      <c r="W67" s="10"/>
    </row>
    <row r="68" spans="1:27">
      <c r="H68" s="139"/>
      <c r="I68" s="9"/>
      <c r="J68" s="140"/>
      <c r="K68" s="139"/>
      <c r="L68" s="9"/>
      <c r="M68" s="140"/>
      <c r="N68" s="139"/>
      <c r="O68" s="9"/>
      <c r="P68" s="9"/>
      <c r="S68" s="74"/>
      <c r="T68" s="10"/>
      <c r="U68" s="10"/>
      <c r="V68" s="10"/>
      <c r="W68" s="10"/>
    </row>
    <row r="69" spans="1:27">
      <c r="H69" s="139"/>
      <c r="I69" s="9"/>
      <c r="J69" s="140"/>
      <c r="K69" s="139"/>
      <c r="L69" s="9"/>
      <c r="M69" s="140"/>
      <c r="N69" s="139"/>
      <c r="O69" s="9"/>
      <c r="P69" s="9"/>
      <c r="S69" s="74"/>
      <c r="T69" s="10"/>
      <c r="U69" s="10"/>
      <c r="V69" s="10"/>
      <c r="W69" s="10"/>
    </row>
    <row r="70" spans="1:27">
      <c r="H70" s="139"/>
      <c r="I70" s="9"/>
      <c r="J70" s="140"/>
      <c r="K70" s="139"/>
      <c r="L70" s="9"/>
      <c r="M70" s="140"/>
      <c r="N70" s="139"/>
      <c r="O70" s="9"/>
      <c r="P70" s="9"/>
      <c r="S70" s="74"/>
      <c r="T70" s="10"/>
      <c r="U70" s="10"/>
      <c r="V70" s="10"/>
      <c r="W70" s="10"/>
    </row>
    <row r="71" spans="1:27">
      <c r="H71" s="139"/>
      <c r="I71" s="9"/>
      <c r="J71" s="140"/>
      <c r="K71" s="139"/>
      <c r="L71" s="9"/>
      <c r="M71" s="140"/>
      <c r="N71" s="139"/>
      <c r="O71" s="9"/>
      <c r="P71" s="9"/>
      <c r="S71" s="74"/>
      <c r="T71" s="10"/>
      <c r="U71" s="10"/>
      <c r="V71" s="10"/>
      <c r="W71" s="10"/>
    </row>
    <row r="72" spans="1:27">
      <c r="H72" s="139"/>
      <c r="I72" s="9"/>
      <c r="J72" s="140"/>
      <c r="K72" s="139"/>
      <c r="L72" s="9"/>
      <c r="M72" s="140"/>
      <c r="N72" s="139"/>
      <c r="O72" s="9"/>
      <c r="P72" s="9"/>
      <c r="S72" s="74"/>
      <c r="T72" s="10"/>
      <c r="U72" s="10"/>
      <c r="V72" s="10"/>
      <c r="W72" s="10"/>
    </row>
    <row r="73" spans="1:27">
      <c r="H73" s="139"/>
      <c r="I73" s="9"/>
      <c r="J73" s="140"/>
      <c r="K73" s="139"/>
      <c r="L73" s="9"/>
      <c r="M73" s="140"/>
      <c r="N73" s="139"/>
      <c r="O73" s="9"/>
      <c r="P73" s="9"/>
      <c r="S73" s="74"/>
      <c r="T73" s="10"/>
      <c r="U73" s="10"/>
      <c r="V73" s="10"/>
      <c r="W73" s="10"/>
    </row>
    <row r="74" spans="1:27">
      <c r="H74" s="139"/>
      <c r="I74" s="9"/>
      <c r="J74" s="140"/>
      <c r="K74" s="139"/>
      <c r="L74" s="9"/>
      <c r="M74" s="140"/>
      <c r="N74" s="139"/>
      <c r="O74" s="9"/>
      <c r="P74" s="9"/>
      <c r="S74" s="74"/>
      <c r="T74" s="10"/>
      <c r="U74" s="10"/>
      <c r="V74" s="10"/>
      <c r="W74" s="10"/>
    </row>
    <row r="75" spans="1:27">
      <c r="H75" s="139"/>
      <c r="I75" s="9"/>
      <c r="J75" s="140"/>
      <c r="K75" s="139"/>
      <c r="L75" s="9"/>
      <c r="M75" s="140"/>
      <c r="N75" s="139"/>
      <c r="O75" s="9"/>
      <c r="P75" s="9"/>
      <c r="S75" s="74"/>
      <c r="T75" s="10"/>
      <c r="U75" s="10"/>
      <c r="V75" s="10"/>
      <c r="W75" s="10"/>
    </row>
    <row r="76" spans="1:27">
      <c r="H76" s="139"/>
      <c r="I76" s="9"/>
      <c r="J76" s="140"/>
      <c r="K76" s="139"/>
      <c r="L76" s="9"/>
      <c r="M76" s="140"/>
      <c r="N76" s="139"/>
      <c r="O76" s="9"/>
      <c r="P76" s="9"/>
      <c r="S76" s="74"/>
      <c r="T76" s="10"/>
      <c r="U76" s="10"/>
      <c r="V76" s="10"/>
      <c r="W76" s="10"/>
    </row>
    <row r="77" spans="1:27">
      <c r="H77" s="139"/>
      <c r="I77" s="9"/>
      <c r="J77" s="140"/>
      <c r="K77" s="139"/>
      <c r="L77" s="9"/>
      <c r="M77" s="140"/>
      <c r="N77" s="139"/>
      <c r="O77" s="9"/>
      <c r="P77" s="9"/>
      <c r="S77" s="74"/>
      <c r="T77" s="10"/>
      <c r="U77" s="10"/>
      <c r="V77" s="10"/>
      <c r="W77" s="10"/>
    </row>
    <row r="78" spans="1:27">
      <c r="H78" s="139"/>
      <c r="I78" s="9"/>
      <c r="J78" s="140"/>
      <c r="K78" s="139"/>
      <c r="L78" s="9"/>
      <c r="M78" s="140"/>
      <c r="N78" s="139"/>
      <c r="O78" s="9"/>
      <c r="P78" s="9"/>
      <c r="S78" s="74"/>
      <c r="T78" s="10"/>
      <c r="U78" s="10"/>
      <c r="V78" s="10"/>
      <c r="W78" s="10"/>
    </row>
    <row r="79" spans="1:27">
      <c r="H79" s="139"/>
      <c r="I79" s="9"/>
      <c r="J79" s="140"/>
      <c r="K79" s="139"/>
      <c r="L79" s="9"/>
      <c r="M79" s="140"/>
      <c r="N79" s="139"/>
      <c r="O79" s="9"/>
      <c r="P79" s="9"/>
      <c r="S79" s="74"/>
      <c r="T79" s="10"/>
      <c r="U79" s="10"/>
      <c r="V79" s="10"/>
      <c r="W79" s="10"/>
    </row>
    <row r="80" spans="1:27">
      <c r="H80" s="139"/>
      <c r="I80" s="9"/>
      <c r="J80" s="140"/>
      <c r="K80" s="139"/>
      <c r="L80" s="9"/>
      <c r="M80" s="140"/>
      <c r="N80" s="139"/>
      <c r="O80" s="9"/>
      <c r="P80" s="9"/>
      <c r="S80" s="74"/>
      <c r="T80" s="10"/>
      <c r="U80" s="10"/>
      <c r="V80" s="10"/>
      <c r="W80" s="10"/>
    </row>
    <row r="81" spans="8:23">
      <c r="H81" s="139"/>
      <c r="I81" s="9"/>
      <c r="J81" s="140"/>
      <c r="K81" s="139"/>
      <c r="L81" s="9"/>
      <c r="M81" s="140"/>
      <c r="N81" s="139"/>
      <c r="O81" s="9"/>
      <c r="P81" s="9"/>
      <c r="S81" s="74"/>
      <c r="T81" s="10"/>
      <c r="U81" s="10"/>
      <c r="V81" s="10"/>
      <c r="W81" s="10"/>
    </row>
    <row r="82" spans="8:23">
      <c r="H82" s="139"/>
      <c r="I82" s="9"/>
      <c r="J82" s="140"/>
      <c r="K82" s="139"/>
      <c r="L82" s="9"/>
      <c r="M82" s="140"/>
      <c r="N82" s="139"/>
      <c r="O82" s="9"/>
      <c r="P82" s="9"/>
      <c r="S82" s="74"/>
      <c r="T82" s="10"/>
      <c r="U82" s="10"/>
      <c r="V82" s="10"/>
      <c r="W82" s="10"/>
    </row>
    <row r="83" spans="8:23">
      <c r="H83" s="139"/>
      <c r="I83" s="9"/>
      <c r="J83" s="140"/>
      <c r="K83" s="139"/>
      <c r="L83" s="9"/>
      <c r="M83" s="140"/>
      <c r="N83" s="139"/>
      <c r="O83" s="9"/>
      <c r="P83" s="9"/>
      <c r="S83" s="74"/>
      <c r="T83" s="10"/>
      <c r="U83" s="10"/>
      <c r="V83" s="10"/>
      <c r="W83" s="10"/>
    </row>
    <row r="84" spans="8:23">
      <c r="H84" s="139"/>
      <c r="I84" s="9"/>
      <c r="J84" s="140"/>
      <c r="K84" s="139"/>
      <c r="L84" s="9"/>
      <c r="M84" s="140"/>
      <c r="N84" s="139"/>
      <c r="O84" s="9"/>
      <c r="P84" s="9"/>
      <c r="S84" s="74"/>
      <c r="T84" s="10"/>
      <c r="U84" s="10"/>
      <c r="V84" s="10"/>
      <c r="W84" s="10"/>
    </row>
    <row r="85" spans="8:23">
      <c r="H85" s="139"/>
      <c r="I85" s="9"/>
      <c r="J85" s="140"/>
      <c r="K85" s="139"/>
      <c r="L85" s="9"/>
      <c r="M85" s="140"/>
      <c r="N85" s="139"/>
      <c r="O85" s="9"/>
      <c r="P85" s="9"/>
      <c r="S85" s="74"/>
      <c r="T85" s="10"/>
      <c r="U85" s="10"/>
      <c r="V85" s="10"/>
      <c r="W85" s="10"/>
    </row>
    <row r="86" spans="8:23">
      <c r="H86" s="139"/>
      <c r="I86" s="9"/>
      <c r="J86" s="140"/>
      <c r="K86" s="139"/>
      <c r="L86" s="9"/>
      <c r="M86" s="140"/>
      <c r="N86" s="139"/>
      <c r="O86" s="9"/>
      <c r="P86" s="9"/>
      <c r="S86" s="74"/>
      <c r="T86" s="10"/>
      <c r="U86" s="10"/>
      <c r="V86" s="10"/>
      <c r="W86" s="10"/>
    </row>
    <row r="87" spans="8:23">
      <c r="H87" s="139"/>
      <c r="I87" s="9"/>
      <c r="J87" s="140"/>
      <c r="K87" s="139"/>
      <c r="L87" s="9"/>
      <c r="M87" s="140"/>
      <c r="N87" s="139"/>
      <c r="O87" s="9"/>
      <c r="P87" s="9"/>
      <c r="S87" s="74"/>
      <c r="T87" s="10"/>
      <c r="U87" s="10"/>
      <c r="V87" s="10"/>
      <c r="W87" s="10"/>
    </row>
    <row r="88" spans="8:23">
      <c r="H88" s="139"/>
      <c r="I88" s="9"/>
      <c r="J88" s="140"/>
      <c r="K88" s="139"/>
      <c r="L88" s="9"/>
      <c r="M88" s="140"/>
      <c r="N88" s="139"/>
      <c r="O88" s="9"/>
      <c r="P88" s="9"/>
      <c r="S88" s="74"/>
      <c r="T88" s="10"/>
      <c r="U88" s="10"/>
      <c r="V88" s="10"/>
      <c r="W88" s="10"/>
    </row>
    <row r="89" spans="8:23">
      <c r="H89" s="139"/>
      <c r="I89" s="9"/>
      <c r="J89" s="140"/>
      <c r="K89" s="139"/>
      <c r="L89" s="9"/>
      <c r="M89" s="140"/>
      <c r="N89" s="139"/>
      <c r="O89" s="9"/>
      <c r="P89" s="9"/>
      <c r="S89" s="74"/>
      <c r="T89" s="10"/>
      <c r="U89" s="10"/>
      <c r="V89" s="10"/>
      <c r="W89" s="10"/>
    </row>
    <row r="90" spans="8:23">
      <c r="H90" s="141"/>
      <c r="I90" s="7"/>
      <c r="J90" s="142"/>
      <c r="K90" s="141"/>
      <c r="L90" s="7"/>
      <c r="M90" s="142"/>
      <c r="N90" s="141"/>
      <c r="O90" s="7"/>
      <c r="P90" s="7"/>
      <c r="S90" s="74"/>
      <c r="T90" s="10"/>
      <c r="U90" s="10"/>
      <c r="V90" s="10"/>
      <c r="W90" s="10"/>
    </row>
    <row r="91" spans="8:23">
      <c r="H91" s="141"/>
      <c r="I91" s="7"/>
      <c r="J91" s="142"/>
      <c r="K91" s="141"/>
      <c r="L91" s="7"/>
      <c r="M91" s="142"/>
      <c r="N91" s="141"/>
      <c r="O91" s="7"/>
      <c r="P91" s="7"/>
      <c r="S91" s="74"/>
      <c r="T91" s="10"/>
      <c r="U91" s="10"/>
      <c r="V91" s="10"/>
      <c r="W91" s="10"/>
    </row>
    <row r="92" spans="8:23">
      <c r="H92" s="141"/>
      <c r="I92" s="7"/>
      <c r="J92" s="142"/>
      <c r="K92" s="141"/>
      <c r="L92" s="7"/>
      <c r="M92" s="142"/>
      <c r="N92" s="141"/>
      <c r="O92" s="7"/>
      <c r="P92" s="7"/>
      <c r="S92" s="74"/>
      <c r="T92" s="10"/>
      <c r="U92" s="10"/>
      <c r="V92" s="10"/>
      <c r="W92" s="10"/>
    </row>
    <row r="93" spans="8:23">
      <c r="H93" s="141"/>
      <c r="I93" s="7"/>
      <c r="J93" s="142"/>
      <c r="K93" s="141"/>
      <c r="L93" s="7"/>
      <c r="M93" s="142"/>
      <c r="N93" s="141"/>
      <c r="O93" s="7"/>
      <c r="P93" s="142"/>
      <c r="S93" s="74"/>
      <c r="T93" s="10"/>
      <c r="U93" s="10"/>
      <c r="V93" s="10"/>
      <c r="W93" s="10"/>
    </row>
    <row r="94" spans="8:23">
      <c r="H94" s="141"/>
      <c r="I94" s="7"/>
      <c r="J94" s="142"/>
      <c r="K94" s="141"/>
      <c r="L94" s="7"/>
      <c r="M94" s="142"/>
      <c r="N94" s="141"/>
      <c r="O94" s="7"/>
      <c r="P94" s="142"/>
      <c r="S94" s="74"/>
      <c r="T94" s="10"/>
      <c r="U94" s="10"/>
      <c r="V94" s="10"/>
      <c r="W94" s="10"/>
    </row>
    <row r="95" spans="8:23">
      <c r="H95" s="141"/>
      <c r="I95" s="7"/>
      <c r="J95" s="142"/>
      <c r="K95" s="141"/>
      <c r="L95" s="7"/>
      <c r="M95" s="142"/>
      <c r="N95" s="141"/>
      <c r="O95" s="7"/>
      <c r="P95" s="142"/>
      <c r="S95" s="74"/>
      <c r="T95" s="10"/>
      <c r="U95" s="10"/>
      <c r="V95" s="10"/>
      <c r="W95" s="10"/>
    </row>
    <row r="96" spans="8:23">
      <c r="H96" s="141"/>
      <c r="I96" s="7"/>
      <c r="J96" s="142"/>
      <c r="K96" s="141"/>
      <c r="L96" s="7"/>
      <c r="M96" s="142"/>
      <c r="N96" s="141"/>
      <c r="O96" s="7"/>
      <c r="P96" s="142"/>
      <c r="S96" s="74"/>
      <c r="T96" s="10"/>
      <c r="U96" s="10"/>
      <c r="V96" s="10"/>
      <c r="W96" s="10"/>
    </row>
    <row r="97" spans="19:23">
      <c r="S97" s="74"/>
      <c r="T97" s="10"/>
      <c r="U97" s="10"/>
      <c r="V97" s="10"/>
      <c r="W97" s="10"/>
    </row>
    <row r="98" spans="19:23">
      <c r="S98" s="74"/>
      <c r="T98" s="10"/>
      <c r="U98" s="10"/>
      <c r="V98" s="10"/>
      <c r="W98" s="10"/>
    </row>
    <row r="99" spans="19:23">
      <c r="S99" s="74"/>
      <c r="T99" s="10"/>
      <c r="U99" s="10"/>
      <c r="V99" s="10"/>
      <c r="W99" s="10"/>
    </row>
    <row r="100" spans="19:23">
      <c r="S100" s="74"/>
      <c r="T100" s="10"/>
      <c r="U100" s="10"/>
      <c r="V100" s="10"/>
      <c r="W100" s="10"/>
    </row>
    <row r="101" spans="19:23">
      <c r="S101" s="74"/>
      <c r="T101" s="10"/>
      <c r="U101" s="10"/>
      <c r="V101" s="10"/>
      <c r="W101" s="10"/>
    </row>
    <row r="102" spans="19:23">
      <c r="S102" s="74"/>
      <c r="T102" s="10"/>
      <c r="U102" s="10"/>
      <c r="V102" s="10"/>
      <c r="W102" s="10"/>
    </row>
    <row r="103" spans="19:23">
      <c r="S103" s="74"/>
      <c r="T103" s="10"/>
      <c r="U103" s="10"/>
      <c r="V103" s="10"/>
      <c r="W103" s="10"/>
    </row>
    <row r="104" spans="19:23">
      <c r="S104" s="74"/>
      <c r="T104" s="10"/>
      <c r="U104" s="10"/>
      <c r="V104" s="10"/>
      <c r="W104" s="10"/>
    </row>
    <row r="105" spans="19:23">
      <c r="S105" s="74"/>
      <c r="T105" s="10"/>
      <c r="U105" s="10"/>
      <c r="V105" s="10"/>
      <c r="W105" s="10"/>
    </row>
    <row r="106" spans="19:23">
      <c r="S106" s="74"/>
      <c r="T106" s="10"/>
      <c r="U106" s="10"/>
      <c r="V106" s="10"/>
      <c r="W106" s="10"/>
    </row>
    <row r="107" spans="19:23">
      <c r="S107" s="74"/>
      <c r="T107" s="10"/>
      <c r="U107" s="10"/>
      <c r="V107" s="10"/>
      <c r="W107" s="10"/>
    </row>
    <row r="108" spans="19:23">
      <c r="S108" s="74"/>
      <c r="T108" s="10"/>
      <c r="U108" s="10"/>
      <c r="V108" s="10"/>
      <c r="W108" s="10"/>
    </row>
    <row r="109" spans="19:23">
      <c r="S109" s="74"/>
      <c r="T109" s="10"/>
      <c r="U109" s="10"/>
      <c r="V109" s="10"/>
      <c r="W109" s="10"/>
    </row>
    <row r="110" spans="19:23">
      <c r="S110" s="74"/>
      <c r="T110" s="10"/>
      <c r="U110" s="10"/>
      <c r="V110" s="10"/>
      <c r="W110" s="10"/>
    </row>
    <row r="111" spans="19:23">
      <c r="S111" s="74"/>
      <c r="T111" s="10"/>
      <c r="U111" s="10"/>
      <c r="V111" s="10"/>
      <c r="W111" s="10"/>
    </row>
    <row r="112" spans="19:23">
      <c r="S112" s="74"/>
      <c r="T112" s="10"/>
      <c r="U112" s="10"/>
      <c r="V112" s="10"/>
      <c r="W112" s="10"/>
    </row>
    <row r="113" spans="19:23">
      <c r="S113" s="74"/>
      <c r="T113" s="10"/>
      <c r="U113" s="10"/>
      <c r="V113" s="10"/>
      <c r="W113" s="10"/>
    </row>
    <row r="114" spans="19:23">
      <c r="S114" s="74"/>
      <c r="T114" s="10"/>
      <c r="U114" s="10"/>
      <c r="V114" s="10"/>
      <c r="W114" s="10"/>
    </row>
    <row r="115" spans="19:23">
      <c r="S115" s="74"/>
      <c r="T115" s="10"/>
      <c r="U115" s="10"/>
      <c r="V115" s="10"/>
      <c r="W115" s="10"/>
    </row>
    <row r="116" spans="19:23">
      <c r="S116" s="74"/>
      <c r="T116" s="10"/>
      <c r="U116" s="10"/>
      <c r="V116" s="10"/>
      <c r="W116" s="10"/>
    </row>
    <row r="117" spans="19:23">
      <c r="S117" s="74"/>
      <c r="T117" s="10"/>
      <c r="U117" s="10"/>
      <c r="V117" s="10"/>
      <c r="W117" s="10"/>
    </row>
    <row r="118" spans="19:23">
      <c r="S118" s="74"/>
      <c r="T118" s="10"/>
      <c r="U118" s="10"/>
      <c r="V118" s="10"/>
      <c r="W118" s="10"/>
    </row>
    <row r="119" spans="19:23">
      <c r="S119" s="74"/>
      <c r="T119" s="10"/>
      <c r="U119" s="10"/>
      <c r="V119" s="10"/>
      <c r="W119" s="10"/>
    </row>
    <row r="120" spans="19:23">
      <c r="S120" s="74"/>
      <c r="T120" s="10"/>
      <c r="U120" s="10"/>
      <c r="V120" s="10"/>
      <c r="W120" s="10"/>
    </row>
    <row r="121" spans="19:23">
      <c r="S121" s="74"/>
      <c r="T121" s="10"/>
      <c r="U121" s="10"/>
      <c r="V121" s="10"/>
      <c r="W121" s="10"/>
    </row>
    <row r="122" spans="19:23">
      <c r="S122" s="74"/>
      <c r="T122" s="10"/>
      <c r="U122" s="10"/>
      <c r="V122" s="10"/>
      <c r="W122" s="10"/>
    </row>
    <row r="123" spans="19:23">
      <c r="S123" s="74"/>
      <c r="T123" s="10"/>
      <c r="U123" s="10"/>
      <c r="V123" s="10"/>
      <c r="W123" s="10"/>
    </row>
    <row r="124" spans="19:23">
      <c r="S124" s="74"/>
      <c r="T124" s="10"/>
      <c r="U124" s="10"/>
      <c r="V124" s="10"/>
      <c r="W124" s="10"/>
    </row>
    <row r="125" spans="19:23">
      <c r="S125" s="74"/>
      <c r="T125" s="10"/>
      <c r="U125" s="10"/>
      <c r="V125" s="10"/>
      <c r="W125" s="10"/>
    </row>
    <row r="126" spans="19:23">
      <c r="S126" s="74"/>
      <c r="T126" s="10"/>
      <c r="U126" s="10"/>
      <c r="V126" s="10"/>
      <c r="W126" s="10"/>
    </row>
    <row r="127" spans="19:23">
      <c r="S127" s="74"/>
      <c r="T127" s="10"/>
      <c r="U127" s="10"/>
      <c r="V127" s="10"/>
      <c r="W127" s="10"/>
    </row>
    <row r="128" spans="19:23">
      <c r="S128" s="74"/>
      <c r="T128" s="10"/>
      <c r="U128" s="10"/>
      <c r="V128" s="10"/>
      <c r="W128" s="10"/>
    </row>
    <row r="129" spans="19:23">
      <c r="S129" s="74"/>
      <c r="T129" s="10"/>
      <c r="U129" s="10"/>
      <c r="V129" s="10"/>
      <c r="W129" s="10"/>
    </row>
    <row r="130" spans="19:23">
      <c r="S130" s="74"/>
      <c r="T130" s="10"/>
      <c r="U130" s="10"/>
      <c r="V130" s="10"/>
      <c r="W130" s="10"/>
    </row>
    <row r="131" spans="19:23">
      <c r="S131" s="74"/>
      <c r="T131" s="10"/>
      <c r="U131" s="10"/>
      <c r="V131" s="10"/>
      <c r="W131" s="10"/>
    </row>
    <row r="132" spans="19:23">
      <c r="S132" s="74"/>
      <c r="T132" s="10"/>
      <c r="U132" s="10"/>
      <c r="V132" s="10"/>
      <c r="W132" s="10"/>
    </row>
    <row r="133" spans="19:23">
      <c r="S133" s="74"/>
      <c r="T133" s="10"/>
      <c r="U133" s="10"/>
      <c r="V133" s="10"/>
      <c r="W133" s="10"/>
    </row>
    <row r="134" spans="19:23">
      <c r="S134" s="74"/>
      <c r="T134" s="10"/>
      <c r="U134" s="10"/>
      <c r="V134" s="10"/>
      <c r="W134" s="10"/>
    </row>
    <row r="135" spans="19:23">
      <c r="S135" s="74"/>
      <c r="T135" s="10"/>
      <c r="U135" s="10"/>
      <c r="V135" s="10"/>
      <c r="W135" s="10"/>
    </row>
    <row r="136" spans="19:23">
      <c r="S136" s="74"/>
      <c r="T136" s="10"/>
      <c r="U136" s="10"/>
      <c r="V136" s="10"/>
      <c r="W136" s="10"/>
    </row>
    <row r="137" spans="19:23">
      <c r="S137" s="74"/>
      <c r="T137" s="10"/>
      <c r="U137" s="10"/>
      <c r="V137" s="10"/>
      <c r="W137" s="10"/>
    </row>
    <row r="138" spans="19:23">
      <c r="S138" s="74"/>
      <c r="T138" s="10"/>
      <c r="U138" s="10"/>
      <c r="V138" s="10"/>
      <c r="W138" s="10"/>
    </row>
    <row r="139" spans="19:23">
      <c r="S139" s="74"/>
      <c r="T139" s="10"/>
      <c r="U139" s="10"/>
      <c r="V139" s="10"/>
      <c r="W139" s="10"/>
    </row>
    <row r="140" spans="19:23">
      <c r="S140" s="74"/>
      <c r="T140" s="10"/>
      <c r="U140" s="10"/>
      <c r="V140" s="10"/>
      <c r="W140" s="10"/>
    </row>
    <row r="141" spans="19:23">
      <c r="S141" s="74"/>
      <c r="T141" s="10"/>
      <c r="U141" s="10"/>
      <c r="V141" s="10"/>
      <c r="W141" s="10"/>
    </row>
    <row r="142" spans="19:23">
      <c r="S142" s="74"/>
      <c r="T142" s="10"/>
      <c r="U142" s="10"/>
      <c r="V142" s="10"/>
      <c r="W142" s="10"/>
    </row>
    <row r="143" spans="19:23">
      <c r="S143" s="74"/>
      <c r="T143" s="10"/>
      <c r="U143" s="10"/>
      <c r="V143" s="10"/>
      <c r="W143" s="10"/>
    </row>
    <row r="144" spans="19:23">
      <c r="S144" s="74"/>
      <c r="T144" s="10"/>
      <c r="U144" s="10"/>
      <c r="V144" s="10"/>
      <c r="W144" s="10"/>
    </row>
    <row r="145" spans="19:23">
      <c r="S145" s="74"/>
      <c r="T145" s="74"/>
      <c r="U145" s="74"/>
      <c r="V145" s="10"/>
      <c r="W145" s="10"/>
    </row>
    <row r="146" spans="19:23">
      <c r="S146" s="74"/>
      <c r="T146" s="74"/>
      <c r="U146" s="74"/>
      <c r="V146" s="10"/>
      <c r="W146" s="10"/>
    </row>
    <row r="147" spans="19:23">
      <c r="S147" s="74"/>
      <c r="T147" s="74"/>
      <c r="U147" s="74"/>
      <c r="V147" s="10"/>
      <c r="W147" s="10"/>
    </row>
    <row r="148" spans="19:23">
      <c r="S148" s="74"/>
      <c r="T148" s="74"/>
      <c r="U148" s="74"/>
      <c r="V148" s="10"/>
      <c r="W148" s="10"/>
    </row>
    <row r="149" spans="19:23">
      <c r="S149" s="74"/>
      <c r="T149" s="74"/>
      <c r="U149" s="74"/>
      <c r="V149" s="10"/>
      <c r="W149" s="10"/>
    </row>
    <row r="150" spans="19:23">
      <c r="S150" s="74"/>
      <c r="T150" s="74"/>
      <c r="U150" s="74"/>
      <c r="V150" s="10"/>
      <c r="W150" s="10"/>
    </row>
    <row r="151" spans="19:23">
      <c r="S151" s="74"/>
      <c r="T151" s="74"/>
      <c r="U151" s="74"/>
      <c r="V151" s="10"/>
      <c r="W151" s="10"/>
    </row>
    <row r="152" spans="19:23">
      <c r="S152" s="74"/>
      <c r="T152" s="74"/>
      <c r="U152" s="74"/>
      <c r="V152" s="10"/>
      <c r="W152" s="10"/>
    </row>
    <row r="153" spans="19:23">
      <c r="S153" s="74"/>
      <c r="T153" s="74"/>
      <c r="U153" s="74"/>
      <c r="V153" s="10"/>
      <c r="W153" s="10"/>
    </row>
    <row r="154" spans="19:23">
      <c r="S154" s="74"/>
      <c r="T154" s="74"/>
      <c r="U154" s="74"/>
      <c r="V154" s="10"/>
      <c r="W154" s="10"/>
    </row>
    <row r="155" spans="19:23">
      <c r="S155" s="74"/>
      <c r="T155" s="74"/>
      <c r="U155" s="74"/>
      <c r="V155" s="10"/>
      <c r="W155" s="10"/>
    </row>
    <row r="156" spans="19:23">
      <c r="S156" s="74"/>
      <c r="T156" s="74"/>
      <c r="U156" s="74"/>
      <c r="V156" s="10"/>
      <c r="W156" s="10"/>
    </row>
    <row r="157" spans="19:23">
      <c r="S157" s="74"/>
      <c r="T157" s="74"/>
      <c r="U157" s="74"/>
      <c r="V157" s="10"/>
      <c r="W157" s="10"/>
    </row>
    <row r="158" spans="19:23">
      <c r="S158" s="74"/>
      <c r="T158" s="74"/>
      <c r="U158" s="74"/>
      <c r="V158" s="10"/>
      <c r="W158" s="10"/>
    </row>
    <row r="159" spans="19:23">
      <c r="S159" s="74"/>
      <c r="T159" s="74"/>
      <c r="U159" s="74"/>
      <c r="V159" s="10"/>
      <c r="W159" s="10"/>
    </row>
    <row r="160" spans="19:23">
      <c r="S160" s="74"/>
      <c r="T160" s="74"/>
      <c r="U160" s="74"/>
      <c r="V160" s="10"/>
      <c r="W160" s="10"/>
    </row>
    <row r="161" spans="19:23">
      <c r="S161" s="74"/>
      <c r="T161" s="74"/>
      <c r="U161" s="74"/>
      <c r="V161" s="10"/>
      <c r="W161" s="10"/>
    </row>
    <row r="162" spans="19:23">
      <c r="S162" s="74"/>
      <c r="T162" s="74"/>
      <c r="U162" s="74"/>
      <c r="V162" s="10"/>
      <c r="W162" s="10"/>
    </row>
    <row r="163" spans="19:23">
      <c r="S163" s="74"/>
      <c r="T163" s="74"/>
      <c r="U163" s="74"/>
      <c r="V163" s="10"/>
      <c r="W163" s="10"/>
    </row>
    <row r="164" spans="19:23">
      <c r="S164" s="74"/>
      <c r="T164" s="74"/>
      <c r="U164" s="74"/>
      <c r="V164" s="10"/>
      <c r="W164" s="10"/>
    </row>
    <row r="165" spans="19:23">
      <c r="S165" s="74"/>
      <c r="T165" s="74"/>
      <c r="U165" s="74"/>
      <c r="V165" s="10"/>
      <c r="W165" s="10"/>
    </row>
    <row r="166" spans="19:23">
      <c r="S166" s="74"/>
      <c r="T166" s="74"/>
      <c r="U166" s="74"/>
      <c r="V166" s="10"/>
      <c r="W166" s="10"/>
    </row>
    <row r="167" spans="19:23">
      <c r="S167" s="74"/>
      <c r="T167" s="74"/>
      <c r="U167" s="74"/>
      <c r="V167" s="10"/>
      <c r="W167" s="10"/>
    </row>
    <row r="168" spans="19:23">
      <c r="S168" s="74"/>
      <c r="T168" s="74"/>
      <c r="U168" s="74"/>
      <c r="V168" s="10"/>
      <c r="W168" s="10"/>
    </row>
    <row r="169" spans="19:23">
      <c r="S169" s="74"/>
      <c r="T169" s="74"/>
      <c r="U169" s="74"/>
      <c r="V169" s="10"/>
      <c r="W169" s="10"/>
    </row>
    <row r="170" spans="19:23">
      <c r="S170" s="74"/>
      <c r="T170" s="74"/>
      <c r="U170" s="74"/>
      <c r="V170" s="10"/>
      <c r="W170" s="10"/>
    </row>
    <row r="171" spans="19:23">
      <c r="S171" s="74"/>
      <c r="T171" s="74"/>
      <c r="U171" s="74"/>
      <c r="V171" s="10"/>
      <c r="W171" s="10"/>
    </row>
    <row r="172" spans="19:23">
      <c r="S172" s="74"/>
      <c r="T172" s="74"/>
      <c r="U172" s="74"/>
      <c r="V172" s="10"/>
      <c r="W172" s="10"/>
    </row>
    <row r="173" spans="19:23">
      <c r="S173" s="74"/>
      <c r="T173" s="74"/>
      <c r="U173" s="74"/>
      <c r="V173" s="10"/>
      <c r="W173" s="10"/>
    </row>
    <row r="174" spans="19:23">
      <c r="S174" s="74"/>
      <c r="T174" s="74"/>
      <c r="U174" s="74"/>
      <c r="V174" s="10"/>
      <c r="W174" s="10"/>
    </row>
  </sheetData>
  <phoneticPr fontId="3" type="noConversion"/>
  <dataValidations disablePrompts="1" count="1">
    <dataValidation type="list" allowBlank="1" showInputMessage="1" showErrorMessage="1" error="Select Area from Tab 'Area List'" sqref="J3:J89 M3:M89 P3:P89" xr:uid="{183BF9E4-E688-4553-8EA9-DFCDF4CA07D6}">
      <formula1>AreaList2</formula1>
    </dataValidation>
  </dataValidations>
  <printOptions gridLines="1"/>
  <pageMargins left="0.7" right="0.7" top="0.75" bottom="0.75" header="0.3" footer="0.3"/>
  <pageSetup paperSize="9" scale="65" fitToHeight="4" orientation="landscape" r:id="rId1"/>
  <headerFooter alignWithMargins="0">
    <oddFooter>&amp;L&amp;D&amp;C&amp;A&amp;R&amp;P of &amp;N</oddFooter>
  </headerFooter>
  <rowBreaks count="2" manualBreakCount="2">
    <brk id="22" max="24" man="1"/>
    <brk id="50" max="24" man="1"/>
  </rowBreaks>
  <drawing r:id="rId2"/>
  <legacy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6E497-78D7-4318-8821-363E820FE2E2}">
  <sheetPr>
    <pageSetUpPr fitToPage="1"/>
  </sheetPr>
  <dimension ref="A1:AB92"/>
  <sheetViews>
    <sheetView topLeftCell="B1" zoomScale="70" zoomScaleNormal="70" workbookViewId="0">
      <selection activeCell="V3" sqref="V3"/>
    </sheetView>
  </sheetViews>
  <sheetFormatPr defaultRowHeight="13.15"/>
  <cols>
    <col min="1" max="1" width="5.5703125" style="7" bestFit="1" customWidth="1"/>
    <col min="2" max="2" width="13.140625" style="7" customWidth="1"/>
    <col min="3" max="3" width="19.85546875" style="7" hidden="1" customWidth="1"/>
    <col min="4" max="4" width="16.140625" style="6" customWidth="1"/>
    <col min="5" max="5" width="17.42578125" style="6" customWidth="1"/>
    <col min="6" max="6" width="29.28515625" style="133" customWidth="1"/>
    <col min="7" max="7" width="15.5703125" style="141" customWidth="1"/>
    <col min="8" max="8" width="9.5703125" style="7" customWidth="1"/>
    <col min="9" max="9" width="9.5703125" style="142" customWidth="1"/>
    <col min="10" max="10" width="16.5703125" style="141" customWidth="1"/>
    <col min="11" max="11" width="9.5703125" style="7" customWidth="1"/>
    <col min="12" max="12" width="9.5703125" style="142" customWidth="1"/>
    <col min="13" max="13" width="16.5703125" style="141" customWidth="1"/>
    <col min="14" max="14" width="9.5703125" style="7" customWidth="1"/>
    <col min="15" max="15" width="9.5703125" style="142" customWidth="1"/>
    <col min="16" max="16" width="13" style="7" customWidth="1"/>
    <col min="17" max="17" width="16.5703125" style="55" customWidth="1"/>
    <col min="18" max="18" width="7.85546875" style="55" customWidth="1"/>
    <col min="19" max="19" width="10.140625" style="7" bestFit="1" customWidth="1"/>
    <col min="20" max="21" width="9" style="7"/>
    <col min="22" max="22" width="10" style="7" customWidth="1"/>
    <col min="23" max="23" width="9" style="7"/>
    <col min="24" max="24" width="11.7109375" style="7" customWidth="1"/>
    <col min="25" max="25" width="11.5703125" style="7" customWidth="1"/>
    <col min="26" max="26" width="10.42578125" style="7" customWidth="1"/>
    <col min="27" max="27" width="10.5703125" style="7" customWidth="1"/>
    <col min="28" max="28" width="11.42578125" style="7" customWidth="1"/>
    <col min="29" max="251" width="9" style="7"/>
    <col min="252" max="252" width="11.5703125" style="7" customWidth="1"/>
    <col min="253" max="253" width="9" style="7"/>
    <col min="254" max="254" width="1.5703125" style="7" customWidth="1"/>
    <col min="255" max="255" width="11" style="7" customWidth="1"/>
    <col min="256" max="256" width="5.85546875" style="7" customWidth="1"/>
    <col min="257" max="257" width="10.140625" style="7" customWidth="1"/>
    <col min="258" max="258" width="7.140625" style="7" customWidth="1"/>
    <col min="259" max="259" width="9.85546875" style="7" customWidth="1"/>
    <col min="260" max="260" width="5" style="7" customWidth="1"/>
    <col min="261" max="261" width="4.5703125" style="7" customWidth="1"/>
    <col min="262" max="262" width="9" style="7"/>
    <col min="263" max="263" width="15.140625" style="7" customWidth="1"/>
    <col min="264" max="264" width="5.42578125" style="7" customWidth="1"/>
    <col min="265" max="265" width="9" style="7" customWidth="1"/>
    <col min="266" max="266" width="5.140625" style="7" customWidth="1"/>
    <col min="267" max="267" width="10.140625" style="7" bestFit="1" customWidth="1"/>
    <col min="268" max="268" width="9" style="7"/>
    <col min="269" max="269" width="8.5703125" style="7" customWidth="1"/>
    <col min="270" max="270" width="6.5703125" style="7" customWidth="1"/>
    <col min="271" max="507" width="9" style="7"/>
    <col min="508" max="508" width="11.5703125" style="7" customWidth="1"/>
    <col min="509" max="509" width="9" style="7"/>
    <col min="510" max="510" width="1.5703125" style="7" customWidth="1"/>
    <col min="511" max="511" width="11" style="7" customWidth="1"/>
    <col min="512" max="512" width="5.85546875" style="7" customWidth="1"/>
    <col min="513" max="513" width="10.140625" style="7" customWidth="1"/>
    <col min="514" max="514" width="7.140625" style="7" customWidth="1"/>
    <col min="515" max="515" width="9.85546875" style="7" customWidth="1"/>
    <col min="516" max="516" width="5" style="7" customWidth="1"/>
    <col min="517" max="517" width="4.5703125" style="7" customWidth="1"/>
    <col min="518" max="518" width="9" style="7"/>
    <col min="519" max="519" width="15.140625" style="7" customWidth="1"/>
    <col min="520" max="520" width="5.42578125" style="7" customWidth="1"/>
    <col min="521" max="521" width="9" style="7" customWidth="1"/>
    <col min="522" max="522" width="5.140625" style="7" customWidth="1"/>
    <col min="523" max="523" width="10.140625" style="7" bestFit="1" customWidth="1"/>
    <col min="524" max="524" width="9" style="7"/>
    <col min="525" max="525" width="8.5703125" style="7" customWidth="1"/>
    <col min="526" max="526" width="6.5703125" style="7" customWidth="1"/>
    <col min="527" max="763" width="9" style="7"/>
    <col min="764" max="764" width="11.5703125" style="7" customWidth="1"/>
    <col min="765" max="765" width="9" style="7"/>
    <col min="766" max="766" width="1.5703125" style="7" customWidth="1"/>
    <col min="767" max="767" width="11" style="7" customWidth="1"/>
    <col min="768" max="768" width="5.85546875" style="7" customWidth="1"/>
    <col min="769" max="769" width="10.140625" style="7" customWidth="1"/>
    <col min="770" max="770" width="7.140625" style="7" customWidth="1"/>
    <col min="771" max="771" width="9.85546875" style="7" customWidth="1"/>
    <col min="772" max="772" width="5" style="7" customWidth="1"/>
    <col min="773" max="773" width="4.5703125" style="7" customWidth="1"/>
    <col min="774" max="774" width="9" style="7"/>
    <col min="775" max="775" width="15.140625" style="7" customWidth="1"/>
    <col min="776" max="776" width="5.42578125" style="7" customWidth="1"/>
    <col min="777" max="777" width="9" style="7" customWidth="1"/>
    <col min="778" max="778" width="5.140625" style="7" customWidth="1"/>
    <col min="779" max="779" width="10.140625" style="7" bestFit="1" customWidth="1"/>
    <col min="780" max="780" width="9" style="7"/>
    <col min="781" max="781" width="8.5703125" style="7" customWidth="1"/>
    <col min="782" max="782" width="6.5703125" style="7" customWidth="1"/>
    <col min="783" max="1019" width="9" style="7"/>
    <col min="1020" max="1020" width="11.5703125" style="7" customWidth="1"/>
    <col min="1021" max="1021" width="9" style="7"/>
    <col min="1022" max="1022" width="1.5703125" style="7" customWidth="1"/>
    <col min="1023" max="1023" width="11" style="7" customWidth="1"/>
    <col min="1024" max="1024" width="5.85546875" style="7" customWidth="1"/>
    <col min="1025" max="1025" width="10.140625" style="7" customWidth="1"/>
    <col min="1026" max="1026" width="7.140625" style="7" customWidth="1"/>
    <col min="1027" max="1027" width="9.85546875" style="7" customWidth="1"/>
    <col min="1028" max="1028" width="5" style="7" customWidth="1"/>
    <col min="1029" max="1029" width="4.5703125" style="7" customWidth="1"/>
    <col min="1030" max="1030" width="9" style="7"/>
    <col min="1031" max="1031" width="15.140625" style="7" customWidth="1"/>
    <col min="1032" max="1032" width="5.42578125" style="7" customWidth="1"/>
    <col min="1033" max="1033" width="9" style="7" customWidth="1"/>
    <col min="1034" max="1034" width="5.140625" style="7" customWidth="1"/>
    <col min="1035" max="1035" width="10.140625" style="7" bestFit="1" customWidth="1"/>
    <col min="1036" max="1036" width="9" style="7"/>
    <col min="1037" max="1037" width="8.5703125" style="7" customWidth="1"/>
    <col min="1038" max="1038" width="6.5703125" style="7" customWidth="1"/>
    <col min="1039" max="1275" width="9" style="7"/>
    <col min="1276" max="1276" width="11.5703125" style="7" customWidth="1"/>
    <col min="1277" max="1277" width="9" style="7"/>
    <col min="1278" max="1278" width="1.5703125" style="7" customWidth="1"/>
    <col min="1279" max="1279" width="11" style="7" customWidth="1"/>
    <col min="1280" max="1280" width="5.85546875" style="7" customWidth="1"/>
    <col min="1281" max="1281" width="10.140625" style="7" customWidth="1"/>
    <col min="1282" max="1282" width="7.140625" style="7" customWidth="1"/>
    <col min="1283" max="1283" width="9.85546875" style="7" customWidth="1"/>
    <col min="1284" max="1284" width="5" style="7" customWidth="1"/>
    <col min="1285" max="1285" width="4.5703125" style="7" customWidth="1"/>
    <col min="1286" max="1286" width="9" style="7"/>
    <col min="1287" max="1287" width="15.140625" style="7" customWidth="1"/>
    <col min="1288" max="1288" width="5.42578125" style="7" customWidth="1"/>
    <col min="1289" max="1289" width="9" style="7" customWidth="1"/>
    <col min="1290" max="1290" width="5.140625" style="7" customWidth="1"/>
    <col min="1291" max="1291" width="10.140625" style="7" bestFit="1" customWidth="1"/>
    <col min="1292" max="1292" width="9" style="7"/>
    <col min="1293" max="1293" width="8.5703125" style="7" customWidth="1"/>
    <col min="1294" max="1294" width="6.5703125" style="7" customWidth="1"/>
    <col min="1295" max="1531" width="9" style="7"/>
    <col min="1532" max="1532" width="11.5703125" style="7" customWidth="1"/>
    <col min="1533" max="1533" width="9" style="7"/>
    <col min="1534" max="1534" width="1.5703125" style="7" customWidth="1"/>
    <col min="1535" max="1535" width="11" style="7" customWidth="1"/>
    <col min="1536" max="1536" width="5.85546875" style="7" customWidth="1"/>
    <col min="1537" max="1537" width="10.140625" style="7" customWidth="1"/>
    <col min="1538" max="1538" width="7.140625" style="7" customWidth="1"/>
    <col min="1539" max="1539" width="9.85546875" style="7" customWidth="1"/>
    <col min="1540" max="1540" width="5" style="7" customWidth="1"/>
    <col min="1541" max="1541" width="4.5703125" style="7" customWidth="1"/>
    <col min="1542" max="1542" width="9" style="7"/>
    <col min="1543" max="1543" width="15.140625" style="7" customWidth="1"/>
    <col min="1544" max="1544" width="5.42578125" style="7" customWidth="1"/>
    <col min="1545" max="1545" width="9" style="7" customWidth="1"/>
    <col min="1546" max="1546" width="5.140625" style="7" customWidth="1"/>
    <col min="1547" max="1547" width="10.140625" style="7" bestFit="1" customWidth="1"/>
    <col min="1548" max="1548" width="9" style="7"/>
    <col min="1549" max="1549" width="8.5703125" style="7" customWidth="1"/>
    <col min="1550" max="1550" width="6.5703125" style="7" customWidth="1"/>
    <col min="1551" max="1787" width="9" style="7"/>
    <col min="1788" max="1788" width="11.5703125" style="7" customWidth="1"/>
    <col min="1789" max="1789" width="9" style="7"/>
    <col min="1790" max="1790" width="1.5703125" style="7" customWidth="1"/>
    <col min="1791" max="1791" width="11" style="7" customWidth="1"/>
    <col min="1792" max="1792" width="5.85546875" style="7" customWidth="1"/>
    <col min="1793" max="1793" width="10.140625" style="7" customWidth="1"/>
    <col min="1794" max="1794" width="7.140625" style="7" customWidth="1"/>
    <col min="1795" max="1795" width="9.85546875" style="7" customWidth="1"/>
    <col min="1796" max="1796" width="5" style="7" customWidth="1"/>
    <col min="1797" max="1797" width="4.5703125" style="7" customWidth="1"/>
    <col min="1798" max="1798" width="9" style="7"/>
    <col min="1799" max="1799" width="15.140625" style="7" customWidth="1"/>
    <col min="1800" max="1800" width="5.42578125" style="7" customWidth="1"/>
    <col min="1801" max="1801" width="9" style="7" customWidth="1"/>
    <col min="1802" max="1802" width="5.140625" style="7" customWidth="1"/>
    <col min="1803" max="1803" width="10.140625" style="7" bestFit="1" customWidth="1"/>
    <col min="1804" max="1804" width="9" style="7"/>
    <col min="1805" max="1805" width="8.5703125" style="7" customWidth="1"/>
    <col min="1806" max="1806" width="6.5703125" style="7" customWidth="1"/>
    <col min="1807" max="2043" width="9" style="7"/>
    <col min="2044" max="2044" width="11.5703125" style="7" customWidth="1"/>
    <col min="2045" max="2045" width="9" style="7"/>
    <col min="2046" max="2046" width="1.5703125" style="7" customWidth="1"/>
    <col min="2047" max="2047" width="11" style="7" customWidth="1"/>
    <col min="2048" max="2048" width="5.85546875" style="7" customWidth="1"/>
    <col min="2049" max="2049" width="10.140625" style="7" customWidth="1"/>
    <col min="2050" max="2050" width="7.140625" style="7" customWidth="1"/>
    <col min="2051" max="2051" width="9.85546875" style="7" customWidth="1"/>
    <col min="2052" max="2052" width="5" style="7" customWidth="1"/>
    <col min="2053" max="2053" width="4.5703125" style="7" customWidth="1"/>
    <col min="2054" max="2054" width="9" style="7"/>
    <col min="2055" max="2055" width="15.140625" style="7" customWidth="1"/>
    <col min="2056" max="2056" width="5.42578125" style="7" customWidth="1"/>
    <col min="2057" max="2057" width="9" style="7" customWidth="1"/>
    <col min="2058" max="2058" width="5.140625" style="7" customWidth="1"/>
    <col min="2059" max="2059" width="10.140625" style="7" bestFit="1" customWidth="1"/>
    <col min="2060" max="2060" width="9" style="7"/>
    <col min="2061" max="2061" width="8.5703125" style="7" customWidth="1"/>
    <col min="2062" max="2062" width="6.5703125" style="7" customWidth="1"/>
    <col min="2063" max="2299" width="9" style="7"/>
    <col min="2300" max="2300" width="11.5703125" style="7" customWidth="1"/>
    <col min="2301" max="2301" width="9" style="7"/>
    <col min="2302" max="2302" width="1.5703125" style="7" customWidth="1"/>
    <col min="2303" max="2303" width="11" style="7" customWidth="1"/>
    <col min="2304" max="2304" width="5.85546875" style="7" customWidth="1"/>
    <col min="2305" max="2305" width="10.140625" style="7" customWidth="1"/>
    <col min="2306" max="2306" width="7.140625" style="7" customWidth="1"/>
    <col min="2307" max="2307" width="9.85546875" style="7" customWidth="1"/>
    <col min="2308" max="2308" width="5" style="7" customWidth="1"/>
    <col min="2309" max="2309" width="4.5703125" style="7" customWidth="1"/>
    <col min="2310" max="2310" width="9" style="7"/>
    <col min="2311" max="2311" width="15.140625" style="7" customWidth="1"/>
    <col min="2312" max="2312" width="5.42578125" style="7" customWidth="1"/>
    <col min="2313" max="2313" width="9" style="7" customWidth="1"/>
    <col min="2314" max="2314" width="5.140625" style="7" customWidth="1"/>
    <col min="2315" max="2315" width="10.140625" style="7" bestFit="1" customWidth="1"/>
    <col min="2316" max="2316" width="9" style="7"/>
    <col min="2317" max="2317" width="8.5703125" style="7" customWidth="1"/>
    <col min="2318" max="2318" width="6.5703125" style="7" customWidth="1"/>
    <col min="2319" max="2555" width="9" style="7"/>
    <col min="2556" max="2556" width="11.5703125" style="7" customWidth="1"/>
    <col min="2557" max="2557" width="9" style="7"/>
    <col min="2558" max="2558" width="1.5703125" style="7" customWidth="1"/>
    <col min="2559" max="2559" width="11" style="7" customWidth="1"/>
    <col min="2560" max="2560" width="5.85546875" style="7" customWidth="1"/>
    <col min="2561" max="2561" width="10.140625" style="7" customWidth="1"/>
    <col min="2562" max="2562" width="7.140625" style="7" customWidth="1"/>
    <col min="2563" max="2563" width="9.85546875" style="7" customWidth="1"/>
    <col min="2564" max="2564" width="5" style="7" customWidth="1"/>
    <col min="2565" max="2565" width="4.5703125" style="7" customWidth="1"/>
    <col min="2566" max="2566" width="9" style="7"/>
    <col min="2567" max="2567" width="15.140625" style="7" customWidth="1"/>
    <col min="2568" max="2568" width="5.42578125" style="7" customWidth="1"/>
    <col min="2569" max="2569" width="9" style="7" customWidth="1"/>
    <col min="2570" max="2570" width="5.140625" style="7" customWidth="1"/>
    <col min="2571" max="2571" width="10.140625" style="7" bestFit="1" customWidth="1"/>
    <col min="2572" max="2572" width="9" style="7"/>
    <col min="2573" max="2573" width="8.5703125" style="7" customWidth="1"/>
    <col min="2574" max="2574" width="6.5703125" style="7" customWidth="1"/>
    <col min="2575" max="2811" width="9" style="7"/>
    <col min="2812" max="2812" width="11.5703125" style="7" customWidth="1"/>
    <col min="2813" max="2813" width="9" style="7"/>
    <col min="2814" max="2814" width="1.5703125" style="7" customWidth="1"/>
    <col min="2815" max="2815" width="11" style="7" customWidth="1"/>
    <col min="2816" max="2816" width="5.85546875" style="7" customWidth="1"/>
    <col min="2817" max="2817" width="10.140625" style="7" customWidth="1"/>
    <col min="2818" max="2818" width="7.140625" style="7" customWidth="1"/>
    <col min="2819" max="2819" width="9.85546875" style="7" customWidth="1"/>
    <col min="2820" max="2820" width="5" style="7" customWidth="1"/>
    <col min="2821" max="2821" width="4.5703125" style="7" customWidth="1"/>
    <col min="2822" max="2822" width="9" style="7"/>
    <col min="2823" max="2823" width="15.140625" style="7" customWidth="1"/>
    <col min="2824" max="2824" width="5.42578125" style="7" customWidth="1"/>
    <col min="2825" max="2825" width="9" style="7" customWidth="1"/>
    <col min="2826" max="2826" width="5.140625" style="7" customWidth="1"/>
    <col min="2827" max="2827" width="10.140625" style="7" bestFit="1" customWidth="1"/>
    <col min="2828" max="2828" width="9" style="7"/>
    <col min="2829" max="2829" width="8.5703125" style="7" customWidth="1"/>
    <col min="2830" max="2830" width="6.5703125" style="7" customWidth="1"/>
    <col min="2831" max="3067" width="9" style="7"/>
    <col min="3068" max="3068" width="11.5703125" style="7" customWidth="1"/>
    <col min="3069" max="3069" width="9" style="7"/>
    <col min="3070" max="3070" width="1.5703125" style="7" customWidth="1"/>
    <col min="3071" max="3071" width="11" style="7" customWidth="1"/>
    <col min="3072" max="3072" width="5.85546875" style="7" customWidth="1"/>
    <col min="3073" max="3073" width="10.140625" style="7" customWidth="1"/>
    <col min="3074" max="3074" width="7.140625" style="7" customWidth="1"/>
    <col min="3075" max="3075" width="9.85546875" style="7" customWidth="1"/>
    <col min="3076" max="3076" width="5" style="7" customWidth="1"/>
    <col min="3077" max="3077" width="4.5703125" style="7" customWidth="1"/>
    <col min="3078" max="3078" width="9" style="7"/>
    <col min="3079" max="3079" width="15.140625" style="7" customWidth="1"/>
    <col min="3080" max="3080" width="5.42578125" style="7" customWidth="1"/>
    <col min="3081" max="3081" width="9" style="7" customWidth="1"/>
    <col min="3082" max="3082" width="5.140625" style="7" customWidth="1"/>
    <col min="3083" max="3083" width="10.140625" style="7" bestFit="1" customWidth="1"/>
    <col min="3084" max="3084" width="9" style="7"/>
    <col min="3085" max="3085" width="8.5703125" style="7" customWidth="1"/>
    <col min="3086" max="3086" width="6.5703125" style="7" customWidth="1"/>
    <col min="3087" max="3323" width="9" style="7"/>
    <col min="3324" max="3324" width="11.5703125" style="7" customWidth="1"/>
    <col min="3325" max="3325" width="9" style="7"/>
    <col min="3326" max="3326" width="1.5703125" style="7" customWidth="1"/>
    <col min="3327" max="3327" width="11" style="7" customWidth="1"/>
    <col min="3328" max="3328" width="5.85546875" style="7" customWidth="1"/>
    <col min="3329" max="3329" width="10.140625" style="7" customWidth="1"/>
    <col min="3330" max="3330" width="7.140625" style="7" customWidth="1"/>
    <col min="3331" max="3331" width="9.85546875" style="7" customWidth="1"/>
    <col min="3332" max="3332" width="5" style="7" customWidth="1"/>
    <col min="3333" max="3333" width="4.5703125" style="7" customWidth="1"/>
    <col min="3334" max="3334" width="9" style="7"/>
    <col min="3335" max="3335" width="15.140625" style="7" customWidth="1"/>
    <col min="3336" max="3336" width="5.42578125" style="7" customWidth="1"/>
    <col min="3337" max="3337" width="9" style="7" customWidth="1"/>
    <col min="3338" max="3338" width="5.140625" style="7" customWidth="1"/>
    <col min="3339" max="3339" width="10.140625" style="7" bestFit="1" customWidth="1"/>
    <col min="3340" max="3340" width="9" style="7"/>
    <col min="3341" max="3341" width="8.5703125" style="7" customWidth="1"/>
    <col min="3342" max="3342" width="6.5703125" style="7" customWidth="1"/>
    <col min="3343" max="3579" width="9" style="7"/>
    <col min="3580" max="3580" width="11.5703125" style="7" customWidth="1"/>
    <col min="3581" max="3581" width="9" style="7"/>
    <col min="3582" max="3582" width="1.5703125" style="7" customWidth="1"/>
    <col min="3583" max="3583" width="11" style="7" customWidth="1"/>
    <col min="3584" max="3584" width="5.85546875" style="7" customWidth="1"/>
    <col min="3585" max="3585" width="10.140625" style="7" customWidth="1"/>
    <col min="3586" max="3586" width="7.140625" style="7" customWidth="1"/>
    <col min="3587" max="3587" width="9.85546875" style="7" customWidth="1"/>
    <col min="3588" max="3588" width="5" style="7" customWidth="1"/>
    <col min="3589" max="3589" width="4.5703125" style="7" customWidth="1"/>
    <col min="3590" max="3590" width="9" style="7"/>
    <col min="3591" max="3591" width="15.140625" style="7" customWidth="1"/>
    <col min="3592" max="3592" width="5.42578125" style="7" customWidth="1"/>
    <col min="3593" max="3593" width="9" style="7" customWidth="1"/>
    <col min="3594" max="3594" width="5.140625" style="7" customWidth="1"/>
    <col min="3595" max="3595" width="10.140625" style="7" bestFit="1" customWidth="1"/>
    <col min="3596" max="3596" width="9" style="7"/>
    <col min="3597" max="3597" width="8.5703125" style="7" customWidth="1"/>
    <col min="3598" max="3598" width="6.5703125" style="7" customWidth="1"/>
    <col min="3599" max="3835" width="9" style="7"/>
    <col min="3836" max="3836" width="11.5703125" style="7" customWidth="1"/>
    <col min="3837" max="3837" width="9" style="7"/>
    <col min="3838" max="3838" width="1.5703125" style="7" customWidth="1"/>
    <col min="3839" max="3839" width="11" style="7" customWidth="1"/>
    <col min="3840" max="3840" width="5.85546875" style="7" customWidth="1"/>
    <col min="3841" max="3841" width="10.140625" style="7" customWidth="1"/>
    <col min="3842" max="3842" width="7.140625" style="7" customWidth="1"/>
    <col min="3843" max="3843" width="9.85546875" style="7" customWidth="1"/>
    <col min="3844" max="3844" width="5" style="7" customWidth="1"/>
    <col min="3845" max="3845" width="4.5703125" style="7" customWidth="1"/>
    <col min="3846" max="3846" width="9" style="7"/>
    <col min="3847" max="3847" width="15.140625" style="7" customWidth="1"/>
    <col min="3848" max="3848" width="5.42578125" style="7" customWidth="1"/>
    <col min="3849" max="3849" width="9" style="7" customWidth="1"/>
    <col min="3850" max="3850" width="5.140625" style="7" customWidth="1"/>
    <col min="3851" max="3851" width="10.140625" style="7" bestFit="1" customWidth="1"/>
    <col min="3852" max="3852" width="9" style="7"/>
    <col min="3853" max="3853" width="8.5703125" style="7" customWidth="1"/>
    <col min="3854" max="3854" width="6.5703125" style="7" customWidth="1"/>
    <col min="3855" max="4091" width="9" style="7"/>
    <col min="4092" max="4092" width="11.5703125" style="7" customWidth="1"/>
    <col min="4093" max="4093" width="9" style="7"/>
    <col min="4094" max="4094" width="1.5703125" style="7" customWidth="1"/>
    <col min="4095" max="4095" width="11" style="7" customWidth="1"/>
    <col min="4096" max="4096" width="5.85546875" style="7" customWidth="1"/>
    <col min="4097" max="4097" width="10.140625" style="7" customWidth="1"/>
    <col min="4098" max="4098" width="7.140625" style="7" customWidth="1"/>
    <col min="4099" max="4099" width="9.85546875" style="7" customWidth="1"/>
    <col min="4100" max="4100" width="5" style="7" customWidth="1"/>
    <col min="4101" max="4101" width="4.5703125" style="7" customWidth="1"/>
    <col min="4102" max="4102" width="9" style="7"/>
    <col min="4103" max="4103" width="15.140625" style="7" customWidth="1"/>
    <col min="4104" max="4104" width="5.42578125" style="7" customWidth="1"/>
    <col min="4105" max="4105" width="9" style="7" customWidth="1"/>
    <col min="4106" max="4106" width="5.140625" style="7" customWidth="1"/>
    <col min="4107" max="4107" width="10.140625" style="7" bestFit="1" customWidth="1"/>
    <col min="4108" max="4108" width="9" style="7"/>
    <col min="4109" max="4109" width="8.5703125" style="7" customWidth="1"/>
    <col min="4110" max="4110" width="6.5703125" style="7" customWidth="1"/>
    <col min="4111" max="4347" width="9" style="7"/>
    <col min="4348" max="4348" width="11.5703125" style="7" customWidth="1"/>
    <col min="4349" max="4349" width="9" style="7"/>
    <col min="4350" max="4350" width="1.5703125" style="7" customWidth="1"/>
    <col min="4351" max="4351" width="11" style="7" customWidth="1"/>
    <col min="4352" max="4352" width="5.85546875" style="7" customWidth="1"/>
    <col min="4353" max="4353" width="10.140625" style="7" customWidth="1"/>
    <col min="4354" max="4354" width="7.140625" style="7" customWidth="1"/>
    <col min="4355" max="4355" width="9.85546875" style="7" customWidth="1"/>
    <col min="4356" max="4356" width="5" style="7" customWidth="1"/>
    <col min="4357" max="4357" width="4.5703125" style="7" customWidth="1"/>
    <col min="4358" max="4358" width="9" style="7"/>
    <col min="4359" max="4359" width="15.140625" style="7" customWidth="1"/>
    <col min="4360" max="4360" width="5.42578125" style="7" customWidth="1"/>
    <col min="4361" max="4361" width="9" style="7" customWidth="1"/>
    <col min="4362" max="4362" width="5.140625" style="7" customWidth="1"/>
    <col min="4363" max="4363" width="10.140625" style="7" bestFit="1" customWidth="1"/>
    <col min="4364" max="4364" width="9" style="7"/>
    <col min="4365" max="4365" width="8.5703125" style="7" customWidth="1"/>
    <col min="4366" max="4366" width="6.5703125" style="7" customWidth="1"/>
    <col min="4367" max="4603" width="9" style="7"/>
    <col min="4604" max="4604" width="11.5703125" style="7" customWidth="1"/>
    <col min="4605" max="4605" width="9" style="7"/>
    <col min="4606" max="4606" width="1.5703125" style="7" customWidth="1"/>
    <col min="4607" max="4607" width="11" style="7" customWidth="1"/>
    <col min="4608" max="4608" width="5.85546875" style="7" customWidth="1"/>
    <col min="4609" max="4609" width="10.140625" style="7" customWidth="1"/>
    <col min="4610" max="4610" width="7.140625" style="7" customWidth="1"/>
    <col min="4611" max="4611" width="9.85546875" style="7" customWidth="1"/>
    <col min="4612" max="4612" width="5" style="7" customWidth="1"/>
    <col min="4613" max="4613" width="4.5703125" style="7" customWidth="1"/>
    <col min="4614" max="4614" width="9" style="7"/>
    <col min="4615" max="4615" width="15.140625" style="7" customWidth="1"/>
    <col min="4616" max="4616" width="5.42578125" style="7" customWidth="1"/>
    <col min="4617" max="4617" width="9" style="7" customWidth="1"/>
    <col min="4618" max="4618" width="5.140625" style="7" customWidth="1"/>
    <col min="4619" max="4619" width="10.140625" style="7" bestFit="1" customWidth="1"/>
    <col min="4620" max="4620" width="9" style="7"/>
    <col min="4621" max="4621" width="8.5703125" style="7" customWidth="1"/>
    <col min="4622" max="4622" width="6.5703125" style="7" customWidth="1"/>
    <col min="4623" max="4859" width="9" style="7"/>
    <col min="4860" max="4860" width="11.5703125" style="7" customWidth="1"/>
    <col min="4861" max="4861" width="9" style="7"/>
    <col min="4862" max="4862" width="1.5703125" style="7" customWidth="1"/>
    <col min="4863" max="4863" width="11" style="7" customWidth="1"/>
    <col min="4864" max="4864" width="5.85546875" style="7" customWidth="1"/>
    <col min="4865" max="4865" width="10.140625" style="7" customWidth="1"/>
    <col min="4866" max="4866" width="7.140625" style="7" customWidth="1"/>
    <col min="4867" max="4867" width="9.85546875" style="7" customWidth="1"/>
    <col min="4868" max="4868" width="5" style="7" customWidth="1"/>
    <col min="4869" max="4869" width="4.5703125" style="7" customWidth="1"/>
    <col min="4870" max="4870" width="9" style="7"/>
    <col min="4871" max="4871" width="15.140625" style="7" customWidth="1"/>
    <col min="4872" max="4872" width="5.42578125" style="7" customWidth="1"/>
    <col min="4873" max="4873" width="9" style="7" customWidth="1"/>
    <col min="4874" max="4874" width="5.140625" style="7" customWidth="1"/>
    <col min="4875" max="4875" width="10.140625" style="7" bestFit="1" customWidth="1"/>
    <col min="4876" max="4876" width="9" style="7"/>
    <col min="4877" max="4877" width="8.5703125" style="7" customWidth="1"/>
    <col min="4878" max="4878" width="6.5703125" style="7" customWidth="1"/>
    <col min="4879" max="5115" width="9" style="7"/>
    <col min="5116" max="5116" width="11.5703125" style="7" customWidth="1"/>
    <col min="5117" max="5117" width="9" style="7"/>
    <col min="5118" max="5118" width="1.5703125" style="7" customWidth="1"/>
    <col min="5119" max="5119" width="11" style="7" customWidth="1"/>
    <col min="5120" max="5120" width="5.85546875" style="7" customWidth="1"/>
    <col min="5121" max="5121" width="10.140625" style="7" customWidth="1"/>
    <col min="5122" max="5122" width="7.140625" style="7" customWidth="1"/>
    <col min="5123" max="5123" width="9.85546875" style="7" customWidth="1"/>
    <col min="5124" max="5124" width="5" style="7" customWidth="1"/>
    <col min="5125" max="5125" width="4.5703125" style="7" customWidth="1"/>
    <col min="5126" max="5126" width="9" style="7"/>
    <col min="5127" max="5127" width="15.140625" style="7" customWidth="1"/>
    <col min="5128" max="5128" width="5.42578125" style="7" customWidth="1"/>
    <col min="5129" max="5129" width="9" style="7" customWidth="1"/>
    <col min="5130" max="5130" width="5.140625" style="7" customWidth="1"/>
    <col min="5131" max="5131" width="10.140625" style="7" bestFit="1" customWidth="1"/>
    <col min="5132" max="5132" width="9" style="7"/>
    <col min="5133" max="5133" width="8.5703125" style="7" customWidth="1"/>
    <col min="5134" max="5134" width="6.5703125" style="7" customWidth="1"/>
    <col min="5135" max="5371" width="9" style="7"/>
    <col min="5372" max="5372" width="11.5703125" style="7" customWidth="1"/>
    <col min="5373" max="5373" width="9" style="7"/>
    <col min="5374" max="5374" width="1.5703125" style="7" customWidth="1"/>
    <col min="5375" max="5375" width="11" style="7" customWidth="1"/>
    <col min="5376" max="5376" width="5.85546875" style="7" customWidth="1"/>
    <col min="5377" max="5377" width="10.140625" style="7" customWidth="1"/>
    <col min="5378" max="5378" width="7.140625" style="7" customWidth="1"/>
    <col min="5379" max="5379" width="9.85546875" style="7" customWidth="1"/>
    <col min="5380" max="5380" width="5" style="7" customWidth="1"/>
    <col min="5381" max="5381" width="4.5703125" style="7" customWidth="1"/>
    <col min="5382" max="5382" width="9" style="7"/>
    <col min="5383" max="5383" width="15.140625" style="7" customWidth="1"/>
    <col min="5384" max="5384" width="5.42578125" style="7" customWidth="1"/>
    <col min="5385" max="5385" width="9" style="7" customWidth="1"/>
    <col min="5386" max="5386" width="5.140625" style="7" customWidth="1"/>
    <col min="5387" max="5387" width="10.140625" style="7" bestFit="1" customWidth="1"/>
    <col min="5388" max="5388" width="9" style="7"/>
    <col min="5389" max="5389" width="8.5703125" style="7" customWidth="1"/>
    <col min="5390" max="5390" width="6.5703125" style="7" customWidth="1"/>
    <col min="5391" max="5627" width="9" style="7"/>
    <col min="5628" max="5628" width="11.5703125" style="7" customWidth="1"/>
    <col min="5629" max="5629" width="9" style="7"/>
    <col min="5630" max="5630" width="1.5703125" style="7" customWidth="1"/>
    <col min="5631" max="5631" width="11" style="7" customWidth="1"/>
    <col min="5632" max="5632" width="5.85546875" style="7" customWidth="1"/>
    <col min="5633" max="5633" width="10.140625" style="7" customWidth="1"/>
    <col min="5634" max="5634" width="7.140625" style="7" customWidth="1"/>
    <col min="5635" max="5635" width="9.85546875" style="7" customWidth="1"/>
    <col min="5636" max="5636" width="5" style="7" customWidth="1"/>
    <col min="5637" max="5637" width="4.5703125" style="7" customWidth="1"/>
    <col min="5638" max="5638" width="9" style="7"/>
    <col min="5639" max="5639" width="15.140625" style="7" customWidth="1"/>
    <col min="5640" max="5640" width="5.42578125" style="7" customWidth="1"/>
    <col min="5641" max="5641" width="9" style="7" customWidth="1"/>
    <col min="5642" max="5642" width="5.140625" style="7" customWidth="1"/>
    <col min="5643" max="5643" width="10.140625" style="7" bestFit="1" customWidth="1"/>
    <col min="5644" max="5644" width="9" style="7"/>
    <col min="5645" max="5645" width="8.5703125" style="7" customWidth="1"/>
    <col min="5646" max="5646" width="6.5703125" style="7" customWidth="1"/>
    <col min="5647" max="5883" width="9" style="7"/>
    <col min="5884" max="5884" width="11.5703125" style="7" customWidth="1"/>
    <col min="5885" max="5885" width="9" style="7"/>
    <col min="5886" max="5886" width="1.5703125" style="7" customWidth="1"/>
    <col min="5887" max="5887" width="11" style="7" customWidth="1"/>
    <col min="5888" max="5888" width="5.85546875" style="7" customWidth="1"/>
    <col min="5889" max="5889" width="10.140625" style="7" customWidth="1"/>
    <col min="5890" max="5890" width="7.140625" style="7" customWidth="1"/>
    <col min="5891" max="5891" width="9.85546875" style="7" customWidth="1"/>
    <col min="5892" max="5892" width="5" style="7" customWidth="1"/>
    <col min="5893" max="5893" width="4.5703125" style="7" customWidth="1"/>
    <col min="5894" max="5894" width="9" style="7"/>
    <col min="5895" max="5895" width="15.140625" style="7" customWidth="1"/>
    <col min="5896" max="5896" width="5.42578125" style="7" customWidth="1"/>
    <col min="5897" max="5897" width="9" style="7" customWidth="1"/>
    <col min="5898" max="5898" width="5.140625" style="7" customWidth="1"/>
    <col min="5899" max="5899" width="10.140625" style="7" bestFit="1" customWidth="1"/>
    <col min="5900" max="5900" width="9" style="7"/>
    <col min="5901" max="5901" width="8.5703125" style="7" customWidth="1"/>
    <col min="5902" max="5902" width="6.5703125" style="7" customWidth="1"/>
    <col min="5903" max="6139" width="9" style="7"/>
    <col min="6140" max="6140" width="11.5703125" style="7" customWidth="1"/>
    <col min="6141" max="6141" width="9" style="7"/>
    <col min="6142" max="6142" width="1.5703125" style="7" customWidth="1"/>
    <col min="6143" max="6143" width="11" style="7" customWidth="1"/>
    <col min="6144" max="6144" width="5.85546875" style="7" customWidth="1"/>
    <col min="6145" max="6145" width="10.140625" style="7" customWidth="1"/>
    <col min="6146" max="6146" width="7.140625" style="7" customWidth="1"/>
    <col min="6147" max="6147" width="9.85546875" style="7" customWidth="1"/>
    <col min="6148" max="6148" width="5" style="7" customWidth="1"/>
    <col min="6149" max="6149" width="4.5703125" style="7" customWidth="1"/>
    <col min="6150" max="6150" width="9" style="7"/>
    <col min="6151" max="6151" width="15.140625" style="7" customWidth="1"/>
    <col min="6152" max="6152" width="5.42578125" style="7" customWidth="1"/>
    <col min="6153" max="6153" width="9" style="7" customWidth="1"/>
    <col min="6154" max="6154" width="5.140625" style="7" customWidth="1"/>
    <col min="6155" max="6155" width="10.140625" style="7" bestFit="1" customWidth="1"/>
    <col min="6156" max="6156" width="9" style="7"/>
    <col min="6157" max="6157" width="8.5703125" style="7" customWidth="1"/>
    <col min="6158" max="6158" width="6.5703125" style="7" customWidth="1"/>
    <col min="6159" max="6395" width="9" style="7"/>
    <col min="6396" max="6396" width="11.5703125" style="7" customWidth="1"/>
    <col min="6397" max="6397" width="9" style="7"/>
    <col min="6398" max="6398" width="1.5703125" style="7" customWidth="1"/>
    <col min="6399" max="6399" width="11" style="7" customWidth="1"/>
    <col min="6400" max="6400" width="5.85546875" style="7" customWidth="1"/>
    <col min="6401" max="6401" width="10.140625" style="7" customWidth="1"/>
    <col min="6402" max="6402" width="7.140625" style="7" customWidth="1"/>
    <col min="6403" max="6403" width="9.85546875" style="7" customWidth="1"/>
    <col min="6404" max="6404" width="5" style="7" customWidth="1"/>
    <col min="6405" max="6405" width="4.5703125" style="7" customWidth="1"/>
    <col min="6406" max="6406" width="9" style="7"/>
    <col min="6407" max="6407" width="15.140625" style="7" customWidth="1"/>
    <col min="6408" max="6408" width="5.42578125" style="7" customWidth="1"/>
    <col min="6409" max="6409" width="9" style="7" customWidth="1"/>
    <col min="6410" max="6410" width="5.140625" style="7" customWidth="1"/>
    <col min="6411" max="6411" width="10.140625" style="7" bestFit="1" customWidth="1"/>
    <col min="6412" max="6412" width="9" style="7"/>
    <col min="6413" max="6413" width="8.5703125" style="7" customWidth="1"/>
    <col min="6414" max="6414" width="6.5703125" style="7" customWidth="1"/>
    <col min="6415" max="6651" width="9" style="7"/>
    <col min="6652" max="6652" width="11.5703125" style="7" customWidth="1"/>
    <col min="6653" max="6653" width="9" style="7"/>
    <col min="6654" max="6654" width="1.5703125" style="7" customWidth="1"/>
    <col min="6655" max="6655" width="11" style="7" customWidth="1"/>
    <col min="6656" max="6656" width="5.85546875" style="7" customWidth="1"/>
    <col min="6657" max="6657" width="10.140625" style="7" customWidth="1"/>
    <col min="6658" max="6658" width="7.140625" style="7" customWidth="1"/>
    <col min="6659" max="6659" width="9.85546875" style="7" customWidth="1"/>
    <col min="6660" max="6660" width="5" style="7" customWidth="1"/>
    <col min="6661" max="6661" width="4.5703125" style="7" customWidth="1"/>
    <col min="6662" max="6662" width="9" style="7"/>
    <col min="6663" max="6663" width="15.140625" style="7" customWidth="1"/>
    <col min="6664" max="6664" width="5.42578125" style="7" customWidth="1"/>
    <col min="6665" max="6665" width="9" style="7" customWidth="1"/>
    <col min="6666" max="6666" width="5.140625" style="7" customWidth="1"/>
    <col min="6667" max="6667" width="10.140625" style="7" bestFit="1" customWidth="1"/>
    <col min="6668" max="6668" width="9" style="7"/>
    <col min="6669" max="6669" width="8.5703125" style="7" customWidth="1"/>
    <col min="6670" max="6670" width="6.5703125" style="7" customWidth="1"/>
    <col min="6671" max="6907" width="9" style="7"/>
    <col min="6908" max="6908" width="11.5703125" style="7" customWidth="1"/>
    <col min="6909" max="6909" width="9" style="7"/>
    <col min="6910" max="6910" width="1.5703125" style="7" customWidth="1"/>
    <col min="6911" max="6911" width="11" style="7" customWidth="1"/>
    <col min="6912" max="6912" width="5.85546875" style="7" customWidth="1"/>
    <col min="6913" max="6913" width="10.140625" style="7" customWidth="1"/>
    <col min="6914" max="6914" width="7.140625" style="7" customWidth="1"/>
    <col min="6915" max="6915" width="9.85546875" style="7" customWidth="1"/>
    <col min="6916" max="6916" width="5" style="7" customWidth="1"/>
    <col min="6917" max="6917" width="4.5703125" style="7" customWidth="1"/>
    <col min="6918" max="6918" width="9" style="7"/>
    <col min="6919" max="6919" width="15.140625" style="7" customWidth="1"/>
    <col min="6920" max="6920" width="5.42578125" style="7" customWidth="1"/>
    <col min="6921" max="6921" width="9" style="7" customWidth="1"/>
    <col min="6922" max="6922" width="5.140625" style="7" customWidth="1"/>
    <col min="6923" max="6923" width="10.140625" style="7" bestFit="1" customWidth="1"/>
    <col min="6924" max="6924" width="9" style="7"/>
    <col min="6925" max="6925" width="8.5703125" style="7" customWidth="1"/>
    <col min="6926" max="6926" width="6.5703125" style="7" customWidth="1"/>
    <col min="6927" max="7163" width="9" style="7"/>
    <col min="7164" max="7164" width="11.5703125" style="7" customWidth="1"/>
    <col min="7165" max="7165" width="9" style="7"/>
    <col min="7166" max="7166" width="1.5703125" style="7" customWidth="1"/>
    <col min="7167" max="7167" width="11" style="7" customWidth="1"/>
    <col min="7168" max="7168" width="5.85546875" style="7" customWidth="1"/>
    <col min="7169" max="7169" width="10.140625" style="7" customWidth="1"/>
    <col min="7170" max="7170" width="7.140625" style="7" customWidth="1"/>
    <col min="7171" max="7171" width="9.85546875" style="7" customWidth="1"/>
    <col min="7172" max="7172" width="5" style="7" customWidth="1"/>
    <col min="7173" max="7173" width="4.5703125" style="7" customWidth="1"/>
    <col min="7174" max="7174" width="9" style="7"/>
    <col min="7175" max="7175" width="15.140625" style="7" customWidth="1"/>
    <col min="7176" max="7176" width="5.42578125" style="7" customWidth="1"/>
    <col min="7177" max="7177" width="9" style="7" customWidth="1"/>
    <col min="7178" max="7178" width="5.140625" style="7" customWidth="1"/>
    <col min="7179" max="7179" width="10.140625" style="7" bestFit="1" customWidth="1"/>
    <col min="7180" max="7180" width="9" style="7"/>
    <col min="7181" max="7181" width="8.5703125" style="7" customWidth="1"/>
    <col min="7182" max="7182" width="6.5703125" style="7" customWidth="1"/>
    <col min="7183" max="7419" width="9" style="7"/>
    <col min="7420" max="7420" width="11.5703125" style="7" customWidth="1"/>
    <col min="7421" max="7421" width="9" style="7"/>
    <col min="7422" max="7422" width="1.5703125" style="7" customWidth="1"/>
    <col min="7423" max="7423" width="11" style="7" customWidth="1"/>
    <col min="7424" max="7424" width="5.85546875" style="7" customWidth="1"/>
    <col min="7425" max="7425" width="10.140625" style="7" customWidth="1"/>
    <col min="7426" max="7426" width="7.140625" style="7" customWidth="1"/>
    <col min="7427" max="7427" width="9.85546875" style="7" customWidth="1"/>
    <col min="7428" max="7428" width="5" style="7" customWidth="1"/>
    <col min="7429" max="7429" width="4.5703125" style="7" customWidth="1"/>
    <col min="7430" max="7430" width="9" style="7"/>
    <col min="7431" max="7431" width="15.140625" style="7" customWidth="1"/>
    <col min="7432" max="7432" width="5.42578125" style="7" customWidth="1"/>
    <col min="7433" max="7433" width="9" style="7" customWidth="1"/>
    <col min="7434" max="7434" width="5.140625" style="7" customWidth="1"/>
    <col min="7435" max="7435" width="10.140625" style="7" bestFit="1" customWidth="1"/>
    <col min="7436" max="7436" width="9" style="7"/>
    <col min="7437" max="7437" width="8.5703125" style="7" customWidth="1"/>
    <col min="7438" max="7438" width="6.5703125" style="7" customWidth="1"/>
    <col min="7439" max="7675" width="9" style="7"/>
    <col min="7676" max="7676" width="11.5703125" style="7" customWidth="1"/>
    <col min="7677" max="7677" width="9" style="7"/>
    <col min="7678" max="7678" width="1.5703125" style="7" customWidth="1"/>
    <col min="7679" max="7679" width="11" style="7" customWidth="1"/>
    <col min="7680" max="7680" width="5.85546875" style="7" customWidth="1"/>
    <col min="7681" max="7681" width="10.140625" style="7" customWidth="1"/>
    <col min="7682" max="7682" width="7.140625" style="7" customWidth="1"/>
    <col min="7683" max="7683" width="9.85546875" style="7" customWidth="1"/>
    <col min="7684" max="7684" width="5" style="7" customWidth="1"/>
    <col min="7685" max="7685" width="4.5703125" style="7" customWidth="1"/>
    <col min="7686" max="7686" width="9" style="7"/>
    <col min="7687" max="7687" width="15.140625" style="7" customWidth="1"/>
    <col min="7688" max="7688" width="5.42578125" style="7" customWidth="1"/>
    <col min="7689" max="7689" width="9" style="7" customWidth="1"/>
    <col min="7690" max="7690" width="5.140625" style="7" customWidth="1"/>
    <col min="7691" max="7691" width="10.140625" style="7" bestFit="1" customWidth="1"/>
    <col min="7692" max="7692" width="9" style="7"/>
    <col min="7693" max="7693" width="8.5703125" style="7" customWidth="1"/>
    <col min="7694" max="7694" width="6.5703125" style="7" customWidth="1"/>
    <col min="7695" max="7931" width="9" style="7"/>
    <col min="7932" max="7932" width="11.5703125" style="7" customWidth="1"/>
    <col min="7933" max="7933" width="9" style="7"/>
    <col min="7934" max="7934" width="1.5703125" style="7" customWidth="1"/>
    <col min="7935" max="7935" width="11" style="7" customWidth="1"/>
    <col min="7936" max="7936" width="5.85546875" style="7" customWidth="1"/>
    <col min="7937" max="7937" width="10.140625" style="7" customWidth="1"/>
    <col min="7938" max="7938" width="7.140625" style="7" customWidth="1"/>
    <col min="7939" max="7939" width="9.85546875" style="7" customWidth="1"/>
    <col min="7940" max="7940" width="5" style="7" customWidth="1"/>
    <col min="7941" max="7941" width="4.5703125" style="7" customWidth="1"/>
    <col min="7942" max="7942" width="9" style="7"/>
    <col min="7943" max="7943" width="15.140625" style="7" customWidth="1"/>
    <col min="7944" max="7944" width="5.42578125" style="7" customWidth="1"/>
    <col min="7945" max="7945" width="9" style="7" customWidth="1"/>
    <col min="7946" max="7946" width="5.140625" style="7" customWidth="1"/>
    <col min="7947" max="7947" width="10.140625" style="7" bestFit="1" customWidth="1"/>
    <col min="7948" max="7948" width="9" style="7"/>
    <col min="7949" max="7949" width="8.5703125" style="7" customWidth="1"/>
    <col min="7950" max="7950" width="6.5703125" style="7" customWidth="1"/>
    <col min="7951" max="8187" width="9" style="7"/>
    <col min="8188" max="8188" width="11.5703125" style="7" customWidth="1"/>
    <col min="8189" max="8189" width="9" style="7"/>
    <col min="8190" max="8190" width="1.5703125" style="7" customWidth="1"/>
    <col min="8191" max="8191" width="11" style="7" customWidth="1"/>
    <col min="8192" max="8192" width="5.85546875" style="7" customWidth="1"/>
    <col min="8193" max="8193" width="10.140625" style="7" customWidth="1"/>
    <col min="8194" max="8194" width="7.140625" style="7" customWidth="1"/>
    <col min="8195" max="8195" width="9.85546875" style="7" customWidth="1"/>
    <col min="8196" max="8196" width="5" style="7" customWidth="1"/>
    <col min="8197" max="8197" width="4.5703125" style="7" customWidth="1"/>
    <col min="8198" max="8198" width="9" style="7"/>
    <col min="8199" max="8199" width="15.140625" style="7" customWidth="1"/>
    <col min="8200" max="8200" width="5.42578125" style="7" customWidth="1"/>
    <col min="8201" max="8201" width="9" style="7" customWidth="1"/>
    <col min="8202" max="8202" width="5.140625" style="7" customWidth="1"/>
    <col min="8203" max="8203" width="10.140625" style="7" bestFit="1" customWidth="1"/>
    <col min="8204" max="8204" width="9" style="7"/>
    <col min="8205" max="8205" width="8.5703125" style="7" customWidth="1"/>
    <col min="8206" max="8206" width="6.5703125" style="7" customWidth="1"/>
    <col min="8207" max="8443" width="9" style="7"/>
    <col min="8444" max="8444" width="11.5703125" style="7" customWidth="1"/>
    <col min="8445" max="8445" width="9" style="7"/>
    <col min="8446" max="8446" width="1.5703125" style="7" customWidth="1"/>
    <col min="8447" max="8447" width="11" style="7" customWidth="1"/>
    <col min="8448" max="8448" width="5.85546875" style="7" customWidth="1"/>
    <col min="8449" max="8449" width="10.140625" style="7" customWidth="1"/>
    <col min="8450" max="8450" width="7.140625" style="7" customWidth="1"/>
    <col min="8451" max="8451" width="9.85546875" style="7" customWidth="1"/>
    <col min="8452" max="8452" width="5" style="7" customWidth="1"/>
    <col min="8453" max="8453" width="4.5703125" style="7" customWidth="1"/>
    <col min="8454" max="8454" width="9" style="7"/>
    <col min="8455" max="8455" width="15.140625" style="7" customWidth="1"/>
    <col min="8456" max="8456" width="5.42578125" style="7" customWidth="1"/>
    <col min="8457" max="8457" width="9" style="7" customWidth="1"/>
    <col min="8458" max="8458" width="5.140625" style="7" customWidth="1"/>
    <col min="8459" max="8459" width="10.140625" style="7" bestFit="1" customWidth="1"/>
    <col min="8460" max="8460" width="9" style="7"/>
    <col min="8461" max="8461" width="8.5703125" style="7" customWidth="1"/>
    <col min="8462" max="8462" width="6.5703125" style="7" customWidth="1"/>
    <col min="8463" max="8699" width="9" style="7"/>
    <col min="8700" max="8700" width="11.5703125" style="7" customWidth="1"/>
    <col min="8701" max="8701" width="9" style="7"/>
    <col min="8702" max="8702" width="1.5703125" style="7" customWidth="1"/>
    <col min="8703" max="8703" width="11" style="7" customWidth="1"/>
    <col min="8704" max="8704" width="5.85546875" style="7" customWidth="1"/>
    <col min="8705" max="8705" width="10.140625" style="7" customWidth="1"/>
    <col min="8706" max="8706" width="7.140625" style="7" customWidth="1"/>
    <col min="8707" max="8707" width="9.85546875" style="7" customWidth="1"/>
    <col min="8708" max="8708" width="5" style="7" customWidth="1"/>
    <col min="8709" max="8709" width="4.5703125" style="7" customWidth="1"/>
    <col min="8710" max="8710" width="9" style="7"/>
    <col min="8711" max="8711" width="15.140625" style="7" customWidth="1"/>
    <col min="8712" max="8712" width="5.42578125" style="7" customWidth="1"/>
    <col min="8713" max="8713" width="9" style="7" customWidth="1"/>
    <col min="8714" max="8714" width="5.140625" style="7" customWidth="1"/>
    <col min="8715" max="8715" width="10.140625" style="7" bestFit="1" customWidth="1"/>
    <col min="8716" max="8716" width="9" style="7"/>
    <col min="8717" max="8717" width="8.5703125" style="7" customWidth="1"/>
    <col min="8718" max="8718" width="6.5703125" style="7" customWidth="1"/>
    <col min="8719" max="8955" width="9" style="7"/>
    <col min="8956" max="8956" width="11.5703125" style="7" customWidth="1"/>
    <col min="8957" max="8957" width="9" style="7"/>
    <col min="8958" max="8958" width="1.5703125" style="7" customWidth="1"/>
    <col min="8959" max="8959" width="11" style="7" customWidth="1"/>
    <col min="8960" max="8960" width="5.85546875" style="7" customWidth="1"/>
    <col min="8961" max="8961" width="10.140625" style="7" customWidth="1"/>
    <col min="8962" max="8962" width="7.140625" style="7" customWidth="1"/>
    <col min="8963" max="8963" width="9.85546875" style="7" customWidth="1"/>
    <col min="8964" max="8964" width="5" style="7" customWidth="1"/>
    <col min="8965" max="8965" width="4.5703125" style="7" customWidth="1"/>
    <col min="8966" max="8966" width="9" style="7"/>
    <col min="8967" max="8967" width="15.140625" style="7" customWidth="1"/>
    <col min="8968" max="8968" width="5.42578125" style="7" customWidth="1"/>
    <col min="8969" max="8969" width="9" style="7" customWidth="1"/>
    <col min="8970" max="8970" width="5.140625" style="7" customWidth="1"/>
    <col min="8971" max="8971" width="10.140625" style="7" bestFit="1" customWidth="1"/>
    <col min="8972" max="8972" width="9" style="7"/>
    <col min="8973" max="8973" width="8.5703125" style="7" customWidth="1"/>
    <col min="8974" max="8974" width="6.5703125" style="7" customWidth="1"/>
    <col min="8975" max="9211" width="9" style="7"/>
    <col min="9212" max="9212" width="11.5703125" style="7" customWidth="1"/>
    <col min="9213" max="9213" width="9" style="7"/>
    <col min="9214" max="9214" width="1.5703125" style="7" customWidth="1"/>
    <col min="9215" max="9215" width="11" style="7" customWidth="1"/>
    <col min="9216" max="9216" width="5.85546875" style="7" customWidth="1"/>
    <col min="9217" max="9217" width="10.140625" style="7" customWidth="1"/>
    <col min="9218" max="9218" width="7.140625" style="7" customWidth="1"/>
    <col min="9219" max="9219" width="9.85546875" style="7" customWidth="1"/>
    <col min="9220" max="9220" width="5" style="7" customWidth="1"/>
    <col min="9221" max="9221" width="4.5703125" style="7" customWidth="1"/>
    <col min="9222" max="9222" width="9" style="7"/>
    <col min="9223" max="9223" width="15.140625" style="7" customWidth="1"/>
    <col min="9224" max="9224" width="5.42578125" style="7" customWidth="1"/>
    <col min="9225" max="9225" width="9" style="7" customWidth="1"/>
    <col min="9226" max="9226" width="5.140625" style="7" customWidth="1"/>
    <col min="9227" max="9227" width="10.140625" style="7" bestFit="1" customWidth="1"/>
    <col min="9228" max="9228" width="9" style="7"/>
    <col min="9229" max="9229" width="8.5703125" style="7" customWidth="1"/>
    <col min="9230" max="9230" width="6.5703125" style="7" customWidth="1"/>
    <col min="9231" max="9467" width="9" style="7"/>
    <col min="9468" max="9468" width="11.5703125" style="7" customWidth="1"/>
    <col min="9469" max="9469" width="9" style="7"/>
    <col min="9470" max="9470" width="1.5703125" style="7" customWidth="1"/>
    <col min="9471" max="9471" width="11" style="7" customWidth="1"/>
    <col min="9472" max="9472" width="5.85546875" style="7" customWidth="1"/>
    <col min="9473" max="9473" width="10.140625" style="7" customWidth="1"/>
    <col min="9474" max="9474" width="7.140625" style="7" customWidth="1"/>
    <col min="9475" max="9475" width="9.85546875" style="7" customWidth="1"/>
    <col min="9476" max="9476" width="5" style="7" customWidth="1"/>
    <col min="9477" max="9477" width="4.5703125" style="7" customWidth="1"/>
    <col min="9478" max="9478" width="9" style="7"/>
    <col min="9479" max="9479" width="15.140625" style="7" customWidth="1"/>
    <col min="9480" max="9480" width="5.42578125" style="7" customWidth="1"/>
    <col min="9481" max="9481" width="9" style="7" customWidth="1"/>
    <col min="9482" max="9482" width="5.140625" style="7" customWidth="1"/>
    <col min="9483" max="9483" width="10.140625" style="7" bestFit="1" customWidth="1"/>
    <col min="9484" max="9484" width="9" style="7"/>
    <col min="9485" max="9485" width="8.5703125" style="7" customWidth="1"/>
    <col min="9486" max="9486" width="6.5703125" style="7" customWidth="1"/>
    <col min="9487" max="9723" width="9" style="7"/>
    <col min="9724" max="9724" width="11.5703125" style="7" customWidth="1"/>
    <col min="9725" max="9725" width="9" style="7"/>
    <col min="9726" max="9726" width="1.5703125" style="7" customWidth="1"/>
    <col min="9727" max="9727" width="11" style="7" customWidth="1"/>
    <col min="9728" max="9728" width="5.85546875" style="7" customWidth="1"/>
    <col min="9729" max="9729" width="10.140625" style="7" customWidth="1"/>
    <col min="9730" max="9730" width="7.140625" style="7" customWidth="1"/>
    <col min="9731" max="9731" width="9.85546875" style="7" customWidth="1"/>
    <col min="9732" max="9732" width="5" style="7" customWidth="1"/>
    <col min="9733" max="9733" width="4.5703125" style="7" customWidth="1"/>
    <col min="9734" max="9734" width="9" style="7"/>
    <col min="9735" max="9735" width="15.140625" style="7" customWidth="1"/>
    <col min="9736" max="9736" width="5.42578125" style="7" customWidth="1"/>
    <col min="9737" max="9737" width="9" style="7" customWidth="1"/>
    <col min="9738" max="9738" width="5.140625" style="7" customWidth="1"/>
    <col min="9739" max="9739" width="10.140625" style="7" bestFit="1" customWidth="1"/>
    <col min="9740" max="9740" width="9" style="7"/>
    <col min="9741" max="9741" width="8.5703125" style="7" customWidth="1"/>
    <col min="9742" max="9742" width="6.5703125" style="7" customWidth="1"/>
    <col min="9743" max="9979" width="9" style="7"/>
    <col min="9980" max="9980" width="11.5703125" style="7" customWidth="1"/>
    <col min="9981" max="9981" width="9" style="7"/>
    <col min="9982" max="9982" width="1.5703125" style="7" customWidth="1"/>
    <col min="9983" max="9983" width="11" style="7" customWidth="1"/>
    <col min="9984" max="9984" width="5.85546875" style="7" customWidth="1"/>
    <col min="9985" max="9985" width="10.140625" style="7" customWidth="1"/>
    <col min="9986" max="9986" width="7.140625" style="7" customWidth="1"/>
    <col min="9987" max="9987" width="9.85546875" style="7" customWidth="1"/>
    <col min="9988" max="9988" width="5" style="7" customWidth="1"/>
    <col min="9989" max="9989" width="4.5703125" style="7" customWidth="1"/>
    <col min="9990" max="9990" width="9" style="7"/>
    <col min="9991" max="9991" width="15.140625" style="7" customWidth="1"/>
    <col min="9992" max="9992" width="5.42578125" style="7" customWidth="1"/>
    <col min="9993" max="9993" width="9" style="7" customWidth="1"/>
    <col min="9994" max="9994" width="5.140625" style="7" customWidth="1"/>
    <col min="9995" max="9995" width="10.140625" style="7" bestFit="1" customWidth="1"/>
    <col min="9996" max="9996" width="9" style="7"/>
    <col min="9997" max="9997" width="8.5703125" style="7" customWidth="1"/>
    <col min="9998" max="9998" width="6.5703125" style="7" customWidth="1"/>
    <col min="9999" max="10235" width="9" style="7"/>
    <col min="10236" max="10236" width="11.5703125" style="7" customWidth="1"/>
    <col min="10237" max="10237" width="9" style="7"/>
    <col min="10238" max="10238" width="1.5703125" style="7" customWidth="1"/>
    <col min="10239" max="10239" width="11" style="7" customWidth="1"/>
    <col min="10240" max="10240" width="5.85546875" style="7" customWidth="1"/>
    <col min="10241" max="10241" width="10.140625" style="7" customWidth="1"/>
    <col min="10242" max="10242" width="7.140625" style="7" customWidth="1"/>
    <col min="10243" max="10243" width="9.85546875" style="7" customWidth="1"/>
    <col min="10244" max="10244" width="5" style="7" customWidth="1"/>
    <col min="10245" max="10245" width="4.5703125" style="7" customWidth="1"/>
    <col min="10246" max="10246" width="9" style="7"/>
    <col min="10247" max="10247" width="15.140625" style="7" customWidth="1"/>
    <col min="10248" max="10248" width="5.42578125" style="7" customWidth="1"/>
    <col min="10249" max="10249" width="9" style="7" customWidth="1"/>
    <col min="10250" max="10250" width="5.140625" style="7" customWidth="1"/>
    <col min="10251" max="10251" width="10.140625" style="7" bestFit="1" customWidth="1"/>
    <col min="10252" max="10252" width="9" style="7"/>
    <col min="10253" max="10253" width="8.5703125" style="7" customWidth="1"/>
    <col min="10254" max="10254" width="6.5703125" style="7" customWidth="1"/>
    <col min="10255" max="10491" width="9" style="7"/>
    <col min="10492" max="10492" width="11.5703125" style="7" customWidth="1"/>
    <col min="10493" max="10493" width="9" style="7"/>
    <col min="10494" max="10494" width="1.5703125" style="7" customWidth="1"/>
    <col min="10495" max="10495" width="11" style="7" customWidth="1"/>
    <col min="10496" max="10496" width="5.85546875" style="7" customWidth="1"/>
    <col min="10497" max="10497" width="10.140625" style="7" customWidth="1"/>
    <col min="10498" max="10498" width="7.140625" style="7" customWidth="1"/>
    <col min="10499" max="10499" width="9.85546875" style="7" customWidth="1"/>
    <col min="10500" max="10500" width="5" style="7" customWidth="1"/>
    <col min="10501" max="10501" width="4.5703125" style="7" customWidth="1"/>
    <col min="10502" max="10502" width="9" style="7"/>
    <col min="10503" max="10503" width="15.140625" style="7" customWidth="1"/>
    <col min="10504" max="10504" width="5.42578125" style="7" customWidth="1"/>
    <col min="10505" max="10505" width="9" style="7" customWidth="1"/>
    <col min="10506" max="10506" width="5.140625" style="7" customWidth="1"/>
    <col min="10507" max="10507" width="10.140625" style="7" bestFit="1" customWidth="1"/>
    <col min="10508" max="10508" width="9" style="7"/>
    <col min="10509" max="10509" width="8.5703125" style="7" customWidth="1"/>
    <col min="10510" max="10510" width="6.5703125" style="7" customWidth="1"/>
    <col min="10511" max="10747" width="9" style="7"/>
    <col min="10748" max="10748" width="11.5703125" style="7" customWidth="1"/>
    <col min="10749" max="10749" width="9" style="7"/>
    <col min="10750" max="10750" width="1.5703125" style="7" customWidth="1"/>
    <col min="10751" max="10751" width="11" style="7" customWidth="1"/>
    <col min="10752" max="10752" width="5.85546875" style="7" customWidth="1"/>
    <col min="10753" max="10753" width="10.140625" style="7" customWidth="1"/>
    <col min="10754" max="10754" width="7.140625" style="7" customWidth="1"/>
    <col min="10755" max="10755" width="9.85546875" style="7" customWidth="1"/>
    <col min="10756" max="10756" width="5" style="7" customWidth="1"/>
    <col min="10757" max="10757" width="4.5703125" style="7" customWidth="1"/>
    <col min="10758" max="10758" width="9" style="7"/>
    <col min="10759" max="10759" width="15.140625" style="7" customWidth="1"/>
    <col min="10760" max="10760" width="5.42578125" style="7" customWidth="1"/>
    <col min="10761" max="10761" width="9" style="7" customWidth="1"/>
    <col min="10762" max="10762" width="5.140625" style="7" customWidth="1"/>
    <col min="10763" max="10763" width="10.140625" style="7" bestFit="1" customWidth="1"/>
    <col min="10764" max="10764" width="9" style="7"/>
    <col min="10765" max="10765" width="8.5703125" style="7" customWidth="1"/>
    <col min="10766" max="10766" width="6.5703125" style="7" customWidth="1"/>
    <col min="10767" max="11003" width="9" style="7"/>
    <col min="11004" max="11004" width="11.5703125" style="7" customWidth="1"/>
    <col min="11005" max="11005" width="9" style="7"/>
    <col min="11006" max="11006" width="1.5703125" style="7" customWidth="1"/>
    <col min="11007" max="11007" width="11" style="7" customWidth="1"/>
    <col min="11008" max="11008" width="5.85546875" style="7" customWidth="1"/>
    <col min="11009" max="11009" width="10.140625" style="7" customWidth="1"/>
    <col min="11010" max="11010" width="7.140625" style="7" customWidth="1"/>
    <col min="11011" max="11011" width="9.85546875" style="7" customWidth="1"/>
    <col min="11012" max="11012" width="5" style="7" customWidth="1"/>
    <col min="11013" max="11013" width="4.5703125" style="7" customWidth="1"/>
    <col min="11014" max="11014" width="9" style="7"/>
    <col min="11015" max="11015" width="15.140625" style="7" customWidth="1"/>
    <col min="11016" max="11016" width="5.42578125" style="7" customWidth="1"/>
    <col min="11017" max="11017" width="9" style="7" customWidth="1"/>
    <col min="11018" max="11018" width="5.140625" style="7" customWidth="1"/>
    <col min="11019" max="11019" width="10.140625" style="7" bestFit="1" customWidth="1"/>
    <col min="11020" max="11020" width="9" style="7"/>
    <col min="11021" max="11021" width="8.5703125" style="7" customWidth="1"/>
    <col min="11022" max="11022" width="6.5703125" style="7" customWidth="1"/>
    <col min="11023" max="11259" width="9" style="7"/>
    <col min="11260" max="11260" width="11.5703125" style="7" customWidth="1"/>
    <col min="11261" max="11261" width="9" style="7"/>
    <col min="11262" max="11262" width="1.5703125" style="7" customWidth="1"/>
    <col min="11263" max="11263" width="11" style="7" customWidth="1"/>
    <col min="11264" max="11264" width="5.85546875" style="7" customWidth="1"/>
    <col min="11265" max="11265" width="10.140625" style="7" customWidth="1"/>
    <col min="11266" max="11266" width="7.140625" style="7" customWidth="1"/>
    <col min="11267" max="11267" width="9.85546875" style="7" customWidth="1"/>
    <col min="11268" max="11268" width="5" style="7" customWidth="1"/>
    <col min="11269" max="11269" width="4.5703125" style="7" customWidth="1"/>
    <col min="11270" max="11270" width="9" style="7"/>
    <col min="11271" max="11271" width="15.140625" style="7" customWidth="1"/>
    <col min="11272" max="11272" width="5.42578125" style="7" customWidth="1"/>
    <col min="11273" max="11273" width="9" style="7" customWidth="1"/>
    <col min="11274" max="11274" width="5.140625" style="7" customWidth="1"/>
    <col min="11275" max="11275" width="10.140625" style="7" bestFit="1" customWidth="1"/>
    <col min="11276" max="11276" width="9" style="7"/>
    <col min="11277" max="11277" width="8.5703125" style="7" customWidth="1"/>
    <col min="11278" max="11278" width="6.5703125" style="7" customWidth="1"/>
    <col min="11279" max="11515" width="9" style="7"/>
    <col min="11516" max="11516" width="11.5703125" style="7" customWidth="1"/>
    <col min="11517" max="11517" width="9" style="7"/>
    <col min="11518" max="11518" width="1.5703125" style="7" customWidth="1"/>
    <col min="11519" max="11519" width="11" style="7" customWidth="1"/>
    <col min="11520" max="11520" width="5.85546875" style="7" customWidth="1"/>
    <col min="11521" max="11521" width="10.140625" style="7" customWidth="1"/>
    <col min="11522" max="11522" width="7.140625" style="7" customWidth="1"/>
    <col min="11523" max="11523" width="9.85546875" style="7" customWidth="1"/>
    <col min="11524" max="11524" width="5" style="7" customWidth="1"/>
    <col min="11525" max="11525" width="4.5703125" style="7" customWidth="1"/>
    <col min="11526" max="11526" width="9" style="7"/>
    <col min="11527" max="11527" width="15.140625" style="7" customWidth="1"/>
    <col min="11528" max="11528" width="5.42578125" style="7" customWidth="1"/>
    <col min="11529" max="11529" width="9" style="7" customWidth="1"/>
    <col min="11530" max="11530" width="5.140625" style="7" customWidth="1"/>
    <col min="11531" max="11531" width="10.140625" style="7" bestFit="1" customWidth="1"/>
    <col min="11532" max="11532" width="9" style="7"/>
    <col min="11533" max="11533" width="8.5703125" style="7" customWidth="1"/>
    <col min="11534" max="11534" width="6.5703125" style="7" customWidth="1"/>
    <col min="11535" max="11771" width="9" style="7"/>
    <col min="11772" max="11772" width="11.5703125" style="7" customWidth="1"/>
    <col min="11773" max="11773" width="9" style="7"/>
    <col min="11774" max="11774" width="1.5703125" style="7" customWidth="1"/>
    <col min="11775" max="11775" width="11" style="7" customWidth="1"/>
    <col min="11776" max="11776" width="5.85546875" style="7" customWidth="1"/>
    <col min="11777" max="11777" width="10.140625" style="7" customWidth="1"/>
    <col min="11778" max="11778" width="7.140625" style="7" customWidth="1"/>
    <col min="11779" max="11779" width="9.85546875" style="7" customWidth="1"/>
    <col min="11780" max="11780" width="5" style="7" customWidth="1"/>
    <col min="11781" max="11781" width="4.5703125" style="7" customWidth="1"/>
    <col min="11782" max="11782" width="9" style="7"/>
    <col min="11783" max="11783" width="15.140625" style="7" customWidth="1"/>
    <col min="11784" max="11784" width="5.42578125" style="7" customWidth="1"/>
    <col min="11785" max="11785" width="9" style="7" customWidth="1"/>
    <col min="11786" max="11786" width="5.140625" style="7" customWidth="1"/>
    <col min="11787" max="11787" width="10.140625" style="7" bestFit="1" customWidth="1"/>
    <col min="11788" max="11788" width="9" style="7"/>
    <col min="11789" max="11789" width="8.5703125" style="7" customWidth="1"/>
    <col min="11790" max="11790" width="6.5703125" style="7" customWidth="1"/>
    <col min="11791" max="12027" width="9" style="7"/>
    <col min="12028" max="12028" width="11.5703125" style="7" customWidth="1"/>
    <col min="12029" max="12029" width="9" style="7"/>
    <col min="12030" max="12030" width="1.5703125" style="7" customWidth="1"/>
    <col min="12031" max="12031" width="11" style="7" customWidth="1"/>
    <col min="12032" max="12032" width="5.85546875" style="7" customWidth="1"/>
    <col min="12033" max="12033" width="10.140625" style="7" customWidth="1"/>
    <col min="12034" max="12034" width="7.140625" style="7" customWidth="1"/>
    <col min="12035" max="12035" width="9.85546875" style="7" customWidth="1"/>
    <col min="12036" max="12036" width="5" style="7" customWidth="1"/>
    <col min="12037" max="12037" width="4.5703125" style="7" customWidth="1"/>
    <col min="12038" max="12038" width="9" style="7"/>
    <col min="12039" max="12039" width="15.140625" style="7" customWidth="1"/>
    <col min="12040" max="12040" width="5.42578125" style="7" customWidth="1"/>
    <col min="12041" max="12041" width="9" style="7" customWidth="1"/>
    <col min="12042" max="12042" width="5.140625" style="7" customWidth="1"/>
    <col min="12043" max="12043" width="10.140625" style="7" bestFit="1" customWidth="1"/>
    <col min="12044" max="12044" width="9" style="7"/>
    <col min="12045" max="12045" width="8.5703125" style="7" customWidth="1"/>
    <col min="12046" max="12046" width="6.5703125" style="7" customWidth="1"/>
    <col min="12047" max="12283" width="9" style="7"/>
    <col min="12284" max="12284" width="11.5703125" style="7" customWidth="1"/>
    <col min="12285" max="12285" width="9" style="7"/>
    <col min="12286" max="12286" width="1.5703125" style="7" customWidth="1"/>
    <col min="12287" max="12287" width="11" style="7" customWidth="1"/>
    <col min="12288" max="12288" width="5.85546875" style="7" customWidth="1"/>
    <col min="12289" max="12289" width="10.140625" style="7" customWidth="1"/>
    <col min="12290" max="12290" width="7.140625" style="7" customWidth="1"/>
    <col min="12291" max="12291" width="9.85546875" style="7" customWidth="1"/>
    <col min="12292" max="12292" width="5" style="7" customWidth="1"/>
    <col min="12293" max="12293" width="4.5703125" style="7" customWidth="1"/>
    <col min="12294" max="12294" width="9" style="7"/>
    <col min="12295" max="12295" width="15.140625" style="7" customWidth="1"/>
    <col min="12296" max="12296" width="5.42578125" style="7" customWidth="1"/>
    <col min="12297" max="12297" width="9" style="7" customWidth="1"/>
    <col min="12298" max="12298" width="5.140625" style="7" customWidth="1"/>
    <col min="12299" max="12299" width="10.140625" style="7" bestFit="1" customWidth="1"/>
    <col min="12300" max="12300" width="9" style="7"/>
    <col min="12301" max="12301" width="8.5703125" style="7" customWidth="1"/>
    <col min="12302" max="12302" width="6.5703125" style="7" customWidth="1"/>
    <col min="12303" max="12539" width="9" style="7"/>
    <col min="12540" max="12540" width="11.5703125" style="7" customWidth="1"/>
    <col min="12541" max="12541" width="9" style="7"/>
    <col min="12542" max="12542" width="1.5703125" style="7" customWidth="1"/>
    <col min="12543" max="12543" width="11" style="7" customWidth="1"/>
    <col min="12544" max="12544" width="5.85546875" style="7" customWidth="1"/>
    <col min="12545" max="12545" width="10.140625" style="7" customWidth="1"/>
    <col min="12546" max="12546" width="7.140625" style="7" customWidth="1"/>
    <col min="12547" max="12547" width="9.85546875" style="7" customWidth="1"/>
    <col min="12548" max="12548" width="5" style="7" customWidth="1"/>
    <col min="12549" max="12549" width="4.5703125" style="7" customWidth="1"/>
    <col min="12550" max="12550" width="9" style="7"/>
    <col min="12551" max="12551" width="15.140625" style="7" customWidth="1"/>
    <col min="12552" max="12552" width="5.42578125" style="7" customWidth="1"/>
    <col min="12553" max="12553" width="9" style="7" customWidth="1"/>
    <col min="12554" max="12554" width="5.140625" style="7" customWidth="1"/>
    <col min="12555" max="12555" width="10.140625" style="7" bestFit="1" customWidth="1"/>
    <col min="12556" max="12556" width="9" style="7"/>
    <col min="12557" max="12557" width="8.5703125" style="7" customWidth="1"/>
    <col min="12558" max="12558" width="6.5703125" style="7" customWidth="1"/>
    <col min="12559" max="12795" width="9" style="7"/>
    <col min="12796" max="12796" width="11.5703125" style="7" customWidth="1"/>
    <col min="12797" max="12797" width="9" style="7"/>
    <col min="12798" max="12798" width="1.5703125" style="7" customWidth="1"/>
    <col min="12799" max="12799" width="11" style="7" customWidth="1"/>
    <col min="12800" max="12800" width="5.85546875" style="7" customWidth="1"/>
    <col min="12801" max="12801" width="10.140625" style="7" customWidth="1"/>
    <col min="12802" max="12802" width="7.140625" style="7" customWidth="1"/>
    <col min="12803" max="12803" width="9.85546875" style="7" customWidth="1"/>
    <col min="12804" max="12804" width="5" style="7" customWidth="1"/>
    <col min="12805" max="12805" width="4.5703125" style="7" customWidth="1"/>
    <col min="12806" max="12806" width="9" style="7"/>
    <col min="12807" max="12807" width="15.140625" style="7" customWidth="1"/>
    <col min="12808" max="12808" width="5.42578125" style="7" customWidth="1"/>
    <col min="12809" max="12809" width="9" style="7" customWidth="1"/>
    <col min="12810" max="12810" width="5.140625" style="7" customWidth="1"/>
    <col min="12811" max="12811" width="10.140625" style="7" bestFit="1" customWidth="1"/>
    <col min="12812" max="12812" width="9" style="7"/>
    <col min="12813" max="12813" width="8.5703125" style="7" customWidth="1"/>
    <col min="12814" max="12814" width="6.5703125" style="7" customWidth="1"/>
    <col min="12815" max="13051" width="9" style="7"/>
    <col min="13052" max="13052" width="11.5703125" style="7" customWidth="1"/>
    <col min="13053" max="13053" width="9" style="7"/>
    <col min="13054" max="13054" width="1.5703125" style="7" customWidth="1"/>
    <col min="13055" max="13055" width="11" style="7" customWidth="1"/>
    <col min="13056" max="13056" width="5.85546875" style="7" customWidth="1"/>
    <col min="13057" max="13057" width="10.140625" style="7" customWidth="1"/>
    <col min="13058" max="13058" width="7.140625" style="7" customWidth="1"/>
    <col min="13059" max="13059" width="9.85546875" style="7" customWidth="1"/>
    <col min="13060" max="13060" width="5" style="7" customWidth="1"/>
    <col min="13061" max="13061" width="4.5703125" style="7" customWidth="1"/>
    <col min="13062" max="13062" width="9" style="7"/>
    <col min="13063" max="13063" width="15.140625" style="7" customWidth="1"/>
    <col min="13064" max="13064" width="5.42578125" style="7" customWidth="1"/>
    <col min="13065" max="13065" width="9" style="7" customWidth="1"/>
    <col min="13066" max="13066" width="5.140625" style="7" customWidth="1"/>
    <col min="13067" max="13067" width="10.140625" style="7" bestFit="1" customWidth="1"/>
    <col min="13068" max="13068" width="9" style="7"/>
    <col min="13069" max="13069" width="8.5703125" style="7" customWidth="1"/>
    <col min="13070" max="13070" width="6.5703125" style="7" customWidth="1"/>
    <col min="13071" max="13307" width="9" style="7"/>
    <col min="13308" max="13308" width="11.5703125" style="7" customWidth="1"/>
    <col min="13309" max="13309" width="9" style="7"/>
    <col min="13310" max="13310" width="1.5703125" style="7" customWidth="1"/>
    <col min="13311" max="13311" width="11" style="7" customWidth="1"/>
    <col min="13312" max="13312" width="5.85546875" style="7" customWidth="1"/>
    <col min="13313" max="13313" width="10.140625" style="7" customWidth="1"/>
    <col min="13314" max="13314" width="7.140625" style="7" customWidth="1"/>
    <col min="13315" max="13315" width="9.85546875" style="7" customWidth="1"/>
    <col min="13316" max="13316" width="5" style="7" customWidth="1"/>
    <col min="13317" max="13317" width="4.5703125" style="7" customWidth="1"/>
    <col min="13318" max="13318" width="9" style="7"/>
    <col min="13319" max="13319" width="15.140625" style="7" customWidth="1"/>
    <col min="13320" max="13320" width="5.42578125" style="7" customWidth="1"/>
    <col min="13321" max="13321" width="9" style="7" customWidth="1"/>
    <col min="13322" max="13322" width="5.140625" style="7" customWidth="1"/>
    <col min="13323" max="13323" width="10.140625" style="7" bestFit="1" customWidth="1"/>
    <col min="13324" max="13324" width="9" style="7"/>
    <col min="13325" max="13325" width="8.5703125" style="7" customWidth="1"/>
    <col min="13326" max="13326" width="6.5703125" style="7" customWidth="1"/>
    <col min="13327" max="13563" width="9" style="7"/>
    <col min="13564" max="13564" width="11.5703125" style="7" customWidth="1"/>
    <col min="13565" max="13565" width="9" style="7"/>
    <col min="13566" max="13566" width="1.5703125" style="7" customWidth="1"/>
    <col min="13567" max="13567" width="11" style="7" customWidth="1"/>
    <col min="13568" max="13568" width="5.85546875" style="7" customWidth="1"/>
    <col min="13569" max="13569" width="10.140625" style="7" customWidth="1"/>
    <col min="13570" max="13570" width="7.140625" style="7" customWidth="1"/>
    <col min="13571" max="13571" width="9.85546875" style="7" customWidth="1"/>
    <col min="13572" max="13572" width="5" style="7" customWidth="1"/>
    <col min="13573" max="13573" width="4.5703125" style="7" customWidth="1"/>
    <col min="13574" max="13574" width="9" style="7"/>
    <col min="13575" max="13575" width="15.140625" style="7" customWidth="1"/>
    <col min="13576" max="13576" width="5.42578125" style="7" customWidth="1"/>
    <col min="13577" max="13577" width="9" style="7" customWidth="1"/>
    <col min="13578" max="13578" width="5.140625" style="7" customWidth="1"/>
    <col min="13579" max="13579" width="10.140625" style="7" bestFit="1" customWidth="1"/>
    <col min="13580" max="13580" width="9" style="7"/>
    <col min="13581" max="13581" width="8.5703125" style="7" customWidth="1"/>
    <col min="13582" max="13582" width="6.5703125" style="7" customWidth="1"/>
    <col min="13583" max="13819" width="9" style="7"/>
    <col min="13820" max="13820" width="11.5703125" style="7" customWidth="1"/>
    <col min="13821" max="13821" width="9" style="7"/>
    <col min="13822" max="13822" width="1.5703125" style="7" customWidth="1"/>
    <col min="13823" max="13823" width="11" style="7" customWidth="1"/>
    <col min="13824" max="13824" width="5.85546875" style="7" customWidth="1"/>
    <col min="13825" max="13825" width="10.140625" style="7" customWidth="1"/>
    <col min="13826" max="13826" width="7.140625" style="7" customWidth="1"/>
    <col min="13827" max="13827" width="9.85546875" style="7" customWidth="1"/>
    <col min="13828" max="13828" width="5" style="7" customWidth="1"/>
    <col min="13829" max="13829" width="4.5703125" style="7" customWidth="1"/>
    <col min="13830" max="13830" width="9" style="7"/>
    <col min="13831" max="13831" width="15.140625" style="7" customWidth="1"/>
    <col min="13832" max="13832" width="5.42578125" style="7" customWidth="1"/>
    <col min="13833" max="13833" width="9" style="7" customWidth="1"/>
    <col min="13834" max="13834" width="5.140625" style="7" customWidth="1"/>
    <col min="13835" max="13835" width="10.140625" style="7" bestFit="1" customWidth="1"/>
    <col min="13836" max="13836" width="9" style="7"/>
    <col min="13837" max="13837" width="8.5703125" style="7" customWidth="1"/>
    <col min="13838" max="13838" width="6.5703125" style="7" customWidth="1"/>
    <col min="13839" max="14075" width="9" style="7"/>
    <col min="14076" max="14076" width="11.5703125" style="7" customWidth="1"/>
    <col min="14077" max="14077" width="9" style="7"/>
    <col min="14078" max="14078" width="1.5703125" style="7" customWidth="1"/>
    <col min="14079" max="14079" width="11" style="7" customWidth="1"/>
    <col min="14080" max="14080" width="5.85546875" style="7" customWidth="1"/>
    <col min="14081" max="14081" width="10.140625" style="7" customWidth="1"/>
    <col min="14082" max="14082" width="7.140625" style="7" customWidth="1"/>
    <col min="14083" max="14083" width="9.85546875" style="7" customWidth="1"/>
    <col min="14084" max="14084" width="5" style="7" customWidth="1"/>
    <col min="14085" max="14085" width="4.5703125" style="7" customWidth="1"/>
    <col min="14086" max="14086" width="9" style="7"/>
    <col min="14087" max="14087" width="15.140625" style="7" customWidth="1"/>
    <col min="14088" max="14088" width="5.42578125" style="7" customWidth="1"/>
    <col min="14089" max="14089" width="9" style="7" customWidth="1"/>
    <col min="14090" max="14090" width="5.140625" style="7" customWidth="1"/>
    <col min="14091" max="14091" width="10.140625" style="7" bestFit="1" customWidth="1"/>
    <col min="14092" max="14092" width="9" style="7"/>
    <col min="14093" max="14093" width="8.5703125" style="7" customWidth="1"/>
    <col min="14094" max="14094" width="6.5703125" style="7" customWidth="1"/>
    <col min="14095" max="14331" width="9" style="7"/>
    <col min="14332" max="14332" width="11.5703125" style="7" customWidth="1"/>
    <col min="14333" max="14333" width="9" style="7"/>
    <col min="14334" max="14334" width="1.5703125" style="7" customWidth="1"/>
    <col min="14335" max="14335" width="11" style="7" customWidth="1"/>
    <col min="14336" max="14336" width="5.85546875" style="7" customWidth="1"/>
    <col min="14337" max="14337" width="10.140625" style="7" customWidth="1"/>
    <col min="14338" max="14338" width="7.140625" style="7" customWidth="1"/>
    <col min="14339" max="14339" width="9.85546875" style="7" customWidth="1"/>
    <col min="14340" max="14340" width="5" style="7" customWidth="1"/>
    <col min="14341" max="14341" width="4.5703125" style="7" customWidth="1"/>
    <col min="14342" max="14342" width="9" style="7"/>
    <col min="14343" max="14343" width="15.140625" style="7" customWidth="1"/>
    <col min="14344" max="14344" width="5.42578125" style="7" customWidth="1"/>
    <col min="14345" max="14345" width="9" style="7" customWidth="1"/>
    <col min="14346" max="14346" width="5.140625" style="7" customWidth="1"/>
    <col min="14347" max="14347" width="10.140625" style="7" bestFit="1" customWidth="1"/>
    <col min="14348" max="14348" width="9" style="7"/>
    <col min="14349" max="14349" width="8.5703125" style="7" customWidth="1"/>
    <col min="14350" max="14350" width="6.5703125" style="7" customWidth="1"/>
    <col min="14351" max="14587" width="9" style="7"/>
    <col min="14588" max="14588" width="11.5703125" style="7" customWidth="1"/>
    <col min="14589" max="14589" width="9" style="7"/>
    <col min="14590" max="14590" width="1.5703125" style="7" customWidth="1"/>
    <col min="14591" max="14591" width="11" style="7" customWidth="1"/>
    <col min="14592" max="14592" width="5.85546875" style="7" customWidth="1"/>
    <col min="14593" max="14593" width="10.140625" style="7" customWidth="1"/>
    <col min="14594" max="14594" width="7.140625" style="7" customWidth="1"/>
    <col min="14595" max="14595" width="9.85546875" style="7" customWidth="1"/>
    <col min="14596" max="14596" width="5" style="7" customWidth="1"/>
    <col min="14597" max="14597" width="4.5703125" style="7" customWidth="1"/>
    <col min="14598" max="14598" width="9" style="7"/>
    <col min="14599" max="14599" width="15.140625" style="7" customWidth="1"/>
    <col min="14600" max="14600" width="5.42578125" style="7" customWidth="1"/>
    <col min="14601" max="14601" width="9" style="7" customWidth="1"/>
    <col min="14602" max="14602" width="5.140625" style="7" customWidth="1"/>
    <col min="14603" max="14603" width="10.140625" style="7" bestFit="1" customWidth="1"/>
    <col min="14604" max="14604" width="9" style="7"/>
    <col min="14605" max="14605" width="8.5703125" style="7" customWidth="1"/>
    <col min="14606" max="14606" width="6.5703125" style="7" customWidth="1"/>
    <col min="14607" max="14843" width="9" style="7"/>
    <col min="14844" max="14844" width="11.5703125" style="7" customWidth="1"/>
    <col min="14845" max="14845" width="9" style="7"/>
    <col min="14846" max="14846" width="1.5703125" style="7" customWidth="1"/>
    <col min="14847" max="14847" width="11" style="7" customWidth="1"/>
    <col min="14848" max="14848" width="5.85546875" style="7" customWidth="1"/>
    <col min="14849" max="14849" width="10.140625" style="7" customWidth="1"/>
    <col min="14850" max="14850" width="7.140625" style="7" customWidth="1"/>
    <col min="14851" max="14851" width="9.85546875" style="7" customWidth="1"/>
    <col min="14852" max="14852" width="5" style="7" customWidth="1"/>
    <col min="14853" max="14853" width="4.5703125" style="7" customWidth="1"/>
    <col min="14854" max="14854" width="9" style="7"/>
    <col min="14855" max="14855" width="15.140625" style="7" customWidth="1"/>
    <col min="14856" max="14856" width="5.42578125" style="7" customWidth="1"/>
    <col min="14857" max="14857" width="9" style="7" customWidth="1"/>
    <col min="14858" max="14858" width="5.140625" style="7" customWidth="1"/>
    <col min="14859" max="14859" width="10.140625" style="7" bestFit="1" customWidth="1"/>
    <col min="14860" max="14860" width="9" style="7"/>
    <col min="14861" max="14861" width="8.5703125" style="7" customWidth="1"/>
    <col min="14862" max="14862" width="6.5703125" style="7" customWidth="1"/>
    <col min="14863" max="15099" width="9" style="7"/>
    <col min="15100" max="15100" width="11.5703125" style="7" customWidth="1"/>
    <col min="15101" max="15101" width="9" style="7"/>
    <col min="15102" max="15102" width="1.5703125" style="7" customWidth="1"/>
    <col min="15103" max="15103" width="11" style="7" customWidth="1"/>
    <col min="15104" max="15104" width="5.85546875" style="7" customWidth="1"/>
    <col min="15105" max="15105" width="10.140625" style="7" customWidth="1"/>
    <col min="15106" max="15106" width="7.140625" style="7" customWidth="1"/>
    <col min="15107" max="15107" width="9.85546875" style="7" customWidth="1"/>
    <col min="15108" max="15108" width="5" style="7" customWidth="1"/>
    <col min="15109" max="15109" width="4.5703125" style="7" customWidth="1"/>
    <col min="15110" max="15110" width="9" style="7"/>
    <col min="15111" max="15111" width="15.140625" style="7" customWidth="1"/>
    <col min="15112" max="15112" width="5.42578125" style="7" customWidth="1"/>
    <col min="15113" max="15113" width="9" style="7" customWidth="1"/>
    <col min="15114" max="15114" width="5.140625" style="7" customWidth="1"/>
    <col min="15115" max="15115" width="10.140625" style="7" bestFit="1" customWidth="1"/>
    <col min="15116" max="15116" width="9" style="7"/>
    <col min="15117" max="15117" width="8.5703125" style="7" customWidth="1"/>
    <col min="15118" max="15118" width="6.5703125" style="7" customWidth="1"/>
    <col min="15119" max="15355" width="9" style="7"/>
    <col min="15356" max="15356" width="11.5703125" style="7" customWidth="1"/>
    <col min="15357" max="15357" width="9" style="7"/>
    <col min="15358" max="15358" width="1.5703125" style="7" customWidth="1"/>
    <col min="15359" max="15359" width="11" style="7" customWidth="1"/>
    <col min="15360" max="15360" width="5.85546875" style="7" customWidth="1"/>
    <col min="15361" max="15361" width="10.140625" style="7" customWidth="1"/>
    <col min="15362" max="15362" width="7.140625" style="7" customWidth="1"/>
    <col min="15363" max="15363" width="9.85546875" style="7" customWidth="1"/>
    <col min="15364" max="15364" width="5" style="7" customWidth="1"/>
    <col min="15365" max="15365" width="4.5703125" style="7" customWidth="1"/>
    <col min="15366" max="15366" width="9" style="7"/>
    <col min="15367" max="15367" width="15.140625" style="7" customWidth="1"/>
    <col min="15368" max="15368" width="5.42578125" style="7" customWidth="1"/>
    <col min="15369" max="15369" width="9" style="7" customWidth="1"/>
    <col min="15370" max="15370" width="5.140625" style="7" customWidth="1"/>
    <col min="15371" max="15371" width="10.140625" style="7" bestFit="1" customWidth="1"/>
    <col min="15372" max="15372" width="9" style="7"/>
    <col min="15373" max="15373" width="8.5703125" style="7" customWidth="1"/>
    <col min="15374" max="15374" width="6.5703125" style="7" customWidth="1"/>
    <col min="15375" max="15611" width="9" style="7"/>
    <col min="15612" max="15612" width="11.5703125" style="7" customWidth="1"/>
    <col min="15613" max="15613" width="9" style="7"/>
    <col min="15614" max="15614" width="1.5703125" style="7" customWidth="1"/>
    <col min="15615" max="15615" width="11" style="7" customWidth="1"/>
    <col min="15616" max="15616" width="5.85546875" style="7" customWidth="1"/>
    <col min="15617" max="15617" width="10.140625" style="7" customWidth="1"/>
    <col min="15618" max="15618" width="7.140625" style="7" customWidth="1"/>
    <col min="15619" max="15619" width="9.85546875" style="7" customWidth="1"/>
    <col min="15620" max="15620" width="5" style="7" customWidth="1"/>
    <col min="15621" max="15621" width="4.5703125" style="7" customWidth="1"/>
    <col min="15622" max="15622" width="9" style="7"/>
    <col min="15623" max="15623" width="15.140625" style="7" customWidth="1"/>
    <col min="15624" max="15624" width="5.42578125" style="7" customWidth="1"/>
    <col min="15625" max="15625" width="9" style="7" customWidth="1"/>
    <col min="15626" max="15626" width="5.140625" style="7" customWidth="1"/>
    <col min="15627" max="15627" width="10.140625" style="7" bestFit="1" customWidth="1"/>
    <col min="15628" max="15628" width="9" style="7"/>
    <col min="15629" max="15629" width="8.5703125" style="7" customWidth="1"/>
    <col min="15630" max="15630" width="6.5703125" style="7" customWidth="1"/>
    <col min="15631" max="15867" width="9" style="7"/>
    <col min="15868" max="15868" width="11.5703125" style="7" customWidth="1"/>
    <col min="15869" max="15869" width="9" style="7"/>
    <col min="15870" max="15870" width="1.5703125" style="7" customWidth="1"/>
    <col min="15871" max="15871" width="11" style="7" customWidth="1"/>
    <col min="15872" max="15872" width="5.85546875" style="7" customWidth="1"/>
    <col min="15873" max="15873" width="10.140625" style="7" customWidth="1"/>
    <col min="15874" max="15874" width="7.140625" style="7" customWidth="1"/>
    <col min="15875" max="15875" width="9.85546875" style="7" customWidth="1"/>
    <col min="15876" max="15876" width="5" style="7" customWidth="1"/>
    <col min="15877" max="15877" width="4.5703125" style="7" customWidth="1"/>
    <col min="15878" max="15878" width="9" style="7"/>
    <col min="15879" max="15879" width="15.140625" style="7" customWidth="1"/>
    <col min="15880" max="15880" width="5.42578125" style="7" customWidth="1"/>
    <col min="15881" max="15881" width="9" style="7" customWidth="1"/>
    <col min="15882" max="15882" width="5.140625" style="7" customWidth="1"/>
    <col min="15883" max="15883" width="10.140625" style="7" bestFit="1" customWidth="1"/>
    <col min="15884" max="15884" width="9" style="7"/>
    <col min="15885" max="15885" width="8.5703125" style="7" customWidth="1"/>
    <col min="15886" max="15886" width="6.5703125" style="7" customWidth="1"/>
    <col min="15887" max="16123" width="9" style="7"/>
    <col min="16124" max="16124" width="11.5703125" style="7" customWidth="1"/>
    <col min="16125" max="16125" width="9" style="7"/>
    <col min="16126" max="16126" width="1.5703125" style="7" customWidth="1"/>
    <col min="16127" max="16127" width="11" style="7" customWidth="1"/>
    <col min="16128" max="16128" width="5.85546875" style="7" customWidth="1"/>
    <col min="16129" max="16129" width="10.140625" style="7" customWidth="1"/>
    <col min="16130" max="16130" width="7.140625" style="7" customWidth="1"/>
    <col min="16131" max="16131" width="9.85546875" style="7" customWidth="1"/>
    <col min="16132" max="16132" width="5" style="7" customWidth="1"/>
    <col min="16133" max="16133" width="4.5703125" style="7" customWidth="1"/>
    <col min="16134" max="16134" width="9" style="7"/>
    <col min="16135" max="16135" width="15.140625" style="7" customWidth="1"/>
    <col min="16136" max="16136" width="5.42578125" style="7" customWidth="1"/>
    <col min="16137" max="16137" width="9" style="7" customWidth="1"/>
    <col min="16138" max="16138" width="5.140625" style="7" customWidth="1"/>
    <col min="16139" max="16139" width="10.140625" style="7" bestFit="1" customWidth="1"/>
    <col min="16140" max="16140" width="9" style="7"/>
    <col min="16141" max="16141" width="8.5703125" style="7" customWidth="1"/>
    <col min="16142" max="16142" width="6.5703125" style="7" customWidth="1"/>
    <col min="16143" max="16380" width="9" style="7"/>
    <col min="16381" max="16384" width="9" style="7" customWidth="1"/>
  </cols>
  <sheetData>
    <row r="1" spans="1:28" s="6" customFormat="1" ht="34.5" customHeight="1">
      <c r="A1" s="42" t="s">
        <v>337</v>
      </c>
      <c r="B1" s="3" t="s">
        <v>14</v>
      </c>
      <c r="C1" s="4" t="s">
        <v>15</v>
      </c>
      <c r="D1" s="43" t="s">
        <v>117</v>
      </c>
      <c r="E1" s="43" t="s">
        <v>488</v>
      </c>
      <c r="F1" s="132" t="s">
        <v>489</v>
      </c>
      <c r="G1" s="134" t="s">
        <v>490</v>
      </c>
      <c r="H1" s="135" t="s">
        <v>341</v>
      </c>
      <c r="I1" s="136" t="s">
        <v>342</v>
      </c>
      <c r="J1" s="134" t="s">
        <v>401</v>
      </c>
      <c r="K1" s="135" t="s">
        <v>343</v>
      </c>
      <c r="L1" s="136" t="s">
        <v>344</v>
      </c>
      <c r="M1" s="134" t="s">
        <v>479</v>
      </c>
      <c r="N1" s="135" t="s">
        <v>402</v>
      </c>
      <c r="O1" s="136" t="s">
        <v>403</v>
      </c>
      <c r="P1" s="129" t="s">
        <v>404</v>
      </c>
      <c r="Q1" s="46" t="s">
        <v>275</v>
      </c>
      <c r="R1" s="47" t="s">
        <v>276</v>
      </c>
      <c r="S1" s="43" t="s">
        <v>277</v>
      </c>
      <c r="T1" s="41" t="s">
        <v>405</v>
      </c>
      <c r="U1" s="125" t="s">
        <v>406</v>
      </c>
      <c r="V1" s="254" t="s">
        <v>491</v>
      </c>
      <c r="W1" s="253" t="s">
        <v>280</v>
      </c>
      <c r="X1" s="254" t="s">
        <v>348</v>
      </c>
      <c r="Y1" s="254" t="s">
        <v>282</v>
      </c>
      <c r="Z1" s="254" t="s">
        <v>283</v>
      </c>
      <c r="AA1" s="254" t="s">
        <v>284</v>
      </c>
      <c r="AB1" s="254" t="s">
        <v>492</v>
      </c>
    </row>
    <row r="2" spans="1:28" s="6" customFormat="1" ht="19.5" customHeight="1">
      <c r="A2" s="43" t="s">
        <v>493</v>
      </c>
      <c r="B2" s="6" t="s">
        <v>494</v>
      </c>
      <c r="D2" s="6" t="s">
        <v>137</v>
      </c>
      <c r="E2" s="6" t="s">
        <v>137</v>
      </c>
      <c r="F2" s="133"/>
      <c r="G2" s="137" t="s">
        <v>401</v>
      </c>
      <c r="H2" s="16" t="s">
        <v>341</v>
      </c>
      <c r="I2" s="138" t="s">
        <v>342</v>
      </c>
      <c r="J2" s="137" t="s">
        <v>401</v>
      </c>
      <c r="K2" s="16" t="s">
        <v>341</v>
      </c>
      <c r="L2" s="138" t="s">
        <v>342</v>
      </c>
      <c r="M2" s="137" t="s">
        <v>401</v>
      </c>
      <c r="N2" s="16" t="s">
        <v>341</v>
      </c>
      <c r="O2" s="138" t="s">
        <v>342</v>
      </c>
      <c r="P2" s="35" t="s">
        <v>495</v>
      </c>
      <c r="Q2" s="48" t="s">
        <v>296</v>
      </c>
      <c r="R2" s="49"/>
      <c r="T2" s="6" t="s">
        <v>411</v>
      </c>
      <c r="U2" s="7" t="s">
        <v>496</v>
      </c>
      <c r="V2" s="217" t="s">
        <v>413</v>
      </c>
      <c r="W2" s="7"/>
      <c r="X2" s="256">
        <v>0.3</v>
      </c>
      <c r="Y2" s="256">
        <v>0.35</v>
      </c>
      <c r="Z2" s="256">
        <v>0.4</v>
      </c>
      <c r="AA2" s="256">
        <v>0.5</v>
      </c>
      <c r="AB2" s="256">
        <v>0.6</v>
      </c>
    </row>
    <row r="3" spans="1:28" ht="25.35" customHeight="1">
      <c r="A3" s="7" t="s">
        <v>81</v>
      </c>
      <c r="B3" s="7" t="str">
        <f>_xlfn.CONCAT(A3,"_",D3,"_",E3)</f>
        <v>FL_20_3</v>
      </c>
      <c r="C3" s="7" t="str">
        <f>_xlfn.CONCAT(B3, " @ ",ROUND(F3,2),"Kg/m")</f>
        <v>FL_20_3 @ 0.47Kg/m</v>
      </c>
      <c r="D3" s="6" t="s">
        <v>497</v>
      </c>
      <c r="E3" s="6" t="s">
        <v>498</v>
      </c>
      <c r="F3" s="133">
        <f>Density!$E$45/1000000*D3*E3</f>
        <v>0.47099999999999992</v>
      </c>
      <c r="G3" s="139"/>
      <c r="H3" s="9"/>
      <c r="I3" s="140"/>
      <c r="J3" s="139"/>
      <c r="K3" s="9"/>
      <c r="L3" s="140"/>
      <c r="M3" s="139"/>
      <c r="N3" s="9"/>
      <c r="O3" s="140"/>
      <c r="P3" s="37">
        <f>SUM(G3*H3)+(J3*K3)+(M3*N3)</f>
        <v>0</v>
      </c>
      <c r="Q3" s="50">
        <f>Table5[[#This Row],[Total Metres]]*Table5[[#This Row],[£Cost /m]]</f>
        <v>0</v>
      </c>
      <c r="R3" s="51"/>
      <c r="S3" s="10">
        <v>720</v>
      </c>
      <c r="T3" s="39">
        <f>(Table5[[#This Row],[£/Tonne]]/1000)*Table5[[#This Row],[KG/M]]</f>
        <v>0.33911999999999992</v>
      </c>
      <c r="U3" s="7">
        <v>6.1</v>
      </c>
      <c r="V3" s="217">
        <f>(S3/1000)*F3*Table5[[#This Row],[Normal Length]]</f>
        <v>2.0686319999999996</v>
      </c>
      <c r="X3" s="217">
        <f>Table5[[#This Row],[£/Length]]*(1+X$2)</f>
        <v>2.6892215999999998</v>
      </c>
      <c r="Y3" s="217">
        <f>Table5[[#This Row],[£/Length]]*(1+Y$2)</f>
        <v>2.7926531999999997</v>
      </c>
      <c r="Z3" s="217">
        <f>Table5[[#This Row],[£/Length]]*(1+Z$2)</f>
        <v>2.8960847999999992</v>
      </c>
      <c r="AA3" s="217">
        <f>Table5[[#This Row],[£/Length]]*(1+AA$2)</f>
        <v>3.1029479999999996</v>
      </c>
      <c r="AB3" s="217">
        <f>Table5[[#This Row],[£/Length]]*(1+AB$2)</f>
        <v>3.3098111999999995</v>
      </c>
    </row>
    <row r="4" spans="1:28" ht="25.35" customHeight="1">
      <c r="A4" s="7" t="s">
        <v>81</v>
      </c>
      <c r="B4" s="7" t="str">
        <f t="shared" ref="B4:B69" si="0">_xlfn.CONCAT(A4,"_",D4,"_",E4)</f>
        <v>FL_25_3</v>
      </c>
      <c r="C4" s="7" t="str">
        <f t="shared" ref="C4:C69" si="1">_xlfn.CONCAT(B4, " @ ",ROUND(F4,2),"Kg/m")</f>
        <v>FL_25_3 @ 0.59Kg/m</v>
      </c>
      <c r="D4" s="6" t="s">
        <v>499</v>
      </c>
      <c r="E4" s="6" t="s">
        <v>498</v>
      </c>
      <c r="F4" s="133">
        <f>Density!$E$45/1000000*D4*E4</f>
        <v>0.58874999999999988</v>
      </c>
      <c r="G4" s="139"/>
      <c r="H4" s="9"/>
      <c r="I4" s="140"/>
      <c r="J4" s="139"/>
      <c r="K4" s="9"/>
      <c r="L4" s="140"/>
      <c r="M4" s="139"/>
      <c r="N4" s="9"/>
      <c r="O4" s="140"/>
      <c r="P4" s="37">
        <f t="shared" ref="P4:P67" si="2">SUM(G4*H4)+(J4*K4)+(M4*N4)</f>
        <v>0</v>
      </c>
      <c r="Q4" s="50">
        <f>Table5[[#This Row],[Total Metres]]*Table5[[#This Row],[£Cost /m]]</f>
        <v>0</v>
      </c>
      <c r="R4" s="51"/>
      <c r="S4" s="10">
        <v>1050</v>
      </c>
      <c r="T4" s="39">
        <f>(Table5[[#This Row],[£/Tonne]]/1000)*Table5[[#This Row],[KG/M]]</f>
        <v>0.61818749999999989</v>
      </c>
      <c r="U4" s="7">
        <v>6.1</v>
      </c>
      <c r="V4" s="217">
        <f>(S4/1000)*F4*Table5[[#This Row],[Normal Length]]</f>
        <v>3.7709437499999989</v>
      </c>
      <c r="X4" s="217">
        <f>Table5[[#This Row],[£/Length]]*(1+X$2)</f>
        <v>4.9022268749999984</v>
      </c>
      <c r="Y4" s="217">
        <f>Table5[[#This Row],[£/Length]]*(1+Y$2)</f>
        <v>5.0907740624999986</v>
      </c>
      <c r="Z4" s="217">
        <f>Table5[[#This Row],[£/Length]]*(1+Z$2)</f>
        <v>5.279321249999998</v>
      </c>
      <c r="AA4" s="217">
        <f>Table5[[#This Row],[£/Length]]*(1+AA$2)</f>
        <v>5.6564156249999984</v>
      </c>
      <c r="AB4" s="217">
        <f>Table5[[#This Row],[£/Length]]*(1+AB$2)</f>
        <v>6.0335099999999988</v>
      </c>
    </row>
    <row r="5" spans="1:28" ht="25.35" customHeight="1">
      <c r="A5" s="7" t="s">
        <v>81</v>
      </c>
      <c r="B5" s="7" t="str">
        <f t="shared" si="0"/>
        <v>FL_30_3</v>
      </c>
      <c r="C5" s="7" t="str">
        <f t="shared" si="1"/>
        <v>FL_30_3 @ 0.71Kg/m</v>
      </c>
      <c r="D5" s="6" t="s">
        <v>500</v>
      </c>
      <c r="E5" s="6" t="s">
        <v>498</v>
      </c>
      <c r="F5" s="133">
        <f>Density!$E$45/1000000*D5*E5</f>
        <v>0.70649999999999991</v>
      </c>
      <c r="G5" s="139"/>
      <c r="H5" s="9"/>
      <c r="I5" s="140"/>
      <c r="J5" s="139"/>
      <c r="K5" s="9"/>
      <c r="L5" s="140"/>
      <c r="M5" s="139"/>
      <c r="N5" s="9"/>
      <c r="O5" s="140"/>
      <c r="P5" s="37">
        <f t="shared" si="2"/>
        <v>0</v>
      </c>
      <c r="Q5" s="50">
        <f>Table5[[#This Row],[Total Metres]]*Table5[[#This Row],[£Cost /m]]</f>
        <v>0</v>
      </c>
      <c r="R5" s="51"/>
      <c r="S5" s="10"/>
      <c r="T5" s="39">
        <f>(Table5[[#This Row],[£/Tonne]]/1000)*Table5[[#This Row],[KG/M]]</f>
        <v>0</v>
      </c>
      <c r="U5" s="7">
        <v>6.1</v>
      </c>
      <c r="V5" s="217">
        <f>(S5/1000)*F5*Table5[[#This Row],[Normal Length]]</f>
        <v>0</v>
      </c>
      <c r="X5" s="217">
        <f>Table5[[#This Row],[£/Length]]*(1+X$2)</f>
        <v>0</v>
      </c>
      <c r="Y5" s="217">
        <f>Table5[[#This Row],[£/Length]]*(1+Y$2)</f>
        <v>0</v>
      </c>
      <c r="Z5" s="217">
        <f>Table5[[#This Row],[£/Length]]*(1+Z$2)</f>
        <v>0</v>
      </c>
      <c r="AA5" s="217">
        <f>Table5[[#This Row],[£/Length]]*(1+AA$2)</f>
        <v>0</v>
      </c>
      <c r="AB5" s="217">
        <f>Table5[[#This Row],[£/Length]]*(1+AB$2)</f>
        <v>0</v>
      </c>
    </row>
    <row r="6" spans="1:28" ht="25.35" customHeight="1">
      <c r="A6" s="7" t="s">
        <v>81</v>
      </c>
      <c r="B6" s="7" t="str">
        <f t="shared" si="0"/>
        <v>FL_40_3</v>
      </c>
      <c r="C6" s="7" t="str">
        <f t="shared" si="1"/>
        <v>FL_40_3 @ 0.94Kg/m</v>
      </c>
      <c r="D6" s="6" t="s">
        <v>501</v>
      </c>
      <c r="E6" s="6" t="s">
        <v>498</v>
      </c>
      <c r="F6" s="133">
        <f>Density!$E$45/1000000*D6*E6</f>
        <v>0.94199999999999984</v>
      </c>
      <c r="G6" s="139">
        <v>6.1</v>
      </c>
      <c r="H6" s="9">
        <v>8</v>
      </c>
      <c r="I6" s="140" t="s">
        <v>422</v>
      </c>
      <c r="J6" s="139"/>
      <c r="K6" s="9"/>
      <c r="L6" s="140"/>
      <c r="M6" s="139"/>
      <c r="N6" s="9"/>
      <c r="O6" s="140"/>
      <c r="P6" s="37">
        <f t="shared" si="2"/>
        <v>48.8</v>
      </c>
      <c r="Q6" s="50">
        <f>Table5[[#This Row],[Total Metres]]*Table5[[#This Row],[£Cost /m]]</f>
        <v>39.074159999999992</v>
      </c>
      <c r="R6" s="51"/>
      <c r="S6" s="52">
        <v>850</v>
      </c>
      <c r="T6" s="39">
        <f>(Table5[[#This Row],[£/Tonne]]/1000)*Table5[[#This Row],[KG/M]]</f>
        <v>0.80069999999999986</v>
      </c>
      <c r="U6" s="7">
        <v>6.1</v>
      </c>
      <c r="V6" s="217">
        <f>(S6/1000)*F6*Table5[[#This Row],[Normal Length]]</f>
        <v>4.884269999999999</v>
      </c>
      <c r="X6" s="217">
        <f>Table5[[#This Row],[£/Length]]*(1+X$2)</f>
        <v>6.3495509999999991</v>
      </c>
      <c r="Y6" s="217">
        <f>Table5[[#This Row],[£/Length]]*(1+Y$2)</f>
        <v>6.5937644999999989</v>
      </c>
      <c r="Z6" s="217">
        <f>Table5[[#This Row],[£/Length]]*(1+Z$2)</f>
        <v>6.8379779999999979</v>
      </c>
      <c r="AA6" s="217">
        <f>Table5[[#This Row],[£/Length]]*(1+AA$2)</f>
        <v>7.3264049999999985</v>
      </c>
      <c r="AB6" s="217">
        <f>Table5[[#This Row],[£/Length]]*(1+AB$2)</f>
        <v>7.8148319999999991</v>
      </c>
    </row>
    <row r="7" spans="1:28" ht="25.35" customHeight="1">
      <c r="A7" s="7" t="s">
        <v>81</v>
      </c>
      <c r="B7" s="7" t="str">
        <f t="shared" si="0"/>
        <v>FL_13_5</v>
      </c>
      <c r="C7" s="7" t="str">
        <f t="shared" si="1"/>
        <v>FL_13_5 @ 0.51Kg/m</v>
      </c>
      <c r="D7" s="6" t="s">
        <v>502</v>
      </c>
      <c r="E7" s="6" t="s">
        <v>503</v>
      </c>
      <c r="F7" s="133">
        <f>Density!$E$45/1000000*D7*E7</f>
        <v>0.51024999999999998</v>
      </c>
      <c r="G7" s="139">
        <v>6.1</v>
      </c>
      <c r="H7" s="9">
        <v>20</v>
      </c>
      <c r="I7" s="140" t="s">
        <v>422</v>
      </c>
      <c r="J7" s="139"/>
      <c r="K7" s="9"/>
      <c r="L7" s="140"/>
      <c r="M7" s="139"/>
      <c r="N7" s="9"/>
      <c r="O7" s="140"/>
      <c r="P7" s="37">
        <f t="shared" si="2"/>
        <v>122</v>
      </c>
      <c r="Q7" s="50">
        <f>Table5[[#This Row],[Total Metres]]*Table5[[#This Row],[£Cost /m]]</f>
        <v>49.489147500000001</v>
      </c>
      <c r="R7" s="51"/>
      <c r="S7" s="52">
        <v>795</v>
      </c>
      <c r="T7" s="39">
        <f>(Table5[[#This Row],[£/Tonne]]/1000)*Table5[[#This Row],[KG/M]]</f>
        <v>0.40564875</v>
      </c>
      <c r="U7" s="7">
        <v>6.1</v>
      </c>
      <c r="V7" s="217">
        <f>(S7/1000)*F7*Table5[[#This Row],[Normal Length]]</f>
        <v>2.4744573750000001</v>
      </c>
      <c r="X7" s="217">
        <f>Table5[[#This Row],[£/Length]]*(1+X$2)</f>
        <v>3.2167945875000004</v>
      </c>
      <c r="Y7" s="217">
        <f>Table5[[#This Row],[£/Length]]*(1+Y$2)</f>
        <v>3.3405174562500002</v>
      </c>
      <c r="Z7" s="217">
        <f>Table5[[#This Row],[£/Length]]*(1+Z$2)</f>
        <v>3.464240325</v>
      </c>
      <c r="AA7" s="217">
        <f>Table5[[#This Row],[£/Length]]*(1+AA$2)</f>
        <v>3.7116860625000001</v>
      </c>
      <c r="AB7" s="217">
        <f>Table5[[#This Row],[£/Length]]*(1+AB$2)</f>
        <v>3.9591318000000002</v>
      </c>
    </row>
    <row r="8" spans="1:28" ht="25.35" customHeight="1">
      <c r="A8" s="7" t="s">
        <v>81</v>
      </c>
      <c r="B8" s="7" t="str">
        <f t="shared" si="0"/>
        <v>FL_16_5</v>
      </c>
      <c r="C8" s="7" t="str">
        <f t="shared" si="1"/>
        <v>FL_16_5 @ 0.63Kg/m</v>
      </c>
      <c r="D8" s="6" t="s">
        <v>504</v>
      </c>
      <c r="E8" s="6" t="s">
        <v>503</v>
      </c>
      <c r="F8" s="133">
        <f>Density!$E$45/1000000*D8*E8</f>
        <v>0.62799999999999989</v>
      </c>
      <c r="G8" s="139">
        <v>6.1</v>
      </c>
      <c r="H8" s="9">
        <v>8</v>
      </c>
      <c r="I8" s="140" t="s">
        <v>422</v>
      </c>
      <c r="J8" s="139"/>
      <c r="K8" s="9"/>
      <c r="L8" s="140"/>
      <c r="M8" s="139"/>
      <c r="N8" s="9"/>
      <c r="O8" s="140"/>
      <c r="P8" s="37">
        <f t="shared" si="2"/>
        <v>48.8</v>
      </c>
      <c r="Q8" s="50">
        <f>Table5[[#This Row],[Total Metres]]*Table5[[#This Row],[£Cost /m]]</f>
        <v>17.468447999999995</v>
      </c>
      <c r="R8" s="51"/>
      <c r="S8" s="52">
        <v>570</v>
      </c>
      <c r="T8" s="39">
        <f>(Table5[[#This Row],[£/Tonne]]/1000)*Table5[[#This Row],[KG/M]]</f>
        <v>0.35795999999999989</v>
      </c>
      <c r="U8" s="7">
        <v>6.1</v>
      </c>
      <c r="V8" s="217">
        <f>(S8/1000)*F8*Table5[[#This Row],[Normal Length]]</f>
        <v>2.1835559999999994</v>
      </c>
      <c r="X8" s="217">
        <f>Table5[[#This Row],[£/Length]]*(1+X$2)</f>
        <v>2.8386227999999991</v>
      </c>
      <c r="Y8" s="217">
        <f>Table5[[#This Row],[£/Length]]*(1+Y$2)</f>
        <v>2.9478005999999994</v>
      </c>
      <c r="Z8" s="217">
        <f>Table5[[#This Row],[£/Length]]*(1+Z$2)</f>
        <v>3.0569783999999989</v>
      </c>
      <c r="AA8" s="217">
        <f>Table5[[#This Row],[£/Length]]*(1+AA$2)</f>
        <v>3.2753339999999991</v>
      </c>
      <c r="AB8" s="217">
        <f>Table5[[#This Row],[£/Length]]*(1+AB$2)</f>
        <v>3.4936895999999993</v>
      </c>
    </row>
    <row r="9" spans="1:28" ht="25.35" customHeight="1">
      <c r="A9" s="7" t="s">
        <v>81</v>
      </c>
      <c r="B9" s="7" t="str">
        <f t="shared" si="0"/>
        <v>FL_20_5</v>
      </c>
      <c r="C9" s="7" t="str">
        <f t="shared" si="1"/>
        <v>FL_20_5 @ 0.79Kg/m</v>
      </c>
      <c r="D9" s="6" t="s">
        <v>497</v>
      </c>
      <c r="E9" s="6" t="s">
        <v>503</v>
      </c>
      <c r="F9" s="133">
        <f>Density!$E$45/1000000*D9*E9</f>
        <v>0.78499999999999992</v>
      </c>
      <c r="G9" s="139">
        <v>6.1</v>
      </c>
      <c r="H9" s="9">
        <v>11</v>
      </c>
      <c r="I9" s="140" t="s">
        <v>422</v>
      </c>
      <c r="J9" s="139"/>
      <c r="K9" s="9"/>
      <c r="L9" s="140"/>
      <c r="M9" s="139"/>
      <c r="N9" s="9"/>
      <c r="O9" s="140"/>
      <c r="P9" s="37">
        <f t="shared" si="2"/>
        <v>67.099999999999994</v>
      </c>
      <c r="Q9" s="50">
        <f>Table5[[#This Row],[Total Metres]]*Table5[[#This Row],[£Cost /m]]</f>
        <v>28.970424999999995</v>
      </c>
      <c r="R9" s="51"/>
      <c r="S9" s="52">
        <v>550</v>
      </c>
      <c r="T9" s="39">
        <f>(Table5[[#This Row],[£/Tonne]]/1000)*Table5[[#This Row],[KG/M]]</f>
        <v>0.43174999999999997</v>
      </c>
      <c r="U9" s="7">
        <v>6.1</v>
      </c>
      <c r="V9" s="217">
        <f>(S9/1000)*F9*Table5[[#This Row],[Normal Length]]</f>
        <v>2.6336749999999998</v>
      </c>
      <c r="X9" s="217">
        <f>Table5[[#This Row],[£/Length]]*(1+X$2)</f>
        <v>3.4237774999999999</v>
      </c>
      <c r="Y9" s="217">
        <f>Table5[[#This Row],[£/Length]]*(1+Y$2)</f>
        <v>3.55546125</v>
      </c>
      <c r="Z9" s="217">
        <f>Table5[[#This Row],[£/Length]]*(1+Z$2)</f>
        <v>3.6871449999999992</v>
      </c>
      <c r="AA9" s="217">
        <f>Table5[[#This Row],[£/Length]]*(1+AA$2)</f>
        <v>3.9505124999999994</v>
      </c>
      <c r="AB9" s="217">
        <f>Table5[[#This Row],[£/Length]]*(1+AB$2)</f>
        <v>4.2138799999999996</v>
      </c>
    </row>
    <row r="10" spans="1:28" ht="25.35" customHeight="1">
      <c r="A10" s="7" t="s">
        <v>81</v>
      </c>
      <c r="B10" s="7" t="str">
        <f t="shared" si="0"/>
        <v>FL_25_5</v>
      </c>
      <c r="C10" s="7" t="str">
        <f t="shared" si="1"/>
        <v>FL_25_5 @ 0.98Kg/m</v>
      </c>
      <c r="D10" s="6" t="s">
        <v>499</v>
      </c>
      <c r="E10" s="6" t="s">
        <v>503</v>
      </c>
      <c r="F10" s="133">
        <f>Density!$E$45/1000000*D10*E10</f>
        <v>0.98124999999999996</v>
      </c>
      <c r="G10" s="139"/>
      <c r="H10" s="9"/>
      <c r="I10" s="140"/>
      <c r="J10" s="139"/>
      <c r="K10" s="9"/>
      <c r="L10" s="140"/>
      <c r="M10" s="139"/>
      <c r="N10" s="9"/>
      <c r="O10" s="140"/>
      <c r="P10" s="37">
        <f t="shared" si="2"/>
        <v>0</v>
      </c>
      <c r="Q10" s="50">
        <f>Table5[[#This Row],[Total Metres]]*Table5[[#This Row],[£Cost /m]]</f>
        <v>0</v>
      </c>
      <c r="R10" s="51"/>
      <c r="S10" s="52"/>
      <c r="T10" s="39">
        <f>(Table5[[#This Row],[£/Tonne]]/1000)*Table5[[#This Row],[KG/M]]</f>
        <v>0</v>
      </c>
      <c r="U10" s="7">
        <v>6.1</v>
      </c>
      <c r="V10" s="217">
        <f>(S10/1000)*F10*Table5[[#This Row],[Normal Length]]</f>
        <v>0</v>
      </c>
      <c r="X10" s="217">
        <f>Table5[[#This Row],[£/Length]]*(1+X$2)</f>
        <v>0</v>
      </c>
      <c r="Y10" s="217">
        <f>Table5[[#This Row],[£/Length]]*(1+Y$2)</f>
        <v>0</v>
      </c>
      <c r="Z10" s="217">
        <f>Table5[[#This Row],[£/Length]]*(1+Z$2)</f>
        <v>0</v>
      </c>
      <c r="AA10" s="217">
        <f>Table5[[#This Row],[£/Length]]*(1+AA$2)</f>
        <v>0</v>
      </c>
      <c r="AB10" s="217">
        <f>Table5[[#This Row],[£/Length]]*(1+AB$2)</f>
        <v>0</v>
      </c>
    </row>
    <row r="11" spans="1:28" ht="25.35" customHeight="1">
      <c r="A11" s="7" t="s">
        <v>81</v>
      </c>
      <c r="B11" s="7" t="str">
        <f t="shared" si="0"/>
        <v>FL_30_5</v>
      </c>
      <c r="C11" s="7" t="str">
        <f t="shared" si="1"/>
        <v>FL_30_5 @ 1.18Kg/m</v>
      </c>
      <c r="D11" s="6" t="s">
        <v>500</v>
      </c>
      <c r="E11" s="6" t="s">
        <v>503</v>
      </c>
      <c r="F11" s="133">
        <f>Density!$E$45/1000000*D11*E11</f>
        <v>1.1775</v>
      </c>
      <c r="G11" s="139">
        <v>6.1</v>
      </c>
      <c r="H11" s="9">
        <v>1</v>
      </c>
      <c r="I11" s="140" t="s">
        <v>422</v>
      </c>
      <c r="J11" s="139">
        <v>2.5</v>
      </c>
      <c r="K11" s="9">
        <v>1</v>
      </c>
      <c r="L11" s="140" t="s">
        <v>422</v>
      </c>
      <c r="M11" s="139"/>
      <c r="N11" s="9"/>
      <c r="O11" s="140"/>
      <c r="P11" s="37">
        <f t="shared" si="2"/>
        <v>8.6</v>
      </c>
      <c r="Q11" s="50">
        <f>Table5[[#This Row],[Total Metres]]*Table5[[#This Row],[£Cost /m]]</f>
        <v>6.0758999999999999</v>
      </c>
      <c r="R11" s="51"/>
      <c r="S11" s="52">
        <v>600</v>
      </c>
      <c r="T11" s="39">
        <f>(Table5[[#This Row],[£/Tonne]]/1000)*Table5[[#This Row],[KG/M]]</f>
        <v>0.70650000000000002</v>
      </c>
      <c r="U11" s="7">
        <v>6.1</v>
      </c>
      <c r="V11" s="217">
        <f>(S11/1000)*F11*Table5[[#This Row],[Normal Length]]</f>
        <v>4.3096499999999995</v>
      </c>
      <c r="X11" s="217">
        <f>Table5[[#This Row],[£/Length]]*(1+X$2)</f>
        <v>5.6025449999999992</v>
      </c>
      <c r="Y11" s="217">
        <f>Table5[[#This Row],[£/Length]]*(1+Y$2)</f>
        <v>5.8180274999999995</v>
      </c>
      <c r="Z11" s="217">
        <f>Table5[[#This Row],[£/Length]]*(1+Z$2)</f>
        <v>6.0335099999999988</v>
      </c>
      <c r="AA11" s="217">
        <f>Table5[[#This Row],[£/Length]]*(1+AA$2)</f>
        <v>6.4644749999999993</v>
      </c>
      <c r="AB11" s="217">
        <f>Table5[[#This Row],[£/Length]]*(1+AB$2)</f>
        <v>6.8954399999999998</v>
      </c>
    </row>
    <row r="12" spans="1:28" ht="25.35" customHeight="1">
      <c r="A12" s="7" t="s">
        <v>81</v>
      </c>
      <c r="B12" s="7" t="str">
        <f t="shared" si="0"/>
        <v>FL_40_5</v>
      </c>
      <c r="C12" s="7" t="str">
        <f t="shared" si="1"/>
        <v>FL_40_5 @ 1.57Kg/m</v>
      </c>
      <c r="D12" s="6" t="s">
        <v>501</v>
      </c>
      <c r="E12" s="6" t="s">
        <v>503</v>
      </c>
      <c r="F12" s="133">
        <f>Density!$E$45/1000000*D12*E12</f>
        <v>1.5699999999999998</v>
      </c>
      <c r="G12" s="139"/>
      <c r="H12" s="9"/>
      <c r="I12" s="140"/>
      <c r="J12" s="139"/>
      <c r="K12" s="9"/>
      <c r="L12" s="140"/>
      <c r="M12" s="139"/>
      <c r="N12" s="9"/>
      <c r="O12" s="140"/>
      <c r="P12" s="37">
        <f t="shared" si="2"/>
        <v>0</v>
      </c>
      <c r="Q12" s="50">
        <f>Table5[[#This Row],[Total Metres]]*Table5[[#This Row],[£Cost /m]]</f>
        <v>0</v>
      </c>
      <c r="R12" s="51"/>
      <c r="S12" s="52"/>
      <c r="T12" s="39">
        <f>(Table5[[#This Row],[£/Tonne]]/1000)*Table5[[#This Row],[KG/M]]</f>
        <v>0</v>
      </c>
      <c r="U12" s="7">
        <v>6.1</v>
      </c>
      <c r="V12" s="217">
        <f>(S12/1000)*F12*Table5[[#This Row],[Normal Length]]</f>
        <v>0</v>
      </c>
      <c r="X12" s="217">
        <f>Table5[[#This Row],[£/Length]]*(1+X$2)</f>
        <v>0</v>
      </c>
      <c r="Y12" s="217">
        <f>Table5[[#This Row],[£/Length]]*(1+Y$2)</f>
        <v>0</v>
      </c>
      <c r="Z12" s="217">
        <f>Table5[[#This Row],[£/Length]]*(1+Z$2)</f>
        <v>0</v>
      </c>
      <c r="AA12" s="217">
        <f>Table5[[#This Row],[£/Length]]*(1+AA$2)</f>
        <v>0</v>
      </c>
      <c r="AB12" s="217">
        <f>Table5[[#This Row],[£/Length]]*(1+AB$2)</f>
        <v>0</v>
      </c>
    </row>
    <row r="13" spans="1:28" ht="25.35" customHeight="1">
      <c r="A13" s="7" t="s">
        <v>81</v>
      </c>
      <c r="B13" s="7" t="str">
        <f t="shared" si="0"/>
        <v>FL_25_6</v>
      </c>
      <c r="C13" s="7" t="str">
        <f t="shared" si="1"/>
        <v>FL_25_6 @ 1.18Kg/m</v>
      </c>
      <c r="D13" s="6" t="s">
        <v>499</v>
      </c>
      <c r="E13" s="6" t="s">
        <v>505</v>
      </c>
      <c r="F13" s="133">
        <f>Density!$E$45/1000000*D13*E13</f>
        <v>1.1774999999999998</v>
      </c>
      <c r="G13" s="139"/>
      <c r="H13" s="9"/>
      <c r="I13" s="140"/>
      <c r="J13" s="139"/>
      <c r="K13" s="9"/>
      <c r="L13" s="140"/>
      <c r="M13" s="139"/>
      <c r="N13" s="9"/>
      <c r="O13" s="140"/>
      <c r="P13" s="37">
        <f t="shared" si="2"/>
        <v>0</v>
      </c>
      <c r="Q13" s="50">
        <f>Table5[[#This Row],[Total Metres]]*Table5[[#This Row],[£Cost /m]]</f>
        <v>0</v>
      </c>
      <c r="R13" s="51"/>
      <c r="S13" s="52"/>
      <c r="T13" s="39">
        <f>(Table5[[#This Row],[£/Tonne]]/1000)*Table5[[#This Row],[KG/M]]</f>
        <v>0</v>
      </c>
      <c r="U13" s="7">
        <v>6.1</v>
      </c>
      <c r="V13" s="217">
        <f>(S13/1000)*F13*Table5[[#This Row],[Normal Length]]</f>
        <v>0</v>
      </c>
      <c r="X13" s="217">
        <f>Table5[[#This Row],[£/Length]]*(1+X$2)</f>
        <v>0</v>
      </c>
      <c r="Y13" s="217">
        <f>Table5[[#This Row],[£/Length]]*(1+Y$2)</f>
        <v>0</v>
      </c>
      <c r="Z13" s="217">
        <f>Table5[[#This Row],[£/Length]]*(1+Z$2)</f>
        <v>0</v>
      </c>
      <c r="AA13" s="217">
        <f>Table5[[#This Row],[£/Length]]*(1+AA$2)</f>
        <v>0</v>
      </c>
      <c r="AB13" s="217">
        <f>Table5[[#This Row],[£/Length]]*(1+AB$2)</f>
        <v>0</v>
      </c>
    </row>
    <row r="14" spans="1:28" ht="25.35" customHeight="1">
      <c r="A14" s="7" t="s">
        <v>81</v>
      </c>
      <c r="B14" s="7" t="str">
        <f t="shared" si="0"/>
        <v>FL_30_6</v>
      </c>
      <c r="C14" s="7" t="str">
        <f t="shared" si="1"/>
        <v>FL_30_6 @ 1.41Kg/m</v>
      </c>
      <c r="D14" s="6" t="s">
        <v>500</v>
      </c>
      <c r="E14" s="6" t="s">
        <v>505</v>
      </c>
      <c r="F14" s="133">
        <f>Density!$E$45/1000000*D14*E14</f>
        <v>1.4129999999999998</v>
      </c>
      <c r="G14" s="139">
        <v>6.1</v>
      </c>
      <c r="H14" s="9">
        <v>25</v>
      </c>
      <c r="I14" s="140" t="s">
        <v>422</v>
      </c>
      <c r="J14" s="139">
        <v>6.1</v>
      </c>
      <c r="K14" s="9">
        <v>37</v>
      </c>
      <c r="L14" s="140" t="s">
        <v>422</v>
      </c>
      <c r="M14" s="139"/>
      <c r="N14" s="9"/>
      <c r="O14" s="140"/>
      <c r="P14" s="37">
        <f t="shared" si="2"/>
        <v>378.2</v>
      </c>
      <c r="Q14" s="50">
        <f>Table5[[#This Row],[Total Metres]]*Table5[[#This Row],[£Cost /m]]</f>
        <v>374.07761999999991</v>
      </c>
      <c r="R14" s="51"/>
      <c r="S14" s="52">
        <v>700</v>
      </c>
      <c r="T14" s="39">
        <f>(Table5[[#This Row],[£/Tonne]]/1000)*Table5[[#This Row],[KG/M]]</f>
        <v>0.98909999999999976</v>
      </c>
      <c r="U14" s="7">
        <v>6.1</v>
      </c>
      <c r="V14" s="217">
        <f>(S14/1000)*F14*Table5[[#This Row],[Normal Length]]</f>
        <v>6.0335099999999979</v>
      </c>
      <c r="X14" s="217">
        <f>Table5[[#This Row],[£/Length]]*(1+X$2)</f>
        <v>7.8435629999999978</v>
      </c>
      <c r="Y14" s="217">
        <f>Table5[[#This Row],[£/Length]]*(1+Y$2)</f>
        <v>8.1452384999999978</v>
      </c>
      <c r="Z14" s="217">
        <f>Table5[[#This Row],[£/Length]]*(1+Z$2)</f>
        <v>8.446913999999996</v>
      </c>
      <c r="AA14" s="217">
        <f>Table5[[#This Row],[£/Length]]*(1+AA$2)</f>
        <v>9.050264999999996</v>
      </c>
      <c r="AB14" s="217">
        <f>Table5[[#This Row],[£/Length]]*(1+AB$2)</f>
        <v>9.6536159999999978</v>
      </c>
    </row>
    <row r="15" spans="1:28" ht="25.35" customHeight="1">
      <c r="A15" s="7" t="s">
        <v>81</v>
      </c>
      <c r="B15" s="7" t="str">
        <f t="shared" si="0"/>
        <v>FL_40_6</v>
      </c>
      <c r="C15" s="7" t="str">
        <f t="shared" si="1"/>
        <v>FL_40_6 @ 1.88Kg/m</v>
      </c>
      <c r="D15" s="6" t="s">
        <v>501</v>
      </c>
      <c r="E15" s="6" t="s">
        <v>505</v>
      </c>
      <c r="F15" s="133">
        <f>Density!$E$45/1000000*D15*E15</f>
        <v>1.8839999999999997</v>
      </c>
      <c r="G15" s="139">
        <v>6.1</v>
      </c>
      <c r="H15" s="9">
        <v>20</v>
      </c>
      <c r="I15" s="140" t="s">
        <v>422</v>
      </c>
      <c r="J15" s="139"/>
      <c r="K15" s="9"/>
      <c r="L15" s="140"/>
      <c r="M15" s="139"/>
      <c r="N15" s="9"/>
      <c r="O15" s="140"/>
      <c r="P15" s="37">
        <f t="shared" si="2"/>
        <v>122</v>
      </c>
      <c r="Q15" s="50">
        <f>Table5[[#This Row],[Total Metres]]*Table5[[#This Row],[£Cost /m]]</f>
        <v>174.68447999999998</v>
      </c>
      <c r="R15" s="51"/>
      <c r="S15" s="52">
        <v>760</v>
      </c>
      <c r="T15" s="39">
        <f>(Table5[[#This Row],[£/Tonne]]/1000)*Table5[[#This Row],[KG/M]]</f>
        <v>1.4318399999999998</v>
      </c>
      <c r="U15" s="7">
        <v>6.1</v>
      </c>
      <c r="V15" s="217">
        <f>(S15/1000)*F15*Table5[[#This Row],[Normal Length]]</f>
        <v>8.7342239999999975</v>
      </c>
      <c r="X15" s="217">
        <f>Table5[[#This Row],[£/Length]]*(1+X$2)</f>
        <v>11.354491199999996</v>
      </c>
      <c r="Y15" s="217">
        <f>Table5[[#This Row],[£/Length]]*(1+Y$2)</f>
        <v>11.791202399999998</v>
      </c>
      <c r="Z15" s="217">
        <f>Table5[[#This Row],[£/Length]]*(1+Z$2)</f>
        <v>12.227913599999995</v>
      </c>
      <c r="AA15" s="217">
        <f>Table5[[#This Row],[£/Length]]*(1+AA$2)</f>
        <v>13.101335999999996</v>
      </c>
      <c r="AB15" s="217">
        <f>Table5[[#This Row],[£/Length]]*(1+AB$2)</f>
        <v>13.974758399999997</v>
      </c>
    </row>
    <row r="16" spans="1:28" ht="25.35" customHeight="1">
      <c r="A16" s="7" t="s">
        <v>81</v>
      </c>
      <c r="B16" s="7" t="str">
        <f t="shared" si="0"/>
        <v>FL_50_6</v>
      </c>
      <c r="C16" s="7" t="str">
        <f t="shared" si="1"/>
        <v>FL_50_6 @ 2.36Kg/m</v>
      </c>
      <c r="D16" s="6" t="s">
        <v>506</v>
      </c>
      <c r="E16" s="6" t="s">
        <v>505</v>
      </c>
      <c r="F16" s="133">
        <f>Density!$E$45/1000000*D16*E16</f>
        <v>2.3549999999999995</v>
      </c>
      <c r="G16" s="139">
        <v>6.1</v>
      </c>
      <c r="H16" s="9">
        <v>30</v>
      </c>
      <c r="I16" s="140" t="s">
        <v>422</v>
      </c>
      <c r="J16" s="139"/>
      <c r="K16" s="9"/>
      <c r="L16" s="140"/>
      <c r="M16" s="139"/>
      <c r="N16" s="9"/>
      <c r="O16" s="140"/>
      <c r="P16" s="37">
        <f t="shared" si="2"/>
        <v>183</v>
      </c>
      <c r="Q16" s="50">
        <f>Table5[[#This Row],[Total Metres]]*Table5[[#This Row],[£Cost /m]]</f>
        <v>301.67549999999994</v>
      </c>
      <c r="R16" s="51"/>
      <c r="S16" s="52">
        <v>700</v>
      </c>
      <c r="T16" s="39">
        <f>(Table5[[#This Row],[£/Tonne]]/1000)*Table5[[#This Row],[KG/M]]</f>
        <v>1.6484999999999996</v>
      </c>
      <c r="U16" s="7">
        <v>6.1</v>
      </c>
      <c r="V16" s="217">
        <f>(S16/1000)*F16*Table5[[#This Row],[Normal Length]]</f>
        <v>10.055849999999998</v>
      </c>
      <c r="X16" s="217">
        <f>Table5[[#This Row],[£/Length]]*(1+X$2)</f>
        <v>13.072604999999998</v>
      </c>
      <c r="Y16" s="217">
        <f>Table5[[#This Row],[£/Length]]*(1+Y$2)</f>
        <v>13.575397499999998</v>
      </c>
      <c r="Z16" s="217">
        <f>Table5[[#This Row],[£/Length]]*(1+Z$2)</f>
        <v>14.078189999999996</v>
      </c>
      <c r="AA16" s="217">
        <f>Table5[[#This Row],[£/Length]]*(1+AA$2)</f>
        <v>15.083774999999996</v>
      </c>
      <c r="AB16" s="217">
        <f>Table5[[#This Row],[£/Length]]*(1+AB$2)</f>
        <v>16.089359999999996</v>
      </c>
    </row>
    <row r="17" spans="1:28" ht="25.35" customHeight="1">
      <c r="A17" s="7" t="s">
        <v>81</v>
      </c>
      <c r="B17" s="7" t="str">
        <f t="shared" si="0"/>
        <v>FL_65_6</v>
      </c>
      <c r="C17" s="7" t="str">
        <f t="shared" si="1"/>
        <v>FL_65_6 @ 3.06Kg/m</v>
      </c>
      <c r="D17" s="6" t="s">
        <v>507</v>
      </c>
      <c r="E17" s="6" t="s">
        <v>505</v>
      </c>
      <c r="F17" s="133">
        <f>Density!$E$45/1000000*D17*E17</f>
        <v>3.0614999999999997</v>
      </c>
      <c r="G17" s="139">
        <v>6.1</v>
      </c>
      <c r="H17" s="9">
        <v>14</v>
      </c>
      <c r="I17" s="140" t="s">
        <v>422</v>
      </c>
      <c r="J17" s="139"/>
      <c r="K17" s="9"/>
      <c r="L17" s="140"/>
      <c r="M17" s="139"/>
      <c r="N17" s="9"/>
      <c r="O17" s="140"/>
      <c r="P17" s="37">
        <f t="shared" si="2"/>
        <v>85.399999999999991</v>
      </c>
      <c r="Q17" s="50">
        <f>Table5[[#This Row],[Total Metres]]*Table5[[#This Row],[£Cost /m]]</f>
        <v>141.18413399999997</v>
      </c>
      <c r="R17" s="51"/>
      <c r="S17" s="52">
        <v>540</v>
      </c>
      <c r="T17" s="39">
        <f>(Table5[[#This Row],[£/Tonne]]/1000)*Table5[[#This Row],[KG/M]]</f>
        <v>1.6532099999999998</v>
      </c>
      <c r="U17" s="7">
        <v>6.1</v>
      </c>
      <c r="V17" s="217">
        <f>(S17/1000)*F17*Table5[[#This Row],[Normal Length]]</f>
        <v>10.084580999999998</v>
      </c>
      <c r="X17" s="217">
        <f>Table5[[#This Row],[£/Length]]*(1+X$2)</f>
        <v>13.109955299999998</v>
      </c>
      <c r="Y17" s="217">
        <f>Table5[[#This Row],[£/Length]]*(1+Y$2)</f>
        <v>13.614184349999999</v>
      </c>
      <c r="Z17" s="217">
        <f>Table5[[#This Row],[£/Length]]*(1+Z$2)</f>
        <v>14.118413399999996</v>
      </c>
      <c r="AA17" s="217">
        <f>Table5[[#This Row],[£/Length]]*(1+AA$2)</f>
        <v>15.126871499999996</v>
      </c>
      <c r="AB17" s="217">
        <f>Table5[[#This Row],[£/Length]]*(1+AB$2)</f>
        <v>16.135329599999999</v>
      </c>
    </row>
    <row r="18" spans="1:28" ht="25.35" customHeight="1">
      <c r="A18" s="7" t="s">
        <v>81</v>
      </c>
      <c r="B18" s="7" t="str">
        <f t="shared" si="0"/>
        <v>FL_75_6</v>
      </c>
      <c r="C18" s="7" t="str">
        <f t="shared" si="1"/>
        <v>FL_75_6 @ 3.53Kg/m</v>
      </c>
      <c r="D18" s="6" t="s">
        <v>508</v>
      </c>
      <c r="E18" s="6" t="s">
        <v>505</v>
      </c>
      <c r="F18" s="133">
        <f>Density!$E$45/1000000*D18*E18</f>
        <v>3.5324999999999998</v>
      </c>
      <c r="G18" s="139">
        <v>6.1</v>
      </c>
      <c r="H18" s="9">
        <v>19</v>
      </c>
      <c r="I18" s="140" t="s">
        <v>422</v>
      </c>
      <c r="J18" s="139"/>
      <c r="K18" s="9"/>
      <c r="L18" s="140"/>
      <c r="M18" s="139"/>
      <c r="N18" s="9"/>
      <c r="O18" s="140"/>
      <c r="P18" s="37">
        <f t="shared" si="2"/>
        <v>115.89999999999999</v>
      </c>
      <c r="Q18" s="50">
        <f>Table5[[#This Row],[Total Metres]]*Table5[[#This Row],[£Cost /m]]</f>
        <v>368.47507499999995</v>
      </c>
      <c r="R18" s="51"/>
      <c r="S18" s="52">
        <v>900</v>
      </c>
      <c r="T18" s="39">
        <f>(Table5[[#This Row],[£/Tonne]]/1000)*Table5[[#This Row],[KG/M]]</f>
        <v>3.1792499999999997</v>
      </c>
      <c r="U18" s="7">
        <v>6.1</v>
      </c>
      <c r="V18" s="217">
        <f>(S18/1000)*F18*Table5[[#This Row],[Normal Length]]</f>
        <v>19.393424999999997</v>
      </c>
      <c r="X18" s="217">
        <f>Table5[[#This Row],[£/Length]]*(1+X$2)</f>
        <v>25.211452499999996</v>
      </c>
      <c r="Y18" s="217">
        <f>Table5[[#This Row],[£/Length]]*(1+Y$2)</f>
        <v>26.181123749999998</v>
      </c>
      <c r="Z18" s="217">
        <f>Table5[[#This Row],[£/Length]]*(1+Z$2)</f>
        <v>27.150794999999995</v>
      </c>
      <c r="AA18" s="217">
        <f>Table5[[#This Row],[£/Length]]*(1+AA$2)</f>
        <v>29.090137499999997</v>
      </c>
      <c r="AB18" s="217">
        <f>Table5[[#This Row],[£/Length]]*(1+AB$2)</f>
        <v>31.029479999999996</v>
      </c>
    </row>
    <row r="19" spans="1:28" ht="25.35" customHeight="1">
      <c r="A19" s="7" t="s">
        <v>81</v>
      </c>
      <c r="B19" s="7" t="str">
        <f t="shared" si="0"/>
        <v>FL_80_6</v>
      </c>
      <c r="C19" s="7" t="str">
        <f t="shared" si="1"/>
        <v>FL_80_6 @ 3.77Kg/m</v>
      </c>
      <c r="D19" s="6" t="s">
        <v>509</v>
      </c>
      <c r="E19" s="6" t="s">
        <v>505</v>
      </c>
      <c r="F19" s="133">
        <f>Density!$E$45/1000000*D19*E19</f>
        <v>3.7679999999999993</v>
      </c>
      <c r="G19" s="139"/>
      <c r="H19" s="9"/>
      <c r="I19" s="140"/>
      <c r="J19" s="139"/>
      <c r="K19" s="9"/>
      <c r="L19" s="140"/>
      <c r="M19" s="139"/>
      <c r="N19" s="9"/>
      <c r="O19" s="140"/>
      <c r="P19" s="37">
        <f t="shared" si="2"/>
        <v>0</v>
      </c>
      <c r="Q19" s="50">
        <f>Table5[[#This Row],[Total Metres]]*Table5[[#This Row],[£Cost /m]]</f>
        <v>0</v>
      </c>
      <c r="R19" s="51"/>
      <c r="S19" s="52"/>
      <c r="T19" s="39">
        <f>(Table5[[#This Row],[£/Tonne]]/1000)*Table5[[#This Row],[KG/M]]</f>
        <v>0</v>
      </c>
      <c r="U19" s="7">
        <v>6.1</v>
      </c>
      <c r="V19" s="217">
        <f>(S19/1000)*F19*Table5[[#This Row],[Normal Length]]</f>
        <v>0</v>
      </c>
      <c r="X19" s="217">
        <f>Table5[[#This Row],[£/Length]]*(1+X$2)</f>
        <v>0</v>
      </c>
      <c r="Y19" s="217">
        <f>Table5[[#This Row],[£/Length]]*(1+Y$2)</f>
        <v>0</v>
      </c>
      <c r="Z19" s="217">
        <f>Table5[[#This Row],[£/Length]]*(1+Z$2)</f>
        <v>0</v>
      </c>
      <c r="AA19" s="217">
        <f>Table5[[#This Row],[£/Length]]*(1+AA$2)</f>
        <v>0</v>
      </c>
      <c r="AB19" s="217">
        <f>Table5[[#This Row],[£/Length]]*(1+AB$2)</f>
        <v>0</v>
      </c>
    </row>
    <row r="20" spans="1:28" ht="25.35" customHeight="1">
      <c r="A20" s="7" t="s">
        <v>81</v>
      </c>
      <c r="B20" s="7" t="str">
        <f t="shared" si="0"/>
        <v>FL_100_6</v>
      </c>
      <c r="C20" s="7" t="str">
        <f t="shared" si="1"/>
        <v>FL_100_6 @ 4.71Kg/m</v>
      </c>
      <c r="D20" s="70">
        <v>100</v>
      </c>
      <c r="E20" s="6" t="s">
        <v>505</v>
      </c>
      <c r="F20" s="133">
        <f>Density!$E$45/1000000*D20*E20</f>
        <v>4.7099999999999991</v>
      </c>
      <c r="G20" s="139">
        <v>6.1</v>
      </c>
      <c r="H20" s="9">
        <v>7.5</v>
      </c>
      <c r="I20" s="140" t="s">
        <v>422</v>
      </c>
      <c r="J20" s="139"/>
      <c r="K20" s="9"/>
      <c r="L20" s="140"/>
      <c r="M20" s="139"/>
      <c r="N20" s="9"/>
      <c r="O20" s="140"/>
      <c r="P20" s="37">
        <f t="shared" si="2"/>
        <v>45.75</v>
      </c>
      <c r="Q20" s="50">
        <f>Table5[[#This Row],[Total Metres]]*Table5[[#This Row],[£Cost /m]]</f>
        <v>169.15376249999997</v>
      </c>
      <c r="R20" s="51"/>
      <c r="S20" s="52">
        <v>785</v>
      </c>
      <c r="T20" s="39">
        <f>(Table5[[#This Row],[£/Tonne]]/1000)*Table5[[#This Row],[KG/M]]</f>
        <v>3.6973499999999992</v>
      </c>
      <c r="U20" s="7">
        <v>6.1</v>
      </c>
      <c r="V20" s="217">
        <f>(S20/1000)*F20*Table5[[#This Row],[Normal Length]]</f>
        <v>22.553834999999996</v>
      </c>
      <c r="X20" s="217">
        <f>Table5[[#This Row],[£/Length]]*(1+X$2)</f>
        <v>29.319985499999994</v>
      </c>
      <c r="Y20" s="217">
        <f>Table5[[#This Row],[£/Length]]*(1+Y$2)</f>
        <v>30.447677249999998</v>
      </c>
      <c r="Z20" s="217">
        <f>Table5[[#This Row],[£/Length]]*(1+Z$2)</f>
        <v>31.575368999999991</v>
      </c>
      <c r="AA20" s="217">
        <f>Table5[[#This Row],[£/Length]]*(1+AA$2)</f>
        <v>33.830752499999996</v>
      </c>
      <c r="AB20" s="217">
        <f>Table5[[#This Row],[£/Length]]*(1+AB$2)</f>
        <v>36.086135999999996</v>
      </c>
    </row>
    <row r="21" spans="1:28" ht="25.35" customHeight="1">
      <c r="A21" s="7" t="s">
        <v>81</v>
      </c>
      <c r="B21" s="7" t="str">
        <f t="shared" ref="B21" si="3">_xlfn.CONCAT(A21,"_",D21,"_",E21)</f>
        <v>FL_120_6</v>
      </c>
      <c r="C21" s="7" t="str">
        <f t="shared" ref="C21" si="4">_xlfn.CONCAT(B21, " @ ",ROUND(F21,2),"Kg/m")</f>
        <v>FL_120_6 @ 5.65Kg/m</v>
      </c>
      <c r="D21" s="70">
        <v>120</v>
      </c>
      <c r="E21" s="70">
        <v>6</v>
      </c>
      <c r="F21" s="133">
        <f>Density!$E$45/1000000*D21*E21</f>
        <v>5.6519999999999992</v>
      </c>
      <c r="G21" s="139">
        <v>0.67</v>
      </c>
      <c r="H21" s="9">
        <v>1</v>
      </c>
      <c r="I21" s="140" t="s">
        <v>422</v>
      </c>
      <c r="J21" s="139">
        <v>2.5</v>
      </c>
      <c r="K21" s="9">
        <v>1</v>
      </c>
      <c r="L21" s="140" t="s">
        <v>422</v>
      </c>
      <c r="M21" s="139"/>
      <c r="N21" s="9"/>
      <c r="O21" s="140"/>
      <c r="P21" s="37">
        <f t="shared" si="2"/>
        <v>3.17</v>
      </c>
      <c r="Q21" s="50">
        <f>Table5[[#This Row],[Total Metres]]*Table5[[#This Row],[£Cost /m]]</f>
        <v>14.333471999999997</v>
      </c>
      <c r="R21" s="51"/>
      <c r="S21" s="52">
        <v>800</v>
      </c>
      <c r="T21" s="39">
        <f>(Table5[[#This Row],[£/Tonne]]/1000)*Table5[[#This Row],[KG/M]]</f>
        <v>4.5215999999999994</v>
      </c>
      <c r="U21" s="7">
        <v>6.1</v>
      </c>
      <c r="V21" s="217">
        <f>(S21/1000)*F21*Table5[[#This Row],[Normal Length]]</f>
        <v>27.581759999999996</v>
      </c>
      <c r="X21" s="217">
        <f>Table5[[#This Row],[£/Length]]*(1+X$2)</f>
        <v>35.856287999999992</v>
      </c>
      <c r="Y21" s="217">
        <f>Table5[[#This Row],[£/Length]]*(1+Y$2)</f>
        <v>37.235375999999995</v>
      </c>
      <c r="Z21" s="217">
        <f>Table5[[#This Row],[£/Length]]*(1+Z$2)</f>
        <v>38.614463999999991</v>
      </c>
      <c r="AA21" s="217">
        <f>Table5[[#This Row],[£/Length]]*(1+AA$2)</f>
        <v>41.37263999999999</v>
      </c>
      <c r="AB21" s="217">
        <f>Table5[[#This Row],[£/Length]]*(1+AB$2)</f>
        <v>44.130815999999996</v>
      </c>
    </row>
    <row r="22" spans="1:28" ht="25.35" customHeight="1">
      <c r="A22" s="7" t="s">
        <v>81</v>
      </c>
      <c r="B22" s="7" t="str">
        <f t="shared" si="0"/>
        <v>FL_150_6</v>
      </c>
      <c r="C22" s="7" t="str">
        <f t="shared" si="1"/>
        <v>FL_150_6 @ 7.07Kg/m</v>
      </c>
      <c r="D22" s="70">
        <v>150</v>
      </c>
      <c r="E22" s="6" t="s">
        <v>505</v>
      </c>
      <c r="F22" s="133">
        <f>Density!$E$45/1000000*D22*E22</f>
        <v>7.0649999999999995</v>
      </c>
      <c r="G22" s="139">
        <v>0.67</v>
      </c>
      <c r="H22" s="9">
        <v>1</v>
      </c>
      <c r="I22" s="140" t="s">
        <v>422</v>
      </c>
      <c r="J22" s="139"/>
      <c r="K22" s="9"/>
      <c r="L22" s="140"/>
      <c r="M22" s="139"/>
      <c r="N22" s="9"/>
      <c r="O22" s="140"/>
      <c r="P22" s="37">
        <f t="shared" si="2"/>
        <v>0.67</v>
      </c>
      <c r="Q22" s="50">
        <f>Table5[[#This Row],[Total Metres]]*Table5[[#This Row],[£Cost /m]]</f>
        <v>3.7868400000000002</v>
      </c>
      <c r="R22" s="51"/>
      <c r="S22" s="52">
        <v>800</v>
      </c>
      <c r="T22" s="39">
        <f>(Table5[[#This Row],[£/Tonne]]/1000)*Table5[[#This Row],[KG/M]]</f>
        <v>5.6520000000000001</v>
      </c>
      <c r="U22" s="7">
        <v>6.1</v>
      </c>
      <c r="V22" s="217">
        <f>(S22/1000)*F22*Table5[[#This Row],[Normal Length]]</f>
        <v>34.477199999999996</v>
      </c>
      <c r="X22" s="217">
        <f>Table5[[#This Row],[£/Length]]*(1+X$2)</f>
        <v>44.820359999999994</v>
      </c>
      <c r="Y22" s="217">
        <f>Table5[[#This Row],[£/Length]]*(1+Y$2)</f>
        <v>46.544219999999996</v>
      </c>
      <c r="Z22" s="217">
        <f>Table5[[#This Row],[£/Length]]*(1+Z$2)</f>
        <v>48.268079999999991</v>
      </c>
      <c r="AA22" s="217">
        <f>Table5[[#This Row],[£/Length]]*(1+AA$2)</f>
        <v>51.715799999999994</v>
      </c>
      <c r="AB22" s="217">
        <f>Table5[[#This Row],[£/Length]]*(1+AB$2)</f>
        <v>55.163519999999998</v>
      </c>
    </row>
    <row r="23" spans="1:28" ht="25.35" customHeight="1">
      <c r="A23" s="7" t="s">
        <v>81</v>
      </c>
      <c r="B23" s="7" t="str">
        <f t="shared" si="0"/>
        <v>FL_200_6</v>
      </c>
      <c r="C23" s="7" t="str">
        <f t="shared" si="1"/>
        <v>FL_200_6 @ 9.42Kg/m</v>
      </c>
      <c r="D23" s="70">
        <v>200</v>
      </c>
      <c r="E23" s="6" t="s">
        <v>505</v>
      </c>
      <c r="F23" s="133">
        <f>Density!$E$45/1000000*D23*E23</f>
        <v>9.4199999999999982</v>
      </c>
      <c r="G23" s="139"/>
      <c r="H23" s="9"/>
      <c r="I23" s="140"/>
      <c r="J23" s="139"/>
      <c r="K23" s="9"/>
      <c r="L23" s="140"/>
      <c r="M23" s="139"/>
      <c r="N23" s="9"/>
      <c r="O23" s="140"/>
      <c r="P23" s="37">
        <f t="shared" si="2"/>
        <v>0</v>
      </c>
      <c r="Q23" s="50">
        <f>Table5[[#This Row],[Total Metres]]*Table5[[#This Row],[£Cost /m]]</f>
        <v>0</v>
      </c>
      <c r="R23" s="51"/>
      <c r="S23" s="52"/>
      <c r="T23" s="39">
        <f>(Table5[[#This Row],[£/Tonne]]/1000)*Table5[[#This Row],[KG/M]]</f>
        <v>0</v>
      </c>
      <c r="U23" s="7">
        <v>6.1</v>
      </c>
      <c r="V23" s="217">
        <f>(S23/1000)*F23*Table5[[#This Row],[Normal Length]]</f>
        <v>0</v>
      </c>
      <c r="X23" s="217">
        <f>Table5[[#This Row],[£/Length]]*(1+X$2)</f>
        <v>0</v>
      </c>
      <c r="Y23" s="217">
        <f>Table5[[#This Row],[£/Length]]*(1+Y$2)</f>
        <v>0</v>
      </c>
      <c r="Z23" s="217">
        <f>Table5[[#This Row],[£/Length]]*(1+Z$2)</f>
        <v>0</v>
      </c>
      <c r="AA23" s="217">
        <f>Table5[[#This Row],[£/Length]]*(1+AA$2)</f>
        <v>0</v>
      </c>
      <c r="AB23" s="217">
        <f>Table5[[#This Row],[£/Length]]*(1+AB$2)</f>
        <v>0</v>
      </c>
    </row>
    <row r="24" spans="1:28" ht="25.35" customHeight="1">
      <c r="A24" s="7" t="s">
        <v>81</v>
      </c>
      <c r="B24" s="7" t="str">
        <f t="shared" si="0"/>
        <v>FL_25_8</v>
      </c>
      <c r="C24" s="7" t="str">
        <f t="shared" si="1"/>
        <v>FL_25_8 @ 1.57Kg/m</v>
      </c>
      <c r="D24" s="6" t="s">
        <v>499</v>
      </c>
      <c r="E24" s="6" t="s">
        <v>510</v>
      </c>
      <c r="F24" s="133">
        <f>Density!$E$45/1000000*D24*E24</f>
        <v>1.5699999999999998</v>
      </c>
      <c r="G24" s="139">
        <v>2.5</v>
      </c>
      <c r="H24" s="9">
        <v>1</v>
      </c>
      <c r="I24" s="140" t="s">
        <v>422</v>
      </c>
      <c r="J24" s="139"/>
      <c r="K24" s="9"/>
      <c r="L24" s="140"/>
      <c r="M24" s="139"/>
      <c r="N24" s="9"/>
      <c r="O24" s="140"/>
      <c r="P24" s="37">
        <f t="shared" si="2"/>
        <v>2.5</v>
      </c>
      <c r="Q24" s="50">
        <f>Table5[[#This Row],[Total Metres]]*Table5[[#This Row],[£Cost /m]]</f>
        <v>2.453125</v>
      </c>
      <c r="R24" s="51"/>
      <c r="S24" s="52">
        <v>625</v>
      </c>
      <c r="T24" s="39">
        <f>(Table5[[#This Row],[£/Tonne]]/1000)*Table5[[#This Row],[KG/M]]</f>
        <v>0.98124999999999996</v>
      </c>
      <c r="U24" s="7">
        <v>6.1</v>
      </c>
      <c r="V24" s="217">
        <f>(S24/1000)*F24*Table5[[#This Row],[Normal Length]]</f>
        <v>5.9856249999999998</v>
      </c>
      <c r="X24" s="217">
        <f>Table5[[#This Row],[£/Length]]*(1+X$2)</f>
        <v>7.7813125000000003</v>
      </c>
      <c r="Y24" s="217">
        <f>Table5[[#This Row],[£/Length]]*(1+Y$2)</f>
        <v>8.0805937500000002</v>
      </c>
      <c r="Z24" s="217">
        <f>Table5[[#This Row],[£/Length]]*(1+Z$2)</f>
        <v>8.3798749999999984</v>
      </c>
      <c r="AA24" s="217">
        <f>Table5[[#This Row],[£/Length]]*(1+AA$2)</f>
        <v>8.9784375000000001</v>
      </c>
      <c r="AB24" s="217">
        <f>Table5[[#This Row],[£/Length]]*(1+AB$2)</f>
        <v>9.577</v>
      </c>
    </row>
    <row r="25" spans="1:28" ht="25.35" customHeight="1">
      <c r="A25" s="7" t="s">
        <v>81</v>
      </c>
      <c r="B25" s="7" t="str">
        <f t="shared" si="0"/>
        <v>FL_30_8</v>
      </c>
      <c r="C25" s="7" t="str">
        <f t="shared" si="1"/>
        <v>FL_30_8 @ 1.88Kg/m</v>
      </c>
      <c r="D25" s="6" t="s">
        <v>500</v>
      </c>
      <c r="E25" s="6" t="s">
        <v>510</v>
      </c>
      <c r="F25" s="133">
        <f>Density!$E$45/1000000*D25*E25</f>
        <v>1.8839999999999999</v>
      </c>
      <c r="G25" s="139"/>
      <c r="H25" s="9"/>
      <c r="I25" s="140"/>
      <c r="J25" s="139"/>
      <c r="K25" s="9"/>
      <c r="L25" s="140"/>
      <c r="M25" s="139"/>
      <c r="N25" s="9"/>
      <c r="O25" s="140"/>
      <c r="P25" s="37">
        <f t="shared" si="2"/>
        <v>0</v>
      </c>
      <c r="Q25" s="50">
        <f>Table5[[#This Row],[Total Metres]]*Table5[[#This Row],[£Cost /m]]</f>
        <v>0</v>
      </c>
      <c r="R25" s="51"/>
      <c r="S25" s="52">
        <v>525</v>
      </c>
      <c r="T25" s="39">
        <f>(Table5[[#This Row],[£/Tonne]]/1000)*Table5[[#This Row],[KG/M]]</f>
        <v>0.98909999999999998</v>
      </c>
      <c r="U25" s="7">
        <v>6.1</v>
      </c>
      <c r="V25" s="217">
        <f>(S25/1000)*F25*Table5[[#This Row],[Normal Length]]</f>
        <v>6.0335099999999997</v>
      </c>
      <c r="X25" s="217">
        <f>Table5[[#This Row],[£/Length]]*(1+X$2)</f>
        <v>7.8435629999999996</v>
      </c>
      <c r="Y25" s="217">
        <f>Table5[[#This Row],[£/Length]]*(1+Y$2)</f>
        <v>8.1452384999999996</v>
      </c>
      <c r="Z25" s="217">
        <f>Table5[[#This Row],[£/Length]]*(1+Z$2)</f>
        <v>8.4469139999999996</v>
      </c>
      <c r="AA25" s="217">
        <f>Table5[[#This Row],[£/Length]]*(1+AA$2)</f>
        <v>9.0502649999999996</v>
      </c>
      <c r="AB25" s="217">
        <f>Table5[[#This Row],[£/Length]]*(1+AB$2)</f>
        <v>9.6536159999999995</v>
      </c>
    </row>
    <row r="26" spans="1:28" ht="25.35" customHeight="1">
      <c r="A26" s="7" t="s">
        <v>81</v>
      </c>
      <c r="B26" s="7" t="str">
        <f t="shared" si="0"/>
        <v>FL_40_8</v>
      </c>
      <c r="C26" s="7" t="str">
        <f t="shared" si="1"/>
        <v>FL_40_8 @ 2.51Kg/m</v>
      </c>
      <c r="D26" s="6" t="s">
        <v>501</v>
      </c>
      <c r="E26" s="6" t="s">
        <v>510</v>
      </c>
      <c r="F26" s="133">
        <f>Density!$E$45/1000000*D26*E26</f>
        <v>2.5119999999999996</v>
      </c>
      <c r="G26" s="139">
        <v>6.1</v>
      </c>
      <c r="H26" s="9">
        <v>32</v>
      </c>
      <c r="I26" s="140" t="s">
        <v>422</v>
      </c>
      <c r="J26" s="139"/>
      <c r="K26" s="9"/>
      <c r="L26" s="140"/>
      <c r="M26" s="139"/>
      <c r="N26" s="9"/>
      <c r="O26" s="140"/>
      <c r="P26" s="37">
        <f t="shared" si="2"/>
        <v>195.2</v>
      </c>
      <c r="Q26" s="50">
        <f>Table5[[#This Row],[Total Metres]]*Table5[[#This Row],[£Cost /m]]</f>
        <v>277.04345599999994</v>
      </c>
      <c r="R26" s="51"/>
      <c r="S26" s="52">
        <v>565</v>
      </c>
      <c r="T26" s="39">
        <f>(Table5[[#This Row],[£/Tonne]]/1000)*Table5[[#This Row],[KG/M]]</f>
        <v>1.4192799999999997</v>
      </c>
      <c r="U26" s="7">
        <v>6.1</v>
      </c>
      <c r="V26" s="217">
        <f>(S26/1000)*F26*Table5[[#This Row],[Normal Length]]</f>
        <v>8.657607999999998</v>
      </c>
      <c r="X26" s="217">
        <f>Table5[[#This Row],[£/Length]]*(1+X$2)</f>
        <v>11.254890399999997</v>
      </c>
      <c r="Y26" s="217">
        <f>Table5[[#This Row],[£/Length]]*(1+Y$2)</f>
        <v>11.687770799999997</v>
      </c>
      <c r="Z26" s="217">
        <f>Table5[[#This Row],[£/Length]]*(1+Z$2)</f>
        <v>12.120651199999996</v>
      </c>
      <c r="AA26" s="217">
        <f>Table5[[#This Row],[£/Length]]*(1+AA$2)</f>
        <v>12.986411999999998</v>
      </c>
      <c r="AB26" s="217">
        <f>Table5[[#This Row],[£/Length]]*(1+AB$2)</f>
        <v>13.852172799999998</v>
      </c>
    </row>
    <row r="27" spans="1:28" ht="25.35" customHeight="1">
      <c r="A27" s="7" t="s">
        <v>81</v>
      </c>
      <c r="B27" s="7" t="str">
        <f t="shared" si="0"/>
        <v>FL_50_8</v>
      </c>
      <c r="C27" s="7" t="str">
        <f t="shared" si="1"/>
        <v>FL_50_8 @ 3.14Kg/m</v>
      </c>
      <c r="D27" s="6" t="s">
        <v>506</v>
      </c>
      <c r="E27" s="6" t="s">
        <v>510</v>
      </c>
      <c r="F27" s="133">
        <f>Density!$E$45/1000000*D27*E27</f>
        <v>3.1399999999999997</v>
      </c>
      <c r="G27" s="139">
        <v>6.1</v>
      </c>
      <c r="H27" s="9">
        <v>22</v>
      </c>
      <c r="I27" s="140" t="s">
        <v>422</v>
      </c>
      <c r="J27" s="139"/>
      <c r="K27" s="9"/>
      <c r="L27" s="140"/>
      <c r="M27" s="139"/>
      <c r="N27" s="9"/>
      <c r="O27" s="140"/>
      <c r="P27" s="37">
        <f t="shared" si="2"/>
        <v>134.19999999999999</v>
      </c>
      <c r="Q27" s="50">
        <f>Table5[[#This Row],[Total Metres]]*Table5[[#This Row],[£Cost /m]]</f>
        <v>278.11607999999995</v>
      </c>
      <c r="R27" s="51"/>
      <c r="S27" s="52">
        <v>660</v>
      </c>
      <c r="T27" s="39">
        <f>(Table5[[#This Row],[£/Tonne]]/1000)*Table5[[#This Row],[KG/M]]</f>
        <v>2.0724</v>
      </c>
      <c r="U27" s="7">
        <v>6.1</v>
      </c>
      <c r="V27" s="217">
        <f>(S27/1000)*F27*Table5[[#This Row],[Normal Length]]</f>
        <v>12.641639999999999</v>
      </c>
      <c r="X27" s="217">
        <f>Table5[[#This Row],[£/Length]]*(1+X$2)</f>
        <v>16.434131999999998</v>
      </c>
      <c r="Y27" s="217">
        <f>Table5[[#This Row],[£/Length]]*(1+Y$2)</f>
        <v>17.066213999999999</v>
      </c>
      <c r="Z27" s="217">
        <f>Table5[[#This Row],[£/Length]]*(1+Z$2)</f>
        <v>17.698295999999996</v>
      </c>
      <c r="AA27" s="217">
        <f>Table5[[#This Row],[£/Length]]*(1+AA$2)</f>
        <v>18.96246</v>
      </c>
      <c r="AB27" s="217">
        <f>Table5[[#This Row],[£/Length]]*(1+AB$2)</f>
        <v>20.226624000000001</v>
      </c>
    </row>
    <row r="28" spans="1:28" ht="25.35" customHeight="1">
      <c r="A28" s="7" t="s">
        <v>81</v>
      </c>
      <c r="B28" s="7" t="str">
        <f t="shared" si="0"/>
        <v>FL_100_8</v>
      </c>
      <c r="C28" s="7" t="str">
        <f t="shared" si="1"/>
        <v>FL_100_8 @ 6.28Kg/m</v>
      </c>
      <c r="D28" s="6" t="s">
        <v>511</v>
      </c>
      <c r="E28" s="6" t="s">
        <v>510</v>
      </c>
      <c r="F28" s="133">
        <f>Density!$E$45/1000000*D28*E28</f>
        <v>6.2799999999999994</v>
      </c>
      <c r="G28" s="139"/>
      <c r="H28" s="9"/>
      <c r="I28" s="140"/>
      <c r="J28" s="139"/>
      <c r="K28" s="9"/>
      <c r="L28" s="140"/>
      <c r="M28" s="139"/>
      <c r="N28" s="9"/>
      <c r="O28" s="140"/>
      <c r="P28" s="37">
        <f t="shared" si="2"/>
        <v>0</v>
      </c>
      <c r="Q28" s="50">
        <f>Table5[[#This Row],[Total Metres]]*Table5[[#This Row],[£Cost /m]]</f>
        <v>0</v>
      </c>
      <c r="R28" s="51"/>
      <c r="S28" s="52">
        <v>790</v>
      </c>
      <c r="T28" s="39">
        <f>(Table5[[#This Row],[£/Tonne]]/1000)*Table5[[#This Row],[KG/M]]</f>
        <v>4.9611999999999998</v>
      </c>
      <c r="U28" s="7">
        <v>6.1</v>
      </c>
      <c r="V28" s="217">
        <f>(S28/1000)*F28*Table5[[#This Row],[Normal Length]]</f>
        <v>30.263319999999997</v>
      </c>
      <c r="X28" s="217">
        <f>Table5[[#This Row],[£/Length]]*(1+X$2)</f>
        <v>39.342315999999997</v>
      </c>
      <c r="Y28" s="217">
        <f>Table5[[#This Row],[£/Length]]*(1+Y$2)</f>
        <v>40.855481999999995</v>
      </c>
      <c r="Z28" s="217">
        <f>Table5[[#This Row],[£/Length]]*(1+Z$2)</f>
        <v>42.368647999999993</v>
      </c>
      <c r="AA28" s="217">
        <f>Table5[[#This Row],[£/Length]]*(1+AA$2)</f>
        <v>45.394979999999997</v>
      </c>
      <c r="AB28" s="217">
        <f>Table5[[#This Row],[£/Length]]*(1+AB$2)</f>
        <v>48.421312</v>
      </c>
    </row>
    <row r="29" spans="1:28" ht="25.35" customHeight="1">
      <c r="A29" s="7" t="s">
        <v>81</v>
      </c>
      <c r="B29" s="7" t="str">
        <f t="shared" si="0"/>
        <v>FL_200_8</v>
      </c>
      <c r="C29" s="7" t="str">
        <f t="shared" si="1"/>
        <v>FL_200_8 @ 12.56Kg/m</v>
      </c>
      <c r="D29" s="6" t="s">
        <v>512</v>
      </c>
      <c r="E29" s="6" t="s">
        <v>510</v>
      </c>
      <c r="F29" s="133">
        <f>Density!$E$45/1000000*D29*E29</f>
        <v>12.559999999999999</v>
      </c>
      <c r="G29" s="139"/>
      <c r="H29" s="9"/>
      <c r="I29" s="140"/>
      <c r="J29" s="139"/>
      <c r="K29" s="9"/>
      <c r="L29" s="140"/>
      <c r="M29" s="139"/>
      <c r="N29" s="9"/>
      <c r="O29" s="140"/>
      <c r="P29" s="37">
        <f t="shared" si="2"/>
        <v>0</v>
      </c>
      <c r="Q29" s="50">
        <f>Table5[[#This Row],[Total Metres]]*Table5[[#This Row],[£Cost /m]]</f>
        <v>0</v>
      </c>
      <c r="R29" s="51"/>
      <c r="S29" s="52"/>
      <c r="T29" s="39">
        <f>(Table5[[#This Row],[£/Tonne]]/1000)*Table5[[#This Row],[KG/M]]</f>
        <v>0</v>
      </c>
      <c r="U29" s="7">
        <v>6.1</v>
      </c>
      <c r="V29" s="217">
        <f>(S29/1000)*F29*Table5[[#This Row],[Normal Length]]</f>
        <v>0</v>
      </c>
      <c r="X29" s="217">
        <f>Table5[[#This Row],[£/Length]]*(1+X$2)</f>
        <v>0</v>
      </c>
      <c r="Y29" s="217">
        <f>Table5[[#This Row],[£/Length]]*(1+Y$2)</f>
        <v>0</v>
      </c>
      <c r="Z29" s="217">
        <f>Table5[[#This Row],[£/Length]]*(1+Z$2)</f>
        <v>0</v>
      </c>
      <c r="AA29" s="217">
        <f>Table5[[#This Row],[£/Length]]*(1+AA$2)</f>
        <v>0</v>
      </c>
      <c r="AB29" s="217">
        <f>Table5[[#This Row],[£/Length]]*(1+AB$2)</f>
        <v>0</v>
      </c>
    </row>
    <row r="30" spans="1:28" ht="25.35" customHeight="1">
      <c r="A30" s="7" t="s">
        <v>81</v>
      </c>
      <c r="B30" s="7" t="str">
        <f t="shared" si="0"/>
        <v>FL_20_10</v>
      </c>
      <c r="C30" s="7" t="str">
        <f t="shared" si="1"/>
        <v>FL_20_10 @ 1.57Kg/m</v>
      </c>
      <c r="D30" s="6" t="s">
        <v>497</v>
      </c>
      <c r="E30" s="6" t="s">
        <v>322</v>
      </c>
      <c r="F30" s="133">
        <f>Density!$E$45/1000000*D30*E30</f>
        <v>1.5699999999999998</v>
      </c>
      <c r="G30" s="139">
        <v>6.1</v>
      </c>
      <c r="H30" s="9">
        <v>2</v>
      </c>
      <c r="I30" s="140" t="s">
        <v>422</v>
      </c>
      <c r="J30" s="139">
        <v>6.1</v>
      </c>
      <c r="K30" s="9">
        <v>30</v>
      </c>
      <c r="L30" s="140" t="s">
        <v>422</v>
      </c>
      <c r="M30" s="139"/>
      <c r="N30" s="9"/>
      <c r="O30" s="140"/>
      <c r="P30" s="37">
        <f t="shared" si="2"/>
        <v>195.2</v>
      </c>
      <c r="Q30" s="50">
        <f>Table5[[#This Row],[Total Metres]]*Table5[[#This Row],[£Cost /m]]</f>
        <v>199.20159999999998</v>
      </c>
      <c r="R30" s="51"/>
      <c r="S30" s="52">
        <v>650</v>
      </c>
      <c r="T30" s="39">
        <f>(Table5[[#This Row],[£/Tonne]]/1000)*Table5[[#This Row],[KG/M]]</f>
        <v>1.0205</v>
      </c>
      <c r="U30" s="7">
        <v>6.1</v>
      </c>
      <c r="V30" s="217">
        <f>(S30/1000)*F30*Table5[[#This Row],[Normal Length]]</f>
        <v>6.2250499999999995</v>
      </c>
      <c r="X30" s="217">
        <f>Table5[[#This Row],[£/Length]]*(1+X$2)</f>
        <v>8.0925650000000005</v>
      </c>
      <c r="Y30" s="217">
        <f>Table5[[#This Row],[£/Length]]*(1+Y$2)</f>
        <v>8.4038175000000006</v>
      </c>
      <c r="Z30" s="217">
        <f>Table5[[#This Row],[£/Length]]*(1+Z$2)</f>
        <v>8.715069999999999</v>
      </c>
      <c r="AA30" s="217">
        <f>Table5[[#This Row],[£/Length]]*(1+AA$2)</f>
        <v>9.3375749999999993</v>
      </c>
      <c r="AB30" s="217">
        <f>Table5[[#This Row],[£/Length]]*(1+AB$2)</f>
        <v>9.9600799999999996</v>
      </c>
    </row>
    <row r="31" spans="1:28" ht="25.35" customHeight="1">
      <c r="A31" s="7" t="s">
        <v>81</v>
      </c>
      <c r="B31" s="7" t="str">
        <f t="shared" si="0"/>
        <v>FL_25_10</v>
      </c>
      <c r="C31" s="7" t="str">
        <f t="shared" si="1"/>
        <v>FL_25_10 @ 1.96Kg/m</v>
      </c>
      <c r="D31" s="6" t="s">
        <v>499</v>
      </c>
      <c r="E31" s="6" t="s">
        <v>322</v>
      </c>
      <c r="F31" s="133">
        <f>Density!$E$45/1000000*D31*E31</f>
        <v>1.9624999999999999</v>
      </c>
      <c r="G31" s="139">
        <v>6.1</v>
      </c>
      <c r="H31" s="9">
        <v>25</v>
      </c>
      <c r="I31" s="140" t="s">
        <v>422</v>
      </c>
      <c r="J31" s="139"/>
      <c r="K31" s="9"/>
      <c r="L31" s="140"/>
      <c r="M31" s="139"/>
      <c r="N31" s="9"/>
      <c r="O31" s="140"/>
      <c r="P31" s="37">
        <f t="shared" si="2"/>
        <v>152.5</v>
      </c>
      <c r="Q31" s="50">
        <f>Table5[[#This Row],[Total Metres]]*Table5[[#This Row],[£Cost /m]]</f>
        <v>185.55437499999999</v>
      </c>
      <c r="R31" s="51"/>
      <c r="S31" s="52">
        <v>620</v>
      </c>
      <c r="T31" s="39">
        <f>(Table5[[#This Row],[£/Tonne]]/1000)*Table5[[#This Row],[KG/M]]</f>
        <v>1.21675</v>
      </c>
      <c r="U31" s="7">
        <v>6.1</v>
      </c>
      <c r="V31" s="217">
        <f>(S31/1000)*F31*Table5[[#This Row],[Normal Length]]</f>
        <v>7.4221749999999993</v>
      </c>
      <c r="X31" s="217">
        <f>Table5[[#This Row],[£/Length]]*(1+X$2)</f>
        <v>9.6488274999999994</v>
      </c>
      <c r="Y31" s="217">
        <f>Table5[[#This Row],[£/Length]]*(1+Y$2)</f>
        <v>10.019936249999999</v>
      </c>
      <c r="Z31" s="217">
        <f>Table5[[#This Row],[£/Length]]*(1+Z$2)</f>
        <v>10.391044999999998</v>
      </c>
      <c r="AA31" s="217">
        <f>Table5[[#This Row],[£/Length]]*(1+AA$2)</f>
        <v>11.133262499999999</v>
      </c>
      <c r="AB31" s="217">
        <f>Table5[[#This Row],[£/Length]]*(1+AB$2)</f>
        <v>11.87548</v>
      </c>
    </row>
    <row r="32" spans="1:28" ht="25.35" customHeight="1">
      <c r="A32" s="7" t="s">
        <v>81</v>
      </c>
      <c r="B32" s="7" t="str">
        <f t="shared" si="0"/>
        <v>FL_30_10</v>
      </c>
      <c r="C32" s="7" t="str">
        <f t="shared" si="1"/>
        <v>FL_30_10 @ 2.36Kg/m</v>
      </c>
      <c r="D32" s="6" t="s">
        <v>500</v>
      </c>
      <c r="E32" s="6" t="s">
        <v>322</v>
      </c>
      <c r="F32" s="133">
        <f>Density!$E$45/1000000*D32*E32</f>
        <v>2.355</v>
      </c>
      <c r="G32" s="139">
        <v>6.21</v>
      </c>
      <c r="H32" s="9">
        <v>15</v>
      </c>
      <c r="I32" s="140" t="s">
        <v>422</v>
      </c>
      <c r="J32" s="139"/>
      <c r="K32" s="9"/>
      <c r="L32" s="140"/>
      <c r="M32" s="139"/>
      <c r="N32" s="9"/>
      <c r="O32" s="140"/>
      <c r="P32" s="37">
        <f t="shared" si="2"/>
        <v>93.15</v>
      </c>
      <c r="Q32" s="50">
        <f>Table5[[#This Row],[Total Metres]]*Table5[[#This Row],[£Cost /m]]</f>
        <v>118.45885500000001</v>
      </c>
      <c r="R32" s="51"/>
      <c r="S32" s="52">
        <v>540</v>
      </c>
      <c r="T32" s="39">
        <f>(Table5[[#This Row],[£/Tonne]]/1000)*Table5[[#This Row],[KG/M]]</f>
        <v>1.2717000000000001</v>
      </c>
      <c r="U32" s="7">
        <v>6.1</v>
      </c>
      <c r="V32" s="217">
        <f>(S32/1000)*F32*Table5[[#This Row],[Normal Length]]</f>
        <v>7.7573699999999999</v>
      </c>
      <c r="X32" s="217">
        <f>Table5[[#This Row],[£/Length]]*(1+X$2)</f>
        <v>10.084581</v>
      </c>
      <c r="Y32" s="217">
        <f>Table5[[#This Row],[£/Length]]*(1+Y$2)</f>
        <v>10.4724495</v>
      </c>
      <c r="Z32" s="217">
        <f>Table5[[#This Row],[£/Length]]*(1+Z$2)</f>
        <v>10.860317999999999</v>
      </c>
      <c r="AA32" s="217">
        <f>Table5[[#This Row],[£/Length]]*(1+AA$2)</f>
        <v>11.636054999999999</v>
      </c>
      <c r="AB32" s="217">
        <f>Table5[[#This Row],[£/Length]]*(1+AB$2)</f>
        <v>12.411792</v>
      </c>
    </row>
    <row r="33" spans="1:28" ht="25.35" customHeight="1">
      <c r="A33" s="7" t="s">
        <v>81</v>
      </c>
      <c r="B33" s="7" t="str">
        <f t="shared" si="0"/>
        <v>FL_40_10</v>
      </c>
      <c r="C33" s="7" t="str">
        <f t="shared" si="1"/>
        <v>FL_40_10 @ 3.14Kg/m</v>
      </c>
      <c r="D33" s="6" t="s">
        <v>501</v>
      </c>
      <c r="E33" s="6" t="s">
        <v>322</v>
      </c>
      <c r="F33" s="133">
        <f>Density!$E$45/1000000*D33*E33</f>
        <v>3.1399999999999997</v>
      </c>
      <c r="G33" s="139">
        <v>6.1</v>
      </c>
      <c r="H33" s="9">
        <v>26</v>
      </c>
      <c r="I33" s="140" t="s">
        <v>422</v>
      </c>
      <c r="J33" s="139"/>
      <c r="K33" s="9"/>
      <c r="L33" s="140"/>
      <c r="M33" s="139"/>
      <c r="N33" s="9"/>
      <c r="O33" s="140"/>
      <c r="P33" s="37">
        <f t="shared" si="2"/>
        <v>158.6</v>
      </c>
      <c r="Q33" s="50">
        <f>Table5[[#This Row],[Total Metres]]*Table5[[#This Row],[£Cost /m]]</f>
        <v>378.4830399999999</v>
      </c>
      <c r="R33" s="51"/>
      <c r="S33" s="52">
        <v>760</v>
      </c>
      <c r="T33" s="39">
        <f>(Table5[[#This Row],[£/Tonne]]/1000)*Table5[[#This Row],[KG/M]]</f>
        <v>2.3863999999999996</v>
      </c>
      <c r="U33" s="7">
        <v>6.1</v>
      </c>
      <c r="V33" s="217">
        <f>(S33/1000)*F33*Table5[[#This Row],[Normal Length]]</f>
        <v>14.557039999999997</v>
      </c>
      <c r="X33" s="217">
        <f>Table5[[#This Row],[£/Length]]*(1+X$2)</f>
        <v>18.924151999999996</v>
      </c>
      <c r="Y33" s="217">
        <f>Table5[[#This Row],[£/Length]]*(1+Y$2)</f>
        <v>19.652003999999998</v>
      </c>
      <c r="Z33" s="217">
        <f>Table5[[#This Row],[£/Length]]*(1+Z$2)</f>
        <v>20.379855999999993</v>
      </c>
      <c r="AA33" s="217">
        <f>Table5[[#This Row],[£/Length]]*(1+AA$2)</f>
        <v>21.835559999999994</v>
      </c>
      <c r="AB33" s="217">
        <f>Table5[[#This Row],[£/Length]]*(1+AB$2)</f>
        <v>23.291263999999998</v>
      </c>
    </row>
    <row r="34" spans="1:28" ht="25.35" customHeight="1">
      <c r="A34" s="7" t="s">
        <v>81</v>
      </c>
      <c r="B34" s="7" t="str">
        <f t="shared" si="0"/>
        <v>FL_50_10</v>
      </c>
      <c r="C34" s="7" t="str">
        <f t="shared" si="1"/>
        <v>FL_50_10 @ 3.93Kg/m</v>
      </c>
      <c r="D34" s="6" t="s">
        <v>506</v>
      </c>
      <c r="E34" s="6" t="s">
        <v>322</v>
      </c>
      <c r="F34" s="133">
        <f>Density!$E$45/1000000*D34*E34</f>
        <v>3.9249999999999998</v>
      </c>
      <c r="G34" s="139">
        <v>6.1</v>
      </c>
      <c r="H34" s="9">
        <v>33.5</v>
      </c>
      <c r="I34" s="140" t="s">
        <v>422</v>
      </c>
      <c r="J34" s="139"/>
      <c r="K34" s="9"/>
      <c r="L34" s="140"/>
      <c r="M34" s="139"/>
      <c r="N34" s="9"/>
      <c r="O34" s="140"/>
      <c r="P34" s="37">
        <f t="shared" si="2"/>
        <v>204.35</v>
      </c>
      <c r="Q34" s="50">
        <f>Table5[[#This Row],[Total Metres]]*Table5[[#This Row],[£Cost /m]]</f>
        <v>653.69010624999987</v>
      </c>
      <c r="R34" s="51"/>
      <c r="S34" s="52">
        <v>815</v>
      </c>
      <c r="T34" s="39">
        <f>(Table5[[#This Row],[£/Tonne]]/1000)*Table5[[#This Row],[KG/M]]</f>
        <v>3.1988749999999997</v>
      </c>
      <c r="U34" s="7">
        <v>6.1</v>
      </c>
      <c r="V34" s="217">
        <f>(S34/1000)*F34*Table5[[#This Row],[Normal Length]]</f>
        <v>19.513137499999996</v>
      </c>
      <c r="X34" s="217">
        <f>Table5[[#This Row],[£/Length]]*(1+X$2)</f>
        <v>25.367078749999994</v>
      </c>
      <c r="Y34" s="217">
        <f>Table5[[#This Row],[£/Length]]*(1+Y$2)</f>
        <v>26.342735624999996</v>
      </c>
      <c r="Z34" s="217">
        <f>Table5[[#This Row],[£/Length]]*(1+Z$2)</f>
        <v>27.318392499999991</v>
      </c>
      <c r="AA34" s="217">
        <f>Table5[[#This Row],[£/Length]]*(1+AA$2)</f>
        <v>29.269706249999992</v>
      </c>
      <c r="AB34" s="217">
        <f>Table5[[#This Row],[£/Length]]*(1+AB$2)</f>
        <v>31.221019999999996</v>
      </c>
    </row>
    <row r="35" spans="1:28" ht="25.35" customHeight="1">
      <c r="A35" s="7" t="s">
        <v>81</v>
      </c>
      <c r="B35" s="7" t="str">
        <f t="shared" si="0"/>
        <v>FL_60_10</v>
      </c>
      <c r="C35" s="7" t="str">
        <f t="shared" si="1"/>
        <v>FL_60_10 @ 4.71Kg/m</v>
      </c>
      <c r="D35" s="6" t="s">
        <v>513</v>
      </c>
      <c r="E35" s="6" t="s">
        <v>322</v>
      </c>
      <c r="F35" s="133">
        <f>Density!$E$45/1000000*D35*E35</f>
        <v>4.71</v>
      </c>
      <c r="G35" s="139">
        <v>6.1</v>
      </c>
      <c r="H35" s="9">
        <v>2</v>
      </c>
      <c r="I35" s="140" t="s">
        <v>422</v>
      </c>
      <c r="J35" s="139"/>
      <c r="K35" s="9"/>
      <c r="L35" s="140"/>
      <c r="M35" s="139"/>
      <c r="N35" s="9"/>
      <c r="O35" s="140"/>
      <c r="P35" s="37">
        <f t="shared" si="2"/>
        <v>12.2</v>
      </c>
      <c r="Q35" s="50">
        <f>Table5[[#This Row],[Total Metres]]*Table5[[#This Row],[£Cost /m]]</f>
        <v>35.91375</v>
      </c>
      <c r="R35" s="51"/>
      <c r="S35" s="52">
        <v>625</v>
      </c>
      <c r="T35" s="39">
        <f>(Table5[[#This Row],[£/Tonne]]/1000)*Table5[[#This Row],[KG/M]]</f>
        <v>2.9437500000000001</v>
      </c>
      <c r="U35" s="7">
        <v>6.1</v>
      </c>
      <c r="V35" s="217">
        <f>(S35/1000)*F35*Table5[[#This Row],[Normal Length]]</f>
        <v>17.956875</v>
      </c>
      <c r="X35" s="217">
        <f>Table5[[#This Row],[£/Length]]*(1+X$2)</f>
        <v>23.343937500000003</v>
      </c>
      <c r="Y35" s="217">
        <f>Table5[[#This Row],[£/Length]]*(1+Y$2)</f>
        <v>24.241781250000003</v>
      </c>
      <c r="Z35" s="217">
        <f>Table5[[#This Row],[£/Length]]*(1+Z$2)</f>
        <v>25.139624999999999</v>
      </c>
      <c r="AA35" s="217">
        <f>Table5[[#This Row],[£/Length]]*(1+AA$2)</f>
        <v>26.935312500000002</v>
      </c>
      <c r="AB35" s="217">
        <f>Table5[[#This Row],[£/Length]]*(1+AB$2)</f>
        <v>28.731000000000002</v>
      </c>
    </row>
    <row r="36" spans="1:28" ht="25.35" customHeight="1">
      <c r="A36" s="7" t="s">
        <v>81</v>
      </c>
      <c r="B36" s="7" t="str">
        <f t="shared" si="0"/>
        <v>FL_65_10</v>
      </c>
      <c r="C36" s="7" t="str">
        <f t="shared" si="1"/>
        <v>FL_65_10 @ 5.1Kg/m</v>
      </c>
      <c r="D36" s="6" t="s">
        <v>507</v>
      </c>
      <c r="E36" s="6" t="s">
        <v>322</v>
      </c>
      <c r="F36" s="133">
        <f>Density!$E$45/1000000*D36*E36</f>
        <v>5.1025</v>
      </c>
      <c r="G36" s="139">
        <v>6.1</v>
      </c>
      <c r="H36" s="9">
        <v>45</v>
      </c>
      <c r="I36" s="140" t="s">
        <v>422</v>
      </c>
      <c r="J36" s="139"/>
      <c r="K36" s="9"/>
      <c r="L36" s="140"/>
      <c r="M36" s="139"/>
      <c r="N36" s="9"/>
      <c r="O36" s="140"/>
      <c r="P36" s="37">
        <f t="shared" si="2"/>
        <v>274.5</v>
      </c>
      <c r="Q36" s="50">
        <f>Table5[[#This Row],[Total Metres]]*Table5[[#This Row],[£Cost /m]]</f>
        <v>1155.52490625</v>
      </c>
      <c r="R36" s="51"/>
      <c r="S36" s="52">
        <v>825</v>
      </c>
      <c r="T36" s="39">
        <f>(Table5[[#This Row],[£/Tonne]]/1000)*Table5[[#This Row],[KG/M]]</f>
        <v>4.2095624999999997</v>
      </c>
      <c r="U36" s="7">
        <v>6.1</v>
      </c>
      <c r="V36" s="217">
        <f>(S36/1000)*F36*Table5[[#This Row],[Normal Length]]</f>
        <v>25.678331249999996</v>
      </c>
      <c r="X36" s="217">
        <f>Table5[[#This Row],[£/Length]]*(1+X$2)</f>
        <v>33.381830624999999</v>
      </c>
      <c r="Y36" s="217">
        <f>Table5[[#This Row],[£/Length]]*(1+Y$2)</f>
        <v>34.665747187499996</v>
      </c>
      <c r="Z36" s="217">
        <f>Table5[[#This Row],[£/Length]]*(1+Z$2)</f>
        <v>35.949663749999992</v>
      </c>
      <c r="AA36" s="217">
        <f>Table5[[#This Row],[£/Length]]*(1+AA$2)</f>
        <v>38.517496874999992</v>
      </c>
      <c r="AB36" s="217">
        <f>Table5[[#This Row],[£/Length]]*(1+AB$2)</f>
        <v>41.085329999999999</v>
      </c>
    </row>
    <row r="37" spans="1:28" ht="25.35" customHeight="1">
      <c r="A37" s="7" t="s">
        <v>81</v>
      </c>
      <c r="B37" s="7" t="str">
        <f t="shared" si="0"/>
        <v>FL_75_10</v>
      </c>
      <c r="C37" s="7" t="str">
        <f t="shared" si="1"/>
        <v>FL_75_10 @ 5.89Kg/m</v>
      </c>
      <c r="D37" s="6" t="s">
        <v>508</v>
      </c>
      <c r="E37" s="6" t="s">
        <v>322</v>
      </c>
      <c r="F37" s="133">
        <f>Density!$E$45/1000000*D37*E37</f>
        <v>5.8875000000000002</v>
      </c>
      <c r="G37" s="139">
        <v>8</v>
      </c>
      <c r="H37" s="9">
        <v>27.5</v>
      </c>
      <c r="I37" s="140" t="s">
        <v>422</v>
      </c>
      <c r="J37" s="139"/>
      <c r="K37" s="9"/>
      <c r="L37" s="140"/>
      <c r="M37" s="139"/>
      <c r="N37" s="9"/>
      <c r="O37" s="140"/>
      <c r="P37" s="37">
        <f t="shared" si="2"/>
        <v>220</v>
      </c>
      <c r="Q37" s="50">
        <f>Table5[[#This Row],[Total Metres]]*Table5[[#This Row],[£Cost /m]]</f>
        <v>841.91250000000002</v>
      </c>
      <c r="R37" s="51"/>
      <c r="S37" s="52">
        <v>650</v>
      </c>
      <c r="T37" s="39">
        <f>(Table5[[#This Row],[£/Tonne]]/1000)*Table5[[#This Row],[KG/M]]</f>
        <v>3.8268750000000002</v>
      </c>
      <c r="U37" s="7">
        <v>6.1</v>
      </c>
      <c r="V37" s="217">
        <f>(S37/1000)*F37*Table5[[#This Row],[Normal Length]]</f>
        <v>23.343937499999999</v>
      </c>
      <c r="X37" s="217">
        <f>Table5[[#This Row],[£/Length]]*(1+X$2)</f>
        <v>30.34711875</v>
      </c>
      <c r="Y37" s="217">
        <f>Table5[[#This Row],[£/Length]]*(1+Y$2)</f>
        <v>31.514315625000002</v>
      </c>
      <c r="Z37" s="217">
        <f>Table5[[#This Row],[£/Length]]*(1+Z$2)</f>
        <v>32.681512499999997</v>
      </c>
      <c r="AA37" s="217">
        <f>Table5[[#This Row],[£/Length]]*(1+AA$2)</f>
        <v>35.01590625</v>
      </c>
      <c r="AB37" s="217">
        <f>Table5[[#This Row],[£/Length]]*(1+AB$2)</f>
        <v>37.350299999999997</v>
      </c>
    </row>
    <row r="38" spans="1:28" ht="25.35" customHeight="1">
      <c r="A38" s="7" t="s">
        <v>81</v>
      </c>
      <c r="B38" s="7" t="str">
        <f t="shared" si="0"/>
        <v>FL_80_10</v>
      </c>
      <c r="C38" s="7" t="str">
        <f t="shared" si="1"/>
        <v>FL_80_10 @ 6.28Kg/m</v>
      </c>
      <c r="D38" s="6" t="s">
        <v>509</v>
      </c>
      <c r="E38" s="6" t="s">
        <v>322</v>
      </c>
      <c r="F38" s="133">
        <f>Density!$E$45/1000000*D38*E38</f>
        <v>6.2799999999999994</v>
      </c>
      <c r="G38" s="139"/>
      <c r="H38" s="9"/>
      <c r="I38" s="140"/>
      <c r="J38" s="139"/>
      <c r="K38" s="9"/>
      <c r="L38" s="140"/>
      <c r="M38" s="139"/>
      <c r="N38" s="9"/>
      <c r="O38" s="140"/>
      <c r="P38" s="37">
        <f t="shared" si="2"/>
        <v>0</v>
      </c>
      <c r="Q38" s="50">
        <f>Table5[[#This Row],[Total Metres]]*Table5[[#This Row],[£Cost /m]]</f>
        <v>0</v>
      </c>
      <c r="R38" s="51"/>
      <c r="S38" s="52"/>
      <c r="T38" s="39">
        <f>(Table5[[#This Row],[£/Tonne]]/1000)*Table5[[#This Row],[KG/M]]</f>
        <v>0</v>
      </c>
      <c r="U38" s="7">
        <v>6.1</v>
      </c>
      <c r="V38" s="217">
        <f>(S38/1000)*F38*Table5[[#This Row],[Normal Length]]</f>
        <v>0</v>
      </c>
      <c r="X38" s="217">
        <f>Table5[[#This Row],[£/Length]]*(1+X$2)</f>
        <v>0</v>
      </c>
      <c r="Y38" s="217">
        <f>Table5[[#This Row],[£/Length]]*(1+Y$2)</f>
        <v>0</v>
      </c>
      <c r="Z38" s="217">
        <f>Table5[[#This Row],[£/Length]]*(1+Z$2)</f>
        <v>0</v>
      </c>
      <c r="AA38" s="217">
        <f>Table5[[#This Row],[£/Length]]*(1+AA$2)</f>
        <v>0</v>
      </c>
      <c r="AB38" s="217">
        <f>Table5[[#This Row],[£/Length]]*(1+AB$2)</f>
        <v>0</v>
      </c>
    </row>
    <row r="39" spans="1:28" ht="25.35" customHeight="1">
      <c r="A39" s="7" t="s">
        <v>81</v>
      </c>
      <c r="B39" s="7" t="str">
        <f t="shared" si="0"/>
        <v>FL_90_10</v>
      </c>
      <c r="C39" s="7" t="str">
        <f t="shared" si="1"/>
        <v>FL_90_10 @ 7.07Kg/m</v>
      </c>
      <c r="D39" s="6" t="s">
        <v>514</v>
      </c>
      <c r="E39" s="6" t="s">
        <v>322</v>
      </c>
      <c r="F39" s="133">
        <f>Density!$E$45/1000000*D39*E39</f>
        <v>7.0649999999999995</v>
      </c>
      <c r="G39" s="139"/>
      <c r="H39" s="9"/>
      <c r="I39" s="140"/>
      <c r="J39" s="139"/>
      <c r="K39" s="9"/>
      <c r="L39" s="140"/>
      <c r="M39" s="139"/>
      <c r="N39" s="9"/>
      <c r="O39" s="140"/>
      <c r="P39" s="37">
        <f t="shared" si="2"/>
        <v>0</v>
      </c>
      <c r="Q39" s="50">
        <f>Table5[[#This Row],[Total Metres]]*Table5[[#This Row],[£Cost /m]]</f>
        <v>0</v>
      </c>
      <c r="R39" s="51"/>
      <c r="S39" s="52"/>
      <c r="T39" s="39">
        <f>(Table5[[#This Row],[£/Tonne]]/1000)*Table5[[#This Row],[KG/M]]</f>
        <v>0</v>
      </c>
      <c r="U39" s="7">
        <v>6.1</v>
      </c>
      <c r="V39" s="217">
        <f>(S39/1000)*F39*Table5[[#This Row],[Normal Length]]</f>
        <v>0</v>
      </c>
      <c r="X39" s="217">
        <f>Table5[[#This Row],[£/Length]]*(1+X$2)</f>
        <v>0</v>
      </c>
      <c r="Y39" s="217">
        <f>Table5[[#This Row],[£/Length]]*(1+Y$2)</f>
        <v>0</v>
      </c>
      <c r="Z39" s="217">
        <f>Table5[[#This Row],[£/Length]]*(1+Z$2)</f>
        <v>0</v>
      </c>
      <c r="AA39" s="217">
        <f>Table5[[#This Row],[£/Length]]*(1+AA$2)</f>
        <v>0</v>
      </c>
      <c r="AB39" s="217">
        <f>Table5[[#This Row],[£/Length]]*(1+AB$2)</f>
        <v>0</v>
      </c>
    </row>
    <row r="40" spans="1:28" ht="25.35" customHeight="1">
      <c r="A40" s="7" t="s">
        <v>81</v>
      </c>
      <c r="B40" s="7" t="str">
        <f t="shared" si="0"/>
        <v>FL_100_10</v>
      </c>
      <c r="C40" s="7" t="str">
        <f t="shared" si="1"/>
        <v>FL_100_10 @ 7.85Kg/m</v>
      </c>
      <c r="D40" s="6" t="s">
        <v>511</v>
      </c>
      <c r="E40" s="6" t="s">
        <v>322</v>
      </c>
      <c r="F40" s="133">
        <f>Density!$E$45/1000000*D40*E40</f>
        <v>7.85</v>
      </c>
      <c r="G40" s="139">
        <v>6.1</v>
      </c>
      <c r="H40" s="9">
        <v>13</v>
      </c>
      <c r="I40" s="140" t="s">
        <v>422</v>
      </c>
      <c r="J40" s="139">
        <v>6.1</v>
      </c>
      <c r="K40" s="9">
        <v>4</v>
      </c>
      <c r="L40" s="140" t="s">
        <v>308</v>
      </c>
      <c r="M40" s="139"/>
      <c r="N40" s="9"/>
      <c r="O40" s="140"/>
      <c r="P40" s="37">
        <f t="shared" si="2"/>
        <v>103.69999999999999</v>
      </c>
      <c r="Q40" s="50">
        <f>Table5[[#This Row],[Total Metres]]*Table5[[#This Row],[£Cost /m]]</f>
        <v>602.39329999999984</v>
      </c>
      <c r="R40" s="51"/>
      <c r="S40" s="52">
        <v>740</v>
      </c>
      <c r="T40" s="39">
        <f>(Table5[[#This Row],[£/Tonne]]/1000)*Table5[[#This Row],[KG/M]]</f>
        <v>5.8089999999999993</v>
      </c>
      <c r="U40" s="7">
        <v>6.1</v>
      </c>
      <c r="V40" s="217">
        <f>(S40/1000)*F40*Table5[[#This Row],[Normal Length]]</f>
        <v>35.434899999999992</v>
      </c>
      <c r="X40" s="217">
        <f>Table5[[#This Row],[£/Length]]*(1+X$2)</f>
        <v>46.065369999999994</v>
      </c>
      <c r="Y40" s="217">
        <f>Table5[[#This Row],[£/Length]]*(1+Y$2)</f>
        <v>47.83711499999999</v>
      </c>
      <c r="Z40" s="217">
        <f>Table5[[#This Row],[£/Length]]*(1+Z$2)</f>
        <v>49.608859999999986</v>
      </c>
      <c r="AA40" s="217">
        <f>Table5[[#This Row],[£/Length]]*(1+AA$2)</f>
        <v>53.152349999999984</v>
      </c>
      <c r="AB40" s="217">
        <f>Table5[[#This Row],[£/Length]]*(1+AB$2)</f>
        <v>56.69583999999999</v>
      </c>
    </row>
    <row r="41" spans="1:28" ht="25.35" customHeight="1">
      <c r="A41" s="7" t="s">
        <v>81</v>
      </c>
      <c r="B41" s="7" t="str">
        <f t="shared" si="0"/>
        <v>FL_120_10</v>
      </c>
      <c r="C41" s="7" t="str">
        <f t="shared" si="1"/>
        <v>FL_120_10 @ 9.42Kg/m</v>
      </c>
      <c r="D41" s="6" t="s">
        <v>515</v>
      </c>
      <c r="E41" s="6" t="s">
        <v>322</v>
      </c>
      <c r="F41" s="133">
        <f>Density!$E$45/1000000*D41*E41</f>
        <v>9.42</v>
      </c>
      <c r="G41" s="139"/>
      <c r="H41" s="9"/>
      <c r="I41" s="140"/>
      <c r="J41" s="139"/>
      <c r="K41" s="9"/>
      <c r="L41" s="140"/>
      <c r="M41" s="139"/>
      <c r="N41" s="9"/>
      <c r="O41" s="140"/>
      <c r="P41" s="37">
        <f t="shared" si="2"/>
        <v>0</v>
      </c>
      <c r="Q41" s="50">
        <f>Table5[[#This Row],[Total Metres]]*Table5[[#This Row],[£Cost /m]]</f>
        <v>0</v>
      </c>
      <c r="R41" s="51"/>
      <c r="S41" s="52"/>
      <c r="T41" s="39">
        <f>(Table5[[#This Row],[£/Tonne]]/1000)*Table5[[#This Row],[KG/M]]</f>
        <v>0</v>
      </c>
      <c r="U41" s="7">
        <v>6.1</v>
      </c>
      <c r="V41" s="217">
        <f>(S41/1000)*F41*Table5[[#This Row],[Normal Length]]</f>
        <v>0</v>
      </c>
      <c r="X41" s="217">
        <f>Table5[[#This Row],[£/Length]]*(1+X$2)</f>
        <v>0</v>
      </c>
      <c r="Y41" s="217">
        <f>Table5[[#This Row],[£/Length]]*(1+Y$2)</f>
        <v>0</v>
      </c>
      <c r="Z41" s="217">
        <f>Table5[[#This Row],[£/Length]]*(1+Z$2)</f>
        <v>0</v>
      </c>
      <c r="AA41" s="217">
        <f>Table5[[#This Row],[£/Length]]*(1+AA$2)</f>
        <v>0</v>
      </c>
      <c r="AB41" s="217">
        <f>Table5[[#This Row],[£/Length]]*(1+AB$2)</f>
        <v>0</v>
      </c>
    </row>
    <row r="42" spans="1:28" ht="25.35" customHeight="1">
      <c r="A42" s="7" t="s">
        <v>81</v>
      </c>
      <c r="B42" s="7" t="str">
        <f t="shared" si="0"/>
        <v>FL_130_10</v>
      </c>
      <c r="C42" s="7" t="str">
        <f t="shared" si="1"/>
        <v>FL_130_10 @ 10.21Kg/m</v>
      </c>
      <c r="D42" s="6" t="s">
        <v>516</v>
      </c>
      <c r="E42" s="6" t="s">
        <v>322</v>
      </c>
      <c r="F42" s="133">
        <f>Density!$E$45/1000000*D42*E42</f>
        <v>10.205</v>
      </c>
      <c r="G42" s="139"/>
      <c r="H42" s="9"/>
      <c r="I42" s="140"/>
      <c r="J42" s="139"/>
      <c r="K42" s="9"/>
      <c r="L42" s="140"/>
      <c r="M42" s="139"/>
      <c r="N42" s="9"/>
      <c r="O42" s="140"/>
      <c r="P42" s="37">
        <f t="shared" si="2"/>
        <v>0</v>
      </c>
      <c r="Q42" s="50">
        <f>Table5[[#This Row],[Total Metres]]*Table5[[#This Row],[£Cost /m]]</f>
        <v>0</v>
      </c>
      <c r="R42" s="51"/>
      <c r="S42" s="52"/>
      <c r="T42" s="39">
        <f>(Table5[[#This Row],[£/Tonne]]/1000)*Table5[[#This Row],[KG/M]]</f>
        <v>0</v>
      </c>
      <c r="U42" s="7">
        <v>6.1</v>
      </c>
      <c r="V42" s="217">
        <f>(S42/1000)*F42*Table5[[#This Row],[Normal Length]]</f>
        <v>0</v>
      </c>
      <c r="X42" s="217">
        <f>Table5[[#This Row],[£/Length]]*(1+X$2)</f>
        <v>0</v>
      </c>
      <c r="Y42" s="217">
        <f>Table5[[#This Row],[£/Length]]*(1+Y$2)</f>
        <v>0</v>
      </c>
      <c r="Z42" s="217">
        <f>Table5[[#This Row],[£/Length]]*(1+Z$2)</f>
        <v>0</v>
      </c>
      <c r="AA42" s="217">
        <f>Table5[[#This Row],[£/Length]]*(1+AA$2)</f>
        <v>0</v>
      </c>
      <c r="AB42" s="217">
        <f>Table5[[#This Row],[£/Length]]*(1+AB$2)</f>
        <v>0</v>
      </c>
    </row>
    <row r="43" spans="1:28" ht="25.35" customHeight="1">
      <c r="A43" s="7" t="s">
        <v>81</v>
      </c>
      <c r="B43" s="7" t="str">
        <f t="shared" si="0"/>
        <v>FL_150_10</v>
      </c>
      <c r="C43" s="7" t="str">
        <f t="shared" si="1"/>
        <v>FL_150_10 @ 11.78Kg/m</v>
      </c>
      <c r="D43" s="6" t="s">
        <v>517</v>
      </c>
      <c r="E43" s="6" t="s">
        <v>322</v>
      </c>
      <c r="F43" s="133">
        <f>Density!$E$45/1000000*D43*E43</f>
        <v>11.775</v>
      </c>
      <c r="G43" s="139"/>
      <c r="H43" s="9"/>
      <c r="I43" s="140"/>
      <c r="J43" s="139"/>
      <c r="K43" s="9"/>
      <c r="L43" s="140"/>
      <c r="M43" s="139"/>
      <c r="N43" s="9"/>
      <c r="O43" s="140"/>
      <c r="P43" s="37">
        <f t="shared" si="2"/>
        <v>0</v>
      </c>
      <c r="Q43" s="50">
        <f>Table5[[#This Row],[Total Metres]]*Table5[[#This Row],[£Cost /m]]</f>
        <v>0</v>
      </c>
      <c r="R43" s="51"/>
      <c r="S43" s="52">
        <v>620</v>
      </c>
      <c r="T43" s="39">
        <f>(Table5[[#This Row],[£/Tonne]]/1000)*Table5[[#This Row],[KG/M]]</f>
        <v>7.3005000000000004</v>
      </c>
      <c r="U43" s="7">
        <v>6.1</v>
      </c>
      <c r="V43" s="217">
        <f>(S43/1000)*F43*Table5[[#This Row],[Normal Length]]</f>
        <v>44.533050000000003</v>
      </c>
      <c r="X43" s="217">
        <f>Table5[[#This Row],[£/Length]]*(1+X$2)</f>
        <v>57.892965000000004</v>
      </c>
      <c r="Y43" s="217">
        <f>Table5[[#This Row],[£/Length]]*(1+Y$2)</f>
        <v>60.119617500000011</v>
      </c>
      <c r="Z43" s="217">
        <f>Table5[[#This Row],[£/Length]]*(1+Z$2)</f>
        <v>62.346269999999997</v>
      </c>
      <c r="AA43" s="217">
        <f>Table5[[#This Row],[£/Length]]*(1+AA$2)</f>
        <v>66.799575000000004</v>
      </c>
      <c r="AB43" s="217">
        <f>Table5[[#This Row],[£/Length]]*(1+AB$2)</f>
        <v>71.252880000000005</v>
      </c>
    </row>
    <row r="44" spans="1:28" ht="25.35" customHeight="1">
      <c r="A44" s="7" t="s">
        <v>81</v>
      </c>
      <c r="B44" s="7" t="str">
        <f t="shared" si="0"/>
        <v>FL_200_10</v>
      </c>
      <c r="C44" s="7" t="str">
        <f t="shared" si="1"/>
        <v>FL_200_10 @ 15.7Kg/m</v>
      </c>
      <c r="D44" s="6" t="s">
        <v>512</v>
      </c>
      <c r="E44" s="6" t="s">
        <v>322</v>
      </c>
      <c r="F44" s="133">
        <f>Density!$E$45/1000000*D44*E44</f>
        <v>15.7</v>
      </c>
      <c r="G44" s="139"/>
      <c r="H44" s="9"/>
      <c r="I44" s="140"/>
      <c r="J44" s="139"/>
      <c r="K44" s="9"/>
      <c r="L44" s="140"/>
      <c r="M44" s="139"/>
      <c r="N44" s="9"/>
      <c r="O44" s="140"/>
      <c r="P44" s="37">
        <f t="shared" si="2"/>
        <v>0</v>
      </c>
      <c r="Q44" s="50">
        <f>Table5[[#This Row],[Total Metres]]*Table5[[#This Row],[£Cost /m]]</f>
        <v>0</v>
      </c>
      <c r="R44" s="51"/>
      <c r="S44" s="52">
        <v>590</v>
      </c>
      <c r="T44" s="39">
        <f>(Table5[[#This Row],[£/Tonne]]/1000)*Table5[[#This Row],[KG/M]]</f>
        <v>9.2629999999999999</v>
      </c>
      <c r="U44" s="7">
        <v>6.1</v>
      </c>
      <c r="V44" s="217">
        <f>(S44/1000)*F44*Table5[[#This Row],[Normal Length]]</f>
        <v>56.504299999999994</v>
      </c>
      <c r="X44" s="217">
        <f>Table5[[#This Row],[£/Length]]*(1+X$2)</f>
        <v>73.455590000000001</v>
      </c>
      <c r="Y44" s="217">
        <f>Table5[[#This Row],[£/Length]]*(1+Y$2)</f>
        <v>76.280805000000001</v>
      </c>
      <c r="Z44" s="217">
        <f>Table5[[#This Row],[£/Length]]*(1+Z$2)</f>
        <v>79.106019999999987</v>
      </c>
      <c r="AA44" s="217">
        <f>Table5[[#This Row],[£/Length]]*(1+AA$2)</f>
        <v>84.756449999999987</v>
      </c>
      <c r="AB44" s="217">
        <f>Table5[[#This Row],[£/Length]]*(1+AB$2)</f>
        <v>90.406880000000001</v>
      </c>
    </row>
    <row r="45" spans="1:28" ht="25.35" customHeight="1">
      <c r="A45" s="7" t="s">
        <v>81</v>
      </c>
      <c r="B45" s="7" t="str">
        <f t="shared" si="0"/>
        <v>FL_250_10</v>
      </c>
      <c r="C45" s="7" t="str">
        <f t="shared" si="1"/>
        <v>FL_250_10 @ 19.63Kg/m</v>
      </c>
      <c r="D45" s="6" t="s">
        <v>518</v>
      </c>
      <c r="E45" s="6" t="s">
        <v>322</v>
      </c>
      <c r="F45" s="133">
        <f>Density!$E$45/1000000*D45*E45</f>
        <v>19.625</v>
      </c>
      <c r="G45" s="139"/>
      <c r="H45" s="9"/>
      <c r="I45" s="140"/>
      <c r="J45" s="139"/>
      <c r="K45" s="9"/>
      <c r="L45" s="140"/>
      <c r="M45" s="139"/>
      <c r="N45" s="9"/>
      <c r="O45" s="140"/>
      <c r="P45" s="37">
        <f t="shared" si="2"/>
        <v>0</v>
      </c>
      <c r="Q45" s="50">
        <f>Table5[[#This Row],[Total Metres]]*Table5[[#This Row],[£Cost /m]]</f>
        <v>0</v>
      </c>
      <c r="R45" s="51"/>
      <c r="S45" s="52"/>
      <c r="T45" s="39">
        <f>(Table5[[#This Row],[£/Tonne]]/1000)*Table5[[#This Row],[KG/M]]</f>
        <v>0</v>
      </c>
      <c r="U45" s="7">
        <v>6.1</v>
      </c>
      <c r="V45" s="217">
        <f>(S45/1000)*F45*Table5[[#This Row],[Normal Length]]</f>
        <v>0</v>
      </c>
      <c r="X45" s="217">
        <f>Table5[[#This Row],[£/Length]]*(1+X$2)</f>
        <v>0</v>
      </c>
      <c r="Y45" s="217">
        <f>Table5[[#This Row],[£/Length]]*(1+Y$2)</f>
        <v>0</v>
      </c>
      <c r="Z45" s="217">
        <f>Table5[[#This Row],[£/Length]]*(1+Z$2)</f>
        <v>0</v>
      </c>
      <c r="AA45" s="217">
        <f>Table5[[#This Row],[£/Length]]*(1+AA$2)</f>
        <v>0</v>
      </c>
      <c r="AB45" s="217">
        <f>Table5[[#This Row],[£/Length]]*(1+AB$2)</f>
        <v>0</v>
      </c>
    </row>
    <row r="46" spans="1:28" ht="25.35" customHeight="1">
      <c r="A46" s="7" t="s">
        <v>81</v>
      </c>
      <c r="B46" s="7" t="str">
        <f t="shared" si="0"/>
        <v>FL_25_12</v>
      </c>
      <c r="C46" s="7" t="str">
        <f t="shared" si="1"/>
        <v>FL_25_12 @ 2.36Kg/m</v>
      </c>
      <c r="D46" s="6" t="s">
        <v>499</v>
      </c>
      <c r="E46" s="6" t="s">
        <v>327</v>
      </c>
      <c r="F46" s="133">
        <f>Density!$E$45/1000000*D46*E46</f>
        <v>2.3549999999999995</v>
      </c>
      <c r="G46" s="139"/>
      <c r="H46" s="9"/>
      <c r="I46" s="140"/>
      <c r="J46" s="139"/>
      <c r="K46" s="9"/>
      <c r="L46" s="140"/>
      <c r="M46" s="139"/>
      <c r="N46" s="9"/>
      <c r="O46" s="140"/>
      <c r="P46" s="37">
        <f t="shared" si="2"/>
        <v>0</v>
      </c>
      <c r="Q46" s="50">
        <f>Table5[[#This Row],[Total Metres]]*Table5[[#This Row],[£Cost /m]]</f>
        <v>0</v>
      </c>
      <c r="R46" s="51"/>
      <c r="S46" s="52"/>
      <c r="T46" s="39">
        <f>(Table5[[#This Row],[£/Tonne]]/1000)*Table5[[#This Row],[KG/M]]</f>
        <v>0</v>
      </c>
      <c r="U46" s="7">
        <v>6.1</v>
      </c>
      <c r="V46" s="217">
        <f>(S46/1000)*F46*Table5[[#This Row],[Normal Length]]</f>
        <v>0</v>
      </c>
      <c r="X46" s="217">
        <f>Table5[[#This Row],[£/Length]]*(1+X$2)</f>
        <v>0</v>
      </c>
      <c r="Y46" s="217">
        <f>Table5[[#This Row],[£/Length]]*(1+Y$2)</f>
        <v>0</v>
      </c>
      <c r="Z46" s="217">
        <f>Table5[[#This Row],[£/Length]]*(1+Z$2)</f>
        <v>0</v>
      </c>
      <c r="AA46" s="217">
        <f>Table5[[#This Row],[£/Length]]*(1+AA$2)</f>
        <v>0</v>
      </c>
      <c r="AB46" s="217">
        <f>Table5[[#This Row],[£/Length]]*(1+AB$2)</f>
        <v>0</v>
      </c>
    </row>
    <row r="47" spans="1:28" ht="25.35" customHeight="1">
      <c r="A47" s="7" t="s">
        <v>81</v>
      </c>
      <c r="B47" s="7" t="str">
        <f t="shared" si="0"/>
        <v>FL_40_12</v>
      </c>
      <c r="C47" s="7" t="str">
        <f t="shared" si="1"/>
        <v>FL_40_12 @ 3.77Kg/m</v>
      </c>
      <c r="D47" s="6" t="s">
        <v>501</v>
      </c>
      <c r="E47" s="6" t="s">
        <v>327</v>
      </c>
      <c r="F47" s="133">
        <f>Density!$E$45/1000000*D47*E47</f>
        <v>3.7679999999999993</v>
      </c>
      <c r="G47" s="139">
        <v>6.1</v>
      </c>
      <c r="H47" s="9">
        <v>6.5</v>
      </c>
      <c r="I47" s="140" t="s">
        <v>422</v>
      </c>
      <c r="J47" s="139"/>
      <c r="K47" s="9"/>
      <c r="L47" s="140"/>
      <c r="M47" s="139"/>
      <c r="N47" s="9"/>
      <c r="O47" s="140"/>
      <c r="P47" s="37">
        <f t="shared" si="2"/>
        <v>39.65</v>
      </c>
      <c r="Q47" s="50">
        <f>Table5[[#This Row],[Total Metres]]*Table5[[#This Row],[£Cost /m]]</f>
        <v>103.08682799999998</v>
      </c>
      <c r="R47" s="51"/>
      <c r="S47" s="52">
        <v>690</v>
      </c>
      <c r="T47" s="39">
        <f>(Table5[[#This Row],[£/Tonne]]/1000)*Table5[[#This Row],[KG/M]]</f>
        <v>2.5999199999999996</v>
      </c>
      <c r="U47" s="7">
        <v>6.1</v>
      </c>
      <c r="V47" s="217">
        <f>(S47/1000)*F47*Table5[[#This Row],[Normal Length]]</f>
        <v>15.859511999999997</v>
      </c>
      <c r="X47" s="217">
        <f>Table5[[#This Row],[£/Length]]*(1+X$2)</f>
        <v>20.617365599999996</v>
      </c>
      <c r="Y47" s="217">
        <f>Table5[[#This Row],[£/Length]]*(1+Y$2)</f>
        <v>21.410341199999998</v>
      </c>
      <c r="Z47" s="217">
        <f>Table5[[#This Row],[£/Length]]*(1+Z$2)</f>
        <v>22.203316799999996</v>
      </c>
      <c r="AA47" s="217">
        <f>Table5[[#This Row],[£/Length]]*(1+AA$2)</f>
        <v>23.789267999999996</v>
      </c>
      <c r="AB47" s="217">
        <f>Table5[[#This Row],[£/Length]]*(1+AB$2)</f>
        <v>25.375219199999997</v>
      </c>
    </row>
    <row r="48" spans="1:28" ht="25.35" customHeight="1">
      <c r="A48" s="7" t="s">
        <v>81</v>
      </c>
      <c r="B48" s="7" t="str">
        <f t="shared" si="0"/>
        <v>FL_50_12</v>
      </c>
      <c r="C48" s="7" t="str">
        <f t="shared" si="1"/>
        <v>FL_50_12 @ 4.71Kg/m</v>
      </c>
      <c r="D48" s="6" t="s">
        <v>506</v>
      </c>
      <c r="E48" s="6" t="s">
        <v>327</v>
      </c>
      <c r="F48" s="133">
        <f>Density!$E$45/1000000*D48*E48</f>
        <v>4.7099999999999991</v>
      </c>
      <c r="G48" s="139"/>
      <c r="H48" s="9"/>
      <c r="I48" s="140"/>
      <c r="J48" s="139"/>
      <c r="K48" s="9"/>
      <c r="L48" s="140"/>
      <c r="M48" s="139"/>
      <c r="N48" s="9"/>
      <c r="O48" s="140"/>
      <c r="P48" s="37">
        <f t="shared" si="2"/>
        <v>0</v>
      </c>
      <c r="Q48" s="50">
        <f>Table5[[#This Row],[Total Metres]]*Table5[[#This Row],[£Cost /m]]</f>
        <v>0</v>
      </c>
      <c r="R48" s="51"/>
      <c r="S48" s="52">
        <v>595</v>
      </c>
      <c r="T48" s="39">
        <f>(Table5[[#This Row],[£/Tonne]]/1000)*Table5[[#This Row],[KG/M]]</f>
        <v>2.8024499999999994</v>
      </c>
      <c r="U48" s="7">
        <v>6.1</v>
      </c>
      <c r="V48" s="217">
        <f>(S48/1000)*F48*Table5[[#This Row],[Normal Length]]</f>
        <v>17.094944999999996</v>
      </c>
      <c r="X48" s="217">
        <f>Table5[[#This Row],[£/Length]]*(1+X$2)</f>
        <v>22.223428499999994</v>
      </c>
      <c r="Y48" s="217">
        <f>Table5[[#This Row],[£/Length]]*(1+Y$2)</f>
        <v>23.078175749999996</v>
      </c>
      <c r="Z48" s="217">
        <f>Table5[[#This Row],[£/Length]]*(1+Z$2)</f>
        <v>23.932922999999992</v>
      </c>
      <c r="AA48" s="217">
        <f>Table5[[#This Row],[£/Length]]*(1+AA$2)</f>
        <v>25.642417499999993</v>
      </c>
      <c r="AB48" s="217">
        <f>Table5[[#This Row],[£/Length]]*(1+AB$2)</f>
        <v>27.351911999999995</v>
      </c>
    </row>
    <row r="49" spans="1:28" ht="25.35" customHeight="1">
      <c r="A49" s="7" t="s">
        <v>81</v>
      </c>
      <c r="B49" s="7" t="str">
        <f t="shared" ref="B49" si="5">_xlfn.CONCAT(A49,"_",D49,"_",E49)</f>
        <v>FL_60_12</v>
      </c>
      <c r="C49" s="7" t="str">
        <f t="shared" ref="C49" si="6">_xlfn.CONCAT(B49, " @ ",ROUND(F49,2),"Kg/m")</f>
        <v>FL_60_12 @ 5.65Kg/m</v>
      </c>
      <c r="D49" s="6" t="s">
        <v>513</v>
      </c>
      <c r="E49" s="70">
        <v>12</v>
      </c>
      <c r="F49" s="133">
        <f>Density!$E$45/1000000*D49*E49</f>
        <v>5.6519999999999992</v>
      </c>
      <c r="G49" s="139">
        <v>6.1</v>
      </c>
      <c r="H49" s="9">
        <v>7.5</v>
      </c>
      <c r="I49" s="140" t="s">
        <v>422</v>
      </c>
      <c r="J49" s="139"/>
      <c r="K49" s="9"/>
      <c r="L49" s="140"/>
      <c r="M49" s="139"/>
      <c r="N49" s="9"/>
      <c r="O49" s="140"/>
      <c r="P49" s="37">
        <f t="shared" si="2"/>
        <v>45.75</v>
      </c>
      <c r="Q49" s="50">
        <f>Table5[[#This Row],[Total Metres]]*Table5[[#This Row],[£Cost /m]]</f>
        <v>161.611875</v>
      </c>
      <c r="R49" s="51"/>
      <c r="S49" s="52">
        <v>625</v>
      </c>
      <c r="T49" s="39">
        <f>(Table5[[#This Row],[£/Tonne]]/1000)*Table5[[#This Row],[KG/M]]</f>
        <v>3.5324999999999998</v>
      </c>
      <c r="U49" s="7">
        <v>6.1</v>
      </c>
      <c r="V49" s="217">
        <f>(S49/1000)*F49*Table5[[#This Row],[Normal Length]]</f>
        <v>21.548249999999996</v>
      </c>
      <c r="X49" s="217">
        <f>Table5[[#This Row],[£/Length]]*(1+X$2)</f>
        <v>28.012724999999996</v>
      </c>
      <c r="Y49" s="217">
        <f>Table5[[#This Row],[£/Length]]*(1+Y$2)</f>
        <v>29.090137499999997</v>
      </c>
      <c r="Z49" s="217">
        <f>Table5[[#This Row],[£/Length]]*(1+Z$2)</f>
        <v>30.167549999999991</v>
      </c>
      <c r="AA49" s="217">
        <f>Table5[[#This Row],[£/Length]]*(1+AA$2)</f>
        <v>32.322374999999994</v>
      </c>
      <c r="AB49" s="217">
        <f>Table5[[#This Row],[£/Length]]*(1+AB$2)</f>
        <v>34.477199999999996</v>
      </c>
    </row>
    <row r="50" spans="1:28" ht="25.35" customHeight="1">
      <c r="A50" s="7" t="s">
        <v>81</v>
      </c>
      <c r="B50" s="7" t="str">
        <f t="shared" si="0"/>
        <v>FL_65_12</v>
      </c>
      <c r="C50" s="7" t="str">
        <f t="shared" si="1"/>
        <v>FL_65_12 @ 6.12Kg/m</v>
      </c>
      <c r="D50" s="6" t="s">
        <v>507</v>
      </c>
      <c r="E50" s="6" t="s">
        <v>327</v>
      </c>
      <c r="F50" s="133">
        <f>Density!$E$45/1000000*D50*E50</f>
        <v>6.1229999999999993</v>
      </c>
      <c r="G50" s="139">
        <v>1.8</v>
      </c>
      <c r="H50" s="9">
        <v>1</v>
      </c>
      <c r="I50" s="140" t="s">
        <v>422</v>
      </c>
      <c r="J50" s="139">
        <v>6</v>
      </c>
      <c r="K50" s="9">
        <v>7</v>
      </c>
      <c r="L50" s="140" t="s">
        <v>422</v>
      </c>
      <c r="M50" s="139"/>
      <c r="N50" s="9"/>
      <c r="O50" s="140"/>
      <c r="P50" s="37">
        <f t="shared" si="2"/>
        <v>43.8</v>
      </c>
      <c r="Q50" s="50">
        <f>Table5[[#This Row],[Total Metres]]*Table5[[#This Row],[£Cost /m]]</f>
        <v>163.59431399999997</v>
      </c>
      <c r="R50" s="51"/>
      <c r="S50" s="52">
        <v>610</v>
      </c>
      <c r="T50" s="39">
        <f>(Table5[[#This Row],[£/Tonne]]/1000)*Table5[[#This Row],[KG/M]]</f>
        <v>3.7350299999999996</v>
      </c>
      <c r="U50" s="7">
        <v>6.1</v>
      </c>
      <c r="V50" s="217">
        <f>(S50/1000)*F50*Table5[[#This Row],[Normal Length]]</f>
        <v>22.783682999999996</v>
      </c>
      <c r="X50" s="217">
        <f>Table5[[#This Row],[£/Length]]*(1+X$2)</f>
        <v>29.618787899999997</v>
      </c>
      <c r="Y50" s="217">
        <f>Table5[[#This Row],[£/Length]]*(1+Y$2)</f>
        <v>30.757972049999996</v>
      </c>
      <c r="Z50" s="217">
        <f>Table5[[#This Row],[£/Length]]*(1+Z$2)</f>
        <v>31.897156199999994</v>
      </c>
      <c r="AA50" s="217">
        <f>Table5[[#This Row],[£/Length]]*(1+AA$2)</f>
        <v>34.175524499999995</v>
      </c>
      <c r="AB50" s="217">
        <f>Table5[[#This Row],[£/Length]]*(1+AB$2)</f>
        <v>36.453892799999998</v>
      </c>
    </row>
    <row r="51" spans="1:28" ht="25.35" customHeight="1">
      <c r="A51" s="7" t="s">
        <v>81</v>
      </c>
      <c r="B51" s="7" t="str">
        <f t="shared" si="0"/>
        <v>FL_75_12</v>
      </c>
      <c r="C51" s="7" t="str">
        <f t="shared" si="1"/>
        <v>FL_75_12 @ 7.07Kg/m</v>
      </c>
      <c r="D51" s="6" t="s">
        <v>508</v>
      </c>
      <c r="E51" s="6" t="s">
        <v>327</v>
      </c>
      <c r="F51" s="133">
        <f>Density!$E$45/1000000*D51*E51</f>
        <v>7.0649999999999995</v>
      </c>
      <c r="G51" s="139">
        <v>6.1</v>
      </c>
      <c r="H51" s="9">
        <v>75.5</v>
      </c>
      <c r="I51" s="140" t="s">
        <v>422</v>
      </c>
      <c r="J51" s="139">
        <v>3</v>
      </c>
      <c r="K51" s="9">
        <v>3</v>
      </c>
      <c r="L51" s="140" t="s">
        <v>422</v>
      </c>
      <c r="M51" s="139">
        <v>6.1</v>
      </c>
      <c r="N51" s="9">
        <v>2</v>
      </c>
      <c r="O51" s="140" t="s">
        <v>422</v>
      </c>
      <c r="P51" s="37">
        <f t="shared" si="2"/>
        <v>481.74999999999994</v>
      </c>
      <c r="Q51" s="50">
        <f>Table5[[#This Row],[Total Metres]]*Table5[[#This Row],[£Cost /m]]</f>
        <v>2586.7084499999996</v>
      </c>
      <c r="R51" s="51"/>
      <c r="S51" s="52">
        <v>760</v>
      </c>
      <c r="T51" s="39">
        <f>(Table5[[#This Row],[£/Tonne]]/1000)*Table5[[#This Row],[KG/M]]</f>
        <v>5.3693999999999997</v>
      </c>
      <c r="U51" s="7">
        <v>6.1</v>
      </c>
      <c r="V51" s="217">
        <f>(S51/1000)*F51*Table5[[#This Row],[Normal Length]]</f>
        <v>32.753339999999994</v>
      </c>
      <c r="X51" s="217">
        <f>Table5[[#This Row],[£/Length]]*(1+X$2)</f>
        <v>42.579341999999997</v>
      </c>
      <c r="Y51" s="217">
        <f>Table5[[#This Row],[£/Length]]*(1+Y$2)</f>
        <v>44.217008999999997</v>
      </c>
      <c r="Z51" s="217">
        <f>Table5[[#This Row],[£/Length]]*(1+Z$2)</f>
        <v>45.854675999999991</v>
      </c>
      <c r="AA51" s="217">
        <f>Table5[[#This Row],[£/Length]]*(1+AA$2)</f>
        <v>49.130009999999992</v>
      </c>
      <c r="AB51" s="217">
        <f>Table5[[#This Row],[£/Length]]*(1+AB$2)</f>
        <v>52.405343999999992</v>
      </c>
    </row>
    <row r="52" spans="1:28" ht="25.35" customHeight="1">
      <c r="A52" s="7" t="s">
        <v>81</v>
      </c>
      <c r="B52" s="7" t="str">
        <f t="shared" si="0"/>
        <v>FL_80_12</v>
      </c>
      <c r="C52" s="7" t="str">
        <f t="shared" si="1"/>
        <v>FL_80_12 @ 7.54Kg/m</v>
      </c>
      <c r="D52" s="6" t="s">
        <v>509</v>
      </c>
      <c r="E52" s="6" t="s">
        <v>327</v>
      </c>
      <c r="F52" s="133">
        <f>Density!$E$45/1000000*D52*E52</f>
        <v>7.5359999999999987</v>
      </c>
      <c r="G52" s="139"/>
      <c r="H52" s="9"/>
      <c r="I52" s="140"/>
      <c r="J52" s="139"/>
      <c r="K52" s="9"/>
      <c r="L52" s="140"/>
      <c r="M52" s="139"/>
      <c r="N52" s="9"/>
      <c r="O52" s="140"/>
      <c r="P52" s="37">
        <f t="shared" si="2"/>
        <v>0</v>
      </c>
      <c r="Q52" s="50">
        <f>Table5[[#This Row],[Total Metres]]*Table5[[#This Row],[£Cost /m]]</f>
        <v>0</v>
      </c>
      <c r="R52" s="51"/>
      <c r="S52" s="52"/>
      <c r="T52" s="39">
        <f>(Table5[[#This Row],[£/Tonne]]/1000)*Table5[[#This Row],[KG/M]]</f>
        <v>0</v>
      </c>
      <c r="U52" s="7">
        <v>6.1</v>
      </c>
      <c r="V52" s="217">
        <f>(S52/1000)*F52*Table5[[#This Row],[Normal Length]]</f>
        <v>0</v>
      </c>
      <c r="X52" s="217">
        <f>Table5[[#This Row],[£/Length]]*(1+X$2)</f>
        <v>0</v>
      </c>
      <c r="Y52" s="217">
        <f>Table5[[#This Row],[£/Length]]*(1+Y$2)</f>
        <v>0</v>
      </c>
      <c r="Z52" s="217">
        <f>Table5[[#This Row],[£/Length]]*(1+Z$2)</f>
        <v>0</v>
      </c>
      <c r="AA52" s="217">
        <f>Table5[[#This Row],[£/Length]]*(1+AA$2)</f>
        <v>0</v>
      </c>
      <c r="AB52" s="217">
        <f>Table5[[#This Row],[£/Length]]*(1+AB$2)</f>
        <v>0</v>
      </c>
    </row>
    <row r="53" spans="1:28" ht="25.35" customHeight="1">
      <c r="A53" s="7" t="s">
        <v>81</v>
      </c>
      <c r="B53" s="7" t="str">
        <f t="shared" si="0"/>
        <v>FL_100_12</v>
      </c>
      <c r="C53" s="7" t="str">
        <f t="shared" si="1"/>
        <v>FL_100_12 @ 9.42Kg/m</v>
      </c>
      <c r="D53" s="6" t="s">
        <v>511</v>
      </c>
      <c r="E53" s="6" t="s">
        <v>327</v>
      </c>
      <c r="F53" s="133">
        <f>Density!$E$45/1000000*D53*E53</f>
        <v>9.4199999999999982</v>
      </c>
      <c r="G53" s="139">
        <v>4</v>
      </c>
      <c r="H53" s="9">
        <v>1</v>
      </c>
      <c r="I53" s="140" t="s">
        <v>422</v>
      </c>
      <c r="J53" s="139"/>
      <c r="K53" s="9"/>
      <c r="L53" s="140"/>
      <c r="M53" s="139"/>
      <c r="N53" s="9"/>
      <c r="O53" s="140"/>
      <c r="P53" s="37">
        <f t="shared" si="2"/>
        <v>4</v>
      </c>
      <c r="Q53" s="50">
        <f>Table5[[#This Row],[Total Metres]]*Table5[[#This Row],[£Cost /m]]</f>
        <v>28.636799999999994</v>
      </c>
      <c r="R53" s="51"/>
      <c r="S53" s="52">
        <v>760</v>
      </c>
      <c r="T53" s="39">
        <f>(Table5[[#This Row],[£/Tonne]]/1000)*Table5[[#This Row],[KG/M]]</f>
        <v>7.1591999999999985</v>
      </c>
      <c r="U53" s="7">
        <v>6.1</v>
      </c>
      <c r="V53" s="217">
        <f>(S53/1000)*F53*Table5[[#This Row],[Normal Length]]</f>
        <v>43.671119999999988</v>
      </c>
      <c r="X53" s="217">
        <f>Table5[[#This Row],[£/Length]]*(1+X$2)</f>
        <v>56.772455999999984</v>
      </c>
      <c r="Y53" s="217">
        <f>Table5[[#This Row],[£/Length]]*(1+Y$2)</f>
        <v>58.956011999999987</v>
      </c>
      <c r="Z53" s="217">
        <f>Table5[[#This Row],[£/Length]]*(1+Z$2)</f>
        <v>61.139567999999976</v>
      </c>
      <c r="AA53" s="217">
        <f>Table5[[#This Row],[£/Length]]*(1+AA$2)</f>
        <v>65.506679999999989</v>
      </c>
      <c r="AB53" s="217">
        <f>Table5[[#This Row],[£/Length]]*(1+AB$2)</f>
        <v>69.87379199999998</v>
      </c>
    </row>
    <row r="54" spans="1:28" ht="25.35" customHeight="1">
      <c r="A54" s="7" t="s">
        <v>81</v>
      </c>
      <c r="B54" s="7" t="str">
        <f t="shared" si="0"/>
        <v>FL_120_12</v>
      </c>
      <c r="C54" s="7" t="str">
        <f t="shared" si="1"/>
        <v>FL_120_12 @ 11.3Kg/m</v>
      </c>
      <c r="D54" s="6" t="s">
        <v>515</v>
      </c>
      <c r="E54" s="6" t="s">
        <v>327</v>
      </c>
      <c r="F54" s="133">
        <f>Density!$E$45/1000000*D54*E54</f>
        <v>11.303999999999998</v>
      </c>
      <c r="G54" s="139"/>
      <c r="H54" s="9"/>
      <c r="I54" s="140"/>
      <c r="J54" s="139"/>
      <c r="K54" s="9"/>
      <c r="L54" s="140"/>
      <c r="M54" s="139"/>
      <c r="N54" s="9"/>
      <c r="O54" s="140"/>
      <c r="P54" s="37">
        <f t="shared" si="2"/>
        <v>0</v>
      </c>
      <c r="Q54" s="50">
        <f>Table5[[#This Row],[Total Metres]]*Table5[[#This Row],[£Cost /m]]</f>
        <v>0</v>
      </c>
      <c r="R54" s="51"/>
      <c r="S54" s="52"/>
      <c r="T54" s="39">
        <f>(Table5[[#This Row],[£/Tonne]]/1000)*Table5[[#This Row],[KG/M]]</f>
        <v>0</v>
      </c>
      <c r="U54" s="7">
        <v>6.1</v>
      </c>
      <c r="V54" s="217">
        <f>(S54/1000)*F54*Table5[[#This Row],[Normal Length]]</f>
        <v>0</v>
      </c>
      <c r="X54" s="217">
        <f>Table5[[#This Row],[£/Length]]*(1+X$2)</f>
        <v>0</v>
      </c>
      <c r="Y54" s="217">
        <f>Table5[[#This Row],[£/Length]]*(1+Y$2)</f>
        <v>0</v>
      </c>
      <c r="Z54" s="217">
        <f>Table5[[#This Row],[£/Length]]*(1+Z$2)</f>
        <v>0</v>
      </c>
      <c r="AA54" s="217">
        <f>Table5[[#This Row],[£/Length]]*(1+AA$2)</f>
        <v>0</v>
      </c>
      <c r="AB54" s="217">
        <f>Table5[[#This Row],[£/Length]]*(1+AB$2)</f>
        <v>0</v>
      </c>
    </row>
    <row r="55" spans="1:28" ht="25.35" customHeight="1">
      <c r="A55" s="7" t="s">
        <v>81</v>
      </c>
      <c r="B55" s="7" t="str">
        <f t="shared" si="0"/>
        <v>FL_130_12</v>
      </c>
      <c r="C55" s="7" t="str">
        <f t="shared" si="1"/>
        <v>FL_130_12 @ 12.25Kg/m</v>
      </c>
      <c r="D55" s="6" t="s">
        <v>516</v>
      </c>
      <c r="E55" s="6" t="s">
        <v>327</v>
      </c>
      <c r="F55" s="133">
        <f>Density!$E$45/1000000*D55*E55</f>
        <v>12.245999999999999</v>
      </c>
      <c r="G55" s="139"/>
      <c r="H55" s="9"/>
      <c r="I55" s="140"/>
      <c r="J55" s="139"/>
      <c r="K55" s="9"/>
      <c r="L55" s="140"/>
      <c r="M55" s="139"/>
      <c r="N55" s="9"/>
      <c r="O55" s="140"/>
      <c r="P55" s="37">
        <f t="shared" si="2"/>
        <v>0</v>
      </c>
      <c r="Q55" s="50">
        <f>Table5[[#This Row],[Total Metres]]*Table5[[#This Row],[£Cost /m]]</f>
        <v>0</v>
      </c>
      <c r="R55" s="51"/>
      <c r="S55" s="52"/>
      <c r="T55" s="39">
        <f>(Table5[[#This Row],[£/Tonne]]/1000)*Table5[[#This Row],[KG/M]]</f>
        <v>0</v>
      </c>
      <c r="U55" s="7">
        <v>6.1</v>
      </c>
      <c r="V55" s="217">
        <f>(S55/1000)*F55*Table5[[#This Row],[Normal Length]]</f>
        <v>0</v>
      </c>
      <c r="X55" s="217">
        <f>Table5[[#This Row],[£/Length]]*(1+X$2)</f>
        <v>0</v>
      </c>
      <c r="Y55" s="217">
        <f>Table5[[#This Row],[£/Length]]*(1+Y$2)</f>
        <v>0</v>
      </c>
      <c r="Z55" s="217">
        <f>Table5[[#This Row],[£/Length]]*(1+Z$2)</f>
        <v>0</v>
      </c>
      <c r="AA55" s="217">
        <f>Table5[[#This Row],[£/Length]]*(1+AA$2)</f>
        <v>0</v>
      </c>
      <c r="AB55" s="217">
        <f>Table5[[#This Row],[£/Length]]*(1+AB$2)</f>
        <v>0</v>
      </c>
    </row>
    <row r="56" spans="1:28" ht="25.35" customHeight="1">
      <c r="A56" s="7" t="s">
        <v>81</v>
      </c>
      <c r="B56" s="7" t="str">
        <f t="shared" si="0"/>
        <v>FL_150_12</v>
      </c>
      <c r="C56" s="7" t="str">
        <f t="shared" si="1"/>
        <v>FL_150_12 @ 14.13Kg/m</v>
      </c>
      <c r="D56" s="6" t="s">
        <v>517</v>
      </c>
      <c r="E56" s="6" t="s">
        <v>327</v>
      </c>
      <c r="F56" s="133">
        <f>Density!$E$45/1000000*D56*E56</f>
        <v>14.129999999999999</v>
      </c>
      <c r="G56" s="139">
        <v>6.1</v>
      </c>
      <c r="H56" s="9">
        <v>5</v>
      </c>
      <c r="I56" s="140" t="s">
        <v>422</v>
      </c>
      <c r="J56" s="139"/>
      <c r="K56" s="9"/>
      <c r="L56" s="140"/>
      <c r="M56" s="139"/>
      <c r="N56" s="9"/>
      <c r="O56" s="140"/>
      <c r="P56" s="37">
        <f t="shared" si="2"/>
        <v>30.5</v>
      </c>
      <c r="Q56" s="50">
        <f>Table5[[#This Row],[Total Metres]]*Table5[[#This Row],[£Cost /m]]</f>
        <v>299.52067499999998</v>
      </c>
      <c r="R56" s="51"/>
      <c r="S56" s="52">
        <v>695</v>
      </c>
      <c r="T56" s="39">
        <f>(Table5[[#This Row],[£/Tonne]]/1000)*Table5[[#This Row],[KG/M]]</f>
        <v>9.8203499999999995</v>
      </c>
      <c r="U56" s="7">
        <v>6.1</v>
      </c>
      <c r="V56" s="217">
        <f>(S56/1000)*F56*Table5[[#This Row],[Normal Length]]</f>
        <v>59.904134999999997</v>
      </c>
      <c r="X56" s="217">
        <f>Table5[[#This Row],[£/Length]]*(1+X$2)</f>
        <v>77.875375500000004</v>
      </c>
      <c r="Y56" s="217">
        <f>Table5[[#This Row],[£/Length]]*(1+Y$2)</f>
        <v>80.870582249999998</v>
      </c>
      <c r="Z56" s="217">
        <f>Table5[[#This Row],[£/Length]]*(1+Z$2)</f>
        <v>83.865788999999992</v>
      </c>
      <c r="AA56" s="217">
        <f>Table5[[#This Row],[£/Length]]*(1+AA$2)</f>
        <v>89.856202499999995</v>
      </c>
      <c r="AB56" s="217">
        <f>Table5[[#This Row],[£/Length]]*(1+AB$2)</f>
        <v>95.846615999999997</v>
      </c>
    </row>
    <row r="57" spans="1:28" ht="25.35" customHeight="1">
      <c r="A57" s="7" t="s">
        <v>81</v>
      </c>
      <c r="B57" s="7" t="str">
        <f t="shared" si="0"/>
        <v>FL_180_12</v>
      </c>
      <c r="C57" s="7" t="str">
        <f t="shared" si="1"/>
        <v>FL_180_12 @ 16.96Kg/m</v>
      </c>
      <c r="D57" s="6" t="s">
        <v>519</v>
      </c>
      <c r="E57" s="6" t="s">
        <v>327</v>
      </c>
      <c r="F57" s="133">
        <f>Density!$E$45/1000000*D57*E57</f>
        <v>16.955999999999996</v>
      </c>
      <c r="G57" s="139"/>
      <c r="H57" s="9"/>
      <c r="I57" s="140"/>
      <c r="J57" s="139"/>
      <c r="K57" s="9"/>
      <c r="L57" s="140"/>
      <c r="M57" s="139"/>
      <c r="N57" s="9"/>
      <c r="O57" s="140"/>
      <c r="P57" s="37">
        <f t="shared" si="2"/>
        <v>0</v>
      </c>
      <c r="Q57" s="50">
        <f>Table5[[#This Row],[Total Metres]]*Table5[[#This Row],[£Cost /m]]</f>
        <v>0</v>
      </c>
      <c r="R57" s="51"/>
      <c r="S57" s="52"/>
      <c r="T57" s="39">
        <f>(Table5[[#This Row],[£/Tonne]]/1000)*Table5[[#This Row],[KG/M]]</f>
        <v>0</v>
      </c>
      <c r="U57" s="7">
        <v>6.1</v>
      </c>
      <c r="V57" s="217">
        <f>(S57/1000)*F57*Table5[[#This Row],[Normal Length]]</f>
        <v>0</v>
      </c>
      <c r="X57" s="217">
        <f>Table5[[#This Row],[£/Length]]*(1+X$2)</f>
        <v>0</v>
      </c>
      <c r="Y57" s="217">
        <f>Table5[[#This Row],[£/Length]]*(1+Y$2)</f>
        <v>0</v>
      </c>
      <c r="Z57" s="217">
        <f>Table5[[#This Row],[£/Length]]*(1+Z$2)</f>
        <v>0</v>
      </c>
      <c r="AA57" s="217">
        <f>Table5[[#This Row],[£/Length]]*(1+AA$2)</f>
        <v>0</v>
      </c>
      <c r="AB57" s="217">
        <f>Table5[[#This Row],[£/Length]]*(1+AB$2)</f>
        <v>0</v>
      </c>
    </row>
    <row r="58" spans="1:28" ht="25.35" customHeight="1">
      <c r="A58" s="7" t="s">
        <v>81</v>
      </c>
      <c r="B58" s="7" t="str">
        <f t="shared" si="0"/>
        <v>FL_200_12</v>
      </c>
      <c r="C58" s="7" t="str">
        <f t="shared" si="1"/>
        <v>FL_200_12 @ 18.84Kg/m</v>
      </c>
      <c r="D58" s="6" t="s">
        <v>512</v>
      </c>
      <c r="E58" s="6" t="s">
        <v>327</v>
      </c>
      <c r="F58" s="133">
        <f>Density!$E$45/1000000*D58*E58</f>
        <v>18.839999999999996</v>
      </c>
      <c r="G58" s="139"/>
      <c r="H58" s="9"/>
      <c r="I58" s="140"/>
      <c r="J58" s="139"/>
      <c r="K58" s="9"/>
      <c r="L58" s="140"/>
      <c r="M58" s="139"/>
      <c r="N58" s="9"/>
      <c r="O58" s="140"/>
      <c r="P58" s="37">
        <f t="shared" si="2"/>
        <v>0</v>
      </c>
      <c r="Q58" s="50">
        <f>Table5[[#This Row],[Total Metres]]*Table5[[#This Row],[£Cost /m]]</f>
        <v>0</v>
      </c>
      <c r="R58" s="51"/>
      <c r="S58" s="52"/>
      <c r="T58" s="39">
        <f>(Table5[[#This Row],[£/Tonne]]/1000)*Table5[[#This Row],[KG/M]]</f>
        <v>0</v>
      </c>
      <c r="U58" s="7">
        <v>6.1</v>
      </c>
      <c r="V58" s="217">
        <f>(S58/1000)*F58*Table5[[#This Row],[Normal Length]]</f>
        <v>0</v>
      </c>
      <c r="X58" s="217">
        <f>Table5[[#This Row],[£/Length]]*(1+X$2)</f>
        <v>0</v>
      </c>
      <c r="Y58" s="217">
        <f>Table5[[#This Row],[£/Length]]*(1+Y$2)</f>
        <v>0</v>
      </c>
      <c r="Z58" s="217">
        <f>Table5[[#This Row],[£/Length]]*(1+Z$2)</f>
        <v>0</v>
      </c>
      <c r="AA58" s="217">
        <f>Table5[[#This Row],[£/Length]]*(1+AA$2)</f>
        <v>0</v>
      </c>
      <c r="AB58" s="217">
        <f>Table5[[#This Row],[£/Length]]*(1+AB$2)</f>
        <v>0</v>
      </c>
    </row>
    <row r="59" spans="1:28" ht="25.35" customHeight="1">
      <c r="A59" s="7" t="s">
        <v>81</v>
      </c>
      <c r="B59" s="7" t="str">
        <f t="shared" si="0"/>
        <v>FL_300_12</v>
      </c>
      <c r="C59" s="7" t="str">
        <f t="shared" si="1"/>
        <v>FL_300_12 @ 28.26Kg/m</v>
      </c>
      <c r="D59" s="6" t="s">
        <v>520</v>
      </c>
      <c r="E59" s="6" t="s">
        <v>327</v>
      </c>
      <c r="F59" s="133">
        <f>Density!$E$45/1000000*D59*E59</f>
        <v>28.259999999999998</v>
      </c>
      <c r="G59" s="139">
        <v>6.1</v>
      </c>
      <c r="H59" s="9">
        <v>3</v>
      </c>
      <c r="I59" s="140" t="s">
        <v>422</v>
      </c>
      <c r="J59" s="139"/>
      <c r="K59" s="9"/>
      <c r="L59" s="140"/>
      <c r="M59" s="139"/>
      <c r="N59" s="9"/>
      <c r="O59" s="140"/>
      <c r="P59" s="37">
        <f t="shared" si="2"/>
        <v>18.299999999999997</v>
      </c>
      <c r="Q59" s="50">
        <f>Table5[[#This Row],[Total Metres]]*Table5[[#This Row],[£Cost /m]]</f>
        <v>336.15269999999992</v>
      </c>
      <c r="R59" s="51"/>
      <c r="S59" s="52">
        <v>650</v>
      </c>
      <c r="T59" s="39">
        <f>(Table5[[#This Row],[£/Tonne]]/1000)*Table5[[#This Row],[KG/M]]</f>
        <v>18.369</v>
      </c>
      <c r="U59" s="7">
        <v>6.1</v>
      </c>
      <c r="V59" s="217">
        <f>(S59/1000)*F59*Table5[[#This Row],[Normal Length]]</f>
        <v>112.0509</v>
      </c>
      <c r="X59" s="217">
        <f>Table5[[#This Row],[£/Length]]*(1+X$2)</f>
        <v>145.66616999999999</v>
      </c>
      <c r="Y59" s="217">
        <f>Table5[[#This Row],[£/Length]]*(1+Y$2)</f>
        <v>151.26871500000001</v>
      </c>
      <c r="Z59" s="217">
        <f>Table5[[#This Row],[£/Length]]*(1+Z$2)</f>
        <v>156.87125999999998</v>
      </c>
      <c r="AA59" s="217">
        <f>Table5[[#This Row],[£/Length]]*(1+AA$2)</f>
        <v>168.07634999999999</v>
      </c>
      <c r="AB59" s="217">
        <f>Table5[[#This Row],[£/Length]]*(1+AB$2)</f>
        <v>179.28144</v>
      </c>
    </row>
    <row r="60" spans="1:28" ht="25.35" customHeight="1">
      <c r="A60" s="7" t="s">
        <v>81</v>
      </c>
      <c r="B60" s="7" t="str">
        <f t="shared" si="0"/>
        <v>FL_40_15</v>
      </c>
      <c r="C60" s="7" t="str">
        <f t="shared" si="1"/>
        <v>FL_40_15 @ 4.71Kg/m</v>
      </c>
      <c r="D60" s="6" t="s">
        <v>501</v>
      </c>
      <c r="E60" s="6" t="s">
        <v>521</v>
      </c>
      <c r="F60" s="133">
        <f>Density!$E$45/1000000*D60*E60</f>
        <v>4.7099999999999991</v>
      </c>
      <c r="G60" s="139"/>
      <c r="H60" s="9"/>
      <c r="I60" s="140"/>
      <c r="J60" s="139"/>
      <c r="K60" s="9"/>
      <c r="L60" s="140"/>
      <c r="M60" s="139"/>
      <c r="N60" s="9"/>
      <c r="O60" s="140"/>
      <c r="P60" s="37">
        <f t="shared" si="2"/>
        <v>0</v>
      </c>
      <c r="Q60" s="50">
        <f>Table5[[#This Row],[Total Metres]]*Table5[[#This Row],[£Cost /m]]</f>
        <v>0</v>
      </c>
      <c r="R60" s="51"/>
      <c r="S60" s="52"/>
      <c r="T60" s="39">
        <f>(Table5[[#This Row],[£/Tonne]]/1000)*Table5[[#This Row],[KG/M]]</f>
        <v>0</v>
      </c>
      <c r="U60" s="7">
        <v>6.1</v>
      </c>
      <c r="V60" s="217">
        <f>(S60/1000)*F60*Table5[[#This Row],[Normal Length]]</f>
        <v>0</v>
      </c>
      <c r="X60" s="217">
        <f>Table5[[#This Row],[£/Length]]*(1+X$2)</f>
        <v>0</v>
      </c>
      <c r="Y60" s="217">
        <f>Table5[[#This Row],[£/Length]]*(1+Y$2)</f>
        <v>0</v>
      </c>
      <c r="Z60" s="217">
        <f>Table5[[#This Row],[£/Length]]*(1+Z$2)</f>
        <v>0</v>
      </c>
      <c r="AA60" s="217">
        <f>Table5[[#This Row],[£/Length]]*(1+AA$2)</f>
        <v>0</v>
      </c>
      <c r="AB60" s="217">
        <f>Table5[[#This Row],[£/Length]]*(1+AB$2)</f>
        <v>0</v>
      </c>
    </row>
    <row r="61" spans="1:28" ht="25.35" customHeight="1">
      <c r="A61" s="7" t="s">
        <v>81</v>
      </c>
      <c r="B61" s="7" t="str">
        <f t="shared" si="0"/>
        <v>FL_50_15</v>
      </c>
      <c r="C61" s="7" t="str">
        <f t="shared" si="1"/>
        <v>FL_50_15 @ 5.89Kg/m</v>
      </c>
      <c r="D61" s="6" t="s">
        <v>506</v>
      </c>
      <c r="E61" s="6" t="s">
        <v>521</v>
      </c>
      <c r="F61" s="133">
        <f>Density!$E$45/1000000*D61*E61</f>
        <v>5.8874999999999993</v>
      </c>
      <c r="G61" s="139"/>
      <c r="H61" s="9"/>
      <c r="I61" s="140"/>
      <c r="J61" s="139"/>
      <c r="K61" s="9"/>
      <c r="L61" s="140"/>
      <c r="M61" s="139"/>
      <c r="N61" s="9"/>
      <c r="O61" s="140"/>
      <c r="P61" s="37">
        <f t="shared" si="2"/>
        <v>0</v>
      </c>
      <c r="Q61" s="50">
        <f>Table5[[#This Row],[Total Metres]]*Table5[[#This Row],[£Cost /m]]</f>
        <v>0</v>
      </c>
      <c r="R61" s="51"/>
      <c r="S61" s="52"/>
      <c r="T61" s="39">
        <f>(Table5[[#This Row],[£/Tonne]]/1000)*Table5[[#This Row],[KG/M]]</f>
        <v>0</v>
      </c>
      <c r="U61" s="7">
        <v>6.1</v>
      </c>
      <c r="V61" s="217">
        <f>(S61/1000)*F61*Table5[[#This Row],[Normal Length]]</f>
        <v>0</v>
      </c>
      <c r="X61" s="217">
        <f>Table5[[#This Row],[£/Length]]*(1+X$2)</f>
        <v>0</v>
      </c>
      <c r="Y61" s="217">
        <f>Table5[[#This Row],[£/Length]]*(1+Y$2)</f>
        <v>0</v>
      </c>
      <c r="Z61" s="217">
        <f>Table5[[#This Row],[£/Length]]*(1+Z$2)</f>
        <v>0</v>
      </c>
      <c r="AA61" s="217">
        <f>Table5[[#This Row],[£/Length]]*(1+AA$2)</f>
        <v>0</v>
      </c>
      <c r="AB61" s="217">
        <f>Table5[[#This Row],[£/Length]]*(1+AB$2)</f>
        <v>0</v>
      </c>
    </row>
    <row r="62" spans="1:28" ht="25.35" customHeight="1">
      <c r="A62" s="7" t="s">
        <v>81</v>
      </c>
      <c r="B62" s="7" t="str">
        <f t="shared" si="0"/>
        <v>FL_60_15</v>
      </c>
      <c r="C62" s="7" t="str">
        <f t="shared" si="1"/>
        <v>FL_60_15 @ 7.07Kg/m</v>
      </c>
      <c r="D62" s="6" t="s">
        <v>513</v>
      </c>
      <c r="E62" s="6" t="s">
        <v>521</v>
      </c>
      <c r="F62" s="133">
        <f>Density!$E$45/1000000*D62*E62</f>
        <v>7.0649999999999995</v>
      </c>
      <c r="G62" s="139">
        <v>6.1</v>
      </c>
      <c r="H62" s="9">
        <v>7.5</v>
      </c>
      <c r="I62" s="140" t="s">
        <v>422</v>
      </c>
      <c r="J62" s="139">
        <v>3</v>
      </c>
      <c r="K62" s="9">
        <v>1</v>
      </c>
      <c r="L62" s="140" t="s">
        <v>422</v>
      </c>
      <c r="M62" s="139"/>
      <c r="N62" s="9"/>
      <c r="O62" s="140"/>
      <c r="P62" s="37">
        <f t="shared" si="2"/>
        <v>48.75</v>
      </c>
      <c r="Q62" s="50">
        <f>Table5[[#This Row],[Total Metres]]*Table5[[#This Row],[£Cost /m]]</f>
        <v>208.37334374999998</v>
      </c>
      <c r="R62" s="51"/>
      <c r="S62" s="52">
        <v>605</v>
      </c>
      <c r="T62" s="39">
        <f>(Table5[[#This Row],[£/Tonne]]/1000)*Table5[[#This Row],[KG/M]]</f>
        <v>4.2743249999999993</v>
      </c>
      <c r="U62" s="7">
        <v>6.1</v>
      </c>
      <c r="V62" s="217">
        <f>(S62/1000)*F62*Table5[[#This Row],[Normal Length]]</f>
        <v>26.073382499999994</v>
      </c>
      <c r="X62" s="217">
        <f>Table5[[#This Row],[£/Length]]*(1+X$2)</f>
        <v>33.895397249999995</v>
      </c>
      <c r="Y62" s="217">
        <f>Table5[[#This Row],[£/Length]]*(1+Y$2)</f>
        <v>35.199066374999994</v>
      </c>
      <c r="Z62" s="217">
        <f>Table5[[#This Row],[£/Length]]*(1+Z$2)</f>
        <v>36.502735499999986</v>
      </c>
      <c r="AA62" s="217">
        <f>Table5[[#This Row],[£/Length]]*(1+AA$2)</f>
        <v>39.110073749999991</v>
      </c>
      <c r="AB62" s="217">
        <f>Table5[[#This Row],[£/Length]]*(1+AB$2)</f>
        <v>41.717411999999996</v>
      </c>
    </row>
    <row r="63" spans="1:28" ht="25.35" customHeight="1">
      <c r="A63" s="7" t="s">
        <v>81</v>
      </c>
      <c r="B63" s="7" t="str">
        <f t="shared" si="0"/>
        <v>FL_75_15</v>
      </c>
      <c r="C63" s="7" t="str">
        <f t="shared" si="1"/>
        <v>FL_75_15 @ 8.83Kg/m</v>
      </c>
      <c r="D63" s="6" t="s">
        <v>508</v>
      </c>
      <c r="E63" s="6" t="s">
        <v>521</v>
      </c>
      <c r="F63" s="133">
        <f>Density!$E$45/1000000*D63*E63</f>
        <v>8.8312500000000007</v>
      </c>
      <c r="G63" s="139"/>
      <c r="H63" s="9"/>
      <c r="I63" s="140"/>
      <c r="J63" s="139"/>
      <c r="K63" s="9"/>
      <c r="L63" s="140"/>
      <c r="M63" s="139"/>
      <c r="N63" s="9"/>
      <c r="O63" s="140"/>
      <c r="P63" s="37">
        <f t="shared" si="2"/>
        <v>0</v>
      </c>
      <c r="Q63" s="50">
        <f>Table5[[#This Row],[Total Metres]]*Table5[[#This Row],[£Cost /m]]</f>
        <v>0</v>
      </c>
      <c r="R63" s="51"/>
      <c r="S63" s="52"/>
      <c r="T63" s="39">
        <f>(Table5[[#This Row],[£/Tonne]]/1000)*Table5[[#This Row],[KG/M]]</f>
        <v>0</v>
      </c>
      <c r="U63" s="7">
        <v>6.1</v>
      </c>
      <c r="V63" s="217">
        <f>(S63/1000)*F63*Table5[[#This Row],[Normal Length]]</f>
        <v>0</v>
      </c>
      <c r="X63" s="217">
        <f>Table5[[#This Row],[£/Length]]*(1+X$2)</f>
        <v>0</v>
      </c>
      <c r="Y63" s="217">
        <f>Table5[[#This Row],[£/Length]]*(1+Y$2)</f>
        <v>0</v>
      </c>
      <c r="Z63" s="217">
        <f>Table5[[#This Row],[£/Length]]*(1+Z$2)</f>
        <v>0</v>
      </c>
      <c r="AA63" s="217">
        <f>Table5[[#This Row],[£/Length]]*(1+AA$2)</f>
        <v>0</v>
      </c>
      <c r="AB63" s="217">
        <f>Table5[[#This Row],[£/Length]]*(1+AB$2)</f>
        <v>0</v>
      </c>
    </row>
    <row r="64" spans="1:28" ht="25.35" customHeight="1">
      <c r="A64" s="7" t="s">
        <v>81</v>
      </c>
      <c r="B64" s="7" t="str">
        <f t="shared" si="0"/>
        <v>FL_80_15</v>
      </c>
      <c r="C64" s="7" t="str">
        <f t="shared" si="1"/>
        <v>FL_80_15 @ 9.42Kg/m</v>
      </c>
      <c r="D64" s="6" t="s">
        <v>509</v>
      </c>
      <c r="E64" s="6" t="s">
        <v>521</v>
      </c>
      <c r="F64" s="133">
        <f>Density!$E$45/1000000*D64*E64</f>
        <v>9.4199999999999982</v>
      </c>
      <c r="G64" s="139"/>
      <c r="H64" s="9"/>
      <c r="I64" s="140"/>
      <c r="J64" s="139"/>
      <c r="K64" s="9"/>
      <c r="L64" s="140"/>
      <c r="M64" s="139"/>
      <c r="N64" s="9"/>
      <c r="O64" s="140"/>
      <c r="P64" s="37">
        <f t="shared" si="2"/>
        <v>0</v>
      </c>
      <c r="Q64" s="50">
        <f>Table5[[#This Row],[Total Metres]]*Table5[[#This Row],[£Cost /m]]</f>
        <v>0</v>
      </c>
      <c r="R64" s="51"/>
      <c r="S64" s="52"/>
      <c r="T64" s="39">
        <f>(Table5[[#This Row],[£/Tonne]]/1000)*Table5[[#This Row],[KG/M]]</f>
        <v>0</v>
      </c>
      <c r="U64" s="7">
        <v>6.1</v>
      </c>
      <c r="V64" s="217">
        <f>(S64/1000)*F64*Table5[[#This Row],[Normal Length]]</f>
        <v>0</v>
      </c>
      <c r="X64" s="217">
        <f>Table5[[#This Row],[£/Length]]*(1+X$2)</f>
        <v>0</v>
      </c>
      <c r="Y64" s="217">
        <f>Table5[[#This Row],[£/Length]]*(1+Y$2)</f>
        <v>0</v>
      </c>
      <c r="Z64" s="217">
        <f>Table5[[#This Row],[£/Length]]*(1+Z$2)</f>
        <v>0</v>
      </c>
      <c r="AA64" s="217">
        <f>Table5[[#This Row],[£/Length]]*(1+AA$2)</f>
        <v>0</v>
      </c>
      <c r="AB64" s="217">
        <f>Table5[[#This Row],[£/Length]]*(1+AB$2)</f>
        <v>0</v>
      </c>
    </row>
    <row r="65" spans="1:28" ht="25.35" customHeight="1">
      <c r="A65" s="7" t="s">
        <v>81</v>
      </c>
      <c r="B65" s="7" t="str">
        <f t="shared" si="0"/>
        <v>FL_100_15</v>
      </c>
      <c r="C65" s="7" t="str">
        <f t="shared" si="1"/>
        <v>FL_100_15 @ 11.78Kg/m</v>
      </c>
      <c r="D65" s="6" t="s">
        <v>511</v>
      </c>
      <c r="E65" s="6" t="s">
        <v>521</v>
      </c>
      <c r="F65" s="133">
        <f>Density!$E$45/1000000*D65*E65</f>
        <v>11.774999999999999</v>
      </c>
      <c r="G65" s="139"/>
      <c r="H65" s="9"/>
      <c r="I65" s="140"/>
      <c r="J65" s="139"/>
      <c r="K65" s="9"/>
      <c r="L65" s="140"/>
      <c r="M65" s="139"/>
      <c r="N65" s="9"/>
      <c r="O65" s="140"/>
      <c r="P65" s="37">
        <f t="shared" si="2"/>
        <v>0</v>
      </c>
      <c r="Q65" s="50">
        <f>Table5[[#This Row],[Total Metres]]*Table5[[#This Row],[£Cost /m]]</f>
        <v>0</v>
      </c>
      <c r="R65" s="51"/>
      <c r="S65" s="52"/>
      <c r="T65" s="39">
        <f>(Table5[[#This Row],[£/Tonne]]/1000)*Table5[[#This Row],[KG/M]]</f>
        <v>0</v>
      </c>
      <c r="U65" s="7">
        <v>6.1</v>
      </c>
      <c r="V65" s="217">
        <f>(S65/1000)*F65*Table5[[#This Row],[Normal Length]]</f>
        <v>0</v>
      </c>
      <c r="X65" s="217">
        <f>Table5[[#This Row],[£/Length]]*(1+X$2)</f>
        <v>0</v>
      </c>
      <c r="Y65" s="217">
        <f>Table5[[#This Row],[£/Length]]*(1+Y$2)</f>
        <v>0</v>
      </c>
      <c r="Z65" s="217">
        <f>Table5[[#This Row],[£/Length]]*(1+Z$2)</f>
        <v>0</v>
      </c>
      <c r="AA65" s="217">
        <f>Table5[[#This Row],[£/Length]]*(1+AA$2)</f>
        <v>0</v>
      </c>
      <c r="AB65" s="217">
        <f>Table5[[#This Row],[£/Length]]*(1+AB$2)</f>
        <v>0</v>
      </c>
    </row>
    <row r="66" spans="1:28" ht="25.35" customHeight="1">
      <c r="A66" s="7" t="s">
        <v>81</v>
      </c>
      <c r="B66" s="7" t="str">
        <f t="shared" si="0"/>
        <v>FL_150_15</v>
      </c>
      <c r="C66" s="7" t="str">
        <f t="shared" si="1"/>
        <v>FL_150_15 @ 17.66Kg/m</v>
      </c>
      <c r="D66" s="6" t="s">
        <v>517</v>
      </c>
      <c r="E66" s="6" t="s">
        <v>521</v>
      </c>
      <c r="F66" s="133">
        <f>Density!$E$45/1000000*D66*E66</f>
        <v>17.662500000000001</v>
      </c>
      <c r="G66" s="139"/>
      <c r="H66" s="9"/>
      <c r="I66" s="140"/>
      <c r="J66" s="139"/>
      <c r="K66" s="9"/>
      <c r="L66" s="140"/>
      <c r="M66" s="139"/>
      <c r="N66" s="9"/>
      <c r="O66" s="140"/>
      <c r="P66" s="37">
        <f t="shared" si="2"/>
        <v>0</v>
      </c>
      <c r="Q66" s="50">
        <f>Table5[[#This Row],[Total Metres]]*Table5[[#This Row],[£Cost /m]]</f>
        <v>0</v>
      </c>
      <c r="R66" s="51"/>
      <c r="S66" s="52"/>
      <c r="T66" s="39">
        <f>(Table5[[#This Row],[£/Tonne]]/1000)*Table5[[#This Row],[KG/M]]</f>
        <v>0</v>
      </c>
      <c r="U66" s="7">
        <v>6.1</v>
      </c>
      <c r="V66" s="217">
        <f>(S66/1000)*F66*Table5[[#This Row],[Normal Length]]</f>
        <v>0</v>
      </c>
      <c r="X66" s="217">
        <f>Table5[[#This Row],[£/Length]]*(1+X$2)</f>
        <v>0</v>
      </c>
      <c r="Y66" s="217">
        <f>Table5[[#This Row],[£/Length]]*(1+Y$2)</f>
        <v>0</v>
      </c>
      <c r="Z66" s="217">
        <f>Table5[[#This Row],[£/Length]]*(1+Z$2)</f>
        <v>0</v>
      </c>
      <c r="AA66" s="217">
        <f>Table5[[#This Row],[£/Length]]*(1+AA$2)</f>
        <v>0</v>
      </c>
      <c r="AB66" s="217">
        <f>Table5[[#This Row],[£/Length]]*(1+AB$2)</f>
        <v>0</v>
      </c>
    </row>
    <row r="67" spans="1:28" ht="25.35" customHeight="1">
      <c r="A67" s="7" t="s">
        <v>81</v>
      </c>
      <c r="B67" s="7" t="str">
        <f t="shared" si="0"/>
        <v>FL_200_15</v>
      </c>
      <c r="C67" s="7" t="str">
        <f t="shared" si="1"/>
        <v>FL_200_15 @ 23.55Kg/m</v>
      </c>
      <c r="D67" s="6" t="s">
        <v>512</v>
      </c>
      <c r="E67" s="6" t="s">
        <v>521</v>
      </c>
      <c r="F67" s="133">
        <f>Density!$E$45/1000000*D67*E67</f>
        <v>23.549999999999997</v>
      </c>
      <c r="G67" s="139"/>
      <c r="H67" s="9"/>
      <c r="I67" s="140"/>
      <c r="J67" s="139"/>
      <c r="K67" s="9"/>
      <c r="L67" s="140"/>
      <c r="M67" s="139"/>
      <c r="N67" s="9"/>
      <c r="O67" s="140"/>
      <c r="P67" s="37">
        <f t="shared" si="2"/>
        <v>0</v>
      </c>
      <c r="Q67" s="50">
        <f>Table5[[#This Row],[Total Metres]]*Table5[[#This Row],[£Cost /m]]</f>
        <v>0</v>
      </c>
      <c r="R67" s="51"/>
      <c r="S67" s="52"/>
      <c r="T67" s="39">
        <f>(Table5[[#This Row],[£/Tonne]]/1000)*Table5[[#This Row],[KG/M]]</f>
        <v>0</v>
      </c>
      <c r="U67" s="7">
        <v>6.1</v>
      </c>
      <c r="V67" s="217">
        <f>(S67/1000)*F67*Table5[[#This Row],[Normal Length]]</f>
        <v>0</v>
      </c>
      <c r="X67" s="217">
        <f>Table5[[#This Row],[£/Length]]*(1+X$2)</f>
        <v>0</v>
      </c>
      <c r="Y67" s="217">
        <f>Table5[[#This Row],[£/Length]]*(1+Y$2)</f>
        <v>0</v>
      </c>
      <c r="Z67" s="217">
        <f>Table5[[#This Row],[£/Length]]*(1+Z$2)</f>
        <v>0</v>
      </c>
      <c r="AA67" s="217">
        <f>Table5[[#This Row],[£/Length]]*(1+AA$2)</f>
        <v>0</v>
      </c>
      <c r="AB67" s="217">
        <f>Table5[[#This Row],[£/Length]]*(1+AB$2)</f>
        <v>0</v>
      </c>
    </row>
    <row r="68" spans="1:28" ht="25.35" customHeight="1">
      <c r="A68" s="7" t="s">
        <v>81</v>
      </c>
      <c r="B68" s="7" t="str">
        <f t="shared" si="0"/>
        <v>FL_40_20</v>
      </c>
      <c r="C68" s="7" t="str">
        <f t="shared" si="1"/>
        <v>FL_40_20 @ 6.28Kg/m</v>
      </c>
      <c r="D68" s="6" t="s">
        <v>501</v>
      </c>
      <c r="E68" s="6" t="s">
        <v>497</v>
      </c>
      <c r="F68" s="133">
        <f>Density!$E$45/1000000*D68*E68</f>
        <v>6.2799999999999994</v>
      </c>
      <c r="G68" s="139"/>
      <c r="H68" s="9"/>
      <c r="I68" s="140"/>
      <c r="J68" s="139"/>
      <c r="K68" s="9"/>
      <c r="L68" s="140"/>
      <c r="M68" s="139"/>
      <c r="N68" s="9"/>
      <c r="O68" s="140"/>
      <c r="P68" s="37">
        <f t="shared" ref="P68:P87" si="7">SUM(G68*H68)+(J68*K68)+(M68*N68)</f>
        <v>0</v>
      </c>
      <c r="Q68" s="50">
        <f>Table5[[#This Row],[Total Metres]]*Table5[[#This Row],[£Cost /m]]</f>
        <v>0</v>
      </c>
      <c r="R68" s="51"/>
      <c r="S68" s="52"/>
      <c r="T68" s="39">
        <f>(Table5[[#This Row],[£/Tonne]]/1000)*Table5[[#This Row],[KG/M]]</f>
        <v>0</v>
      </c>
      <c r="U68" s="7">
        <v>6.1</v>
      </c>
      <c r="V68" s="217">
        <f>(S68/1000)*F68*Table5[[#This Row],[Normal Length]]</f>
        <v>0</v>
      </c>
      <c r="X68" s="217">
        <f>Table5[[#This Row],[£/Length]]*(1+X$2)</f>
        <v>0</v>
      </c>
      <c r="Y68" s="217">
        <f>Table5[[#This Row],[£/Length]]*(1+Y$2)</f>
        <v>0</v>
      </c>
      <c r="Z68" s="217">
        <f>Table5[[#This Row],[£/Length]]*(1+Z$2)</f>
        <v>0</v>
      </c>
      <c r="AA68" s="217">
        <f>Table5[[#This Row],[£/Length]]*(1+AA$2)</f>
        <v>0</v>
      </c>
      <c r="AB68" s="217">
        <f>Table5[[#This Row],[£/Length]]*(1+AB$2)</f>
        <v>0</v>
      </c>
    </row>
    <row r="69" spans="1:28" ht="25.35" customHeight="1">
      <c r="A69" s="7" t="s">
        <v>81</v>
      </c>
      <c r="B69" s="7" t="str">
        <f t="shared" si="0"/>
        <v>FL_50_20</v>
      </c>
      <c r="C69" s="7" t="str">
        <f t="shared" si="1"/>
        <v>FL_50_20 @ 7.85Kg/m</v>
      </c>
      <c r="D69" s="6" t="s">
        <v>506</v>
      </c>
      <c r="E69" s="6" t="s">
        <v>497</v>
      </c>
      <c r="F69" s="133">
        <f>Density!$E$45/1000000*D69*E69</f>
        <v>7.85</v>
      </c>
      <c r="G69" s="139"/>
      <c r="H69" s="9"/>
      <c r="I69" s="140"/>
      <c r="J69" s="139"/>
      <c r="K69" s="9"/>
      <c r="L69" s="140"/>
      <c r="M69" s="139"/>
      <c r="N69" s="9"/>
      <c r="O69" s="140"/>
      <c r="P69" s="37">
        <f t="shared" si="7"/>
        <v>0</v>
      </c>
      <c r="Q69" s="50">
        <f>Table5[[#This Row],[Total Metres]]*Table5[[#This Row],[£Cost /m]]</f>
        <v>0</v>
      </c>
      <c r="R69" s="51"/>
      <c r="S69" s="52"/>
      <c r="T69" s="39">
        <f>(Table5[[#This Row],[£/Tonne]]/1000)*Table5[[#This Row],[KG/M]]</f>
        <v>0</v>
      </c>
      <c r="U69" s="7">
        <v>6.1</v>
      </c>
      <c r="V69" s="217">
        <f>(S69/1000)*F69*Table5[[#This Row],[Normal Length]]</f>
        <v>0</v>
      </c>
      <c r="X69" s="217">
        <f>Table5[[#This Row],[£/Length]]*(1+X$2)</f>
        <v>0</v>
      </c>
      <c r="Y69" s="217">
        <f>Table5[[#This Row],[£/Length]]*(1+Y$2)</f>
        <v>0</v>
      </c>
      <c r="Z69" s="217">
        <f>Table5[[#This Row],[£/Length]]*(1+Z$2)</f>
        <v>0</v>
      </c>
      <c r="AA69" s="217">
        <f>Table5[[#This Row],[£/Length]]*(1+AA$2)</f>
        <v>0</v>
      </c>
      <c r="AB69" s="217">
        <f>Table5[[#This Row],[£/Length]]*(1+AB$2)</f>
        <v>0</v>
      </c>
    </row>
    <row r="70" spans="1:28" ht="25.35" customHeight="1">
      <c r="A70" s="7" t="s">
        <v>81</v>
      </c>
      <c r="B70" s="7" t="str">
        <f t="shared" ref="B70:B87" si="8">_xlfn.CONCAT(A70,"_",D70,"_",E70)</f>
        <v>FL_60_20</v>
      </c>
      <c r="C70" s="7" t="str">
        <f t="shared" ref="C70:C87" si="9">_xlfn.CONCAT(B70, " @ ",ROUND(F70,2),"Kg/m")</f>
        <v>FL_60_20 @ 9.42Kg/m</v>
      </c>
      <c r="D70" s="6" t="s">
        <v>513</v>
      </c>
      <c r="E70" s="6" t="s">
        <v>497</v>
      </c>
      <c r="F70" s="133">
        <f>Density!$E$45/1000000*D70*E70</f>
        <v>9.42</v>
      </c>
      <c r="G70" s="139"/>
      <c r="H70" s="9"/>
      <c r="I70" s="140"/>
      <c r="J70" s="139"/>
      <c r="K70" s="9"/>
      <c r="L70" s="140"/>
      <c r="M70" s="139"/>
      <c r="N70" s="9"/>
      <c r="O70" s="140"/>
      <c r="P70" s="37">
        <f t="shared" si="7"/>
        <v>0</v>
      </c>
      <c r="Q70" s="50">
        <f>Table5[[#This Row],[Total Metres]]*Table5[[#This Row],[£Cost /m]]</f>
        <v>0</v>
      </c>
      <c r="R70" s="51"/>
      <c r="S70" s="52"/>
      <c r="T70" s="39">
        <f>(Table5[[#This Row],[£/Tonne]]/1000)*Table5[[#This Row],[KG/M]]</f>
        <v>0</v>
      </c>
      <c r="U70" s="7">
        <v>6.1</v>
      </c>
      <c r="V70" s="217">
        <f>(S70/1000)*F70*Table5[[#This Row],[Normal Length]]</f>
        <v>0</v>
      </c>
      <c r="X70" s="217">
        <f>Table5[[#This Row],[£/Length]]*(1+X$2)</f>
        <v>0</v>
      </c>
      <c r="Y70" s="217">
        <f>Table5[[#This Row],[£/Length]]*(1+Y$2)</f>
        <v>0</v>
      </c>
      <c r="Z70" s="217">
        <f>Table5[[#This Row],[£/Length]]*(1+Z$2)</f>
        <v>0</v>
      </c>
      <c r="AA70" s="217">
        <f>Table5[[#This Row],[£/Length]]*(1+AA$2)</f>
        <v>0</v>
      </c>
      <c r="AB70" s="217">
        <f>Table5[[#This Row],[£/Length]]*(1+AB$2)</f>
        <v>0</v>
      </c>
    </row>
    <row r="71" spans="1:28" ht="25.35" customHeight="1">
      <c r="A71" s="7" t="s">
        <v>81</v>
      </c>
      <c r="B71" s="7" t="str">
        <f t="shared" si="8"/>
        <v>FL_65_20</v>
      </c>
      <c r="C71" s="7" t="str">
        <f t="shared" si="9"/>
        <v>FL_65_20 @ 10.21Kg/m</v>
      </c>
      <c r="D71" s="6" t="s">
        <v>507</v>
      </c>
      <c r="E71" s="6" t="s">
        <v>497</v>
      </c>
      <c r="F71" s="133">
        <f>Density!$E$45/1000000*D71*E71</f>
        <v>10.205</v>
      </c>
      <c r="G71" s="139"/>
      <c r="H71" s="9"/>
      <c r="I71" s="140"/>
      <c r="J71" s="139"/>
      <c r="K71" s="9"/>
      <c r="L71" s="140"/>
      <c r="M71" s="139"/>
      <c r="N71" s="9"/>
      <c r="O71" s="140"/>
      <c r="P71" s="37">
        <f t="shared" si="7"/>
        <v>0</v>
      </c>
      <c r="Q71" s="50">
        <f>Table5[[#This Row],[Total Metres]]*Table5[[#This Row],[£Cost /m]]</f>
        <v>0</v>
      </c>
      <c r="R71" s="51"/>
      <c r="S71" s="52"/>
      <c r="T71" s="39">
        <f>(Table5[[#This Row],[£/Tonne]]/1000)*Table5[[#This Row],[KG/M]]</f>
        <v>0</v>
      </c>
      <c r="U71" s="7">
        <v>6.1</v>
      </c>
      <c r="V71" s="217">
        <f>(S71/1000)*F71*Table5[[#This Row],[Normal Length]]</f>
        <v>0</v>
      </c>
      <c r="X71" s="217">
        <f>Table5[[#This Row],[£/Length]]*(1+X$2)</f>
        <v>0</v>
      </c>
      <c r="Y71" s="217">
        <f>Table5[[#This Row],[£/Length]]*(1+Y$2)</f>
        <v>0</v>
      </c>
      <c r="Z71" s="217">
        <f>Table5[[#This Row],[£/Length]]*(1+Z$2)</f>
        <v>0</v>
      </c>
      <c r="AA71" s="217">
        <f>Table5[[#This Row],[£/Length]]*(1+AA$2)</f>
        <v>0</v>
      </c>
      <c r="AB71" s="217">
        <f>Table5[[#This Row],[£/Length]]*(1+AB$2)</f>
        <v>0</v>
      </c>
    </row>
    <row r="72" spans="1:28" ht="25.35" customHeight="1">
      <c r="A72" s="7" t="s">
        <v>81</v>
      </c>
      <c r="B72" s="7" t="str">
        <f t="shared" si="8"/>
        <v>FL_75_20</v>
      </c>
      <c r="C72" s="7" t="str">
        <f t="shared" si="9"/>
        <v>FL_75_20 @ 11.78Kg/m</v>
      </c>
      <c r="D72" s="6" t="s">
        <v>508</v>
      </c>
      <c r="E72" s="6" t="s">
        <v>497</v>
      </c>
      <c r="F72" s="133">
        <f>Density!$E$45/1000000*D72*E72</f>
        <v>11.775</v>
      </c>
      <c r="G72" s="139"/>
      <c r="H72" s="9"/>
      <c r="I72" s="140"/>
      <c r="J72" s="139"/>
      <c r="K72" s="9"/>
      <c r="L72" s="140"/>
      <c r="M72" s="139"/>
      <c r="N72" s="9"/>
      <c r="O72" s="140"/>
      <c r="P72" s="37">
        <f t="shared" si="7"/>
        <v>0</v>
      </c>
      <c r="Q72" s="50">
        <f>Table5[[#This Row],[Total Metres]]*Table5[[#This Row],[£Cost /m]]</f>
        <v>0</v>
      </c>
      <c r="R72" s="51"/>
      <c r="S72" s="52"/>
      <c r="T72" s="39">
        <f>(Table5[[#This Row],[£/Tonne]]/1000)*Table5[[#This Row],[KG/M]]</f>
        <v>0</v>
      </c>
      <c r="U72" s="7">
        <v>6.1</v>
      </c>
      <c r="V72" s="217">
        <f>(S72/1000)*F72*Table5[[#This Row],[Normal Length]]</f>
        <v>0</v>
      </c>
      <c r="X72" s="217">
        <f>Table5[[#This Row],[£/Length]]*(1+X$2)</f>
        <v>0</v>
      </c>
      <c r="Y72" s="217">
        <f>Table5[[#This Row],[£/Length]]*(1+Y$2)</f>
        <v>0</v>
      </c>
      <c r="Z72" s="217">
        <f>Table5[[#This Row],[£/Length]]*(1+Z$2)</f>
        <v>0</v>
      </c>
      <c r="AA72" s="217">
        <f>Table5[[#This Row],[£/Length]]*(1+AA$2)</f>
        <v>0</v>
      </c>
      <c r="AB72" s="217">
        <f>Table5[[#This Row],[£/Length]]*(1+AB$2)</f>
        <v>0</v>
      </c>
    </row>
    <row r="73" spans="1:28" ht="25.35" customHeight="1">
      <c r="A73" s="7" t="s">
        <v>81</v>
      </c>
      <c r="B73" s="7" t="str">
        <f t="shared" si="8"/>
        <v>FL_80_20</v>
      </c>
      <c r="C73" s="7" t="str">
        <f t="shared" si="9"/>
        <v>FL_80_20 @ 12.56Kg/m</v>
      </c>
      <c r="D73" s="6" t="s">
        <v>509</v>
      </c>
      <c r="E73" s="6" t="s">
        <v>497</v>
      </c>
      <c r="F73" s="133">
        <f>Density!$E$45/1000000*D73*E73</f>
        <v>12.559999999999999</v>
      </c>
      <c r="G73" s="139">
        <v>6.1</v>
      </c>
      <c r="H73" s="9">
        <v>4</v>
      </c>
      <c r="I73" s="140" t="s">
        <v>422</v>
      </c>
      <c r="J73" s="139"/>
      <c r="K73" s="9"/>
      <c r="L73" s="140"/>
      <c r="M73" s="139"/>
      <c r="N73" s="9"/>
      <c r="O73" s="140"/>
      <c r="P73" s="37">
        <f t="shared" si="7"/>
        <v>24.4</v>
      </c>
      <c r="Q73" s="50">
        <f>Table5[[#This Row],[Total Metres]]*Table5[[#This Row],[£Cost /m]]</f>
        <v>226.78335999999999</v>
      </c>
      <c r="R73" s="51"/>
      <c r="S73" s="52">
        <v>740</v>
      </c>
      <c r="T73" s="39">
        <f>(Table5[[#This Row],[£/Tonne]]/1000)*Table5[[#This Row],[KG/M]]</f>
        <v>9.2943999999999996</v>
      </c>
      <c r="U73" s="7">
        <v>6.1</v>
      </c>
      <c r="V73" s="217">
        <f>(S73/1000)*F73*Table5[[#This Row],[Normal Length]]</f>
        <v>56.695839999999997</v>
      </c>
      <c r="X73" s="217">
        <f>Table5[[#This Row],[£/Length]]*(1+X$2)</f>
        <v>73.704592000000005</v>
      </c>
      <c r="Y73" s="217">
        <f>Table5[[#This Row],[£/Length]]*(1+Y$2)</f>
        <v>76.539383999999998</v>
      </c>
      <c r="Z73" s="217">
        <f>Table5[[#This Row],[£/Length]]*(1+Z$2)</f>
        <v>79.374175999999991</v>
      </c>
      <c r="AA73" s="217">
        <f>Table5[[#This Row],[£/Length]]*(1+AA$2)</f>
        <v>85.043759999999992</v>
      </c>
      <c r="AB73" s="217">
        <f>Table5[[#This Row],[£/Length]]*(1+AB$2)</f>
        <v>90.713344000000006</v>
      </c>
    </row>
    <row r="74" spans="1:28" ht="25.35" customHeight="1">
      <c r="A74" s="7" t="s">
        <v>81</v>
      </c>
      <c r="B74" s="7" t="str">
        <f t="shared" si="8"/>
        <v>FL_100_20</v>
      </c>
      <c r="C74" s="7" t="str">
        <f t="shared" si="9"/>
        <v>FL_100_20 @ 15.7Kg/m</v>
      </c>
      <c r="D74" s="6" t="s">
        <v>511</v>
      </c>
      <c r="E74" s="6" t="s">
        <v>497</v>
      </c>
      <c r="F74" s="133">
        <f>Density!$E$45/1000000*D74*E74</f>
        <v>15.7</v>
      </c>
      <c r="G74" s="139">
        <v>6.1</v>
      </c>
      <c r="H74" s="9">
        <v>3</v>
      </c>
      <c r="I74" s="140" t="s">
        <v>246</v>
      </c>
      <c r="J74" s="139"/>
      <c r="K74" s="9"/>
      <c r="L74" s="140"/>
      <c r="M74" s="139"/>
      <c r="N74" s="9"/>
      <c r="O74" s="140"/>
      <c r="P74" s="37">
        <f t="shared" si="7"/>
        <v>18.299999999999997</v>
      </c>
      <c r="Q74" s="50">
        <f>Table5[[#This Row],[Total Metres]]*Table5[[#This Row],[£Cost /m]]</f>
        <v>193.93424999999996</v>
      </c>
      <c r="R74" s="51"/>
      <c r="S74" s="52">
        <v>675</v>
      </c>
      <c r="T74" s="39">
        <f>(Table5[[#This Row],[£/Tonne]]/1000)*Table5[[#This Row],[KG/M]]</f>
        <v>10.5975</v>
      </c>
      <c r="U74" s="7">
        <v>6.1</v>
      </c>
      <c r="V74" s="217">
        <f>(S74/1000)*F74*Table5[[#This Row],[Normal Length]]</f>
        <v>64.644750000000002</v>
      </c>
      <c r="X74" s="217">
        <f>Table5[[#This Row],[£/Length]]*(1+X$2)</f>
        <v>84.03817500000001</v>
      </c>
      <c r="Y74" s="217">
        <f>Table5[[#This Row],[£/Length]]*(1+Y$2)</f>
        <v>87.270412500000006</v>
      </c>
      <c r="Z74" s="217">
        <f>Table5[[#This Row],[£/Length]]*(1+Z$2)</f>
        <v>90.502650000000003</v>
      </c>
      <c r="AA74" s="217">
        <f>Table5[[#This Row],[£/Length]]*(1+AA$2)</f>
        <v>96.96712500000001</v>
      </c>
      <c r="AB74" s="217">
        <f>Table5[[#This Row],[£/Length]]*(1+AB$2)</f>
        <v>103.4316</v>
      </c>
    </row>
    <row r="75" spans="1:28" ht="25.35" customHeight="1">
      <c r="A75" s="7" t="s">
        <v>81</v>
      </c>
      <c r="B75" s="7" t="str">
        <f t="shared" si="8"/>
        <v>FL_150_20</v>
      </c>
      <c r="C75" s="7" t="str">
        <f t="shared" si="9"/>
        <v>FL_150_20 @ 23.55Kg/m</v>
      </c>
      <c r="D75" s="6" t="s">
        <v>517</v>
      </c>
      <c r="E75" s="6" t="s">
        <v>497</v>
      </c>
      <c r="F75" s="133">
        <f>Density!$E$45/1000000*D75*E75</f>
        <v>23.55</v>
      </c>
      <c r="G75" s="139"/>
      <c r="H75" s="9"/>
      <c r="I75" s="140"/>
      <c r="J75" s="139"/>
      <c r="K75" s="9"/>
      <c r="L75" s="140"/>
      <c r="M75" s="139"/>
      <c r="N75" s="9"/>
      <c r="O75" s="140"/>
      <c r="P75" s="37">
        <f t="shared" si="7"/>
        <v>0</v>
      </c>
      <c r="Q75" s="50">
        <f>Table5[[#This Row],[Total Metres]]*Table5[[#This Row],[£Cost /m]]</f>
        <v>0</v>
      </c>
      <c r="R75" s="51"/>
      <c r="S75" s="52"/>
      <c r="T75" s="39">
        <f>(Table5[[#This Row],[£/Tonne]]/1000)*Table5[[#This Row],[KG/M]]</f>
        <v>0</v>
      </c>
      <c r="U75" s="7">
        <v>6.1</v>
      </c>
      <c r="V75" s="217">
        <f>(S75/1000)*F75*Table5[[#This Row],[Normal Length]]</f>
        <v>0</v>
      </c>
      <c r="X75" s="217">
        <f>Table5[[#This Row],[£/Length]]*(1+X$2)</f>
        <v>0</v>
      </c>
      <c r="Y75" s="217">
        <f>Table5[[#This Row],[£/Length]]*(1+Y$2)</f>
        <v>0</v>
      </c>
      <c r="Z75" s="217">
        <f>Table5[[#This Row],[£/Length]]*(1+Z$2)</f>
        <v>0</v>
      </c>
      <c r="AA75" s="217">
        <f>Table5[[#This Row],[£/Length]]*(1+AA$2)</f>
        <v>0</v>
      </c>
      <c r="AB75" s="217">
        <f>Table5[[#This Row],[£/Length]]*(1+AB$2)</f>
        <v>0</v>
      </c>
    </row>
    <row r="76" spans="1:28" ht="25.35" customHeight="1">
      <c r="A76" s="7" t="s">
        <v>81</v>
      </c>
      <c r="B76" s="7" t="str">
        <f t="shared" si="8"/>
        <v>FL_200_20</v>
      </c>
      <c r="C76" s="7" t="str">
        <f t="shared" si="9"/>
        <v>FL_200_20 @ 31.4Kg/m</v>
      </c>
      <c r="D76" s="6" t="s">
        <v>512</v>
      </c>
      <c r="E76" s="6" t="s">
        <v>497</v>
      </c>
      <c r="F76" s="133">
        <f>Density!$E$45/1000000*D76*E76</f>
        <v>31.4</v>
      </c>
      <c r="G76" s="139"/>
      <c r="H76" s="9"/>
      <c r="I76" s="140"/>
      <c r="J76" s="139"/>
      <c r="K76" s="9"/>
      <c r="L76" s="140"/>
      <c r="M76" s="139"/>
      <c r="N76" s="9"/>
      <c r="O76" s="140"/>
      <c r="P76" s="37">
        <f t="shared" si="7"/>
        <v>0</v>
      </c>
      <c r="Q76" s="50">
        <f>Table5[[#This Row],[Total Metres]]*Table5[[#This Row],[£Cost /m]]</f>
        <v>0</v>
      </c>
      <c r="R76" s="51"/>
      <c r="S76" s="52"/>
      <c r="T76" s="39">
        <f>(Table5[[#This Row],[£/Tonne]]/1000)*Table5[[#This Row],[KG/M]]</f>
        <v>0</v>
      </c>
      <c r="U76" s="7">
        <v>6.1</v>
      </c>
      <c r="V76" s="217">
        <f>(S76/1000)*F76*Table5[[#This Row],[Normal Length]]</f>
        <v>0</v>
      </c>
      <c r="X76" s="217">
        <f>Table5[[#This Row],[£/Length]]*(1+X$2)</f>
        <v>0</v>
      </c>
      <c r="Y76" s="217">
        <f>Table5[[#This Row],[£/Length]]*(1+Y$2)</f>
        <v>0</v>
      </c>
      <c r="Z76" s="217">
        <f>Table5[[#This Row],[£/Length]]*(1+Z$2)</f>
        <v>0</v>
      </c>
      <c r="AA76" s="217">
        <f>Table5[[#This Row],[£/Length]]*(1+AA$2)</f>
        <v>0</v>
      </c>
      <c r="AB76" s="217">
        <f>Table5[[#This Row],[£/Length]]*(1+AB$2)</f>
        <v>0</v>
      </c>
    </row>
    <row r="77" spans="1:28" ht="25.35" customHeight="1">
      <c r="A77" s="7" t="s">
        <v>81</v>
      </c>
      <c r="B77" s="7" t="str">
        <f t="shared" si="8"/>
        <v>FL_250_20</v>
      </c>
      <c r="C77" s="7" t="str">
        <f t="shared" si="9"/>
        <v>FL_250_20 @ 39.25Kg/m</v>
      </c>
      <c r="D77" s="6" t="s">
        <v>518</v>
      </c>
      <c r="E77" s="6" t="s">
        <v>497</v>
      </c>
      <c r="F77" s="133">
        <f>Density!$E$45/1000000*D77*E77</f>
        <v>39.25</v>
      </c>
      <c r="G77" s="139"/>
      <c r="H77" s="9"/>
      <c r="I77" s="140"/>
      <c r="J77" s="139"/>
      <c r="K77" s="9"/>
      <c r="L77" s="140"/>
      <c r="M77" s="139"/>
      <c r="N77" s="9"/>
      <c r="O77" s="140"/>
      <c r="P77" s="37">
        <f t="shared" si="7"/>
        <v>0</v>
      </c>
      <c r="Q77" s="50">
        <f>Table5[[#This Row],[Total Metres]]*Table5[[#This Row],[£Cost /m]]</f>
        <v>0</v>
      </c>
      <c r="R77" s="51"/>
      <c r="S77" s="52"/>
      <c r="T77" s="39">
        <f>(Table5[[#This Row],[£/Tonne]]/1000)*Table5[[#This Row],[KG/M]]</f>
        <v>0</v>
      </c>
      <c r="U77" s="7">
        <v>6.1</v>
      </c>
      <c r="V77" s="217">
        <f>(S77/1000)*F77*Table5[[#This Row],[Normal Length]]</f>
        <v>0</v>
      </c>
      <c r="X77" s="217">
        <f>Table5[[#This Row],[£/Length]]*(1+X$2)</f>
        <v>0</v>
      </c>
      <c r="Y77" s="217">
        <f>Table5[[#This Row],[£/Length]]*(1+Y$2)</f>
        <v>0</v>
      </c>
      <c r="Z77" s="217">
        <f>Table5[[#This Row],[£/Length]]*(1+Z$2)</f>
        <v>0</v>
      </c>
      <c r="AA77" s="217">
        <f>Table5[[#This Row],[£/Length]]*(1+AA$2)</f>
        <v>0</v>
      </c>
      <c r="AB77" s="217">
        <f>Table5[[#This Row],[£/Length]]*(1+AB$2)</f>
        <v>0</v>
      </c>
    </row>
    <row r="78" spans="1:28" ht="25.35" customHeight="1">
      <c r="A78" s="7" t="s">
        <v>81</v>
      </c>
      <c r="B78" s="7" t="str">
        <f t="shared" si="8"/>
        <v>FL_50_25</v>
      </c>
      <c r="C78" s="7" t="str">
        <f t="shared" si="9"/>
        <v>FL_50_25 @ 9.81Kg/m</v>
      </c>
      <c r="D78" s="6" t="s">
        <v>506</v>
      </c>
      <c r="E78" s="6" t="s">
        <v>499</v>
      </c>
      <c r="F78" s="133">
        <f>Density!$E$45/1000000*D78*E78</f>
        <v>9.8124999999999982</v>
      </c>
      <c r="G78" s="139"/>
      <c r="H78" s="9"/>
      <c r="I78" s="140"/>
      <c r="J78" s="139"/>
      <c r="K78" s="9"/>
      <c r="L78" s="140"/>
      <c r="M78" s="139"/>
      <c r="N78" s="9"/>
      <c r="O78" s="140"/>
      <c r="P78" s="37">
        <f t="shared" si="7"/>
        <v>0</v>
      </c>
      <c r="Q78" s="50">
        <f>Table5[[#This Row],[Total Metres]]*Table5[[#This Row],[£Cost /m]]</f>
        <v>0</v>
      </c>
      <c r="R78" s="51"/>
      <c r="S78" s="52"/>
      <c r="T78" s="39">
        <f>(Table5[[#This Row],[£/Tonne]]/1000)*Table5[[#This Row],[KG/M]]</f>
        <v>0</v>
      </c>
      <c r="U78" s="7">
        <v>6.1</v>
      </c>
      <c r="V78" s="217">
        <f>(S78/1000)*F78*Table5[[#This Row],[Normal Length]]</f>
        <v>0</v>
      </c>
      <c r="X78" s="217">
        <f>Table5[[#This Row],[£/Length]]*(1+X$2)</f>
        <v>0</v>
      </c>
      <c r="Y78" s="217">
        <f>Table5[[#This Row],[£/Length]]*(1+Y$2)</f>
        <v>0</v>
      </c>
      <c r="Z78" s="217">
        <f>Table5[[#This Row],[£/Length]]*(1+Z$2)</f>
        <v>0</v>
      </c>
      <c r="AA78" s="217">
        <f>Table5[[#This Row],[£/Length]]*(1+AA$2)</f>
        <v>0</v>
      </c>
      <c r="AB78" s="217">
        <f>Table5[[#This Row],[£/Length]]*(1+AB$2)</f>
        <v>0</v>
      </c>
    </row>
    <row r="79" spans="1:28" ht="25.35" customHeight="1">
      <c r="A79" s="7" t="s">
        <v>81</v>
      </c>
      <c r="B79" s="7" t="str">
        <f t="shared" si="8"/>
        <v>FL_75_25</v>
      </c>
      <c r="C79" s="7" t="str">
        <f t="shared" si="9"/>
        <v>FL_75_25 @ 14.72Kg/m</v>
      </c>
      <c r="D79" s="6" t="s">
        <v>508</v>
      </c>
      <c r="E79" s="6" t="s">
        <v>499</v>
      </c>
      <c r="F79" s="133">
        <f>Density!$E$45/1000000*D79*E79</f>
        <v>14.71875</v>
      </c>
      <c r="G79" s="139"/>
      <c r="H79" s="9"/>
      <c r="I79" s="140"/>
      <c r="J79" s="139"/>
      <c r="K79" s="9"/>
      <c r="L79" s="140"/>
      <c r="M79" s="139"/>
      <c r="N79" s="9"/>
      <c r="O79" s="140"/>
      <c r="P79" s="37">
        <f t="shared" si="7"/>
        <v>0</v>
      </c>
      <c r="Q79" s="50">
        <f>Table5[[#This Row],[Total Metres]]*Table5[[#This Row],[£Cost /m]]</f>
        <v>0</v>
      </c>
      <c r="R79" s="51"/>
      <c r="S79" s="52"/>
      <c r="T79" s="39">
        <f>(Table5[[#This Row],[£/Tonne]]/1000)*Table5[[#This Row],[KG/M]]</f>
        <v>0</v>
      </c>
      <c r="U79" s="7">
        <v>6.1</v>
      </c>
      <c r="V79" s="217">
        <f>(S79/1000)*F79*Table5[[#This Row],[Normal Length]]</f>
        <v>0</v>
      </c>
      <c r="X79" s="217">
        <f>Table5[[#This Row],[£/Length]]*(1+X$2)</f>
        <v>0</v>
      </c>
      <c r="Y79" s="217">
        <f>Table5[[#This Row],[£/Length]]*(1+Y$2)</f>
        <v>0</v>
      </c>
      <c r="Z79" s="217">
        <f>Table5[[#This Row],[£/Length]]*(1+Z$2)</f>
        <v>0</v>
      </c>
      <c r="AA79" s="217">
        <f>Table5[[#This Row],[£/Length]]*(1+AA$2)</f>
        <v>0</v>
      </c>
      <c r="AB79" s="217">
        <f>Table5[[#This Row],[£/Length]]*(1+AB$2)</f>
        <v>0</v>
      </c>
    </row>
    <row r="80" spans="1:28" ht="25.35" customHeight="1">
      <c r="A80" s="7" t="s">
        <v>81</v>
      </c>
      <c r="B80" s="7" t="str">
        <f t="shared" si="8"/>
        <v>FL_80_25</v>
      </c>
      <c r="C80" s="7" t="str">
        <f t="shared" si="9"/>
        <v>FL_80_25 @ 15.7Kg/m</v>
      </c>
      <c r="D80" s="6" t="s">
        <v>509</v>
      </c>
      <c r="E80" s="6" t="s">
        <v>499</v>
      </c>
      <c r="F80" s="133">
        <f>Density!$E$45/1000000*D80*E80</f>
        <v>15.699999999999998</v>
      </c>
      <c r="G80" s="139"/>
      <c r="H80" s="9"/>
      <c r="I80" s="140"/>
      <c r="J80" s="139"/>
      <c r="K80" s="9"/>
      <c r="L80" s="140"/>
      <c r="M80" s="139"/>
      <c r="N80" s="9"/>
      <c r="O80" s="140"/>
      <c r="P80" s="37">
        <f t="shared" si="7"/>
        <v>0</v>
      </c>
      <c r="Q80" s="50">
        <f>Table5[[#This Row],[Total Metres]]*Table5[[#This Row],[£Cost /m]]</f>
        <v>0</v>
      </c>
      <c r="R80" s="51"/>
      <c r="S80" s="52"/>
      <c r="T80" s="39">
        <f>(Table5[[#This Row],[£/Tonne]]/1000)*Table5[[#This Row],[KG/M]]</f>
        <v>0</v>
      </c>
      <c r="U80" s="7">
        <v>6.1</v>
      </c>
      <c r="V80" s="217">
        <f>(S80/1000)*F80*Table5[[#This Row],[Normal Length]]</f>
        <v>0</v>
      </c>
      <c r="X80" s="217">
        <f>Table5[[#This Row],[£/Length]]*(1+X$2)</f>
        <v>0</v>
      </c>
      <c r="Y80" s="217">
        <f>Table5[[#This Row],[£/Length]]*(1+Y$2)</f>
        <v>0</v>
      </c>
      <c r="Z80" s="217">
        <f>Table5[[#This Row],[£/Length]]*(1+Z$2)</f>
        <v>0</v>
      </c>
      <c r="AA80" s="217">
        <f>Table5[[#This Row],[£/Length]]*(1+AA$2)</f>
        <v>0</v>
      </c>
      <c r="AB80" s="217">
        <f>Table5[[#This Row],[£/Length]]*(1+AB$2)</f>
        <v>0</v>
      </c>
    </row>
    <row r="81" spans="1:28" ht="25.35" customHeight="1">
      <c r="A81" s="7" t="s">
        <v>81</v>
      </c>
      <c r="B81" s="7" t="str">
        <f t="shared" si="8"/>
        <v>FL_100_25</v>
      </c>
      <c r="C81" s="7" t="str">
        <f t="shared" si="9"/>
        <v>FL_100_25 @ 19.63Kg/m</v>
      </c>
      <c r="D81" s="6" t="s">
        <v>511</v>
      </c>
      <c r="E81" s="6" t="s">
        <v>499</v>
      </c>
      <c r="F81" s="133">
        <f>Density!$E$45/1000000*D81*E81</f>
        <v>19.624999999999996</v>
      </c>
      <c r="G81" s="139"/>
      <c r="H81" s="9"/>
      <c r="I81" s="140"/>
      <c r="J81" s="139"/>
      <c r="K81" s="9"/>
      <c r="L81" s="140"/>
      <c r="M81" s="139"/>
      <c r="N81" s="9"/>
      <c r="O81" s="140"/>
      <c r="P81" s="37">
        <f t="shared" si="7"/>
        <v>0</v>
      </c>
      <c r="Q81" s="50">
        <f>Table5[[#This Row],[Total Metres]]*Table5[[#This Row],[£Cost /m]]</f>
        <v>0</v>
      </c>
      <c r="R81" s="51"/>
      <c r="S81" s="52"/>
      <c r="T81" s="39">
        <f>(Table5[[#This Row],[£/Tonne]]/1000)*Table5[[#This Row],[KG/M]]</f>
        <v>0</v>
      </c>
      <c r="U81" s="7">
        <v>6.1</v>
      </c>
      <c r="V81" s="217">
        <f>(S81/1000)*F81*Table5[[#This Row],[Normal Length]]</f>
        <v>0</v>
      </c>
      <c r="X81" s="217">
        <f>Table5[[#This Row],[£/Length]]*(1+X$2)</f>
        <v>0</v>
      </c>
      <c r="Y81" s="217">
        <f>Table5[[#This Row],[£/Length]]*(1+Y$2)</f>
        <v>0</v>
      </c>
      <c r="Z81" s="217">
        <f>Table5[[#This Row],[£/Length]]*(1+Z$2)</f>
        <v>0</v>
      </c>
      <c r="AA81" s="217">
        <f>Table5[[#This Row],[£/Length]]*(1+AA$2)</f>
        <v>0</v>
      </c>
      <c r="AB81" s="217">
        <f>Table5[[#This Row],[£/Length]]*(1+AB$2)</f>
        <v>0</v>
      </c>
    </row>
    <row r="82" spans="1:28" ht="25.35" customHeight="1">
      <c r="A82" s="7" t="s">
        <v>81</v>
      </c>
      <c r="B82" s="7" t="str">
        <f t="shared" si="8"/>
        <v>FL_150_25</v>
      </c>
      <c r="C82" s="7" t="str">
        <f t="shared" si="9"/>
        <v>FL_150_25 @ 29.44Kg/m</v>
      </c>
      <c r="D82" s="6" t="s">
        <v>517</v>
      </c>
      <c r="E82" s="6" t="s">
        <v>499</v>
      </c>
      <c r="F82" s="133">
        <f>Density!$E$45/1000000*D82*E82</f>
        <v>29.4375</v>
      </c>
      <c r="G82" s="139"/>
      <c r="H82" s="9"/>
      <c r="I82" s="140"/>
      <c r="J82" s="139"/>
      <c r="K82" s="9"/>
      <c r="L82" s="140"/>
      <c r="M82" s="139"/>
      <c r="N82" s="9"/>
      <c r="O82" s="140"/>
      <c r="P82" s="37">
        <f t="shared" si="7"/>
        <v>0</v>
      </c>
      <c r="Q82" s="50">
        <f>Table5[[#This Row],[Total Metres]]*Table5[[#This Row],[£Cost /m]]</f>
        <v>0</v>
      </c>
      <c r="R82" s="51"/>
      <c r="S82" s="52"/>
      <c r="T82" s="39">
        <f>(Table5[[#This Row],[£/Tonne]]/1000)*Table5[[#This Row],[KG/M]]</f>
        <v>0</v>
      </c>
      <c r="U82" s="7">
        <v>6.1</v>
      </c>
      <c r="V82" s="217">
        <f>(S82/1000)*F82*Table5[[#This Row],[Normal Length]]</f>
        <v>0</v>
      </c>
      <c r="X82" s="217">
        <f>Table5[[#This Row],[£/Length]]*(1+X$2)</f>
        <v>0</v>
      </c>
      <c r="Y82" s="217">
        <f>Table5[[#This Row],[£/Length]]*(1+Y$2)</f>
        <v>0</v>
      </c>
      <c r="Z82" s="217">
        <f>Table5[[#This Row],[£/Length]]*(1+Z$2)</f>
        <v>0</v>
      </c>
      <c r="AA82" s="217">
        <f>Table5[[#This Row],[£/Length]]*(1+AA$2)</f>
        <v>0</v>
      </c>
      <c r="AB82" s="217">
        <f>Table5[[#This Row],[£/Length]]*(1+AB$2)</f>
        <v>0</v>
      </c>
    </row>
    <row r="83" spans="1:28" ht="25.35" customHeight="1">
      <c r="A83" s="7" t="s">
        <v>81</v>
      </c>
      <c r="B83" s="7" t="str">
        <f t="shared" si="8"/>
        <v>FL_200_25</v>
      </c>
      <c r="C83" s="7" t="str">
        <f t="shared" si="9"/>
        <v>FL_200_25 @ 39.25Kg/m</v>
      </c>
      <c r="D83" s="6" t="s">
        <v>512</v>
      </c>
      <c r="E83" s="6" t="s">
        <v>499</v>
      </c>
      <c r="F83" s="133">
        <f>Density!$E$45/1000000*D83*E83</f>
        <v>39.249999999999993</v>
      </c>
      <c r="G83" s="139"/>
      <c r="H83" s="9"/>
      <c r="I83" s="140"/>
      <c r="J83" s="139"/>
      <c r="K83" s="9"/>
      <c r="L83" s="140"/>
      <c r="M83" s="139"/>
      <c r="N83" s="9"/>
      <c r="O83" s="140"/>
      <c r="P83" s="37">
        <f t="shared" si="7"/>
        <v>0</v>
      </c>
      <c r="Q83" s="50">
        <f>Table5[[#This Row],[Total Metres]]*Table5[[#This Row],[£Cost /m]]</f>
        <v>0</v>
      </c>
      <c r="R83" s="51"/>
      <c r="S83" s="52"/>
      <c r="T83" s="39">
        <f>(Table5[[#This Row],[£/Tonne]]/1000)*Table5[[#This Row],[KG/M]]</f>
        <v>0</v>
      </c>
      <c r="U83" s="7">
        <v>6.1</v>
      </c>
      <c r="V83" s="217">
        <f>(S83/1000)*F83*Table5[[#This Row],[Normal Length]]</f>
        <v>0</v>
      </c>
      <c r="X83" s="217">
        <f>Table5[[#This Row],[£/Length]]*(1+X$2)</f>
        <v>0</v>
      </c>
      <c r="Y83" s="217">
        <f>Table5[[#This Row],[£/Length]]*(1+Y$2)</f>
        <v>0</v>
      </c>
      <c r="Z83" s="217">
        <f>Table5[[#This Row],[£/Length]]*(1+Z$2)</f>
        <v>0</v>
      </c>
      <c r="AA83" s="217">
        <f>Table5[[#This Row],[£/Length]]*(1+AA$2)</f>
        <v>0</v>
      </c>
      <c r="AB83" s="217">
        <f>Table5[[#This Row],[£/Length]]*(1+AB$2)</f>
        <v>0</v>
      </c>
    </row>
    <row r="84" spans="1:28" ht="25.35" customHeight="1">
      <c r="A84" s="7" t="s">
        <v>81</v>
      </c>
      <c r="B84" s="7" t="str">
        <f t="shared" si="8"/>
        <v>FL_225_25</v>
      </c>
      <c r="C84" s="7" t="str">
        <f t="shared" si="9"/>
        <v>FL_225_25 @ 44.16Kg/m</v>
      </c>
      <c r="D84" s="6" t="s">
        <v>522</v>
      </c>
      <c r="E84" s="6" t="s">
        <v>499</v>
      </c>
      <c r="F84" s="133">
        <f>Density!$E$45/1000000*D84*E84</f>
        <v>44.15625</v>
      </c>
      <c r="G84" s="139"/>
      <c r="H84" s="9"/>
      <c r="I84" s="140"/>
      <c r="J84" s="139"/>
      <c r="K84" s="9"/>
      <c r="L84" s="140"/>
      <c r="M84" s="139"/>
      <c r="N84" s="9"/>
      <c r="O84" s="140"/>
      <c r="P84" s="37">
        <f t="shared" si="7"/>
        <v>0</v>
      </c>
      <c r="Q84" s="50">
        <f>Table5[[#This Row],[Total Metres]]*Table5[[#This Row],[£Cost /m]]</f>
        <v>0</v>
      </c>
      <c r="R84" s="51"/>
      <c r="S84" s="52"/>
      <c r="T84" s="39">
        <f>(Table5[[#This Row],[£/Tonne]]/1000)*Table5[[#This Row],[KG/M]]</f>
        <v>0</v>
      </c>
      <c r="U84" s="7">
        <v>6.1</v>
      </c>
      <c r="V84" s="217">
        <f>(S84/1000)*F84*Table5[[#This Row],[Normal Length]]</f>
        <v>0</v>
      </c>
      <c r="X84" s="217">
        <f>Table5[[#This Row],[£/Length]]*(1+X$2)</f>
        <v>0</v>
      </c>
      <c r="Y84" s="217">
        <f>Table5[[#This Row],[£/Length]]*(1+Y$2)</f>
        <v>0</v>
      </c>
      <c r="Z84" s="217">
        <f>Table5[[#This Row],[£/Length]]*(1+Z$2)</f>
        <v>0</v>
      </c>
      <c r="AA84" s="217">
        <f>Table5[[#This Row],[£/Length]]*(1+AA$2)</f>
        <v>0</v>
      </c>
      <c r="AB84" s="217">
        <f>Table5[[#This Row],[£/Length]]*(1+AB$2)</f>
        <v>0</v>
      </c>
    </row>
    <row r="85" spans="1:28" ht="25.35" customHeight="1">
      <c r="A85" s="6" t="s">
        <v>523</v>
      </c>
      <c r="B85" s="7" t="str">
        <f t="shared" si="8"/>
        <v>BRIGHT_Flats__</v>
      </c>
      <c r="C85" s="7" t="str">
        <f t="shared" si="9"/>
        <v>BRIGHT_Flats__ @ 0Kg/m</v>
      </c>
      <c r="F85" s="133">
        <f>Density!$E$45/1000000*D85*E85</f>
        <v>0</v>
      </c>
      <c r="G85" s="139"/>
      <c r="H85" s="9"/>
      <c r="I85" s="140"/>
      <c r="J85" s="139"/>
      <c r="K85" s="9"/>
      <c r="L85" s="140"/>
      <c r="M85" s="139"/>
      <c r="N85" s="9"/>
      <c r="O85" s="140"/>
      <c r="P85" s="37">
        <f t="shared" si="7"/>
        <v>0</v>
      </c>
      <c r="Q85" s="50">
        <f>Table5[[#This Row],[Total Metres]]*Table5[[#This Row],[£Cost /m]]</f>
        <v>0</v>
      </c>
      <c r="R85" s="51"/>
      <c r="S85" s="52"/>
      <c r="T85" s="39">
        <f>(Table5[[#This Row],[£/Tonne]]/1000)*Table5[[#This Row],[KG/M]]</f>
        <v>0</v>
      </c>
      <c r="U85" s="7">
        <v>6.1</v>
      </c>
      <c r="V85" s="217">
        <f>(S85/1000)*F85*Table5[[#This Row],[Normal Length]]</f>
        <v>0</v>
      </c>
      <c r="X85" s="217">
        <f>Table5[[#This Row],[£/Length]]*(1+X$2)</f>
        <v>0</v>
      </c>
      <c r="Y85" s="217">
        <f>Table5[[#This Row],[£/Length]]*(1+Y$2)</f>
        <v>0</v>
      </c>
      <c r="Z85" s="217">
        <f>Table5[[#This Row],[£/Length]]*(1+Z$2)</f>
        <v>0</v>
      </c>
      <c r="AA85" s="217">
        <f>Table5[[#This Row],[£/Length]]*(1+AA$2)</f>
        <v>0</v>
      </c>
      <c r="AB85" s="217">
        <f>Table5[[#This Row],[£/Length]]*(1+AB$2)</f>
        <v>0</v>
      </c>
    </row>
    <row r="86" spans="1:28" ht="25.35" customHeight="1">
      <c r="A86" s="7" t="s">
        <v>84</v>
      </c>
      <c r="B86" s="7" t="str">
        <f t="shared" si="8"/>
        <v>FLB_1 1/2"_1/4"</v>
      </c>
      <c r="C86" s="7" t="str">
        <f t="shared" si="9"/>
        <v>FLB_1 1/2"_1/4" @ 1.9Kg/m</v>
      </c>
      <c r="D86" s="6" t="s">
        <v>524</v>
      </c>
      <c r="E86" s="6" t="s">
        <v>525</v>
      </c>
      <c r="F86" s="133">
        <f>Density!$E$45/1000000*(1.5*25.4)*(0.25*25.4)</f>
        <v>1.8991897499999995</v>
      </c>
      <c r="G86" s="139"/>
      <c r="H86" s="9"/>
      <c r="I86" s="140"/>
      <c r="J86" s="139"/>
      <c r="K86" s="9"/>
      <c r="L86" s="140"/>
      <c r="M86" s="139"/>
      <c r="N86" s="9"/>
      <c r="O86" s="140"/>
      <c r="P86" s="37">
        <f t="shared" si="7"/>
        <v>0</v>
      </c>
      <c r="Q86" s="50">
        <f>Table5[[#This Row],[Total Metres]]*Table5[[#This Row],[£Cost /m]]</f>
        <v>0</v>
      </c>
      <c r="R86" s="51"/>
      <c r="S86" s="52"/>
      <c r="T86" s="39">
        <f>(Table5[[#This Row],[£/Tonne]]/1000)*Table5[[#This Row],[KG/M]]</f>
        <v>0</v>
      </c>
      <c r="U86" s="7">
        <v>6.1</v>
      </c>
      <c r="V86" s="217">
        <f>(S86/1000)*F86*Table5[[#This Row],[Normal Length]]</f>
        <v>0</v>
      </c>
      <c r="X86" s="217">
        <f>Table5[[#This Row],[£/Length]]*(1+X$2)</f>
        <v>0</v>
      </c>
      <c r="Y86" s="217">
        <f>Table5[[#This Row],[£/Length]]*(1+Y$2)</f>
        <v>0</v>
      </c>
      <c r="Z86" s="217">
        <f>Table5[[#This Row],[£/Length]]*(1+Z$2)</f>
        <v>0</v>
      </c>
      <c r="AA86" s="217">
        <f>Table5[[#This Row],[£/Length]]*(1+AA$2)</f>
        <v>0</v>
      </c>
      <c r="AB86" s="217">
        <f>Table5[[#This Row],[£/Length]]*(1+AB$2)</f>
        <v>0</v>
      </c>
    </row>
    <row r="87" spans="1:28" ht="25.35" customHeight="1">
      <c r="A87" s="7" t="s">
        <v>84</v>
      </c>
      <c r="B87" s="7" t="str">
        <f t="shared" si="8"/>
        <v>FLB_1 1/2"_5/8"</v>
      </c>
      <c r="C87" s="7" t="str">
        <f t="shared" si="9"/>
        <v>FLB_1 1/2"_5/8" @ 4.75Kg/m</v>
      </c>
      <c r="D87" s="6" t="s">
        <v>524</v>
      </c>
      <c r="E87" s="6" t="s">
        <v>526</v>
      </c>
      <c r="F87" s="133">
        <f>Density!$E$45/1000000*(1.5*25.4)*((5/8)*25.4)</f>
        <v>4.7479743749999992</v>
      </c>
      <c r="G87" s="139"/>
      <c r="H87" s="9"/>
      <c r="I87" s="140"/>
      <c r="J87" s="139"/>
      <c r="K87" s="9"/>
      <c r="L87" s="140"/>
      <c r="M87" s="139"/>
      <c r="N87" s="9"/>
      <c r="O87" s="140"/>
      <c r="P87" s="37">
        <f t="shared" si="7"/>
        <v>0</v>
      </c>
      <c r="Q87" s="50">
        <f>Table5[[#This Row],[Total Metres]]*Table5[[#This Row],[£Cost /m]]</f>
        <v>0</v>
      </c>
      <c r="R87" s="51"/>
      <c r="S87" s="52"/>
      <c r="T87" s="39">
        <f>(Table5[[#This Row],[£/Tonne]]/1000)*Table5[[#This Row],[KG/M]]</f>
        <v>0</v>
      </c>
      <c r="U87" s="7">
        <v>6.1</v>
      </c>
      <c r="V87" s="217">
        <f>(S87/1000)*F87*Table5[[#This Row],[Normal Length]]</f>
        <v>0</v>
      </c>
      <c r="X87" s="217">
        <f>Table5[[#This Row],[£/Length]]*(1+X$2)</f>
        <v>0</v>
      </c>
      <c r="Y87" s="217">
        <f>Table5[[#This Row],[£/Length]]*(1+Y$2)</f>
        <v>0</v>
      </c>
      <c r="Z87" s="217">
        <f>Table5[[#This Row],[£/Length]]*(1+Z$2)</f>
        <v>0</v>
      </c>
      <c r="AA87" s="217">
        <f>Table5[[#This Row],[£/Length]]*(1+AA$2)</f>
        <v>0</v>
      </c>
      <c r="AB87" s="217">
        <f>Table5[[#This Row],[£/Length]]*(1+AB$2)</f>
        <v>0</v>
      </c>
    </row>
    <row r="88" spans="1:28" ht="32.25" customHeight="1">
      <c r="P88" s="274" t="s">
        <v>223</v>
      </c>
      <c r="Q88" s="257">
        <f>SUBTOTAL(109,Q2:Q87)</f>
        <v>10725.596653249999</v>
      </c>
      <c r="R88" s="51"/>
      <c r="V88" s="217"/>
      <c r="X88" s="217"/>
      <c r="Y88" s="217"/>
      <c r="Z88" s="217"/>
      <c r="AA88" s="217"/>
      <c r="AB88" s="217"/>
    </row>
    <row r="89" spans="1:28">
      <c r="R89" s="51"/>
    </row>
    <row r="90" spans="1:28">
      <c r="R90" s="51"/>
    </row>
    <row r="91" spans="1:28">
      <c r="R91" s="51"/>
    </row>
    <row r="92" spans="1:28">
      <c r="R92" s="51"/>
    </row>
  </sheetData>
  <phoneticPr fontId="3" type="noConversion"/>
  <dataValidations disablePrompts="1" count="1">
    <dataValidation type="list" allowBlank="1" showInputMessage="1" showErrorMessage="1" error="Select Area from Tab 'Area List'" sqref="O3:O87 L3:L87 I3:I87" xr:uid="{E0A635A9-EC39-45F1-A8E1-7C589D03183D}">
      <formula1>AreaList2</formula1>
    </dataValidation>
  </dataValidations>
  <printOptions gridLines="1"/>
  <pageMargins left="0.74803149606299213" right="0.74803149606299213" top="0.98425196850393704" bottom="0.98425196850393704" header="0.51181102362204722" footer="0.51181102362204722"/>
  <pageSetup paperSize="9" scale="90" fitToHeight="6" orientation="landscape" r:id="rId1"/>
  <headerFooter alignWithMargins="0">
    <oddFooter>&amp;L&amp;D&amp;C&amp;A&amp;R&amp;P of  &amp;N</oddFooter>
  </headerFooter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37B15E685F6F4A93074A68905F3E20" ma:contentTypeVersion="14" ma:contentTypeDescription="Create a new document." ma:contentTypeScope="" ma:versionID="872d6e09cd1550b8652b73dbbb4dad1d">
  <xsd:schema xmlns:xsd="http://www.w3.org/2001/XMLSchema" xmlns:xs="http://www.w3.org/2001/XMLSchema" xmlns:p="http://schemas.microsoft.com/office/2006/metadata/properties" xmlns:ns2="d097a786-8f98-4515-83c3-b1370b9e2bb1" xmlns:ns3="decae20a-7e8b-4ff6-bccf-521c18ed1cea" xmlns:ns4="bf2581eb-27ee-4220-bcfe-fd14fc73dba5" targetNamespace="http://schemas.microsoft.com/office/2006/metadata/properties" ma:root="true" ma:fieldsID="56d556058bcd18b768b631a40235d888" ns2:_="" ns3:_="" ns4:_="">
    <xsd:import namespace="d097a786-8f98-4515-83c3-b1370b9e2bb1"/>
    <xsd:import namespace="decae20a-7e8b-4ff6-bccf-521c18ed1cea"/>
    <xsd:import namespace="bf2581eb-27ee-4220-bcfe-fd14fc73db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97a786-8f98-4515-83c3-b1370b9e2b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89cc8960-3d1d-4960-a810-7e07a118c75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cae20a-7e8b-4ff6-bccf-521c18ed1cea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581eb-27ee-4220-bcfe-fd14fc73dba5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e76f1a47-17e6-407d-aadf-002d89dcc564}" ma:internalName="TaxCatchAll" ma:showField="CatchAllData" ma:web="bf2581eb-27ee-4220-bcfe-fd14fc73dba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097a786-8f98-4515-83c3-b1370b9e2bb1">
      <Terms xmlns="http://schemas.microsoft.com/office/infopath/2007/PartnerControls"/>
    </lcf76f155ced4ddcb4097134ff3c332f>
    <TaxCatchAll xmlns="bf2581eb-27ee-4220-bcfe-fd14fc73dba5" xsi:nil="true"/>
  </documentManagement>
</p:properties>
</file>

<file path=customXml/itemProps1.xml><?xml version="1.0" encoding="utf-8"?>
<ds:datastoreItem xmlns:ds="http://schemas.openxmlformats.org/officeDocument/2006/customXml" ds:itemID="{64351F96-C470-41ED-B08A-C0825646FA24}"/>
</file>

<file path=customXml/itemProps2.xml><?xml version="1.0" encoding="utf-8"?>
<ds:datastoreItem xmlns:ds="http://schemas.openxmlformats.org/officeDocument/2006/customXml" ds:itemID="{700A009E-AA3E-4E08-9337-0760C61DAF00}"/>
</file>

<file path=customXml/itemProps3.xml><?xml version="1.0" encoding="utf-8"?>
<ds:datastoreItem xmlns:ds="http://schemas.openxmlformats.org/officeDocument/2006/customXml" ds:itemID="{75936866-32E1-400B-91E8-FE9129D7E44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Feilim Gormley</dc:creator>
  <cp:keywords/>
  <dc:description/>
  <cp:lastModifiedBy/>
  <cp:revision/>
  <dcterms:created xsi:type="dcterms:W3CDTF">2021-04-05T10:55:06Z</dcterms:created>
  <dcterms:modified xsi:type="dcterms:W3CDTF">2022-06-03T12:43:17Z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0x0101001437B15E685F6F4A93074A68905F3E20</vt:lpwstr>
  </property>
  <property fmtid="{D5CDD505-2E9C-101B-9397-08002B2CF9AE}" pid="3" name="MediaServiceImageTags">
    <vt:lpwstr/>
  </property>
</Properties>
</file>