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c033484\Documents\1-TK Stuff\GTI\"/>
    </mc:Choice>
  </mc:AlternateContent>
  <bookViews>
    <workbookView xWindow="1260" yWindow="3375" windowWidth="16785" windowHeight="3855" tabRatio="877"/>
  </bookViews>
  <sheets>
    <sheet name="Wheel rate" sheetId="11" r:id="rId1"/>
    <sheet name="Swaybar rate calc" sheetId="9" r:id="rId2"/>
    <sheet name="GTI weights" sheetId="2" r:id="rId3"/>
    <sheet name="Weight Transfer" sheetId="12" r:id="rId4"/>
    <sheet name="Gearing and ECU" sheetId="17" r:id="rId5"/>
    <sheet name="Ride frequency" sheetId="4" r:id="rId6"/>
    <sheet name="Tire spring rate" sheetId="16" r:id="rId7"/>
  </sheets>
  <calcPr calcId="162913"/>
</workbook>
</file>

<file path=xl/calcChain.xml><?xml version="1.0" encoding="utf-8"?>
<calcChain xmlns="http://schemas.openxmlformats.org/spreadsheetml/2006/main">
  <c r="D11" i="4" l="1"/>
  <c r="B18" i="9" l="1"/>
  <c r="B17" i="9"/>
  <c r="C31" i="11" l="1"/>
  <c r="C30" i="11"/>
  <c r="D31" i="11"/>
  <c r="D30" i="11"/>
  <c r="D32" i="11" s="1"/>
  <c r="C32" i="11" l="1"/>
  <c r="I31" i="12"/>
  <c r="J31" i="12"/>
  <c r="J30" i="12"/>
  <c r="I30" i="12"/>
  <c r="E10" i="17" l="1"/>
  <c r="F10" i="17" s="1"/>
  <c r="E13" i="17" s="1"/>
  <c r="C7" i="17"/>
  <c r="D7" i="17" s="1"/>
  <c r="C7" i="4" l="1"/>
  <c r="G7" i="16"/>
  <c r="G8" i="16"/>
  <c r="G9" i="16"/>
  <c r="G10" i="16"/>
  <c r="G11" i="16"/>
  <c r="G12" i="16"/>
  <c r="G13" i="16"/>
  <c r="G14" i="16"/>
  <c r="G15" i="16"/>
  <c r="G16" i="16"/>
  <c r="G17" i="16"/>
  <c r="G18" i="16"/>
  <c r="G19" i="16"/>
  <c r="G20" i="16"/>
  <c r="G21" i="16"/>
  <c r="G22" i="16"/>
  <c r="G23" i="16"/>
  <c r="G6" i="16"/>
  <c r="G5" i="16"/>
  <c r="B10" i="16"/>
  <c r="D6" i="11"/>
  <c r="J32" i="12"/>
  <c r="I32" i="12"/>
  <c r="K31" i="12"/>
  <c r="K30" i="12"/>
  <c r="E28" i="12"/>
  <c r="C24" i="11"/>
  <c r="H17" i="12" s="1"/>
  <c r="D27" i="11"/>
  <c r="D28" i="11" s="1"/>
  <c r="D19" i="11"/>
  <c r="D20" i="11" s="1"/>
  <c r="B50" i="9"/>
  <c r="B44" i="9"/>
  <c r="B43" i="9"/>
  <c r="B42" i="9"/>
  <c r="B48" i="9" s="1"/>
  <c r="B40" i="9"/>
  <c r="B24" i="9"/>
  <c r="D24" i="11" l="1"/>
  <c r="D25" i="11" s="1"/>
  <c r="C19" i="11"/>
  <c r="I16" i="12" s="1"/>
  <c r="D7" i="11"/>
  <c r="C16" i="11"/>
  <c r="H16" i="12" s="1"/>
  <c r="D16" i="11"/>
  <c r="D17" i="11" s="1"/>
  <c r="C27" i="11"/>
  <c r="C28" i="11" s="1"/>
  <c r="D10" i="11"/>
  <c r="D9" i="11"/>
  <c r="K32" i="12"/>
  <c r="H30" i="12" s="1"/>
  <c r="H6" i="16"/>
  <c r="I6" i="16" s="1"/>
  <c r="H22" i="16"/>
  <c r="I22" i="16" s="1"/>
  <c r="H18" i="16"/>
  <c r="I18" i="16" s="1"/>
  <c r="H14" i="16"/>
  <c r="I14" i="16" s="1"/>
  <c r="H10" i="16"/>
  <c r="I10" i="16" s="1"/>
  <c r="H23" i="16"/>
  <c r="I23" i="16" s="1"/>
  <c r="J23" i="16" s="1"/>
  <c r="H19" i="16"/>
  <c r="I19" i="16" s="1"/>
  <c r="H15" i="16"/>
  <c r="I15" i="16" s="1"/>
  <c r="H7" i="16"/>
  <c r="I7" i="16" s="1"/>
  <c r="H21" i="16"/>
  <c r="I21" i="16" s="1"/>
  <c r="H17" i="16"/>
  <c r="I17" i="16" s="1"/>
  <c r="H13" i="16"/>
  <c r="I13" i="16" s="1"/>
  <c r="H9" i="16"/>
  <c r="I9" i="16" s="1"/>
  <c r="H11" i="16"/>
  <c r="I11" i="16" s="1"/>
  <c r="H20" i="16"/>
  <c r="I20" i="16" s="1"/>
  <c r="H16" i="16"/>
  <c r="I16" i="16" s="1"/>
  <c r="H12" i="16"/>
  <c r="I12" i="16" s="1"/>
  <c r="H8" i="16"/>
  <c r="I8" i="16" s="1"/>
  <c r="H5" i="16"/>
  <c r="I5" i="16" s="1"/>
  <c r="J5" i="16" s="1"/>
  <c r="C25" i="11"/>
  <c r="B51" i="9"/>
  <c r="F14" i="9"/>
  <c r="F16" i="9"/>
  <c r="F17" i="9"/>
  <c r="F22" i="9" s="1"/>
  <c r="F18" i="9"/>
  <c r="F13" i="9"/>
  <c r="B16" i="9"/>
  <c r="B14" i="9"/>
  <c r="D12" i="4"/>
  <c r="C11" i="4"/>
  <c r="C12" i="4" s="1"/>
  <c r="G8" i="4"/>
  <c r="G7" i="4"/>
  <c r="C8" i="4"/>
  <c r="D13" i="4" s="1"/>
  <c r="D8" i="4"/>
  <c r="D7" i="4"/>
  <c r="C13" i="4"/>
  <c r="C14" i="4"/>
  <c r="K8" i="2"/>
  <c r="J8" i="2"/>
  <c r="L7" i="2"/>
  <c r="L6" i="2"/>
  <c r="E26" i="2"/>
  <c r="E19" i="2"/>
  <c r="E11" i="2"/>
  <c r="E4" i="2"/>
  <c r="C17" i="12" l="1"/>
  <c r="C20" i="11"/>
  <c r="I17" i="12"/>
  <c r="C18" i="12" s="1"/>
  <c r="C17" i="11"/>
  <c r="H31" i="12"/>
  <c r="I29" i="12"/>
  <c r="J29" i="12"/>
  <c r="J15" i="16"/>
  <c r="J20" i="16"/>
  <c r="J17" i="16"/>
  <c r="J16" i="16"/>
  <c r="J14" i="16"/>
  <c r="J11" i="16"/>
  <c r="J21" i="16"/>
  <c r="J18" i="16"/>
  <c r="J19" i="16"/>
  <c r="J12" i="16"/>
  <c r="J9" i="16"/>
  <c r="J22" i="16"/>
  <c r="J13" i="16"/>
  <c r="J6" i="16"/>
  <c r="J8" i="16"/>
  <c r="J7" i="16"/>
  <c r="J10" i="16"/>
  <c r="B22" i="9"/>
  <c r="B25" i="9" s="1"/>
  <c r="F8" i="2"/>
  <c r="F23" i="2"/>
  <c r="L8" i="2"/>
  <c r="C19" i="12" l="1"/>
  <c r="K19" i="2"/>
  <c r="J19" i="2"/>
  <c r="K18" i="2"/>
  <c r="J18" i="2"/>
  <c r="K5" i="2"/>
  <c r="L5" i="2"/>
  <c r="H11" i="12"/>
  <c r="D31" i="12" s="1"/>
  <c r="I6" i="4"/>
  <c r="I8" i="4" s="1"/>
  <c r="G13" i="4" s="1"/>
  <c r="D18" i="4" s="1"/>
  <c r="D21" i="4" s="1"/>
  <c r="D25" i="4" s="1"/>
  <c r="H10" i="12"/>
  <c r="C31" i="12" s="1"/>
  <c r="I7" i="2"/>
  <c r="I6" i="2"/>
  <c r="J5" i="2"/>
  <c r="J18" i="4" l="1"/>
  <c r="J21" i="4" s="1"/>
  <c r="J25" i="4" s="1"/>
  <c r="H6" i="4"/>
  <c r="H8" i="4" s="1"/>
  <c r="F13" i="4" s="1"/>
  <c r="L19" i="2"/>
  <c r="H7" i="12" s="1"/>
  <c r="H23" i="12" s="1"/>
  <c r="D30" i="12" s="1"/>
  <c r="I5" i="4"/>
  <c r="I7" i="4" s="1"/>
  <c r="G12" i="4" s="1"/>
  <c r="K20" i="2"/>
  <c r="E31" i="12"/>
  <c r="H5" i="4"/>
  <c r="H7" i="4" s="1"/>
  <c r="F12" i="4" s="1"/>
  <c r="L18" i="2"/>
  <c r="H6" i="12" s="1"/>
  <c r="H22" i="12" s="1"/>
  <c r="C30" i="12" s="1"/>
  <c r="J20" i="2"/>
  <c r="L20" i="2" l="1"/>
  <c r="H5" i="12" s="1"/>
  <c r="E30" i="12"/>
  <c r="I17" i="4"/>
  <c r="I20" i="4" s="1"/>
  <c r="I24" i="4" s="1"/>
  <c r="C17" i="4"/>
  <c r="C20" i="4" s="1"/>
  <c r="C24" i="4" s="1"/>
  <c r="J17" i="4"/>
  <c r="J20" i="4" s="1"/>
  <c r="J24" i="4" s="1"/>
  <c r="D17" i="4"/>
  <c r="D20" i="4" s="1"/>
  <c r="D24" i="4" s="1"/>
  <c r="C18" i="4"/>
  <c r="C21" i="4" s="1"/>
  <c r="C25" i="4" s="1"/>
  <c r="I18" i="4"/>
  <c r="I21" i="4" s="1"/>
  <c r="I25" i="4" s="1"/>
  <c r="K17" i="2" l="1"/>
  <c r="I18" i="2"/>
  <c r="I6" i="12" s="1"/>
  <c r="H21" i="12"/>
  <c r="C22" i="12" s="1"/>
  <c r="C24" i="12" s="1"/>
  <c r="I17" i="2"/>
  <c r="I20" i="2"/>
  <c r="J17" i="2"/>
  <c r="I19" i="2"/>
  <c r="I7" i="12" s="1"/>
  <c r="C6" i="12" l="1"/>
  <c r="C23" i="12"/>
  <c r="C29" i="12" s="1"/>
  <c r="C36" i="12" s="1"/>
  <c r="D29" i="12"/>
  <c r="D36" i="12" s="1"/>
  <c r="D37" i="12" s="1"/>
  <c r="D32" i="12"/>
  <c r="C32" i="12"/>
  <c r="D33" i="12" l="1"/>
  <c r="I40" i="12" s="1"/>
  <c r="D38" i="12"/>
  <c r="E36" i="12"/>
  <c r="E37" i="12" s="1"/>
  <c r="E29" i="12"/>
  <c r="C37" i="12"/>
  <c r="C38" i="12"/>
  <c r="E32" i="12"/>
  <c r="C33" i="12"/>
  <c r="J40" i="12" l="1"/>
  <c r="K40" i="12" s="1"/>
  <c r="I39" i="12"/>
  <c r="J39" i="12"/>
  <c r="E33" i="12"/>
  <c r="J41" i="12" l="1"/>
  <c r="I41" i="12"/>
  <c r="K39" i="12"/>
  <c r="K41" i="12" l="1"/>
  <c r="H40" i="12" l="1"/>
  <c r="J38" i="12"/>
  <c r="I38" i="12"/>
  <c r="H39" i="12"/>
</calcChain>
</file>

<file path=xl/sharedStrings.xml><?xml version="1.0" encoding="utf-8"?>
<sst xmlns="http://schemas.openxmlformats.org/spreadsheetml/2006/main" count="278" uniqueCount="158">
  <si>
    <t>Unsprung Weight</t>
  </si>
  <si>
    <t>Disk Brake</t>
  </si>
  <si>
    <t>Hub</t>
  </si>
  <si>
    <t>Pads</t>
  </si>
  <si>
    <t>Caliper</t>
  </si>
  <si>
    <t>Front</t>
  </si>
  <si>
    <t>LCA</t>
  </si>
  <si>
    <t>Full weight</t>
  </si>
  <si>
    <t>Half weight</t>
  </si>
  <si>
    <t>Wheel/Tire</t>
  </si>
  <si>
    <t>Shock Fork</t>
  </si>
  <si>
    <t>Knuckle</t>
  </si>
  <si>
    <t>UCA</t>
  </si>
  <si>
    <t>Shock Spring</t>
  </si>
  <si>
    <t>LBS</t>
  </si>
  <si>
    <t>Drive Shaft</t>
  </si>
  <si>
    <t>Wheel/Tire ~</t>
  </si>
  <si>
    <t>Rear</t>
  </si>
  <si>
    <t>Front Total</t>
  </si>
  <si>
    <t>Full Total</t>
  </si>
  <si>
    <t>Half total</t>
  </si>
  <si>
    <t>Hub/Bearing</t>
  </si>
  <si>
    <t>Splash Guard</t>
  </si>
  <si>
    <t>RTA</t>
  </si>
  <si>
    <t>Shock/spring</t>
  </si>
  <si>
    <t>Half Total</t>
  </si>
  <si>
    <t>Rear Total</t>
  </si>
  <si>
    <t>Sprung weight with driver</t>
  </si>
  <si>
    <t>Motion Ratio</t>
  </si>
  <si>
    <t>Shock angle</t>
  </si>
  <si>
    <t>Sprung mass</t>
  </si>
  <si>
    <t>Spring rate</t>
  </si>
  <si>
    <t>d1 (shock)</t>
  </si>
  <si>
    <t>d2 (hub)</t>
  </si>
  <si>
    <t>SI</t>
  </si>
  <si>
    <t>Metric</t>
  </si>
  <si>
    <t>MR^2</t>
  </si>
  <si>
    <t>1 lb/in = 175.1268 N/m</t>
  </si>
  <si>
    <t>Ks (N/m)</t>
  </si>
  <si>
    <t>kg</t>
  </si>
  <si>
    <t>N/m</t>
  </si>
  <si>
    <t>1/(s^2)</t>
  </si>
  <si>
    <t>(2pi)^2</t>
  </si>
  <si>
    <t>MR (d2/d1)</t>
  </si>
  <si>
    <t>Hz</t>
  </si>
  <si>
    <t>Without suspension angle</t>
  </si>
  <si>
    <t>With suspension angle</t>
  </si>
  <si>
    <t>FL</t>
  </si>
  <si>
    <t>FR</t>
  </si>
  <si>
    <t>RL</t>
  </si>
  <si>
    <t>RR</t>
  </si>
  <si>
    <t>Ride Frequency</t>
  </si>
  <si>
    <t>Ride frequency</t>
  </si>
  <si>
    <t>kg/s^2</t>
  </si>
  <si>
    <t>1 Lbs = .45359237 kg</t>
  </si>
  <si>
    <t>mm</t>
  </si>
  <si>
    <t>in</t>
  </si>
  <si>
    <t>Solid Bar</t>
  </si>
  <si>
    <t>Hollow Bar</t>
  </si>
  <si>
    <t>Diameter</t>
  </si>
  <si>
    <t>Length (B)</t>
  </si>
  <si>
    <t>Moment arm (A)</t>
  </si>
  <si>
    <t>Physical arm ( C)</t>
  </si>
  <si>
    <t>OD</t>
  </si>
  <si>
    <t>ID</t>
  </si>
  <si>
    <t>Effective rate</t>
  </si>
  <si>
    <t>lbf/in</t>
  </si>
  <si>
    <t>Effiective rate</t>
  </si>
  <si>
    <t>Motion ratio</t>
  </si>
  <si>
    <t>Effective wheel rate (body-roll)</t>
  </si>
  <si>
    <t>E steel</t>
  </si>
  <si>
    <t>G steel</t>
  </si>
  <si>
    <t>Front Shock</t>
  </si>
  <si>
    <t>Rear Swaybar</t>
  </si>
  <si>
    <t>Front Swaybar</t>
  </si>
  <si>
    <t>CHECK</t>
  </si>
  <si>
    <t>Sprung Weight with driver</t>
  </si>
  <si>
    <t>Total</t>
  </si>
  <si>
    <t>Spring WR</t>
  </si>
  <si>
    <t>Swaybar WR</t>
  </si>
  <si>
    <t>Center of Gravity Height</t>
  </si>
  <si>
    <t>Front Roll Center Height</t>
  </si>
  <si>
    <t>Rear Roll Center Height</t>
  </si>
  <si>
    <t>Roll Center Height of CG</t>
  </si>
  <si>
    <t>Cornering Force</t>
  </si>
  <si>
    <t>Lateral G</t>
  </si>
  <si>
    <t>Fc</t>
  </si>
  <si>
    <t>Fcf</t>
  </si>
  <si>
    <t>Fcr</t>
  </si>
  <si>
    <t>G</t>
  </si>
  <si>
    <t>(lbs)</t>
  </si>
  <si>
    <t>(%)</t>
  </si>
  <si>
    <t>lbf</t>
  </si>
  <si>
    <t>Wheel Rate</t>
  </si>
  <si>
    <t>Roll Stiffness</t>
  </si>
  <si>
    <t>(lbs/in)/side</t>
  </si>
  <si>
    <t>Swaybar WR (body roll)</t>
  </si>
  <si>
    <t>Swaybar rate</t>
  </si>
  <si>
    <t>Spring WR (body roll)</t>
  </si>
  <si>
    <t>Front WR/Side</t>
  </si>
  <si>
    <t>Rear WR/Side</t>
  </si>
  <si>
    <t>Wheel Rate (WR)</t>
  </si>
  <si>
    <t>Roll Couple</t>
  </si>
  <si>
    <t>in*lbf</t>
  </si>
  <si>
    <t>Body roll</t>
  </si>
  <si>
    <t>Rear Track Width</t>
  </si>
  <si>
    <t>Front track Width</t>
  </si>
  <si>
    <t>*estimate</t>
  </si>
  <si>
    <t xml:space="preserve">Rear </t>
  </si>
  <si>
    <t>Roll Center Height</t>
  </si>
  <si>
    <t>Weight Transfer due to:</t>
  </si>
  <si>
    <t>Tire Deflection</t>
  </si>
  <si>
    <t>CG Migration</t>
  </si>
  <si>
    <t>Unsprung CG Height (FR)</t>
  </si>
  <si>
    <t>Unsprung CG Height (RR)</t>
  </si>
  <si>
    <t>Unsprung Weight/Side</t>
  </si>
  <si>
    <t>(lbf)</t>
  </si>
  <si>
    <t>Wheel travel req'd for Body Roll</t>
  </si>
  <si>
    <t>Sprung Body Roll</t>
  </si>
  <si>
    <t>deg</t>
  </si>
  <si>
    <t>Weight with driver (Static)</t>
  </si>
  <si>
    <t>Weight with driver (Steady-state corner)</t>
  </si>
  <si>
    <t>Tire info</t>
  </si>
  <si>
    <t>Size</t>
  </si>
  <si>
    <t>%</t>
  </si>
  <si>
    <t>Load on tire (lbf)</t>
  </si>
  <si>
    <t>Contact patch L</t>
  </si>
  <si>
    <t>PSI</t>
  </si>
  <si>
    <t>Pressure</t>
  </si>
  <si>
    <t>Loaded R</t>
  </si>
  <si>
    <t>Compression</t>
  </si>
  <si>
    <t>Rate (lbf/in)</t>
  </si>
  <si>
    <t>Tread Width</t>
  </si>
  <si>
    <t>Unloaded Radius</t>
  </si>
  <si>
    <t>Sprung mass (lbs)</t>
  </si>
  <si>
    <t>1 mile = 63360 inches</t>
  </si>
  <si>
    <t>Tire D (in)</t>
  </si>
  <si>
    <t>Tire C (in)</t>
  </si>
  <si>
    <t>Tire C (mi)</t>
  </si>
  <si>
    <t>engine RPM</t>
  </si>
  <si>
    <t>2nd gear</t>
  </si>
  <si>
    <t>Final drive</t>
  </si>
  <si>
    <t>Tire RPM</t>
  </si>
  <si>
    <t>Tire RPH</t>
  </si>
  <si>
    <t>Spring Travel</t>
  </si>
  <si>
    <t>springs</t>
  </si>
  <si>
    <t>Corner weight with driver</t>
  </si>
  <si>
    <t>Rear Spring</t>
  </si>
  <si>
    <t>ST</t>
  </si>
  <si>
    <t>linear</t>
  </si>
  <si>
    <t>progressive</t>
  </si>
  <si>
    <t>Roll couple % front</t>
  </si>
  <si>
    <t>OE</t>
  </si>
  <si>
    <t>Speed (rev limiter 2nd)</t>
  </si>
  <si>
    <t>Opt 1</t>
  </si>
  <si>
    <t>Opt 2</t>
  </si>
  <si>
    <t>Option1 used in weight transfer sheet</t>
  </si>
  <si>
    <t>Ohlin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</si>
</sst>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#\ ?/8"/>
  </numFmts>
  <fonts count="2" x14ac:knownFonts="1">
    <font>
      <sz val="11"/>
      <color theme="1"/>
      <name val="Calibri"/>
      <family val="2"/>
      <scheme val="minor"/>
    </font>
    <font>
      <sz val="10"/>
      <color theme="1"/>
      <name val="Arial Unicode MS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19">
    <xf numFmtId="0" fontId="0" fillId="0" borderId="0" xfId="0"/>
    <xf numFmtId="0" fontId="0" fillId="0" borderId="3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1" xfId="0" applyBorder="1"/>
    <xf numFmtId="0" fontId="0" fillId="0" borderId="15" xfId="0" applyBorder="1"/>
    <xf numFmtId="0" fontId="0" fillId="0" borderId="0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0" xfId="0" applyBorder="1" applyAlignment="1"/>
    <xf numFmtId="0" fontId="0" fillId="0" borderId="12" xfId="0" applyBorder="1" applyAlignment="1"/>
    <xf numFmtId="0" fontId="0" fillId="0" borderId="13" xfId="0" applyBorder="1" applyAlignment="1"/>
    <xf numFmtId="0" fontId="0" fillId="0" borderId="14" xfId="0" applyBorder="1" applyAlignment="1"/>
    <xf numFmtId="0" fontId="0" fillId="0" borderId="6" xfId="0" applyBorder="1"/>
    <xf numFmtId="0" fontId="0" fillId="0" borderId="0" xfId="0" applyFill="1" applyBorder="1"/>
    <xf numFmtId="13" fontId="0" fillId="0" borderId="0" xfId="0" applyNumberFormat="1"/>
    <xf numFmtId="13" fontId="0" fillId="0" borderId="0" xfId="0" applyNumberFormat="1" applyBorder="1"/>
    <xf numFmtId="12" fontId="0" fillId="0" borderId="0" xfId="0" applyNumberFormat="1" applyBorder="1"/>
    <xf numFmtId="0" fontId="0" fillId="2" borderId="19" xfId="0" applyFill="1" applyBorder="1"/>
    <xf numFmtId="4" fontId="0" fillId="0" borderId="0" xfId="0" applyNumberFormat="1"/>
    <xf numFmtId="4" fontId="0" fillId="0" borderId="0" xfId="0" applyNumberFormat="1" applyBorder="1"/>
    <xf numFmtId="2" fontId="0" fillId="0" borderId="0" xfId="0" applyNumberFormat="1" applyBorder="1"/>
    <xf numFmtId="2" fontId="0" fillId="0" borderId="3" xfId="0" applyNumberFormat="1" applyBorder="1"/>
    <xf numFmtId="2" fontId="0" fillId="0" borderId="0" xfId="0" applyNumberFormat="1" applyFill="1" applyBorder="1"/>
    <xf numFmtId="165" fontId="0" fillId="0" borderId="0" xfId="0" applyNumberFormat="1"/>
    <xf numFmtId="165" fontId="0" fillId="0" borderId="0" xfId="0" applyNumberFormat="1" applyBorder="1"/>
    <xf numFmtId="4" fontId="0" fillId="0" borderId="0" xfId="0" applyNumberFormat="1" applyBorder="1" applyAlignment="1"/>
    <xf numFmtId="0" fontId="0" fillId="3" borderId="0" xfId="0" applyFill="1" applyBorder="1"/>
    <xf numFmtId="0" fontId="0" fillId="3" borderId="15" xfId="0" applyFill="1" applyBorder="1"/>
    <xf numFmtId="0" fontId="0" fillId="4" borderId="17" xfId="0" applyFill="1" applyBorder="1"/>
    <xf numFmtId="0" fontId="0" fillId="4" borderId="0" xfId="0" applyFill="1" applyBorder="1"/>
    <xf numFmtId="0" fontId="0" fillId="0" borderId="2" xfId="0" applyBorder="1"/>
    <xf numFmtId="0" fontId="0" fillId="0" borderId="20" xfId="0" applyBorder="1"/>
    <xf numFmtId="0" fontId="0" fillId="0" borderId="24" xfId="0" applyBorder="1"/>
    <xf numFmtId="0" fontId="0" fillId="0" borderId="4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4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20" xfId="0" applyBorder="1" applyAlignment="1">
      <alignment horizontal="center"/>
    </xf>
    <xf numFmtId="0" fontId="0" fillId="0" borderId="0" xfId="0" applyAlignment="1">
      <alignment vertical="center"/>
    </xf>
    <xf numFmtId="0" fontId="0" fillId="6" borderId="0" xfId="0" applyFill="1"/>
    <xf numFmtId="0" fontId="0" fillId="7" borderId="2" xfId="0" applyFill="1" applyBorder="1"/>
    <xf numFmtId="0" fontId="0" fillId="0" borderId="12" xfId="0" applyBorder="1"/>
    <xf numFmtId="0" fontId="0" fillId="0" borderId="14" xfId="0" applyBorder="1"/>
    <xf numFmtId="2" fontId="0" fillId="0" borderId="0" xfId="0" applyNumberFormat="1"/>
    <xf numFmtId="2" fontId="0" fillId="5" borderId="0" xfId="0" applyNumberFormat="1" applyFill="1"/>
    <xf numFmtId="2" fontId="0" fillId="0" borderId="4" xfId="0" applyNumberFormat="1" applyBorder="1"/>
    <xf numFmtId="2" fontId="0" fillId="0" borderId="0" xfId="0" applyNumberFormat="1" applyFill="1"/>
    <xf numFmtId="2" fontId="0" fillId="0" borderId="5" xfId="0" applyNumberFormat="1" applyBorder="1"/>
    <xf numFmtId="2" fontId="0" fillId="0" borderId="6" xfId="0" applyNumberFormat="1" applyBorder="1"/>
    <xf numFmtId="2" fontId="0" fillId="0" borderId="7" xfId="0" applyNumberFormat="1" applyBorder="1"/>
    <xf numFmtId="2" fontId="0" fillId="5" borderId="0" xfId="0" applyNumberFormat="1" applyFill="1" applyBorder="1"/>
    <xf numFmtId="0" fontId="0" fillId="8" borderId="20" xfId="0" applyFill="1" applyBorder="1"/>
    <xf numFmtId="0" fontId="0" fillId="8" borderId="0" xfId="0" applyFill="1" applyBorder="1"/>
    <xf numFmtId="0" fontId="1" fillId="0" borderId="0" xfId="0" applyFont="1" applyAlignment="1"/>
    <xf numFmtId="0" fontId="0" fillId="8" borderId="0" xfId="0" applyFill="1"/>
    <xf numFmtId="164" fontId="0" fillId="0" borderId="0" xfId="0" applyNumberFormat="1"/>
    <xf numFmtId="1" fontId="0" fillId="0" borderId="0" xfId="0" applyNumberFormat="1"/>
    <xf numFmtId="0" fontId="0" fillId="9" borderId="0" xfId="0" applyFill="1"/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  <xf numFmtId="1" fontId="0" fillId="0" borderId="0" xfId="0" applyNumberFormat="1" applyAlignment="1">
      <alignment wrapText="1"/>
    </xf>
    <xf numFmtId="0" fontId="0" fillId="7" borderId="0" xfId="0" applyFill="1"/>
    <xf numFmtId="164" fontId="0" fillId="7" borderId="0" xfId="0" applyNumberFormat="1" applyFill="1"/>
    <xf numFmtId="1" fontId="0" fillId="7" borderId="0" xfId="0" applyNumberFormat="1" applyFill="1"/>
    <xf numFmtId="0" fontId="0" fillId="0" borderId="10" xfId="0" applyBorder="1" applyAlignment="1">
      <alignment horizontal="left"/>
    </xf>
    <xf numFmtId="164" fontId="0" fillId="0" borderId="0" xfId="0" applyNumberFormat="1" applyBorder="1" applyAlignment="1"/>
    <xf numFmtId="164" fontId="0" fillId="0" borderId="0" xfId="0" applyNumberFormat="1" applyBorder="1"/>
    <xf numFmtId="164" fontId="0" fillId="0" borderId="0" xfId="0" applyNumberFormat="1" applyFill="1" applyBorder="1"/>
    <xf numFmtId="165" fontId="0" fillId="0" borderId="0" xfId="0" applyNumberFormat="1" applyBorder="1" applyAlignment="1"/>
    <xf numFmtId="0" fontId="0" fillId="0" borderId="9" xfId="0" applyBorder="1" applyAlignment="1">
      <alignment horizontal="center"/>
    </xf>
    <xf numFmtId="0" fontId="0" fillId="0" borderId="0" xfId="0" applyBorder="1" applyAlignment="1">
      <alignment vertical="center"/>
    </xf>
    <xf numFmtId="0" fontId="0" fillId="0" borderId="2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4" fontId="0" fillId="0" borderId="0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21" xfId="0" applyBorder="1" applyAlignment="1">
      <alignment horizontal="center"/>
    </xf>
    <xf numFmtId="0" fontId="0" fillId="0" borderId="23" xfId="0" applyBorder="1" applyAlignment="1">
      <alignment horizontal="center"/>
    </xf>
    <xf numFmtId="2" fontId="0" fillId="0" borderId="9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2" borderId="0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ill="1"/>
    <xf numFmtId="0" fontId="0" fillId="8" borderId="9" xfId="0" applyFill="1" applyBorder="1"/>
    <xf numFmtId="0" fontId="0" fillId="8" borderId="1" xfId="0" applyFill="1" applyBorder="1"/>
    <xf numFmtId="0" fontId="0" fillId="8" borderId="5" xfId="0" applyFill="1" applyBorder="1"/>
    <xf numFmtId="0" fontId="0" fillId="8" borderId="8" xfId="0" applyFill="1" applyBorder="1"/>
    <xf numFmtId="164" fontId="0" fillId="0" borderId="0" xfId="0" applyNumberFormat="1" applyFill="1"/>
    <xf numFmtId="1" fontId="0" fillId="0" borderId="0" xfId="0" applyNumberFormat="1" applyFill="1"/>
    <xf numFmtId="0" fontId="0" fillId="0" borderId="10" xfId="0" applyBorder="1" applyAlignment="1"/>
    <xf numFmtId="0" fontId="0" fillId="0" borderId="11" xfId="0" applyBorder="1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3762793287202824"/>
          <c:y val="2.8252302989198352E-2"/>
          <c:w val="0.81691895331265407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v>Tire Spring Rate</c:v>
          </c:tx>
          <c:spPr>
            <a:ln w="28575">
              <a:noFill/>
            </a:ln>
          </c:spPr>
          <c:xVal>
            <c:numRef>
              <c:f>'Tire spring rate'!$F$6:$F$23</c:f>
              <c:numCache>
                <c:formatCode>General</c:formatCode>
                <c:ptCount val="18"/>
                <c:pt idx="0">
                  <c:v>300</c:v>
                </c:pt>
                <c:pt idx="1">
                  <c:v>400</c:v>
                </c:pt>
                <c:pt idx="2">
                  <c:v>500</c:v>
                </c:pt>
                <c:pt idx="3">
                  <c:v>600</c:v>
                </c:pt>
                <c:pt idx="4">
                  <c:v>700</c:v>
                </c:pt>
                <c:pt idx="5">
                  <c:v>800</c:v>
                </c:pt>
                <c:pt idx="6">
                  <c:v>900</c:v>
                </c:pt>
                <c:pt idx="7">
                  <c:v>1000</c:v>
                </c:pt>
                <c:pt idx="8">
                  <c:v>1100</c:v>
                </c:pt>
                <c:pt idx="9">
                  <c:v>1200</c:v>
                </c:pt>
                <c:pt idx="10">
                  <c:v>1300</c:v>
                </c:pt>
                <c:pt idx="11">
                  <c:v>1400</c:v>
                </c:pt>
                <c:pt idx="12">
                  <c:v>1500</c:v>
                </c:pt>
                <c:pt idx="13">
                  <c:v>1600</c:v>
                </c:pt>
                <c:pt idx="14">
                  <c:v>1700</c:v>
                </c:pt>
                <c:pt idx="15">
                  <c:v>1800</c:v>
                </c:pt>
                <c:pt idx="16">
                  <c:v>1900</c:v>
                </c:pt>
                <c:pt idx="17">
                  <c:v>2000</c:v>
                </c:pt>
              </c:numCache>
            </c:numRef>
          </c:xVal>
          <c:yVal>
            <c:numRef>
              <c:f>'Tire spring rate'!$J$6:$J$23</c:f>
              <c:numCache>
                <c:formatCode>0</c:formatCode>
                <c:ptCount val="18"/>
                <c:pt idx="0">
                  <c:v>20403.672724421205</c:v>
                </c:pt>
                <c:pt idx="1">
                  <c:v>14567.380776856864</c:v>
                </c:pt>
                <c:pt idx="2">
                  <c:v>11323.263100071463</c:v>
                </c:pt>
                <c:pt idx="3">
                  <c:v>9257.4038523613435</c:v>
                </c:pt>
                <c:pt idx="4">
                  <c:v>7825.9886883034851</c:v>
                </c:pt>
                <c:pt idx="5">
                  <c:v>6775.2370890213115</c:v>
                </c:pt>
                <c:pt idx="6">
                  <c:v>5970.7942229891514</c:v>
                </c:pt>
                <c:pt idx="7">
                  <c:v>5334.8753148394262</c:v>
                </c:pt>
                <c:pt idx="8">
                  <c:v>4819.3275168195587</c:v>
                </c:pt>
                <c:pt idx="9">
                  <c:v>4392.7464551510684</c:v>
                </c:pt>
                <c:pt idx="10">
                  <c:v>4033.77683331651</c:v>
                </c:pt>
                <c:pt idx="11">
                  <c:v>3727.390544203824</c:v>
                </c:pt>
                <c:pt idx="12">
                  <c:v>3462.7048729892695</c:v>
                </c:pt>
                <c:pt idx="13">
                  <c:v>3231.6452658739045</c:v>
                </c:pt>
                <c:pt idx="14">
                  <c:v>3028.09436396299</c:v>
                </c:pt>
                <c:pt idx="15">
                  <c:v>2847.3327961808654</c:v>
                </c:pt>
                <c:pt idx="16">
                  <c:v>2685.6613358612003</c:v>
                </c:pt>
                <c:pt idx="17">
                  <c:v>2540.1393160518937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C5-4FC5-A697-6F26ABEFF2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613568"/>
        <c:axId val="189615488"/>
      </c:scatterChart>
      <c:valAx>
        <c:axId val="189613568"/>
        <c:scaling>
          <c:orientation val="minMax"/>
          <c:max val="2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Load  (lbf)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9615488"/>
        <c:crosses val="autoZero"/>
        <c:crossBetween val="midCat"/>
      </c:valAx>
      <c:valAx>
        <c:axId val="189615488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Rate</a:t>
                </a:r>
              </a:p>
              <a:p>
                <a:pPr>
                  <a:defRPr/>
                </a:pPr>
                <a:r>
                  <a:rPr lang="en-US"/>
                  <a:t>(lbf/in)</a:t>
                </a:r>
              </a:p>
            </c:rich>
          </c:tx>
          <c:layout>
            <c:manualLayout>
              <c:xMode val="edge"/>
              <c:yMode val="edge"/>
              <c:x val="4.2324027678358423E-3"/>
              <c:y val="0.32643908237266528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crossAx val="1896135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231402</xdr:colOff>
      <xdr:row>0</xdr:row>
      <xdr:rowOff>64434</xdr:rowOff>
    </xdr:from>
    <xdr:to>
      <xdr:col>1</xdr:col>
      <xdr:colOff>1311088</xdr:colOff>
      <xdr:row>2</xdr:row>
      <xdr:rowOff>35859</xdr:rowOff>
    </xdr:to>
    <xdr:sp macro="" textlink="">
      <xdr:nvSpPr>
        <xdr:cNvPr id="19" name="TextBox 18"/>
        <xdr:cNvSpPr txBox="1"/>
      </xdr:nvSpPr>
      <xdr:spPr>
        <a:xfrm>
          <a:off x="836520" y="64434"/>
          <a:ext cx="1079686" cy="3524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2000"/>
            <a:t>MK7 GTI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47625</xdr:colOff>
      <xdr:row>2</xdr:row>
      <xdr:rowOff>9525</xdr:rowOff>
    </xdr:from>
    <xdr:to>
      <xdr:col>16</xdr:col>
      <xdr:colOff>485775</xdr:colOff>
      <xdr:row>7</xdr:row>
      <xdr:rowOff>66675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17936" t="38672" r="50585" b="47526"/>
        <a:stretch>
          <a:fillRect/>
        </a:stretch>
      </xdr:blipFill>
      <xdr:spPr bwMode="auto">
        <a:xfrm>
          <a:off x="7934325" y="390525"/>
          <a:ext cx="4095750" cy="10096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10</xdr:col>
      <xdr:colOff>391207</xdr:colOff>
      <xdr:row>9</xdr:row>
      <xdr:rowOff>66676</xdr:rowOff>
    </xdr:from>
    <xdr:to>
      <xdr:col>16</xdr:col>
      <xdr:colOff>161925</xdr:colOff>
      <xdr:row>18</xdr:row>
      <xdr:rowOff>47626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 l="17716" t="28516" r="17570" b="13281"/>
        <a:stretch>
          <a:fillRect/>
        </a:stretch>
      </xdr:blipFill>
      <xdr:spPr bwMode="auto">
        <a:xfrm>
          <a:off x="8277907" y="1781176"/>
          <a:ext cx="3428318" cy="17335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723900</xdr:colOff>
      <xdr:row>29</xdr:row>
      <xdr:rowOff>85725</xdr:rowOff>
    </xdr:from>
    <xdr:to>
      <xdr:col>13</xdr:col>
      <xdr:colOff>19050</xdr:colOff>
      <xdr:row>36</xdr:row>
      <xdr:rowOff>38100</xdr:rowOff>
    </xdr:to>
    <xdr:pic>
      <xdr:nvPicPr>
        <xdr:cNvPr id="102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 l="38287" t="35807" r="21596" b="46615"/>
        <a:stretch>
          <a:fillRect/>
        </a:stretch>
      </xdr:blipFill>
      <xdr:spPr bwMode="auto">
        <a:xfrm>
          <a:off x="4514850" y="5648325"/>
          <a:ext cx="5219700" cy="12858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5</xdr:col>
      <xdr:colOff>391207</xdr:colOff>
      <xdr:row>36</xdr:row>
      <xdr:rowOff>152401</xdr:rowOff>
    </xdr:from>
    <xdr:to>
      <xdr:col>11</xdr:col>
      <xdr:colOff>161925</xdr:colOff>
      <xdr:row>45</xdr:row>
      <xdr:rowOff>171451</xdr:rowOff>
    </xdr:to>
    <xdr:pic>
      <xdr:nvPicPr>
        <xdr:cNvPr id="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 l="17716" t="28516" r="17570" b="13281"/>
        <a:stretch>
          <a:fillRect/>
        </a:stretch>
      </xdr:blipFill>
      <xdr:spPr bwMode="auto">
        <a:xfrm>
          <a:off x="5229907" y="7048501"/>
          <a:ext cx="3428318" cy="17335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13</xdr:col>
      <xdr:colOff>476250</xdr:colOff>
      <xdr:row>3</xdr:row>
      <xdr:rowOff>0</xdr:rowOff>
    </xdr:from>
    <xdr:to>
      <xdr:col>15</xdr:col>
      <xdr:colOff>200025</xdr:colOff>
      <xdr:row>4</xdr:row>
      <xdr:rowOff>76200</xdr:rowOff>
    </xdr:to>
    <xdr:sp macro="" textlink="">
      <xdr:nvSpPr>
        <xdr:cNvPr id="6" name="TextBox 5"/>
        <xdr:cNvSpPr txBox="1"/>
      </xdr:nvSpPr>
      <xdr:spPr>
        <a:xfrm>
          <a:off x="10191750" y="571500"/>
          <a:ext cx="942975" cy="2667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400"/>
            <a:t>500,000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347383</xdr:colOff>
      <xdr:row>1</xdr:row>
      <xdr:rowOff>134470</xdr:rowOff>
    </xdr:from>
    <xdr:to>
      <xdr:col>18</xdr:col>
      <xdr:colOff>804380</xdr:colOff>
      <xdr:row>21</xdr:row>
      <xdr:rowOff>108026</xdr:rowOff>
    </xdr:to>
    <xdr:pic>
      <xdr:nvPicPr>
        <xdr:cNvPr id="12" name="Picture 11" descr="https://www.golfmk7.com/forums/index.php?attachments/img_3189-jpeg.176966/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6572" r="22626" b="20069"/>
        <a:stretch/>
      </xdr:blipFill>
      <xdr:spPr bwMode="auto">
        <a:xfrm>
          <a:off x="9379324" y="336176"/>
          <a:ext cx="4132527" cy="38283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190500</xdr:colOff>
      <xdr:row>14</xdr:row>
      <xdr:rowOff>112060</xdr:rowOff>
    </xdr:from>
    <xdr:to>
      <xdr:col>4</xdr:col>
      <xdr:colOff>470648</xdr:colOff>
      <xdr:row>17</xdr:row>
      <xdr:rowOff>179295</xdr:rowOff>
    </xdr:to>
    <xdr:sp macro="" textlink="">
      <xdr:nvSpPr>
        <xdr:cNvPr id="2" name="TextBox 1"/>
        <xdr:cNvSpPr txBox="1"/>
      </xdr:nvSpPr>
      <xdr:spPr>
        <a:xfrm rot="19738070">
          <a:off x="795618" y="2801472"/>
          <a:ext cx="2599765" cy="64994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LEFT</a:t>
          </a:r>
          <a:r>
            <a:rPr lang="en-US" sz="1100" baseline="0"/>
            <a:t> over from Integra with some estimates for GTI. THIS IS NOT ACCURATE</a:t>
          </a:r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257735</xdr:colOff>
      <xdr:row>16</xdr:row>
      <xdr:rowOff>67236</xdr:rowOff>
    </xdr:from>
    <xdr:to>
      <xdr:col>8</xdr:col>
      <xdr:colOff>44823</xdr:colOff>
      <xdr:row>17</xdr:row>
      <xdr:rowOff>156882</xdr:rowOff>
    </xdr:to>
    <xdr:grpSp>
      <xdr:nvGrpSpPr>
        <xdr:cNvPr id="31" name="Group 30"/>
        <xdr:cNvGrpSpPr/>
      </xdr:nvGrpSpPr>
      <xdr:grpSpPr>
        <a:xfrm>
          <a:off x="3697941" y="3115236"/>
          <a:ext cx="2162735" cy="280146"/>
          <a:chOff x="5311588" y="3115236"/>
          <a:chExt cx="1792941" cy="280146"/>
        </a:xfrm>
      </xdr:grpSpPr>
      <xdr:sp macro="" textlink="">
        <xdr:nvSpPr>
          <xdr:cNvPr id="28" name="TextBox 27"/>
          <xdr:cNvSpPr txBox="1"/>
        </xdr:nvSpPr>
        <xdr:spPr>
          <a:xfrm>
            <a:off x="6140820" y="3115236"/>
            <a:ext cx="963709" cy="280146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t"/>
          <a:lstStyle/>
          <a:p>
            <a:r>
              <a:rPr lang="en-US" sz="1400"/>
              <a:t>cos(shock)</a:t>
            </a:r>
          </a:p>
        </xdr:txBody>
      </xdr:sp>
      <xdr:grpSp>
        <xdr:nvGrpSpPr>
          <xdr:cNvPr id="17" name="Group 16"/>
          <xdr:cNvGrpSpPr/>
        </xdr:nvGrpSpPr>
        <xdr:grpSpPr>
          <a:xfrm>
            <a:off x="5311588" y="3126440"/>
            <a:ext cx="896468" cy="257736"/>
            <a:chOff x="4676678" y="2816087"/>
            <a:chExt cx="1179126" cy="323022"/>
          </a:xfrm>
        </xdr:grpSpPr>
        <xdr:pic>
          <xdr:nvPicPr>
            <xdr:cNvPr id="18" name="Picture 1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/>
            <a:srcRect l="34632" t="34611" r="54467" b="60491"/>
            <a:stretch>
              <a:fillRect/>
            </a:stretch>
          </xdr:blipFill>
          <xdr:spPr bwMode="auto">
            <a:xfrm>
              <a:off x="5068956" y="2857500"/>
              <a:ext cx="786848" cy="281609"/>
            </a:xfrm>
            <a:prstGeom prst="rect">
              <a:avLst/>
            </a:prstGeom>
            <a:noFill/>
            <a:ln w="1">
              <a:noFill/>
              <a:miter lim="800000"/>
              <a:headEnd/>
              <a:tailEnd type="none" w="med" len="med"/>
            </a:ln>
            <a:effectLst/>
          </xdr:spPr>
        </xdr:pic>
        <xdr:pic>
          <xdr:nvPicPr>
            <xdr:cNvPr id="19" name="Picture 1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/>
            <a:srcRect l="27586" t="33798" r="68059" b="61125"/>
            <a:stretch>
              <a:fillRect/>
            </a:stretch>
          </xdr:blipFill>
          <xdr:spPr bwMode="auto">
            <a:xfrm>
              <a:off x="4676678" y="2816087"/>
              <a:ext cx="326017" cy="302765"/>
            </a:xfrm>
            <a:prstGeom prst="rect">
              <a:avLst/>
            </a:prstGeom>
            <a:noFill/>
            <a:ln w="1">
              <a:noFill/>
              <a:miter lim="800000"/>
              <a:headEnd/>
              <a:tailEnd type="none" w="med" len="med"/>
            </a:ln>
            <a:effectLst/>
          </xdr:spPr>
        </xdr:pic>
      </xdr:grpSp>
    </xdr:grpSp>
    <xdr:clientData/>
  </xdr:twoCellAnchor>
  <xdr:twoCellAnchor editAs="oneCell">
    <xdr:from>
      <xdr:col>4</xdr:col>
      <xdr:colOff>425824</xdr:colOff>
      <xdr:row>27</xdr:row>
      <xdr:rowOff>72358</xdr:rowOff>
    </xdr:from>
    <xdr:to>
      <xdr:col>10</xdr:col>
      <xdr:colOff>190501</xdr:colOff>
      <xdr:row>30</xdr:row>
      <xdr:rowOff>159861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20198" t="33798" r="11242" b="52020"/>
        <a:stretch>
          <a:fillRect/>
        </a:stretch>
      </xdr:blipFill>
      <xdr:spPr bwMode="auto">
        <a:xfrm>
          <a:off x="3260912" y="5215858"/>
          <a:ext cx="3955677" cy="65900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0</xdr:col>
      <xdr:colOff>144142</xdr:colOff>
      <xdr:row>16</xdr:row>
      <xdr:rowOff>33618</xdr:rowOff>
    </xdr:from>
    <xdr:to>
      <xdr:col>1</xdr:col>
      <xdr:colOff>412182</xdr:colOff>
      <xdr:row>17</xdr:row>
      <xdr:rowOff>91597</xdr:rowOff>
    </xdr:to>
    <xdr:grpSp>
      <xdr:nvGrpSpPr>
        <xdr:cNvPr id="3" name="Group 2"/>
        <xdr:cNvGrpSpPr/>
      </xdr:nvGrpSpPr>
      <xdr:grpSpPr>
        <a:xfrm>
          <a:off x="144142" y="3081618"/>
          <a:ext cx="873158" cy="248479"/>
          <a:chOff x="4676678" y="2816087"/>
          <a:chExt cx="1179126" cy="323022"/>
        </a:xfrm>
      </xdr:grpSpPr>
      <xdr:pic>
        <xdr:nvPicPr>
          <xdr:cNvPr id="4" name="Picture 1"/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/>
          <a:srcRect l="34632" t="34611" r="54467" b="60491"/>
          <a:stretch>
            <a:fillRect/>
          </a:stretch>
        </xdr:blipFill>
        <xdr:spPr bwMode="auto">
          <a:xfrm>
            <a:off x="5068956" y="2857500"/>
            <a:ext cx="786848" cy="281609"/>
          </a:xfrm>
          <a:prstGeom prst="rect">
            <a:avLst/>
          </a:prstGeom>
          <a:noFill/>
          <a:ln w="1">
            <a:noFill/>
            <a:miter lim="800000"/>
            <a:headEnd/>
            <a:tailEnd type="none" w="med" len="med"/>
          </a:ln>
          <a:effectLst/>
        </xdr:spPr>
      </xdr:pic>
      <xdr:pic>
        <xdr:nvPicPr>
          <xdr:cNvPr id="5" name="Picture 1"/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/>
          <a:srcRect l="27586" t="33798" r="68059" b="61125"/>
          <a:stretch>
            <a:fillRect/>
          </a:stretch>
        </xdr:blipFill>
        <xdr:spPr bwMode="auto">
          <a:xfrm>
            <a:off x="4676678" y="2816087"/>
            <a:ext cx="326017" cy="302765"/>
          </a:xfrm>
          <a:prstGeom prst="rect">
            <a:avLst/>
          </a:prstGeom>
          <a:noFill/>
          <a:ln w="1">
            <a:noFill/>
            <a:miter lim="800000"/>
            <a:headEnd/>
            <a:tailEnd type="none" w="med" len="med"/>
          </a:ln>
          <a:effectLst/>
        </xdr:spPr>
      </xdr:pic>
    </xdr:grpSp>
    <xdr:clientData/>
  </xdr:twoCellAnchor>
  <xdr:twoCellAnchor>
    <xdr:from>
      <xdr:col>0</xdr:col>
      <xdr:colOff>44825</xdr:colOff>
      <xdr:row>18</xdr:row>
      <xdr:rowOff>1275</xdr:rowOff>
    </xdr:from>
    <xdr:to>
      <xdr:col>2</xdr:col>
      <xdr:colOff>6424</xdr:colOff>
      <xdr:row>20</xdr:row>
      <xdr:rowOff>186806</xdr:rowOff>
    </xdr:to>
    <xdr:grpSp>
      <xdr:nvGrpSpPr>
        <xdr:cNvPr id="6" name="Group 5"/>
        <xdr:cNvGrpSpPr/>
      </xdr:nvGrpSpPr>
      <xdr:grpSpPr>
        <a:xfrm>
          <a:off x="44825" y="3430275"/>
          <a:ext cx="1171834" cy="566531"/>
          <a:chOff x="3546681" y="2741543"/>
          <a:chExt cx="1401986" cy="566531"/>
        </a:xfrm>
      </xdr:grpSpPr>
      <xdr:pic>
        <xdr:nvPicPr>
          <xdr:cNvPr id="7" name="Picture 1"/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/>
          <a:srcRect l="20198" t="33798" r="75076" b="60866"/>
          <a:stretch>
            <a:fillRect/>
          </a:stretch>
        </xdr:blipFill>
        <xdr:spPr bwMode="auto">
          <a:xfrm>
            <a:off x="4322106" y="2741543"/>
            <a:ext cx="267095" cy="240196"/>
          </a:xfrm>
          <a:prstGeom prst="rect">
            <a:avLst/>
          </a:prstGeom>
          <a:noFill/>
          <a:ln w="1">
            <a:noFill/>
            <a:miter lim="800000"/>
            <a:headEnd/>
            <a:tailEnd type="none" w="med" len="med"/>
          </a:ln>
          <a:effectLst/>
        </xdr:spPr>
      </xdr:pic>
      <xdr:grpSp>
        <xdr:nvGrpSpPr>
          <xdr:cNvPr id="8" name="Group 7"/>
          <xdr:cNvGrpSpPr/>
        </xdr:nvGrpSpPr>
        <xdr:grpSpPr>
          <a:xfrm>
            <a:off x="4067714" y="3059595"/>
            <a:ext cx="880953" cy="248479"/>
            <a:chOff x="4676678" y="2816087"/>
            <a:chExt cx="1179126" cy="323022"/>
          </a:xfrm>
        </xdr:grpSpPr>
        <xdr:pic>
          <xdr:nvPicPr>
            <xdr:cNvPr id="12" name="Picture 1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/>
            <a:srcRect l="34632" t="34611" r="54467" b="60491"/>
            <a:stretch>
              <a:fillRect/>
            </a:stretch>
          </xdr:blipFill>
          <xdr:spPr bwMode="auto">
            <a:xfrm>
              <a:off x="5068956" y="2857500"/>
              <a:ext cx="786848" cy="281609"/>
            </a:xfrm>
            <a:prstGeom prst="rect">
              <a:avLst/>
            </a:prstGeom>
            <a:noFill/>
            <a:ln w="1">
              <a:noFill/>
              <a:miter lim="800000"/>
              <a:headEnd/>
              <a:tailEnd type="none" w="med" len="med"/>
            </a:ln>
            <a:effectLst/>
          </xdr:spPr>
        </xdr:pic>
        <xdr:pic>
          <xdr:nvPicPr>
            <xdr:cNvPr id="13" name="Picture 1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/>
            <a:srcRect l="27586" t="33798" r="68059" b="61125"/>
            <a:stretch>
              <a:fillRect/>
            </a:stretch>
          </xdr:blipFill>
          <xdr:spPr bwMode="auto">
            <a:xfrm>
              <a:off x="4676678" y="2816087"/>
              <a:ext cx="326017" cy="302765"/>
            </a:xfrm>
            <a:prstGeom prst="rect">
              <a:avLst/>
            </a:prstGeom>
            <a:noFill/>
            <a:ln w="1">
              <a:noFill/>
              <a:miter lim="800000"/>
              <a:headEnd/>
              <a:tailEnd type="none" w="med" len="med"/>
            </a:ln>
            <a:effectLst/>
          </xdr:spPr>
        </xdr:pic>
      </xdr:grpSp>
      <xdr:pic>
        <xdr:nvPicPr>
          <xdr:cNvPr id="9" name="Picture 1"/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/>
          <a:srcRect l="32039" t="33798" r="65245" b="60970"/>
          <a:stretch>
            <a:fillRect/>
          </a:stretch>
        </xdr:blipFill>
        <xdr:spPr bwMode="auto">
          <a:xfrm>
            <a:off x="3546681" y="2872016"/>
            <a:ext cx="195355" cy="300794"/>
          </a:xfrm>
          <a:prstGeom prst="rect">
            <a:avLst/>
          </a:prstGeom>
          <a:noFill/>
          <a:ln w="1">
            <a:noFill/>
            <a:miter lim="800000"/>
            <a:headEnd/>
            <a:tailEnd type="none" w="med" len="med"/>
          </a:ln>
          <a:effectLst/>
        </xdr:spPr>
      </xdr:pic>
      <xdr:pic>
        <xdr:nvPicPr>
          <xdr:cNvPr id="10" name="Picture 1"/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/>
          <a:srcRect l="24949" t="33798" r="72803" b="60442"/>
          <a:stretch>
            <a:fillRect/>
          </a:stretch>
        </xdr:blipFill>
        <xdr:spPr bwMode="auto">
          <a:xfrm>
            <a:off x="3883270" y="2885390"/>
            <a:ext cx="161192" cy="331130"/>
          </a:xfrm>
          <a:prstGeom prst="rect">
            <a:avLst/>
          </a:prstGeom>
          <a:noFill/>
          <a:ln w="1">
            <a:noFill/>
            <a:miter lim="800000"/>
            <a:headEnd/>
            <a:tailEnd type="none" w="med" len="med"/>
          </a:ln>
          <a:effectLst/>
        </xdr:spPr>
      </xdr:pic>
      <xdr:cxnSp macro="">
        <xdr:nvCxnSpPr>
          <xdr:cNvPr id="11" name="Straight Connector 10"/>
          <xdr:cNvCxnSpPr/>
        </xdr:nvCxnSpPr>
        <xdr:spPr>
          <a:xfrm>
            <a:off x="4154365" y="3011365"/>
            <a:ext cx="666750" cy="0"/>
          </a:xfrm>
          <a:prstGeom prst="line">
            <a:avLst/>
          </a:prstGeom>
          <a:ln w="381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5</xdr:col>
      <xdr:colOff>280146</xdr:colOff>
      <xdr:row>18</xdr:row>
      <xdr:rowOff>46099</xdr:rowOff>
    </xdr:from>
    <xdr:to>
      <xdr:col>7</xdr:col>
      <xdr:colOff>307860</xdr:colOff>
      <xdr:row>21</xdr:row>
      <xdr:rowOff>67236</xdr:rowOff>
    </xdr:to>
    <xdr:grpSp>
      <xdr:nvGrpSpPr>
        <xdr:cNvPr id="20" name="Group 19"/>
        <xdr:cNvGrpSpPr/>
      </xdr:nvGrpSpPr>
      <xdr:grpSpPr>
        <a:xfrm>
          <a:off x="3720352" y="3475099"/>
          <a:ext cx="1607743" cy="592637"/>
          <a:chOff x="3546681" y="2741543"/>
          <a:chExt cx="1401986" cy="566531"/>
        </a:xfrm>
      </xdr:grpSpPr>
      <xdr:pic>
        <xdr:nvPicPr>
          <xdr:cNvPr id="21" name="Picture 1"/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/>
          <a:srcRect l="20198" t="33798" r="75076" b="60866"/>
          <a:stretch>
            <a:fillRect/>
          </a:stretch>
        </xdr:blipFill>
        <xdr:spPr bwMode="auto">
          <a:xfrm>
            <a:off x="4322106" y="2741543"/>
            <a:ext cx="267095" cy="240196"/>
          </a:xfrm>
          <a:prstGeom prst="rect">
            <a:avLst/>
          </a:prstGeom>
          <a:noFill/>
          <a:ln w="1">
            <a:noFill/>
            <a:miter lim="800000"/>
            <a:headEnd/>
            <a:tailEnd type="none" w="med" len="med"/>
          </a:ln>
          <a:effectLst/>
        </xdr:spPr>
      </xdr:pic>
      <xdr:grpSp>
        <xdr:nvGrpSpPr>
          <xdr:cNvPr id="22" name="Group 21"/>
          <xdr:cNvGrpSpPr/>
        </xdr:nvGrpSpPr>
        <xdr:grpSpPr>
          <a:xfrm>
            <a:off x="4067714" y="3059595"/>
            <a:ext cx="880953" cy="248479"/>
            <a:chOff x="4676678" y="2816087"/>
            <a:chExt cx="1179126" cy="323022"/>
          </a:xfrm>
        </xdr:grpSpPr>
        <xdr:pic>
          <xdr:nvPicPr>
            <xdr:cNvPr id="26" name="Picture 1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/>
            <a:srcRect l="34632" t="34611" r="54467" b="60491"/>
            <a:stretch>
              <a:fillRect/>
            </a:stretch>
          </xdr:blipFill>
          <xdr:spPr bwMode="auto">
            <a:xfrm>
              <a:off x="5068956" y="2857500"/>
              <a:ext cx="786848" cy="281609"/>
            </a:xfrm>
            <a:prstGeom prst="rect">
              <a:avLst/>
            </a:prstGeom>
            <a:noFill/>
            <a:ln w="1">
              <a:noFill/>
              <a:miter lim="800000"/>
              <a:headEnd/>
              <a:tailEnd type="none" w="med" len="med"/>
            </a:ln>
            <a:effectLst/>
          </xdr:spPr>
        </xdr:pic>
        <xdr:pic>
          <xdr:nvPicPr>
            <xdr:cNvPr id="27" name="Picture 1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/>
            <a:srcRect l="27586" t="33798" r="68059" b="61125"/>
            <a:stretch>
              <a:fillRect/>
            </a:stretch>
          </xdr:blipFill>
          <xdr:spPr bwMode="auto">
            <a:xfrm>
              <a:off x="4676678" y="2816087"/>
              <a:ext cx="326017" cy="302765"/>
            </a:xfrm>
            <a:prstGeom prst="rect">
              <a:avLst/>
            </a:prstGeom>
            <a:noFill/>
            <a:ln w="1">
              <a:noFill/>
              <a:miter lim="800000"/>
              <a:headEnd/>
              <a:tailEnd type="none" w="med" len="med"/>
            </a:ln>
            <a:effectLst/>
          </xdr:spPr>
        </xdr:pic>
      </xdr:grpSp>
      <xdr:pic>
        <xdr:nvPicPr>
          <xdr:cNvPr id="23" name="Picture 1"/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/>
          <a:srcRect l="32039" t="33798" r="65245" b="60970"/>
          <a:stretch>
            <a:fillRect/>
          </a:stretch>
        </xdr:blipFill>
        <xdr:spPr bwMode="auto">
          <a:xfrm>
            <a:off x="3546681" y="2872016"/>
            <a:ext cx="195355" cy="300794"/>
          </a:xfrm>
          <a:prstGeom prst="rect">
            <a:avLst/>
          </a:prstGeom>
          <a:noFill/>
          <a:ln w="1">
            <a:noFill/>
            <a:miter lim="800000"/>
            <a:headEnd/>
            <a:tailEnd type="none" w="med" len="med"/>
          </a:ln>
          <a:effectLst/>
        </xdr:spPr>
      </xdr:pic>
      <xdr:pic>
        <xdr:nvPicPr>
          <xdr:cNvPr id="24" name="Picture 1"/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/>
          <a:srcRect l="24949" t="33798" r="72803" b="60442"/>
          <a:stretch>
            <a:fillRect/>
          </a:stretch>
        </xdr:blipFill>
        <xdr:spPr bwMode="auto">
          <a:xfrm>
            <a:off x="3883270" y="2885390"/>
            <a:ext cx="161192" cy="331130"/>
          </a:xfrm>
          <a:prstGeom prst="rect">
            <a:avLst/>
          </a:prstGeom>
          <a:noFill/>
          <a:ln w="1">
            <a:noFill/>
            <a:miter lim="800000"/>
            <a:headEnd/>
            <a:tailEnd type="none" w="med" len="med"/>
          </a:ln>
          <a:effectLst/>
        </xdr:spPr>
      </xdr:pic>
      <xdr:cxnSp macro="">
        <xdr:nvCxnSpPr>
          <xdr:cNvPr id="25" name="Straight Connector 24"/>
          <xdr:cNvCxnSpPr/>
        </xdr:nvCxnSpPr>
        <xdr:spPr>
          <a:xfrm>
            <a:off x="4154365" y="3011365"/>
            <a:ext cx="666750" cy="0"/>
          </a:xfrm>
          <a:prstGeom prst="line">
            <a:avLst/>
          </a:prstGeom>
          <a:ln w="381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313765</xdr:colOff>
      <xdr:row>5</xdr:row>
      <xdr:rowOff>89647</xdr:rowOff>
    </xdr:from>
    <xdr:to>
      <xdr:col>20</xdr:col>
      <xdr:colOff>549089</xdr:colOff>
      <xdr:row>22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Y32"/>
  <sheetViews>
    <sheetView tabSelected="1" zoomScale="85" zoomScaleNormal="85" workbookViewId="0">
      <selection activeCell="G8" sqref="G8"/>
    </sheetView>
  </sheetViews>
  <sheetFormatPr defaultRowHeight="15" x14ac:dyDescent="0.25"/>
  <cols>
    <col min="2" max="2" width="21" bestFit="1" customWidth="1"/>
    <col min="5" max="5" width="7.85546875" bestFit="1" customWidth="1"/>
  </cols>
  <sheetData>
    <row r="5" spans="1:25" x14ac:dyDescent="0.25">
      <c r="B5" s="81" t="s">
        <v>28</v>
      </c>
      <c r="C5" s="82"/>
    </row>
    <row r="6" spans="1:25" x14ac:dyDescent="0.25">
      <c r="B6" s="1" t="s">
        <v>72</v>
      </c>
      <c r="C6" s="37">
        <v>0.93</v>
      </c>
      <c r="D6">
        <f t="shared" ref="D6:D9" si="0">C6^2</f>
        <v>0.86490000000000011</v>
      </c>
    </row>
    <row r="7" spans="1:25" x14ac:dyDescent="0.25">
      <c r="B7" s="1" t="s">
        <v>74</v>
      </c>
      <c r="C7" s="37">
        <v>0.93</v>
      </c>
      <c r="D7">
        <f t="shared" si="0"/>
        <v>0.86490000000000011</v>
      </c>
    </row>
    <row r="8" spans="1:25" x14ac:dyDescent="0.25">
      <c r="B8" s="1"/>
      <c r="C8" s="37"/>
    </row>
    <row r="9" spans="1:25" x14ac:dyDescent="0.25">
      <c r="B9" s="1" t="s">
        <v>147</v>
      </c>
      <c r="C9" s="37">
        <v>0.65200000000000002</v>
      </c>
      <c r="D9">
        <f t="shared" si="0"/>
        <v>0.42510400000000004</v>
      </c>
    </row>
    <row r="10" spans="1:25" x14ac:dyDescent="0.25">
      <c r="B10" s="2" t="s">
        <v>73</v>
      </c>
      <c r="C10" s="3">
        <v>0.45100000000000001</v>
      </c>
      <c r="D10">
        <f>C10^2</f>
        <v>0.203401</v>
      </c>
    </row>
    <row r="11" spans="1:25" ht="15.75" thickBot="1" x14ac:dyDescent="0.3"/>
    <row r="12" spans="1:25" x14ac:dyDescent="0.25">
      <c r="A12" s="51"/>
      <c r="B12" s="85" t="s">
        <v>101</v>
      </c>
      <c r="C12" s="85"/>
      <c r="D12" s="85"/>
      <c r="E12" s="52"/>
    </row>
    <row r="13" spans="1:25" x14ac:dyDescent="0.25">
      <c r="A13" s="6"/>
      <c r="B13" s="7"/>
      <c r="C13" s="7" t="s">
        <v>156</v>
      </c>
      <c r="D13" s="7"/>
      <c r="E13" s="8"/>
    </row>
    <row r="14" spans="1:25" x14ac:dyDescent="0.25">
      <c r="A14" s="6"/>
      <c r="B14" s="79" t="s">
        <v>5</v>
      </c>
      <c r="C14" s="117" t="s">
        <v>154</v>
      </c>
      <c r="D14" s="118" t="s">
        <v>155</v>
      </c>
      <c r="E14" s="8"/>
      <c r="F14" t="s">
        <v>152</v>
      </c>
      <c r="G14" t="s">
        <v>157</v>
      </c>
      <c r="H14" t="s">
        <v>148</v>
      </c>
      <c r="Y14" t="s">
        <v>145</v>
      </c>
    </row>
    <row r="15" spans="1:25" x14ac:dyDescent="0.25">
      <c r="A15" s="6"/>
      <c r="B15" s="34" t="s">
        <v>31</v>
      </c>
      <c r="C15" s="61">
        <v>500</v>
      </c>
      <c r="D15" s="61">
        <v>175</v>
      </c>
      <c r="E15" s="8"/>
      <c r="F15">
        <v>175</v>
      </c>
      <c r="G15">
        <v>400</v>
      </c>
      <c r="H15">
        <v>400</v>
      </c>
      <c r="I15" t="s">
        <v>149</v>
      </c>
    </row>
    <row r="16" spans="1:25" x14ac:dyDescent="0.25">
      <c r="A16" s="6"/>
      <c r="B16" s="1" t="s">
        <v>78</v>
      </c>
      <c r="C16" s="7">
        <f>C15*(C6^2)</f>
        <v>432.45000000000005</v>
      </c>
      <c r="D16" s="7">
        <f>D15*(C6^2)</f>
        <v>151.35750000000002</v>
      </c>
      <c r="E16" s="8"/>
    </row>
    <row r="17" spans="1:9" x14ac:dyDescent="0.25">
      <c r="A17" s="6"/>
      <c r="B17" s="2" t="s">
        <v>98</v>
      </c>
      <c r="C17" s="16">
        <f>2*C16</f>
        <v>864.90000000000009</v>
      </c>
      <c r="D17" s="16">
        <f>2*D16</f>
        <v>302.71500000000003</v>
      </c>
      <c r="E17" s="8"/>
    </row>
    <row r="18" spans="1:9" x14ac:dyDescent="0.25">
      <c r="A18" s="6"/>
      <c r="B18" s="1" t="s">
        <v>97</v>
      </c>
      <c r="C18" s="62">
        <v>340</v>
      </c>
      <c r="D18" s="62">
        <v>340</v>
      </c>
      <c r="E18" s="8"/>
      <c r="F18">
        <v>340</v>
      </c>
    </row>
    <row r="19" spans="1:9" x14ac:dyDescent="0.25">
      <c r="A19" s="6"/>
      <c r="B19" s="1" t="s">
        <v>79</v>
      </c>
      <c r="C19" s="7">
        <f>C18*(C7^2)</f>
        <v>294.06600000000003</v>
      </c>
      <c r="D19" s="7">
        <f>D18*(C7^2)</f>
        <v>294.06600000000003</v>
      </c>
      <c r="E19" s="8"/>
    </row>
    <row r="20" spans="1:9" x14ac:dyDescent="0.25">
      <c r="A20" s="6"/>
      <c r="B20" s="2" t="s">
        <v>98</v>
      </c>
      <c r="C20" s="16">
        <f>2*C19</f>
        <v>588.13200000000006</v>
      </c>
      <c r="D20" s="16">
        <f>2*D19</f>
        <v>588.13200000000006</v>
      </c>
      <c r="E20" s="8"/>
    </row>
    <row r="21" spans="1:9" x14ac:dyDescent="0.25">
      <c r="A21" s="6"/>
      <c r="B21" s="7"/>
      <c r="C21" s="7"/>
      <c r="D21" s="7"/>
      <c r="E21" s="8"/>
    </row>
    <row r="22" spans="1:9" x14ac:dyDescent="0.25">
      <c r="A22" s="6"/>
      <c r="B22" s="79" t="s">
        <v>17</v>
      </c>
      <c r="C22" s="117"/>
      <c r="D22" s="118"/>
      <c r="E22" s="8"/>
    </row>
    <row r="23" spans="1:9" x14ac:dyDescent="0.25">
      <c r="A23" s="6"/>
      <c r="B23" s="1" t="s">
        <v>31</v>
      </c>
      <c r="C23" s="62">
        <v>390</v>
      </c>
      <c r="D23" s="62">
        <v>230</v>
      </c>
      <c r="E23" s="8"/>
      <c r="F23">
        <v>230</v>
      </c>
      <c r="G23">
        <v>400</v>
      </c>
      <c r="H23">
        <v>285</v>
      </c>
      <c r="I23" t="s">
        <v>150</v>
      </c>
    </row>
    <row r="24" spans="1:9" x14ac:dyDescent="0.25">
      <c r="A24" s="6"/>
      <c r="B24" s="1" t="s">
        <v>78</v>
      </c>
      <c r="C24" s="7">
        <f>C23*(C9^2)</f>
        <v>165.79056000000003</v>
      </c>
      <c r="D24" s="7">
        <f>D23*(C9^2)</f>
        <v>97.773920000000004</v>
      </c>
      <c r="E24" s="8"/>
    </row>
    <row r="25" spans="1:9" x14ac:dyDescent="0.25">
      <c r="A25" s="6"/>
      <c r="B25" s="2" t="s">
        <v>98</v>
      </c>
      <c r="C25" s="16">
        <f>2*C24</f>
        <v>331.58112000000006</v>
      </c>
      <c r="D25" s="16">
        <f>2*D24</f>
        <v>195.54784000000001</v>
      </c>
      <c r="E25" s="8"/>
    </row>
    <row r="26" spans="1:9" x14ac:dyDescent="0.25">
      <c r="A26" s="6"/>
      <c r="B26" s="1" t="s">
        <v>97</v>
      </c>
      <c r="C26" s="62">
        <v>1400</v>
      </c>
      <c r="D26" s="62">
        <v>1400</v>
      </c>
      <c r="E26" s="8"/>
      <c r="F26">
        <v>542</v>
      </c>
    </row>
    <row r="27" spans="1:9" x14ac:dyDescent="0.25">
      <c r="A27" s="6"/>
      <c r="B27" s="1" t="s">
        <v>79</v>
      </c>
      <c r="C27" s="7">
        <f>C26*(C10^2)</f>
        <v>284.76139999999998</v>
      </c>
      <c r="D27" s="7">
        <f>D26*(C10^2)</f>
        <v>284.76139999999998</v>
      </c>
      <c r="E27" s="8"/>
    </row>
    <row r="28" spans="1:9" x14ac:dyDescent="0.25">
      <c r="A28" s="6"/>
      <c r="B28" s="2" t="s">
        <v>96</v>
      </c>
      <c r="C28" s="16">
        <f>2*C27</f>
        <v>569.52279999999996</v>
      </c>
      <c r="D28" s="16">
        <f>2*D27</f>
        <v>569.52279999999996</v>
      </c>
      <c r="E28" s="8"/>
    </row>
    <row r="29" spans="1:9" ht="15.75" x14ac:dyDescent="0.3">
      <c r="A29" s="6"/>
      <c r="B29" s="7"/>
      <c r="C29" s="7"/>
      <c r="D29" s="7"/>
      <c r="E29" s="8"/>
      <c r="G29" s="63"/>
    </row>
    <row r="30" spans="1:9" ht="15.75" x14ac:dyDescent="0.3">
      <c r="A30" s="6"/>
      <c r="B30" s="50" t="s">
        <v>99</v>
      </c>
      <c r="C30" s="35">
        <f>(C15*(C6^2))+(2*C18*(C7^2))</f>
        <v>1020.5820000000001</v>
      </c>
      <c r="D30" s="35">
        <f>(D15*(C6^2))+(2*D18*(C7^2))</f>
        <v>739.48950000000013</v>
      </c>
      <c r="E30" s="8"/>
      <c r="G30" s="63"/>
    </row>
    <row r="31" spans="1:9" x14ac:dyDescent="0.25">
      <c r="A31" s="6"/>
      <c r="B31" s="50" t="s">
        <v>100</v>
      </c>
      <c r="C31" s="35">
        <f>(C23*(C9^2))+(2*C26*(C10^2))</f>
        <v>735.31335999999999</v>
      </c>
      <c r="D31" s="35">
        <f>(D23*(C9^2))+(2*D26*(C10^2))</f>
        <v>667.29671999999994</v>
      </c>
      <c r="E31" s="8"/>
    </row>
    <row r="32" spans="1:9" ht="15.75" thickBot="1" x14ac:dyDescent="0.3">
      <c r="A32" s="9"/>
      <c r="B32" s="10" t="s">
        <v>151</v>
      </c>
      <c r="C32" s="10">
        <f>C30/(C30+C31)</f>
        <v>0.58123167430660572</v>
      </c>
      <c r="D32" s="10">
        <f>D30/(D30+D31)</f>
        <v>0.52565876000690437</v>
      </c>
      <c r="E32" s="11"/>
    </row>
  </sheetData>
  <mergeCells count="2">
    <mergeCell ref="B5:C5"/>
    <mergeCell ref="B12:D12"/>
  </mergeCells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51"/>
  <sheetViews>
    <sheetView zoomScale="85" zoomScaleNormal="85" workbookViewId="0">
      <selection activeCell="I18" sqref="I18"/>
    </sheetView>
  </sheetViews>
  <sheetFormatPr defaultRowHeight="15" x14ac:dyDescent="0.25"/>
  <cols>
    <col min="1" max="1" width="29.42578125" bestFit="1" customWidth="1"/>
    <col min="5" max="5" width="15.7109375" bestFit="1" customWidth="1"/>
  </cols>
  <sheetData>
    <row r="3" spans="1:10" x14ac:dyDescent="0.25">
      <c r="A3" s="71" t="s">
        <v>57</v>
      </c>
      <c r="E3" s="71" t="s">
        <v>58</v>
      </c>
    </row>
    <row r="5" spans="1:10" x14ac:dyDescent="0.25">
      <c r="A5" t="s">
        <v>59</v>
      </c>
      <c r="B5" s="64">
        <v>20</v>
      </c>
      <c r="C5" t="s">
        <v>55</v>
      </c>
      <c r="E5" t="s">
        <v>63</v>
      </c>
      <c r="F5">
        <v>30</v>
      </c>
    </row>
    <row r="6" spans="1:10" x14ac:dyDescent="0.25">
      <c r="E6" t="s">
        <v>64</v>
      </c>
      <c r="F6">
        <v>24</v>
      </c>
    </row>
    <row r="7" spans="1:10" x14ac:dyDescent="0.25">
      <c r="A7" t="s">
        <v>60</v>
      </c>
      <c r="B7" s="64">
        <v>781</v>
      </c>
      <c r="C7" t="s">
        <v>55</v>
      </c>
    </row>
    <row r="8" spans="1:10" x14ac:dyDescent="0.25">
      <c r="A8" t="s">
        <v>61</v>
      </c>
      <c r="B8" s="64">
        <v>127</v>
      </c>
      <c r="C8" t="s">
        <v>55</v>
      </c>
      <c r="E8" t="s">
        <v>60</v>
      </c>
      <c r="F8">
        <v>990.6</v>
      </c>
      <c r="G8" t="s">
        <v>55</v>
      </c>
    </row>
    <row r="9" spans="1:10" x14ac:dyDescent="0.25">
      <c r="A9" t="s">
        <v>62</v>
      </c>
      <c r="B9" s="64">
        <v>127</v>
      </c>
      <c r="C9" t="s">
        <v>55</v>
      </c>
      <c r="E9" t="s">
        <v>61</v>
      </c>
      <c r="F9">
        <v>115</v>
      </c>
      <c r="G9" t="s">
        <v>55</v>
      </c>
    </row>
    <row r="10" spans="1:10" x14ac:dyDescent="0.25">
      <c r="E10" t="s">
        <v>62</v>
      </c>
      <c r="F10">
        <v>115</v>
      </c>
      <c r="G10" t="s">
        <v>55</v>
      </c>
      <c r="J10" s="48"/>
    </row>
    <row r="11" spans="1:10" ht="18" customHeight="1" x14ac:dyDescent="0.25">
      <c r="J11" s="48"/>
    </row>
    <row r="13" spans="1:10" x14ac:dyDescent="0.25">
      <c r="E13" t="s">
        <v>63</v>
      </c>
      <c r="F13">
        <f>F5/25.4</f>
        <v>1.1811023622047245</v>
      </c>
      <c r="G13" t="s">
        <v>56</v>
      </c>
    </row>
    <row r="14" spans="1:10" x14ac:dyDescent="0.25">
      <c r="A14" t="s">
        <v>59</v>
      </c>
      <c r="B14">
        <f>B5/25.4</f>
        <v>0.78740157480314965</v>
      </c>
      <c r="C14" t="s">
        <v>56</v>
      </c>
      <c r="E14" t="s">
        <v>64</v>
      </c>
      <c r="F14">
        <f t="shared" ref="F14:F18" si="0">F6/25.4</f>
        <v>0.94488188976377963</v>
      </c>
      <c r="G14" t="s">
        <v>56</v>
      </c>
    </row>
    <row r="16" spans="1:10" x14ac:dyDescent="0.25">
      <c r="A16" t="s">
        <v>60</v>
      </c>
      <c r="B16">
        <f t="shared" ref="B16:B18" si="1">B7/25.4</f>
        <v>30.748031496062993</v>
      </c>
      <c r="C16" t="s">
        <v>56</v>
      </c>
      <c r="E16" t="s">
        <v>60</v>
      </c>
      <c r="F16">
        <f t="shared" si="0"/>
        <v>39</v>
      </c>
      <c r="G16" t="s">
        <v>56</v>
      </c>
    </row>
    <row r="17" spans="1:13" x14ac:dyDescent="0.25">
      <c r="A17" t="s">
        <v>61</v>
      </c>
      <c r="B17">
        <f t="shared" si="1"/>
        <v>5</v>
      </c>
      <c r="C17" t="s">
        <v>56</v>
      </c>
      <c r="E17" t="s">
        <v>61</v>
      </c>
      <c r="F17">
        <f t="shared" si="0"/>
        <v>4.5275590551181102</v>
      </c>
      <c r="G17" t="s">
        <v>56</v>
      </c>
    </row>
    <row r="18" spans="1:13" x14ac:dyDescent="0.25">
      <c r="A18" t="s">
        <v>62</v>
      </c>
      <c r="B18">
        <f t="shared" si="1"/>
        <v>5</v>
      </c>
      <c r="C18" t="s">
        <v>56</v>
      </c>
      <c r="E18" t="s">
        <v>62</v>
      </c>
      <c r="F18">
        <f t="shared" si="0"/>
        <v>4.5275590551181102</v>
      </c>
      <c r="G18" t="s">
        <v>56</v>
      </c>
    </row>
    <row r="22" spans="1:13" x14ac:dyDescent="0.25">
      <c r="A22" s="71" t="s">
        <v>65</v>
      </c>
      <c r="B22" s="110">
        <f>(500000*(B14^4))/((0.4244*(B17^2)*B16)+0.2264*(B18^3))</f>
        <v>542.11824990350965</v>
      </c>
      <c r="C22" s="110" t="s">
        <v>66</v>
      </c>
      <c r="E22" s="71" t="s">
        <v>67</v>
      </c>
      <c r="F22" s="110">
        <f>(500000*((F13^4)-(F14^4)))/((0.4244*(F17^2)*F16)+0.2264*(F18^3))</f>
        <v>1594.4188344576537</v>
      </c>
      <c r="G22" s="110" t="s">
        <v>66</v>
      </c>
    </row>
    <row r="24" spans="1:13" x14ac:dyDescent="0.25">
      <c r="A24" t="s">
        <v>68</v>
      </c>
      <c r="B24">
        <f>181.3/341.3</f>
        <v>0.53120421916202754</v>
      </c>
    </row>
    <row r="25" spans="1:13" x14ac:dyDescent="0.25">
      <c r="A25" t="s">
        <v>69</v>
      </c>
      <c r="B25">
        <f>(B24^2)*B22*2</f>
        <v>305.94760296601055</v>
      </c>
    </row>
    <row r="28" spans="1:13" x14ac:dyDescent="0.25">
      <c r="A28" s="49"/>
      <c r="B28" s="49"/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</row>
    <row r="29" spans="1:13" x14ac:dyDescent="0.25">
      <c r="A29" t="s">
        <v>75</v>
      </c>
    </row>
    <row r="31" spans="1:13" x14ac:dyDescent="0.25">
      <c r="A31" t="s">
        <v>59</v>
      </c>
      <c r="B31">
        <v>22</v>
      </c>
      <c r="C31" t="s">
        <v>55</v>
      </c>
    </row>
    <row r="33" spans="1:3" x14ac:dyDescent="0.25">
      <c r="A33" t="s">
        <v>60</v>
      </c>
      <c r="B33">
        <v>1024</v>
      </c>
      <c r="C33" t="s">
        <v>55</v>
      </c>
    </row>
    <row r="34" spans="1:3" x14ac:dyDescent="0.25">
      <c r="A34" t="s">
        <v>61</v>
      </c>
      <c r="B34">
        <v>217</v>
      </c>
      <c r="C34" t="s">
        <v>55</v>
      </c>
    </row>
    <row r="35" spans="1:3" x14ac:dyDescent="0.25">
      <c r="A35" t="s">
        <v>62</v>
      </c>
      <c r="B35">
        <v>132</v>
      </c>
      <c r="C35" t="s">
        <v>55</v>
      </c>
    </row>
    <row r="37" spans="1:3" x14ac:dyDescent="0.25">
      <c r="A37" t="s">
        <v>70</v>
      </c>
      <c r="B37">
        <v>30000000</v>
      </c>
    </row>
    <row r="38" spans="1:3" x14ac:dyDescent="0.25">
      <c r="A38" t="s">
        <v>71</v>
      </c>
      <c r="B38">
        <v>12000000</v>
      </c>
    </row>
    <row r="40" spans="1:3" x14ac:dyDescent="0.25">
      <c r="A40" t="s">
        <v>59</v>
      </c>
      <c r="B40">
        <f>B31/25.4</f>
        <v>0.86614173228346458</v>
      </c>
      <c r="C40" t="s">
        <v>56</v>
      </c>
    </row>
    <row r="42" spans="1:3" x14ac:dyDescent="0.25">
      <c r="A42" t="s">
        <v>60</v>
      </c>
      <c r="B42">
        <f t="shared" ref="B42:B44" si="2">B33/25.4</f>
        <v>40.314960629921259</v>
      </c>
      <c r="C42" t="s">
        <v>56</v>
      </c>
    </row>
    <row r="43" spans="1:3" x14ac:dyDescent="0.25">
      <c r="A43" t="s">
        <v>61</v>
      </c>
      <c r="B43">
        <f t="shared" si="2"/>
        <v>8.543307086614174</v>
      </c>
      <c r="C43" t="s">
        <v>56</v>
      </c>
    </row>
    <row r="44" spans="1:3" x14ac:dyDescent="0.25">
      <c r="A44" t="s">
        <v>62</v>
      </c>
      <c r="B44">
        <f t="shared" si="2"/>
        <v>5.1968503937007879</v>
      </c>
      <c r="C44" t="s">
        <v>56</v>
      </c>
    </row>
    <row r="48" spans="1:3" x14ac:dyDescent="0.25">
      <c r="A48" t="s">
        <v>65</v>
      </c>
      <c r="B48">
        <f>(3*3.14*30000000*12000000*(B40^4))/(32*((3*B42*30000000*B43^2)+(4*12000000*B44^3)))</f>
        <v>219.62847248613079</v>
      </c>
      <c r="C48" t="s">
        <v>66</v>
      </c>
    </row>
    <row r="50" spans="1:2" x14ac:dyDescent="0.25">
      <c r="A50" t="s">
        <v>68</v>
      </c>
      <c r="B50">
        <f>181.3/341.3</f>
        <v>0.53120421916202754</v>
      </c>
    </row>
    <row r="51" spans="1:2" x14ac:dyDescent="0.25">
      <c r="A51" t="s">
        <v>69</v>
      </c>
      <c r="B51">
        <f>(B50^2)*B48*2</f>
        <v>123.94861215643996</v>
      </c>
    </row>
  </sheetData>
  <pageMargins left="0.7" right="0.7" top="0.75" bottom="0.75" header="0.3" footer="0.3"/>
  <pageSetup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2"/>
  <sheetViews>
    <sheetView topLeftCell="A10" zoomScale="85" zoomScaleNormal="85" workbookViewId="0">
      <selection activeCell="J10" sqref="J10"/>
    </sheetView>
  </sheetViews>
  <sheetFormatPr defaultRowHeight="15" x14ac:dyDescent="0.25"/>
  <cols>
    <col min="2" max="2" width="11.140625" bestFit="1" customWidth="1"/>
    <col min="3" max="3" width="12.5703125" bestFit="1" customWidth="1"/>
    <col min="4" max="4" width="11.140625" bestFit="1" customWidth="1"/>
    <col min="5" max="5" width="12.5703125" bestFit="1" customWidth="1"/>
    <col min="6" max="6" width="11" bestFit="1" customWidth="1"/>
    <col min="7" max="7" width="10.5703125" bestFit="1" customWidth="1"/>
    <col min="9" max="9" width="10.5703125" bestFit="1" customWidth="1"/>
    <col min="10" max="12" width="9.5703125" bestFit="1" customWidth="1"/>
    <col min="16" max="16" width="9.140625" customWidth="1"/>
    <col min="17" max="17" width="12" customWidth="1"/>
    <col min="18" max="18" width="16" customWidth="1"/>
    <col min="19" max="19" width="19.5703125" bestFit="1" customWidth="1"/>
    <col min="20" max="20" width="18.85546875" bestFit="1" customWidth="1"/>
    <col min="21" max="23" width="9.5703125" bestFit="1" customWidth="1"/>
    <col min="25" max="25" width="9.5703125" bestFit="1" customWidth="1"/>
  </cols>
  <sheetData>
    <row r="1" spans="1:19" x14ac:dyDescent="0.25">
      <c r="A1" s="86" t="s">
        <v>0</v>
      </c>
      <c r="B1" s="87"/>
      <c r="C1" s="87"/>
      <c r="D1" s="87"/>
      <c r="E1" s="87"/>
      <c r="F1" s="88"/>
      <c r="G1" s="12"/>
      <c r="I1" s="7"/>
      <c r="J1" s="7"/>
      <c r="K1" s="7"/>
      <c r="L1" s="7"/>
    </row>
    <row r="2" spans="1:19" x14ac:dyDescent="0.25">
      <c r="A2" s="6"/>
      <c r="B2" s="7"/>
      <c r="C2" s="7"/>
      <c r="D2" s="7" t="s">
        <v>14</v>
      </c>
      <c r="E2" s="7"/>
      <c r="F2" s="8"/>
      <c r="G2" s="7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</row>
    <row r="3" spans="1:19" ht="15.75" thickBot="1" x14ac:dyDescent="0.3">
      <c r="A3" s="6" t="s">
        <v>5</v>
      </c>
      <c r="B3" s="7" t="s">
        <v>7</v>
      </c>
      <c r="C3" s="7" t="s">
        <v>1</v>
      </c>
      <c r="D3" s="7">
        <v>13</v>
      </c>
      <c r="E3" s="7" t="s">
        <v>19</v>
      </c>
      <c r="F3" s="8"/>
      <c r="G3" s="7"/>
      <c r="I3" s="7"/>
      <c r="J3" s="7"/>
      <c r="K3" s="7"/>
      <c r="L3" s="7"/>
      <c r="M3" s="7"/>
      <c r="N3" s="7"/>
      <c r="O3" s="7"/>
      <c r="P3" s="7"/>
      <c r="Q3" s="7"/>
      <c r="R3" s="7"/>
      <c r="S3" s="7"/>
    </row>
    <row r="4" spans="1:19" x14ac:dyDescent="0.25">
      <c r="A4" s="6"/>
      <c r="B4" s="7"/>
      <c r="C4" s="7" t="s">
        <v>2</v>
      </c>
      <c r="D4" s="7">
        <v>5</v>
      </c>
      <c r="E4" s="7">
        <f>SUM(D3:D8)</f>
        <v>80.067999999999998</v>
      </c>
      <c r="F4" s="8"/>
      <c r="G4" s="7"/>
      <c r="I4" s="13" t="s">
        <v>146</v>
      </c>
      <c r="J4" s="14"/>
      <c r="K4" s="14"/>
      <c r="L4" s="15"/>
      <c r="M4" s="89"/>
      <c r="N4" s="7"/>
      <c r="O4" s="7"/>
      <c r="P4" s="7"/>
      <c r="Q4" s="7"/>
      <c r="R4" s="7"/>
      <c r="S4" s="7"/>
    </row>
    <row r="5" spans="1:19" x14ac:dyDescent="0.25">
      <c r="A5" s="6"/>
      <c r="B5" s="7"/>
      <c r="C5" s="7" t="s">
        <v>3</v>
      </c>
      <c r="D5" s="7">
        <v>4.62</v>
      </c>
      <c r="E5" s="7"/>
      <c r="F5" s="8"/>
      <c r="G5" s="7"/>
      <c r="I5" s="6"/>
      <c r="J5" s="7">
        <f>J8/L8</f>
        <v>0.50645064506450643</v>
      </c>
      <c r="K5" s="7">
        <f>K8/L8</f>
        <v>0.49354935493549357</v>
      </c>
      <c r="L5" s="8">
        <f>(K6+J7)/L8</f>
        <v>0.49954995499549953</v>
      </c>
      <c r="M5" s="89"/>
      <c r="N5" s="7"/>
      <c r="O5" s="7"/>
      <c r="P5" s="7"/>
      <c r="Q5" s="7"/>
      <c r="R5" s="7"/>
      <c r="S5" s="7"/>
    </row>
    <row r="6" spans="1:19" x14ac:dyDescent="0.25">
      <c r="A6" s="6"/>
      <c r="B6" s="7"/>
      <c r="C6" s="7" t="s">
        <v>4</v>
      </c>
      <c r="D6" s="7">
        <v>11.448</v>
      </c>
      <c r="E6" s="7"/>
      <c r="F6" s="8"/>
      <c r="G6" s="7"/>
      <c r="I6" s="6">
        <f>L6/L8</f>
        <v>0.60996099609960996</v>
      </c>
      <c r="J6" s="7">
        <v>1028</v>
      </c>
      <c r="K6" s="7">
        <v>1005</v>
      </c>
      <c r="L6" s="8">
        <f>SUM(J6:K6)</f>
        <v>2033</v>
      </c>
      <c r="M6" s="89"/>
      <c r="N6" s="7"/>
      <c r="O6" s="7"/>
      <c r="P6" s="7"/>
      <c r="Q6" s="7"/>
      <c r="R6" s="7"/>
      <c r="S6" s="7"/>
    </row>
    <row r="7" spans="1:19" x14ac:dyDescent="0.25">
      <c r="A7" s="6"/>
      <c r="B7" s="7"/>
      <c r="C7" s="7" t="s">
        <v>16</v>
      </c>
      <c r="D7" s="7">
        <v>45</v>
      </c>
      <c r="E7" s="7"/>
      <c r="F7" s="8" t="s">
        <v>18</v>
      </c>
      <c r="G7" s="7"/>
      <c r="I7" s="6">
        <f>L7/L8</f>
        <v>0.39003900390039004</v>
      </c>
      <c r="J7" s="7">
        <v>660</v>
      </c>
      <c r="K7" s="7">
        <v>640</v>
      </c>
      <c r="L7" s="8">
        <f>SUM(J7:K7)</f>
        <v>1300</v>
      </c>
      <c r="M7" s="89"/>
      <c r="N7" s="7"/>
      <c r="O7" s="7"/>
      <c r="P7" s="7"/>
      <c r="Q7" s="7"/>
      <c r="R7" s="7"/>
      <c r="S7" s="7"/>
    </row>
    <row r="8" spans="1:19" ht="15.75" thickBot="1" x14ac:dyDescent="0.3">
      <c r="A8" s="6"/>
      <c r="B8" s="7"/>
      <c r="C8" s="7" t="s">
        <v>22</v>
      </c>
      <c r="D8" s="7">
        <v>1</v>
      </c>
      <c r="E8" s="7"/>
      <c r="F8" s="8">
        <f>E4+E11</f>
        <v>109.45949999999999</v>
      </c>
      <c r="G8" s="7"/>
      <c r="I8" s="9"/>
      <c r="J8" s="10">
        <f>SUM(J6:J7)</f>
        <v>1688</v>
      </c>
      <c r="K8" s="10">
        <f>SUM(K6:K7)</f>
        <v>1645</v>
      </c>
      <c r="L8" s="21">
        <f>SUM(J8:K8)</f>
        <v>3333</v>
      </c>
      <c r="M8" s="7"/>
      <c r="N8" s="7"/>
      <c r="O8" s="7"/>
      <c r="P8" s="7"/>
      <c r="Q8" s="7"/>
      <c r="R8" s="7"/>
      <c r="S8" s="7"/>
    </row>
    <row r="9" spans="1:19" x14ac:dyDescent="0.25">
      <c r="A9" s="6"/>
      <c r="B9" s="7"/>
      <c r="C9" s="7"/>
      <c r="D9" s="7"/>
      <c r="E9" s="7"/>
      <c r="F9" s="8"/>
      <c r="I9" s="7"/>
      <c r="J9" s="7"/>
      <c r="K9" s="7"/>
      <c r="L9" s="7"/>
      <c r="M9" s="12"/>
      <c r="N9" s="12"/>
      <c r="O9" s="12"/>
      <c r="P9" s="12"/>
      <c r="Q9" s="12"/>
      <c r="R9" s="12"/>
      <c r="S9" s="12"/>
    </row>
    <row r="10" spans="1:19" x14ac:dyDescent="0.25">
      <c r="A10" s="6"/>
      <c r="B10" s="7" t="s">
        <v>8</v>
      </c>
      <c r="C10" s="7" t="s">
        <v>10</v>
      </c>
      <c r="D10" s="7">
        <v>3.331</v>
      </c>
      <c r="E10" s="7" t="s">
        <v>20</v>
      </c>
      <c r="F10" s="8"/>
      <c r="M10" s="7"/>
      <c r="N10" s="7"/>
      <c r="O10" s="7"/>
      <c r="P10" s="7"/>
      <c r="Q10" s="7"/>
      <c r="R10" s="7"/>
      <c r="S10" s="7"/>
    </row>
    <row r="11" spans="1:19" x14ac:dyDescent="0.25">
      <c r="A11" s="6"/>
      <c r="B11" s="7"/>
      <c r="C11" s="7" t="s">
        <v>11</v>
      </c>
      <c r="D11" s="7">
        <v>16</v>
      </c>
      <c r="E11" s="7">
        <f>SUM(D10:D15)/2</f>
        <v>29.391500000000001</v>
      </c>
      <c r="F11" s="8"/>
      <c r="G11" s="7"/>
      <c r="L11" s="7"/>
      <c r="M11" s="80"/>
      <c r="N11" s="7"/>
      <c r="O11" s="7"/>
      <c r="P11" s="7"/>
      <c r="Q11" s="7"/>
      <c r="R11" s="7"/>
      <c r="S11" s="7"/>
    </row>
    <row r="12" spans="1:19" x14ac:dyDescent="0.25">
      <c r="A12" s="6"/>
      <c r="B12" s="7"/>
      <c r="C12" s="7" t="s">
        <v>12</v>
      </c>
      <c r="D12" s="7">
        <v>0</v>
      </c>
      <c r="E12" s="7"/>
      <c r="F12" s="8"/>
      <c r="G12" s="7"/>
      <c r="H12" s="7"/>
      <c r="L12" s="7"/>
      <c r="M12" s="80"/>
      <c r="N12" s="7"/>
      <c r="O12" s="7"/>
      <c r="P12" s="7"/>
      <c r="Q12" s="7"/>
      <c r="R12" s="7"/>
      <c r="S12" s="7"/>
    </row>
    <row r="13" spans="1:19" x14ac:dyDescent="0.25">
      <c r="A13" s="6"/>
      <c r="B13" s="7"/>
      <c r="C13" s="7" t="s">
        <v>13</v>
      </c>
      <c r="D13" s="7">
        <v>14</v>
      </c>
      <c r="E13" s="7"/>
      <c r="F13" s="8"/>
      <c r="G13" s="7"/>
      <c r="H13" s="7"/>
      <c r="L13" s="7"/>
      <c r="M13" s="80"/>
      <c r="N13" s="7"/>
      <c r="O13" s="7"/>
      <c r="P13" s="7"/>
      <c r="Q13" s="7"/>
      <c r="R13" s="7"/>
      <c r="S13" s="7"/>
    </row>
    <row r="14" spans="1:19" x14ac:dyDescent="0.25">
      <c r="A14" s="6"/>
      <c r="B14" s="7"/>
      <c r="C14" s="7" t="s">
        <v>15</v>
      </c>
      <c r="D14" s="7">
        <v>12</v>
      </c>
      <c r="E14" s="7"/>
      <c r="F14" s="8"/>
      <c r="G14" s="7"/>
      <c r="L14" s="7"/>
      <c r="M14" s="80"/>
      <c r="N14" s="7"/>
      <c r="P14" s="7"/>
      <c r="Q14" s="7"/>
      <c r="R14" s="7"/>
      <c r="S14" s="7"/>
    </row>
    <row r="15" spans="1:19" ht="15.75" thickBot="1" x14ac:dyDescent="0.3">
      <c r="A15" s="6"/>
      <c r="B15" s="7"/>
      <c r="C15" s="7" t="s">
        <v>6</v>
      </c>
      <c r="D15" s="7">
        <v>13.452</v>
      </c>
      <c r="E15" s="7"/>
      <c r="F15" s="8"/>
      <c r="G15" s="7"/>
      <c r="N15" s="7"/>
      <c r="P15" s="7"/>
      <c r="Q15" s="7"/>
      <c r="R15" s="7"/>
      <c r="S15" s="7"/>
    </row>
    <row r="16" spans="1:19" x14ac:dyDescent="0.25">
      <c r="A16" s="6"/>
      <c r="B16" s="7"/>
      <c r="C16" s="7"/>
      <c r="D16" s="7"/>
      <c r="E16" s="7"/>
      <c r="F16" s="8"/>
      <c r="G16" s="7"/>
      <c r="I16" s="13" t="s">
        <v>27</v>
      </c>
      <c r="J16" s="14"/>
      <c r="K16" s="14"/>
      <c r="L16" s="15"/>
    </row>
    <row r="17" spans="1:24" x14ac:dyDescent="0.25">
      <c r="A17" s="6"/>
      <c r="B17" s="7"/>
      <c r="C17" s="7"/>
      <c r="D17" s="7"/>
      <c r="E17" s="7"/>
      <c r="F17" s="8"/>
      <c r="G17" s="7"/>
      <c r="I17" s="31">
        <f>(J18+K19)/L20</f>
        <v>0.50050930119801218</v>
      </c>
      <c r="J17" s="7">
        <f>J20/L20</f>
        <v>0.50729998383817532</v>
      </c>
      <c r="K17" s="7">
        <f>K20/L20</f>
        <v>0.49270001616182468</v>
      </c>
      <c r="L17" s="8"/>
    </row>
    <row r="18" spans="1:24" x14ac:dyDescent="0.25">
      <c r="A18" s="6" t="s">
        <v>17</v>
      </c>
      <c r="B18" s="7" t="s">
        <v>7</v>
      </c>
      <c r="C18" s="7" t="s">
        <v>1</v>
      </c>
      <c r="D18" s="7">
        <v>8</v>
      </c>
      <c r="E18" s="7" t="s">
        <v>19</v>
      </c>
      <c r="F18" s="8"/>
      <c r="G18" s="7"/>
      <c r="I18" s="6">
        <f>L18/L20</f>
        <v>0.61594241772748448</v>
      </c>
      <c r="J18" s="30">
        <f>J6-F8</f>
        <v>918.54050000000007</v>
      </c>
      <c r="K18" s="33">
        <f>K6-F8</f>
        <v>895.54050000000007</v>
      </c>
      <c r="L18" s="8">
        <f>SUM(J18:K18)</f>
        <v>1814.0810000000001</v>
      </c>
      <c r="N18" s="12"/>
    </row>
    <row r="19" spans="1:24" x14ac:dyDescent="0.25">
      <c r="A19" s="6"/>
      <c r="B19" s="7"/>
      <c r="C19" s="7" t="s">
        <v>21</v>
      </c>
      <c r="D19" s="7">
        <v>5</v>
      </c>
      <c r="E19" s="7">
        <f>SUM(D18:D23)</f>
        <v>67.787000000000006</v>
      </c>
      <c r="F19" s="8"/>
      <c r="G19" s="7"/>
      <c r="I19" s="6">
        <f>L19/L20</f>
        <v>0.38405758227251546</v>
      </c>
      <c r="J19" s="33">
        <f>J7-F23</f>
        <v>575.56549999999993</v>
      </c>
      <c r="K19" s="30">
        <f>K7-F23</f>
        <v>555.56549999999993</v>
      </c>
      <c r="L19" s="8">
        <f>SUM(J19:K19)</f>
        <v>1131.1309999999999</v>
      </c>
    </row>
    <row r="20" spans="1:24" ht="15.75" thickBot="1" x14ac:dyDescent="0.3">
      <c r="A20" s="6"/>
      <c r="B20" s="7"/>
      <c r="C20" s="7" t="s">
        <v>4</v>
      </c>
      <c r="D20" s="7">
        <v>6.867</v>
      </c>
      <c r="E20" s="7"/>
      <c r="F20" s="8"/>
      <c r="G20" s="7"/>
      <c r="I20" s="32">
        <f>(J19+K18)/L20</f>
        <v>0.49949069880198776</v>
      </c>
      <c r="J20" s="10">
        <f>SUM(J18:J19)</f>
        <v>1494.106</v>
      </c>
      <c r="K20" s="10">
        <f>SUM(K18:K19)</f>
        <v>1451.106</v>
      </c>
      <c r="L20" s="21">
        <f>SUM(J20:K20)</f>
        <v>2945.212</v>
      </c>
    </row>
    <row r="21" spans="1:24" x14ac:dyDescent="0.25">
      <c r="A21" s="6"/>
      <c r="B21" s="7"/>
      <c r="C21" s="7" t="s">
        <v>3</v>
      </c>
      <c r="D21" s="7">
        <v>1.92</v>
      </c>
      <c r="E21" s="7"/>
      <c r="F21" s="8"/>
      <c r="G21" s="7"/>
      <c r="N21" s="7"/>
    </row>
    <row r="22" spans="1:24" x14ac:dyDescent="0.25">
      <c r="A22" s="6"/>
      <c r="B22" s="7"/>
      <c r="C22" s="7" t="s">
        <v>22</v>
      </c>
      <c r="D22" s="7">
        <v>1</v>
      </c>
      <c r="E22" s="7"/>
      <c r="F22" s="8" t="s">
        <v>26</v>
      </c>
      <c r="G22" s="7"/>
      <c r="N22" s="12"/>
    </row>
    <row r="23" spans="1:24" x14ac:dyDescent="0.25">
      <c r="A23" s="6"/>
      <c r="B23" s="7"/>
      <c r="C23" s="7" t="s">
        <v>9</v>
      </c>
      <c r="D23" s="7">
        <v>45</v>
      </c>
      <c r="E23" s="7"/>
      <c r="F23" s="8">
        <f>E19+E26</f>
        <v>84.434500000000014</v>
      </c>
      <c r="G23" s="7"/>
      <c r="M23" s="7"/>
      <c r="N23" s="7"/>
    </row>
    <row r="24" spans="1:24" x14ac:dyDescent="0.25">
      <c r="A24" s="6"/>
      <c r="B24" s="7"/>
      <c r="C24" s="7"/>
      <c r="D24" s="7"/>
      <c r="E24" s="7"/>
      <c r="F24" s="8"/>
      <c r="G24" s="7"/>
      <c r="M24" s="7"/>
      <c r="N24" s="7"/>
    </row>
    <row r="25" spans="1:24" x14ac:dyDescent="0.25">
      <c r="A25" s="6"/>
      <c r="B25" s="7" t="s">
        <v>8</v>
      </c>
      <c r="C25" s="7" t="s">
        <v>6</v>
      </c>
      <c r="D25" s="7">
        <v>3.9620000000000002</v>
      </c>
      <c r="E25" s="7" t="s">
        <v>25</v>
      </c>
      <c r="F25" s="8"/>
      <c r="G25" s="7"/>
      <c r="M25" s="7"/>
      <c r="N25" s="7"/>
    </row>
    <row r="26" spans="1:24" x14ac:dyDescent="0.25">
      <c r="A26" s="6"/>
      <c r="B26" s="7"/>
      <c r="C26" s="7" t="s">
        <v>23</v>
      </c>
      <c r="D26" s="7">
        <v>18.303000000000001</v>
      </c>
      <c r="E26" s="7">
        <f>SUM(D25:D28)/2</f>
        <v>16.647500000000001</v>
      </c>
      <c r="F26" s="8"/>
      <c r="G26" s="7"/>
      <c r="M26" s="7"/>
      <c r="N26" s="7"/>
    </row>
    <row r="27" spans="1:24" x14ac:dyDescent="0.25">
      <c r="A27" s="6"/>
      <c r="B27" s="7"/>
      <c r="C27" s="7" t="s">
        <v>12</v>
      </c>
      <c r="D27" s="7">
        <v>0</v>
      </c>
      <c r="E27" s="7"/>
      <c r="F27" s="8"/>
      <c r="G27" s="7"/>
    </row>
    <row r="28" spans="1:24" ht="15.75" thickBot="1" x14ac:dyDescent="0.3">
      <c r="A28" s="9"/>
      <c r="B28" s="10"/>
      <c r="C28" s="10" t="s">
        <v>24</v>
      </c>
      <c r="D28" s="10">
        <v>11.03</v>
      </c>
      <c r="E28" s="10"/>
      <c r="F28" s="11"/>
      <c r="G28" s="7"/>
      <c r="I28" s="12"/>
      <c r="J28" s="12"/>
      <c r="K28" s="12"/>
      <c r="L28" s="75"/>
      <c r="M28" s="12"/>
      <c r="N28" s="12"/>
      <c r="O28" s="75"/>
      <c r="P28" s="7"/>
      <c r="Q28" s="76"/>
    </row>
    <row r="29" spans="1:24" x14ac:dyDescent="0.25">
      <c r="A29" s="7"/>
      <c r="B29" s="7"/>
      <c r="C29" s="7"/>
      <c r="D29" s="7"/>
      <c r="E29" s="7"/>
      <c r="F29" s="7"/>
      <c r="G29" s="7"/>
      <c r="I29" s="12"/>
      <c r="J29" s="12"/>
      <c r="K29" s="12"/>
      <c r="L29" s="75"/>
      <c r="M29" s="12"/>
      <c r="N29" s="7"/>
      <c r="O29" s="12"/>
      <c r="P29" s="7"/>
      <c r="Q29" s="7"/>
    </row>
    <row r="30" spans="1:24" x14ac:dyDescent="0.25">
      <c r="C30" s="17"/>
      <c r="D30" s="17"/>
      <c r="I30" s="19"/>
      <c r="J30" s="19"/>
      <c r="K30" s="7"/>
      <c r="L30" s="76"/>
      <c r="M30" s="19"/>
      <c r="N30" s="7"/>
      <c r="O30" s="76"/>
      <c r="P30" s="7"/>
      <c r="Q30" s="7"/>
      <c r="S30" s="22"/>
      <c r="T30" s="22"/>
      <c r="X30" s="18"/>
    </row>
    <row r="31" spans="1:24" x14ac:dyDescent="0.25">
      <c r="I31" s="24"/>
      <c r="J31" s="24"/>
      <c r="K31" s="7"/>
      <c r="L31" s="76"/>
      <c r="M31" s="24"/>
      <c r="N31" s="7"/>
      <c r="O31" s="76"/>
      <c r="P31" s="7"/>
      <c r="Q31" s="7"/>
    </row>
    <row r="32" spans="1:24" x14ac:dyDescent="0.25">
      <c r="I32" s="7"/>
      <c r="J32" s="7"/>
      <c r="K32" s="17"/>
      <c r="L32" s="76"/>
      <c r="M32" s="7"/>
      <c r="N32" s="7"/>
      <c r="O32" s="76"/>
      <c r="P32" s="7"/>
      <c r="Q32" s="7"/>
    </row>
    <row r="33" spans="2:20" x14ac:dyDescent="0.25">
      <c r="I33" s="19"/>
      <c r="J33" s="19"/>
      <c r="K33" s="17"/>
      <c r="L33" s="76"/>
      <c r="M33" s="19"/>
      <c r="N33" s="7"/>
      <c r="O33" s="76"/>
      <c r="P33" s="7"/>
      <c r="Q33" s="7"/>
    </row>
    <row r="34" spans="2:20" x14ac:dyDescent="0.25">
      <c r="F34" s="7"/>
      <c r="G34" s="7"/>
      <c r="I34" s="24"/>
      <c r="J34" s="24"/>
      <c r="K34" s="17"/>
      <c r="L34" s="76"/>
      <c r="M34" s="24"/>
      <c r="N34" s="7"/>
      <c r="O34" s="76"/>
      <c r="P34" s="7"/>
      <c r="Q34" s="7"/>
    </row>
    <row r="35" spans="2:20" x14ac:dyDescent="0.25">
      <c r="F35" s="7"/>
      <c r="G35" s="7"/>
      <c r="I35" s="19"/>
      <c r="J35" s="19"/>
      <c r="K35" s="17"/>
      <c r="L35" s="76"/>
      <c r="M35" s="19"/>
      <c r="N35" s="7"/>
      <c r="O35" s="76"/>
      <c r="P35" s="7"/>
      <c r="Q35" s="7"/>
    </row>
    <row r="36" spans="2:20" x14ac:dyDescent="0.25">
      <c r="F36" s="7"/>
      <c r="G36" s="7"/>
      <c r="I36" s="7"/>
      <c r="J36" s="7"/>
      <c r="K36" s="17"/>
      <c r="L36" s="76"/>
      <c r="M36" s="7"/>
      <c r="N36" s="7"/>
      <c r="O36" s="76"/>
      <c r="P36" s="7"/>
      <c r="Q36" s="7"/>
    </row>
    <row r="37" spans="2:20" x14ac:dyDescent="0.25">
      <c r="F37" s="7"/>
      <c r="G37" s="7"/>
      <c r="I37" s="91"/>
      <c r="J37" s="91"/>
      <c r="K37" s="17"/>
      <c r="L37" s="75"/>
      <c r="M37" s="12"/>
      <c r="N37" s="7"/>
      <c r="O37" s="76"/>
      <c r="P37" s="7"/>
      <c r="Q37" s="7"/>
    </row>
    <row r="38" spans="2:20" x14ac:dyDescent="0.25">
      <c r="F38" s="7"/>
      <c r="G38" s="7"/>
      <c r="I38" s="20"/>
      <c r="J38" s="20"/>
      <c r="K38" s="29"/>
      <c r="L38" s="76"/>
      <c r="M38" s="28"/>
      <c r="N38" s="7"/>
      <c r="O38" s="75"/>
      <c r="P38" s="7"/>
      <c r="Q38" s="7"/>
    </row>
    <row r="39" spans="2:20" x14ac:dyDescent="0.25">
      <c r="F39" s="7"/>
      <c r="G39" s="7"/>
      <c r="I39" s="24"/>
      <c r="J39" s="24"/>
      <c r="K39" s="17"/>
      <c r="L39" s="76"/>
      <c r="M39" s="24"/>
      <c r="N39" s="12"/>
      <c r="O39" s="75"/>
      <c r="P39" s="7"/>
      <c r="Q39" s="7"/>
    </row>
    <row r="40" spans="2:20" x14ac:dyDescent="0.25">
      <c r="F40" s="7"/>
      <c r="G40" s="7"/>
      <c r="I40" s="23"/>
      <c r="J40" s="23"/>
      <c r="K40" s="17"/>
      <c r="L40" s="76"/>
      <c r="M40" s="23"/>
      <c r="N40" s="28"/>
      <c r="O40" s="76"/>
      <c r="P40" s="7"/>
      <c r="Q40" s="7"/>
    </row>
    <row r="41" spans="2:20" x14ac:dyDescent="0.25">
      <c r="F41" s="7"/>
      <c r="G41" s="7"/>
      <c r="I41" s="20"/>
      <c r="J41" s="20"/>
      <c r="K41" s="17"/>
      <c r="L41" s="76"/>
      <c r="M41" s="28"/>
      <c r="N41" s="78"/>
      <c r="O41" s="75"/>
      <c r="P41" s="7"/>
      <c r="Q41" s="7"/>
    </row>
    <row r="42" spans="2:20" x14ac:dyDescent="0.25">
      <c r="B42" s="17"/>
      <c r="C42" s="7"/>
      <c r="F42" s="7"/>
      <c r="G42" s="7"/>
      <c r="I42" s="24"/>
      <c r="J42" s="24"/>
      <c r="K42" s="23"/>
      <c r="L42" s="76"/>
      <c r="M42" s="24"/>
      <c r="N42" s="28"/>
      <c r="O42" s="76"/>
      <c r="P42" s="7"/>
      <c r="Q42" s="7"/>
    </row>
    <row r="43" spans="2:20" x14ac:dyDescent="0.25">
      <c r="B43" s="17"/>
      <c r="F43" s="7"/>
      <c r="G43" s="7"/>
      <c r="I43" s="24"/>
      <c r="J43" s="24"/>
      <c r="K43" s="17"/>
      <c r="L43" s="76"/>
      <c r="M43" s="23"/>
      <c r="N43" s="7"/>
      <c r="O43" s="76"/>
      <c r="P43" s="7"/>
      <c r="Q43" s="7"/>
    </row>
    <row r="44" spans="2:20" x14ac:dyDescent="0.25">
      <c r="F44" s="7"/>
      <c r="G44" s="7"/>
      <c r="I44" s="7"/>
      <c r="J44" s="7"/>
      <c r="K44" s="17"/>
      <c r="L44" s="76"/>
      <c r="M44" s="7"/>
      <c r="N44" s="7"/>
      <c r="O44" s="76"/>
      <c r="P44" s="7"/>
      <c r="Q44" s="7"/>
    </row>
    <row r="45" spans="2:20" x14ac:dyDescent="0.25">
      <c r="F45" s="7"/>
      <c r="G45" s="7"/>
      <c r="I45" s="90"/>
      <c r="J45" s="90"/>
      <c r="K45" s="17"/>
      <c r="L45" s="75"/>
      <c r="M45" s="12"/>
      <c r="N45" s="7"/>
      <c r="O45" s="76"/>
      <c r="P45" s="91"/>
      <c r="Q45" s="91"/>
      <c r="S45" s="27"/>
      <c r="T45" s="27"/>
    </row>
    <row r="46" spans="2:20" x14ac:dyDescent="0.25">
      <c r="F46" s="7"/>
      <c r="G46" s="7"/>
      <c r="I46" s="19"/>
      <c r="J46" s="19"/>
      <c r="K46" s="17"/>
      <c r="L46" s="76"/>
      <c r="M46" s="28"/>
      <c r="N46" s="29"/>
      <c r="O46" s="76"/>
      <c r="P46" s="20"/>
      <c r="Q46" s="20"/>
    </row>
    <row r="47" spans="2:20" x14ac:dyDescent="0.25">
      <c r="E47" s="7"/>
      <c r="F47" s="7"/>
      <c r="G47" s="7"/>
      <c r="H47" s="7"/>
      <c r="I47" s="24"/>
      <c r="J47" s="24"/>
      <c r="K47" s="17"/>
      <c r="L47" s="76"/>
      <c r="M47" s="24"/>
      <c r="N47" s="7"/>
      <c r="O47" s="76"/>
      <c r="P47" s="24"/>
      <c r="Q47" s="24"/>
    </row>
    <row r="48" spans="2:20" x14ac:dyDescent="0.25">
      <c r="E48" s="7"/>
      <c r="F48" s="7"/>
      <c r="G48" s="7"/>
      <c r="H48" s="7"/>
      <c r="I48" s="7"/>
      <c r="J48" s="7"/>
      <c r="K48" s="17"/>
      <c r="L48" s="76"/>
      <c r="M48" s="23"/>
      <c r="N48" s="7"/>
      <c r="O48" s="76"/>
      <c r="P48" s="23"/>
      <c r="Q48" s="23"/>
    </row>
    <row r="49" spans="2:17" x14ac:dyDescent="0.25">
      <c r="E49" s="7"/>
      <c r="F49" s="7"/>
      <c r="G49" s="7"/>
      <c r="H49" s="7"/>
      <c r="I49" s="19"/>
      <c r="J49" s="19"/>
      <c r="K49" s="24"/>
      <c r="L49" s="76"/>
      <c r="M49" s="28"/>
      <c r="N49" s="7"/>
      <c r="O49" s="76"/>
      <c r="P49" s="20"/>
      <c r="Q49" s="20"/>
    </row>
    <row r="50" spans="2:17" x14ac:dyDescent="0.25">
      <c r="E50" s="7"/>
      <c r="F50" s="7"/>
      <c r="G50" s="7"/>
      <c r="H50" s="7"/>
      <c r="I50" s="24"/>
      <c r="J50" s="24"/>
      <c r="K50" s="17"/>
      <c r="L50" s="76"/>
      <c r="M50" s="24"/>
      <c r="N50" s="23"/>
      <c r="O50" s="76"/>
      <c r="P50" s="24"/>
      <c r="Q50" s="24"/>
    </row>
    <row r="51" spans="2:17" x14ac:dyDescent="0.25">
      <c r="F51" s="7"/>
      <c r="G51" s="7"/>
      <c r="H51" s="7"/>
      <c r="I51" s="19"/>
      <c r="J51" s="19"/>
      <c r="K51" s="17"/>
      <c r="L51" s="76"/>
      <c r="M51" s="23"/>
      <c r="N51" s="7"/>
      <c r="O51" s="76"/>
      <c r="P51" s="24"/>
      <c r="Q51" s="24"/>
    </row>
    <row r="52" spans="2:17" x14ac:dyDescent="0.25">
      <c r="F52" s="7"/>
      <c r="G52" s="7"/>
      <c r="H52" s="7"/>
      <c r="I52" s="7"/>
      <c r="J52" s="7"/>
      <c r="K52" s="17"/>
      <c r="L52" s="76"/>
      <c r="M52" s="7"/>
      <c r="N52" s="7"/>
      <c r="O52" s="76"/>
    </row>
    <row r="53" spans="2:17" x14ac:dyDescent="0.25">
      <c r="F53" s="7"/>
      <c r="G53" s="7"/>
      <c r="H53" s="7"/>
      <c r="K53" s="17"/>
      <c r="L53" s="76"/>
      <c r="M53" s="7"/>
      <c r="N53" s="7"/>
      <c r="O53" s="76"/>
    </row>
    <row r="54" spans="2:17" x14ac:dyDescent="0.25">
      <c r="F54" s="7"/>
      <c r="G54" s="7"/>
      <c r="H54" s="7"/>
      <c r="K54" s="17"/>
      <c r="L54" s="76"/>
      <c r="M54" s="7"/>
      <c r="N54" s="7"/>
      <c r="O54" s="76"/>
    </row>
    <row r="55" spans="2:17" x14ac:dyDescent="0.25">
      <c r="F55" s="7"/>
      <c r="G55" s="7"/>
      <c r="H55" s="7"/>
      <c r="K55" s="24"/>
      <c r="L55" s="77"/>
      <c r="M55" s="7"/>
      <c r="N55" s="17"/>
      <c r="O55" s="77"/>
    </row>
    <row r="56" spans="2:17" x14ac:dyDescent="0.25">
      <c r="F56" s="7"/>
      <c r="G56" s="7"/>
      <c r="H56" s="7"/>
      <c r="K56" s="24"/>
      <c r="L56" s="76"/>
      <c r="M56" s="7"/>
      <c r="N56" s="7"/>
      <c r="O56" s="76"/>
    </row>
    <row r="57" spans="2:17" x14ac:dyDescent="0.25">
      <c r="F57" s="7"/>
      <c r="G57" s="7"/>
      <c r="H57" s="7"/>
      <c r="K57" s="24"/>
      <c r="L57" s="76"/>
      <c r="M57" s="7"/>
      <c r="N57" s="7"/>
      <c r="O57" s="76"/>
    </row>
    <row r="58" spans="2:17" x14ac:dyDescent="0.25">
      <c r="E58" s="7"/>
      <c r="F58" s="7"/>
      <c r="G58" s="7"/>
      <c r="H58" s="7"/>
      <c r="K58" s="24"/>
      <c r="L58" s="76"/>
      <c r="M58" s="7"/>
      <c r="N58" s="7"/>
      <c r="O58" s="76"/>
    </row>
    <row r="59" spans="2:17" x14ac:dyDescent="0.25">
      <c r="E59" s="7"/>
      <c r="F59" s="7"/>
      <c r="G59" s="7"/>
      <c r="H59" s="7"/>
      <c r="K59" s="7"/>
      <c r="L59" s="76"/>
      <c r="M59" s="7"/>
      <c r="N59" s="7"/>
      <c r="O59" s="76"/>
    </row>
    <row r="60" spans="2:17" x14ac:dyDescent="0.25">
      <c r="B60" s="7"/>
      <c r="C60" s="7"/>
      <c r="D60" s="7"/>
      <c r="E60" s="7"/>
      <c r="F60" s="7"/>
      <c r="G60" s="7"/>
      <c r="H60" s="7"/>
      <c r="K60" s="7"/>
      <c r="L60" s="76"/>
      <c r="M60" s="7"/>
      <c r="N60" s="7"/>
      <c r="O60" s="76"/>
    </row>
    <row r="61" spans="2:17" x14ac:dyDescent="0.25">
      <c r="C61" s="7"/>
      <c r="D61" s="7"/>
      <c r="E61" s="7"/>
      <c r="F61" s="7"/>
      <c r="G61" s="7"/>
      <c r="H61" s="7"/>
      <c r="K61" s="7"/>
      <c r="L61" s="76"/>
      <c r="M61" s="7"/>
      <c r="N61" s="7"/>
      <c r="O61" s="76"/>
    </row>
    <row r="62" spans="2:17" x14ac:dyDescent="0.25">
      <c r="E62" s="7"/>
      <c r="F62" s="20"/>
      <c r="G62" s="20"/>
      <c r="H62" s="7"/>
      <c r="I62" s="7"/>
      <c r="J62" s="7"/>
      <c r="K62" s="7"/>
      <c r="L62" s="76"/>
      <c r="M62" s="29"/>
      <c r="N62" s="29"/>
      <c r="O62" s="75"/>
    </row>
    <row r="63" spans="2:17" x14ac:dyDescent="0.25">
      <c r="E63" s="7"/>
      <c r="F63" s="7"/>
      <c r="G63" s="7"/>
      <c r="H63" s="7"/>
      <c r="I63" s="24"/>
      <c r="J63" s="24"/>
      <c r="K63" s="7"/>
      <c r="L63" s="76"/>
      <c r="M63" s="26"/>
      <c r="N63" s="7"/>
      <c r="O63" s="76"/>
    </row>
    <row r="64" spans="2:17" x14ac:dyDescent="0.25">
      <c r="B64" s="17"/>
      <c r="C64" s="7"/>
      <c r="D64" s="7"/>
      <c r="E64" s="7"/>
      <c r="F64" s="7"/>
      <c r="G64" s="7"/>
      <c r="H64" s="7"/>
      <c r="I64" s="7"/>
      <c r="J64" s="7"/>
      <c r="K64" s="7"/>
      <c r="L64" s="76"/>
      <c r="M64" s="7"/>
      <c r="N64" s="24"/>
      <c r="O64" s="76"/>
    </row>
    <row r="65" spans="2:15" x14ac:dyDescent="0.25">
      <c r="B65" s="7"/>
      <c r="C65" s="19"/>
      <c r="D65" s="19"/>
      <c r="E65" s="7"/>
      <c r="F65" s="20"/>
      <c r="G65" s="20"/>
      <c r="H65" s="7"/>
      <c r="I65" s="24"/>
      <c r="J65" s="24"/>
      <c r="K65" s="7"/>
      <c r="L65" s="76"/>
      <c r="M65" s="7"/>
      <c r="N65" s="23"/>
      <c r="O65" s="76"/>
    </row>
    <row r="66" spans="2:15" x14ac:dyDescent="0.25">
      <c r="B66" s="7"/>
      <c r="C66" s="7"/>
      <c r="D66" s="7"/>
      <c r="E66" s="7"/>
      <c r="F66" s="7"/>
      <c r="G66" s="7"/>
      <c r="H66" s="7"/>
      <c r="I66" s="19"/>
      <c r="J66" s="19"/>
      <c r="K66" s="7"/>
      <c r="L66" s="76"/>
      <c r="M66" s="7"/>
      <c r="N66" s="23"/>
      <c r="O66" s="7"/>
    </row>
    <row r="67" spans="2:15" x14ac:dyDescent="0.25">
      <c r="B67" s="7"/>
      <c r="C67" s="7"/>
      <c r="D67" s="7"/>
      <c r="E67" s="7"/>
      <c r="F67" s="7"/>
      <c r="G67" s="7"/>
      <c r="H67" s="7"/>
      <c r="I67" s="7"/>
      <c r="J67" s="7"/>
      <c r="K67" s="7"/>
      <c r="L67" s="76"/>
      <c r="M67" s="24"/>
      <c r="N67" s="24"/>
      <c r="O67" s="7"/>
    </row>
    <row r="68" spans="2:15" x14ac:dyDescent="0.25">
      <c r="B68" s="7"/>
      <c r="C68" s="7"/>
      <c r="D68" s="7"/>
      <c r="E68" s="7"/>
      <c r="F68" s="7"/>
      <c r="G68" s="7"/>
      <c r="H68" s="7"/>
      <c r="I68" s="7"/>
      <c r="J68" s="7"/>
      <c r="K68" s="7"/>
      <c r="L68" s="76"/>
      <c r="M68" s="24"/>
      <c r="N68" s="24"/>
      <c r="O68" s="7"/>
    </row>
    <row r="69" spans="2:15" x14ac:dyDescent="0.25">
      <c r="B69" s="7"/>
      <c r="C69" s="7"/>
      <c r="D69" s="7"/>
      <c r="E69" s="7"/>
      <c r="F69" s="7"/>
      <c r="G69" s="7"/>
      <c r="H69" s="7"/>
      <c r="I69" s="7"/>
      <c r="J69" s="24"/>
      <c r="K69" s="24"/>
      <c r="L69" s="7"/>
      <c r="M69" s="7"/>
      <c r="N69" s="7"/>
      <c r="O69" s="7"/>
    </row>
    <row r="70" spans="2:15" x14ac:dyDescent="0.25">
      <c r="B70" s="7"/>
      <c r="C70" s="7"/>
      <c r="D70" s="7"/>
      <c r="E70" s="7"/>
      <c r="F70" s="7"/>
      <c r="G70" s="7"/>
      <c r="H70" s="7"/>
      <c r="I70" s="7"/>
      <c r="J70" s="24"/>
      <c r="K70" s="24"/>
      <c r="L70" s="7"/>
      <c r="M70" s="7"/>
      <c r="N70" s="7"/>
      <c r="O70" s="7"/>
    </row>
    <row r="71" spans="2:15" x14ac:dyDescent="0.25">
      <c r="B71" s="7"/>
      <c r="C71" s="7"/>
      <c r="D71" s="7"/>
      <c r="E71" s="7"/>
      <c r="F71" s="7"/>
      <c r="G71" s="7"/>
      <c r="H71" s="7"/>
      <c r="I71" s="7"/>
      <c r="J71" s="24"/>
      <c r="K71" s="24"/>
      <c r="L71" s="7"/>
      <c r="M71" s="7"/>
      <c r="N71" s="7"/>
      <c r="O71" s="7"/>
    </row>
    <row r="72" spans="2:15" x14ac:dyDescent="0.25">
      <c r="B72" s="7"/>
      <c r="C72" s="7"/>
      <c r="D72" s="7"/>
      <c r="E72" s="7"/>
      <c r="F72" s="7"/>
      <c r="G72" s="7"/>
      <c r="H72" s="7"/>
      <c r="I72" s="7"/>
      <c r="J72" s="24"/>
      <c r="K72" s="24"/>
      <c r="L72" s="7"/>
      <c r="M72" s="7"/>
      <c r="N72" s="7"/>
      <c r="O72" s="7"/>
    </row>
  </sheetData>
  <mergeCells count="6">
    <mergeCell ref="A1:F1"/>
    <mergeCell ref="M4:M5"/>
    <mergeCell ref="M6:M7"/>
    <mergeCell ref="I45:J45"/>
    <mergeCell ref="P45:Q45"/>
    <mergeCell ref="I37:J37"/>
  </mergeCells>
  <pageMargins left="0.7" right="0.7" top="0.75" bottom="0.75" header="0.3" footer="0.3"/>
  <pageSetup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41"/>
  <sheetViews>
    <sheetView zoomScale="90" zoomScaleNormal="90" workbookViewId="0">
      <selection activeCell="H16" sqref="H16"/>
    </sheetView>
  </sheetViews>
  <sheetFormatPr defaultRowHeight="15" x14ac:dyDescent="0.25"/>
  <cols>
    <col min="1" max="1" width="9.5703125" style="53" customWidth="1"/>
    <col min="2" max="2" width="29.85546875" style="53" bestFit="1" customWidth="1"/>
    <col min="3" max="3" width="12.140625" style="53" bestFit="1" customWidth="1"/>
    <col min="4" max="4" width="11.85546875" style="53" bestFit="1" customWidth="1"/>
    <col min="5" max="5" width="9.85546875" style="53" bestFit="1" customWidth="1"/>
    <col min="6" max="6" width="11.140625" style="53" customWidth="1"/>
    <col min="7" max="7" width="8.7109375" style="53" bestFit="1" customWidth="1"/>
    <col min="8" max="9" width="12.140625" style="53" bestFit="1" customWidth="1"/>
    <col min="10" max="16384" width="9.140625" style="53"/>
  </cols>
  <sheetData>
    <row r="3" spans="2:9" x14ac:dyDescent="0.25">
      <c r="B3" s="53" t="s">
        <v>80</v>
      </c>
      <c r="C3" s="54">
        <v>28</v>
      </c>
      <c r="D3" s="53" t="s">
        <v>56</v>
      </c>
      <c r="E3" s="53" t="s">
        <v>107</v>
      </c>
      <c r="F3" s="56"/>
      <c r="G3" s="95" t="s">
        <v>76</v>
      </c>
      <c r="H3" s="96"/>
      <c r="I3" s="97"/>
    </row>
    <row r="4" spans="2:9" x14ac:dyDescent="0.25">
      <c r="B4" s="53" t="s">
        <v>81</v>
      </c>
      <c r="C4" s="54">
        <v>7.75</v>
      </c>
      <c r="D4" s="53" t="s">
        <v>56</v>
      </c>
      <c r="F4" s="56"/>
      <c r="G4" s="25"/>
      <c r="H4" s="24" t="s">
        <v>90</v>
      </c>
      <c r="I4" s="55" t="s">
        <v>91</v>
      </c>
    </row>
    <row r="5" spans="2:9" x14ac:dyDescent="0.25">
      <c r="B5" s="53" t="s">
        <v>82</v>
      </c>
      <c r="C5" s="54">
        <v>7.75</v>
      </c>
      <c r="D5" s="53" t="s">
        <v>56</v>
      </c>
      <c r="E5" s="53" t="s">
        <v>107</v>
      </c>
      <c r="F5" s="56"/>
      <c r="G5" s="25" t="s">
        <v>77</v>
      </c>
      <c r="H5" s="24">
        <f>'GTI weights'!L20</f>
        <v>2945.212</v>
      </c>
      <c r="I5" s="55"/>
    </row>
    <row r="6" spans="2:9" x14ac:dyDescent="0.25">
      <c r="B6" s="53" t="s">
        <v>83</v>
      </c>
      <c r="C6" s="56">
        <f>C4*I6+C5*I7</f>
        <v>7.75</v>
      </c>
      <c r="D6" s="53" t="s">
        <v>56</v>
      </c>
      <c r="E6" s="53" t="s">
        <v>107</v>
      </c>
      <c r="G6" s="25" t="s">
        <v>5</v>
      </c>
      <c r="H6" s="24">
        <f>'GTI weights'!L18</f>
        <v>1814.0810000000001</v>
      </c>
      <c r="I6" s="55">
        <f>'GTI weights'!I18</f>
        <v>0.61594241772748448</v>
      </c>
    </row>
    <row r="7" spans="2:9" x14ac:dyDescent="0.25">
      <c r="G7" s="57" t="s">
        <v>17</v>
      </c>
      <c r="H7" s="58">
        <f>'GTI weights'!L19</f>
        <v>1131.1309999999999</v>
      </c>
      <c r="I7" s="59">
        <f>'GTI weights'!I19</f>
        <v>0.38405758227251546</v>
      </c>
    </row>
    <row r="8" spans="2:9" x14ac:dyDescent="0.25">
      <c r="B8" s="53" t="s">
        <v>113</v>
      </c>
      <c r="C8" s="54">
        <v>14</v>
      </c>
      <c r="D8" s="53" t="s">
        <v>56</v>
      </c>
      <c r="E8" s="53" t="s">
        <v>107</v>
      </c>
    </row>
    <row r="9" spans="2:9" x14ac:dyDescent="0.25">
      <c r="B9" s="53" t="s">
        <v>114</v>
      </c>
      <c r="C9" s="54">
        <v>14</v>
      </c>
      <c r="D9" s="53" t="s">
        <v>56</v>
      </c>
      <c r="E9" s="53" t="s">
        <v>107</v>
      </c>
      <c r="G9" s="95" t="s">
        <v>115</v>
      </c>
      <c r="H9" s="96"/>
      <c r="I9" s="97"/>
    </row>
    <row r="10" spans="2:9" x14ac:dyDescent="0.25">
      <c r="G10" s="25" t="s">
        <v>5</v>
      </c>
      <c r="H10" s="24">
        <f>'GTI weights'!F8</f>
        <v>109.45949999999999</v>
      </c>
      <c r="I10" s="55" t="s">
        <v>92</v>
      </c>
    </row>
    <row r="11" spans="2:9" x14ac:dyDescent="0.25">
      <c r="B11" s="53" t="s">
        <v>106</v>
      </c>
      <c r="C11" s="54">
        <v>71.5</v>
      </c>
      <c r="D11" s="53" t="s">
        <v>56</v>
      </c>
      <c r="G11" s="57" t="s">
        <v>17</v>
      </c>
      <c r="H11" s="58">
        <f>'GTI weights'!F23</f>
        <v>84.434500000000014</v>
      </c>
      <c r="I11" s="59" t="s">
        <v>92</v>
      </c>
    </row>
    <row r="12" spans="2:9" x14ac:dyDescent="0.25">
      <c r="B12" s="53" t="s">
        <v>105</v>
      </c>
      <c r="C12" s="54">
        <v>70.5</v>
      </c>
      <c r="D12" s="53" t="s">
        <v>56</v>
      </c>
      <c r="H12" s="24"/>
      <c r="I12" s="24"/>
    </row>
    <row r="13" spans="2:9" x14ac:dyDescent="0.25">
      <c r="G13" s="95" t="s">
        <v>93</v>
      </c>
      <c r="H13" s="96"/>
      <c r="I13" s="97"/>
    </row>
    <row r="14" spans="2:9" x14ac:dyDescent="0.25">
      <c r="G14" s="98"/>
      <c r="H14" s="24" t="s">
        <v>95</v>
      </c>
      <c r="I14" s="55" t="s">
        <v>95</v>
      </c>
    </row>
    <row r="15" spans="2:9" x14ac:dyDescent="0.25">
      <c r="G15" s="99"/>
      <c r="H15" s="24" t="s">
        <v>78</v>
      </c>
      <c r="I15" s="55" t="s">
        <v>79</v>
      </c>
    </row>
    <row r="16" spans="2:9" x14ac:dyDescent="0.25">
      <c r="B16" s="53" t="s">
        <v>94</v>
      </c>
      <c r="G16" s="25" t="s">
        <v>5</v>
      </c>
      <c r="H16" s="24">
        <f>'Wheel rate'!C16</f>
        <v>432.45000000000005</v>
      </c>
      <c r="I16" s="55">
        <f>'Wheel rate'!C19</f>
        <v>294.06600000000003</v>
      </c>
    </row>
    <row r="17" spans="2:11" x14ac:dyDescent="0.25">
      <c r="B17" s="53" t="s">
        <v>5</v>
      </c>
      <c r="C17" s="53">
        <f>((2*I16)+H16)</f>
        <v>1020.5820000000001</v>
      </c>
      <c r="D17" s="53" t="s">
        <v>66</v>
      </c>
      <c r="G17" s="57" t="s">
        <v>17</v>
      </c>
      <c r="H17" s="58">
        <f>'Wheel rate'!C24</f>
        <v>165.79056000000003</v>
      </c>
      <c r="I17" s="59">
        <f>'Wheel rate'!C27</f>
        <v>284.76139999999998</v>
      </c>
    </row>
    <row r="18" spans="2:11" x14ac:dyDescent="0.25">
      <c r="B18" s="53" t="s">
        <v>17</v>
      </c>
      <c r="C18" s="53">
        <f>(H17+(2*I17))</f>
        <v>735.31335999999999</v>
      </c>
      <c r="D18" s="53" t="s">
        <v>66</v>
      </c>
    </row>
    <row r="19" spans="2:11" x14ac:dyDescent="0.25">
      <c r="B19" s="53" t="s">
        <v>77</v>
      </c>
      <c r="C19" s="53">
        <f>C18+C17</f>
        <v>1755.89536</v>
      </c>
      <c r="D19" s="53" t="s">
        <v>66</v>
      </c>
      <c r="G19" s="95" t="s">
        <v>84</v>
      </c>
      <c r="H19" s="96"/>
      <c r="I19" s="97"/>
    </row>
    <row r="20" spans="2:11" x14ac:dyDescent="0.25">
      <c r="G20" s="25" t="s">
        <v>85</v>
      </c>
      <c r="H20" s="60">
        <v>1.2</v>
      </c>
      <c r="I20" s="55" t="s">
        <v>89</v>
      </c>
    </row>
    <row r="21" spans="2:11" x14ac:dyDescent="0.25">
      <c r="B21" s="53" t="s">
        <v>102</v>
      </c>
      <c r="G21" s="25" t="s">
        <v>86</v>
      </c>
      <c r="H21" s="24">
        <f>H5*H20</f>
        <v>3534.2543999999998</v>
      </c>
      <c r="I21" s="55" t="s">
        <v>92</v>
      </c>
    </row>
    <row r="22" spans="2:11" x14ac:dyDescent="0.25">
      <c r="B22" s="53" t="s">
        <v>77</v>
      </c>
      <c r="C22" s="53">
        <f>H21*(C3-C4)</f>
        <v>71568.651599999997</v>
      </c>
      <c r="D22" s="53" t="s">
        <v>103</v>
      </c>
      <c r="G22" s="25" t="s">
        <v>87</v>
      </c>
      <c r="H22" s="24">
        <f>H20*H6</f>
        <v>2176.8971999999999</v>
      </c>
      <c r="I22" s="55" t="s">
        <v>92</v>
      </c>
    </row>
    <row r="23" spans="2:11" x14ac:dyDescent="0.25">
      <c r="B23" s="53" t="s">
        <v>5</v>
      </c>
      <c r="C23" s="53">
        <f>(C17/(C17+C18))*C22</f>
        <v>41597.967197334132</v>
      </c>
      <c r="D23" s="53" t="s">
        <v>103</v>
      </c>
      <c r="G23" s="57" t="s">
        <v>88</v>
      </c>
      <c r="H23" s="58">
        <f>H20*H7</f>
        <v>1357.3571999999997</v>
      </c>
      <c r="I23" s="59" t="s">
        <v>92</v>
      </c>
    </row>
    <row r="24" spans="2:11" x14ac:dyDescent="0.25">
      <c r="B24" s="53" t="s">
        <v>17</v>
      </c>
      <c r="C24" s="53">
        <f>(C18/(C18+C17))*C22</f>
        <v>29970.684402665869</v>
      </c>
      <c r="D24" s="53" t="s">
        <v>103</v>
      </c>
    </row>
    <row r="26" spans="2:11" x14ac:dyDescent="0.25">
      <c r="B26" s="53" t="s">
        <v>110</v>
      </c>
      <c r="C26" s="92" t="s">
        <v>116</v>
      </c>
      <c r="D26" s="92"/>
      <c r="E26" s="92"/>
    </row>
    <row r="27" spans="2:11" ht="15.75" thickBot="1" x14ac:dyDescent="0.3">
      <c r="C27" s="53" t="s">
        <v>5</v>
      </c>
      <c r="D27" s="53" t="s">
        <v>108</v>
      </c>
      <c r="E27" s="53" t="s">
        <v>77</v>
      </c>
    </row>
    <row r="28" spans="2:11" x14ac:dyDescent="0.25">
      <c r="B28" s="53" t="s">
        <v>111</v>
      </c>
      <c r="E28" s="53">
        <f>SUM(C28:D28)</f>
        <v>0</v>
      </c>
      <c r="H28" s="93" t="s">
        <v>120</v>
      </c>
      <c r="I28" s="85"/>
      <c r="J28" s="85"/>
      <c r="K28" s="94"/>
    </row>
    <row r="29" spans="2:11" x14ac:dyDescent="0.25">
      <c r="B29" s="53" t="s">
        <v>104</v>
      </c>
      <c r="C29" s="53">
        <f>C23/C11</f>
        <v>581.78975101166623</v>
      </c>
      <c r="D29" s="53">
        <f>C24/C12</f>
        <v>425.11609081795558</v>
      </c>
      <c r="E29" s="53">
        <f t="shared" ref="E29:E33" si="0">SUM(C29:D29)</f>
        <v>1006.9058418296217</v>
      </c>
      <c r="F29" s="53" t="s">
        <v>92</v>
      </c>
      <c r="H29" s="6"/>
      <c r="I29" s="7">
        <f>I32/K32</f>
        <v>0.50645064506450643</v>
      </c>
      <c r="J29" s="7">
        <f>J32/K32</f>
        <v>0.49354935493549357</v>
      </c>
      <c r="K29" s="8"/>
    </row>
    <row r="30" spans="2:11" x14ac:dyDescent="0.25">
      <c r="B30" s="53" t="s">
        <v>109</v>
      </c>
      <c r="C30" s="53">
        <f>H22*C4/C11</f>
        <v>235.95738881118876</v>
      </c>
      <c r="D30" s="53">
        <f>H23*C5/C12</f>
        <v>149.21302553191487</v>
      </c>
      <c r="E30" s="53">
        <f t="shared" si="0"/>
        <v>385.17041434310363</v>
      </c>
      <c r="F30" s="53" t="s">
        <v>92</v>
      </c>
      <c r="H30" s="6">
        <f>K30/K32</f>
        <v>0.60996099609960996</v>
      </c>
      <c r="I30" s="7">
        <f>'GTI weights'!J6</f>
        <v>1028</v>
      </c>
      <c r="J30" s="7">
        <f>'GTI weights'!K6</f>
        <v>1005</v>
      </c>
      <c r="K30" s="8">
        <f>SUM(I30:J30)</f>
        <v>2033</v>
      </c>
    </row>
    <row r="31" spans="2:11" x14ac:dyDescent="0.25">
      <c r="B31" s="53" t="s">
        <v>0</v>
      </c>
      <c r="C31" s="53">
        <f>((2*H10)*C8*H20)/C11</f>
        <v>51.438310489510485</v>
      </c>
      <c r="D31" s="53">
        <f>((2*H11)*C9*H20)/C12</f>
        <v>40.241123404255319</v>
      </c>
      <c r="E31" s="53">
        <f t="shared" si="0"/>
        <v>91.679433893765804</v>
      </c>
      <c r="F31" s="53" t="s">
        <v>92</v>
      </c>
      <c r="H31" s="6">
        <f>K31/K32</f>
        <v>0.39003900390039004</v>
      </c>
      <c r="I31" s="7">
        <f>'GTI weights'!J7</f>
        <v>660</v>
      </c>
      <c r="J31" s="7">
        <f>'GTI weights'!K7</f>
        <v>640</v>
      </c>
      <c r="K31" s="8">
        <f>SUM(I31:J31)</f>
        <v>1300</v>
      </c>
    </row>
    <row r="32" spans="2:11" ht="15.75" thickBot="1" x14ac:dyDescent="0.3">
      <c r="B32" s="53" t="s">
        <v>112</v>
      </c>
      <c r="C32" s="53">
        <f>H6-(H6*((C11-E38)/C11))</f>
        <v>0</v>
      </c>
      <c r="D32" s="53">
        <f>H7-(H7*((C12-E38)/C12))</f>
        <v>0</v>
      </c>
      <c r="E32" s="53">
        <f t="shared" si="0"/>
        <v>0</v>
      </c>
      <c r="F32" s="53" t="s">
        <v>92</v>
      </c>
      <c r="H32" s="9"/>
      <c r="I32" s="10">
        <f>SUM(I30:I31)</f>
        <v>1688</v>
      </c>
      <c r="J32" s="10">
        <f>SUM(J30:J31)</f>
        <v>1645</v>
      </c>
      <c r="K32" s="21">
        <f>SUM(I32:J32)</f>
        <v>3333</v>
      </c>
    </row>
    <row r="33" spans="2:11" x14ac:dyDescent="0.25">
      <c r="B33" s="53" t="s">
        <v>77</v>
      </c>
      <c r="C33" s="53">
        <f>SUM(C28:C32)</f>
        <v>869.18545031236545</v>
      </c>
      <c r="D33" s="53">
        <f>SUM(D28:D32)</f>
        <v>614.57023975412574</v>
      </c>
      <c r="E33" s="53">
        <f t="shared" si="0"/>
        <v>1483.7556900664913</v>
      </c>
      <c r="F33" s="53" t="s">
        <v>92</v>
      </c>
    </row>
    <row r="36" spans="2:11" ht="15.75" thickBot="1" x14ac:dyDescent="0.3">
      <c r="B36" s="53" t="s">
        <v>117</v>
      </c>
      <c r="C36" s="53">
        <f>(C29+C30)/($C$17/1)</f>
        <v>0.80125569510617944</v>
      </c>
      <c r="D36" s="53">
        <f>(D29+D30)/($C$18/1)</f>
        <v>0.78106715802072524</v>
      </c>
      <c r="E36" s="53">
        <f>(C29+C30+D29+D30)/($C$19/2)</f>
        <v>1.5856027504654098</v>
      </c>
      <c r="F36" s="53" t="s">
        <v>56</v>
      </c>
    </row>
    <row r="37" spans="2:11" x14ac:dyDescent="0.25">
      <c r="B37" s="53" t="s">
        <v>118</v>
      </c>
      <c r="C37" s="53">
        <f>DEGREES(ASIN((C36)/(C11/2)))</f>
        <v>1.2842633303709092</v>
      </c>
      <c r="D37" s="53">
        <f>DEGREES(ASIN(D36/(C12/2)))</f>
        <v>1.2696599852367378</v>
      </c>
      <c r="E37" s="53">
        <f>DEGREES(ASIN((E36)/((C11+C12)/4)))</f>
        <v>2.5599599734444323</v>
      </c>
      <c r="F37" s="53" t="s">
        <v>119</v>
      </c>
      <c r="H37" s="93" t="s">
        <v>121</v>
      </c>
      <c r="I37" s="85"/>
      <c r="J37" s="85"/>
      <c r="K37" s="94"/>
    </row>
    <row r="38" spans="2:11" x14ac:dyDescent="0.25">
      <c r="B38" s="53" t="s">
        <v>144</v>
      </c>
      <c r="C38" s="53">
        <f>C36*'Wheel rate'!C6</f>
        <v>0.74516779644874698</v>
      </c>
      <c r="D38" s="53">
        <f>D36*'Wheel rate'!C9</f>
        <v>0.50925578702951291</v>
      </c>
      <c r="H38" s="6"/>
      <c r="I38" s="7">
        <f>I41/K41</f>
        <v>6.1279420922144862E-2</v>
      </c>
      <c r="J38" s="7">
        <f>J41/K41</f>
        <v>0.93872057907785522</v>
      </c>
      <c r="K38" s="8"/>
    </row>
    <row r="39" spans="2:11" x14ac:dyDescent="0.25">
      <c r="H39" s="6">
        <f>K39/K41</f>
        <v>0.60996099609960996</v>
      </c>
      <c r="I39" s="24">
        <f>I30-C33</f>
        <v>158.81454968763455</v>
      </c>
      <c r="J39" s="24">
        <f>J30+C33</f>
        <v>1874.1854503123654</v>
      </c>
      <c r="K39" s="8">
        <f>SUM(I39:J39)</f>
        <v>2033</v>
      </c>
    </row>
    <row r="40" spans="2:11" x14ac:dyDescent="0.25">
      <c r="H40" s="6">
        <f>K40/K41</f>
        <v>0.39003900390039004</v>
      </c>
      <c r="I40" s="24">
        <f>I31-D33</f>
        <v>45.429760245874263</v>
      </c>
      <c r="J40" s="24">
        <f>J31+D33</f>
        <v>1254.5702397541259</v>
      </c>
      <c r="K40" s="8">
        <f>SUM(I40:J40)</f>
        <v>1300</v>
      </c>
    </row>
    <row r="41" spans="2:11" ht="15.75" thickBot="1" x14ac:dyDescent="0.3">
      <c r="H41" s="9"/>
      <c r="I41" s="10">
        <f>SUM(I39:I40)</f>
        <v>204.24430993350882</v>
      </c>
      <c r="J41" s="10">
        <f>SUM(J39:J40)</f>
        <v>3128.7556900664913</v>
      </c>
      <c r="K41" s="21">
        <f>SUM(I41:J41)</f>
        <v>3333</v>
      </c>
    </row>
  </sheetData>
  <mergeCells count="8">
    <mergeCell ref="C26:E26"/>
    <mergeCell ref="H28:K28"/>
    <mergeCell ref="H37:K37"/>
    <mergeCell ref="G3:I3"/>
    <mergeCell ref="G19:I19"/>
    <mergeCell ref="G13:I13"/>
    <mergeCell ref="G9:I9"/>
    <mergeCell ref="G14:G15"/>
  </mergeCells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13"/>
  <sheetViews>
    <sheetView workbookViewId="0">
      <selection activeCell="G15" sqref="G15"/>
    </sheetView>
  </sheetViews>
  <sheetFormatPr defaultRowHeight="15" x14ac:dyDescent="0.25"/>
  <cols>
    <col min="4" max="4" width="12.42578125" customWidth="1"/>
    <col min="5" max="5" width="11.85546875" customWidth="1"/>
    <col min="11" max="12" width="11.7109375" customWidth="1"/>
  </cols>
  <sheetData>
    <row r="4" spans="2:7" x14ac:dyDescent="0.25">
      <c r="D4" t="s">
        <v>135</v>
      </c>
    </row>
    <row r="5" spans="2:7" x14ac:dyDescent="0.25">
      <c r="G5">
        <v>4.7850000000000001</v>
      </c>
    </row>
    <row r="6" spans="2:7" x14ac:dyDescent="0.25">
      <c r="B6" t="s">
        <v>136</v>
      </c>
      <c r="C6" t="s">
        <v>137</v>
      </c>
      <c r="D6" t="s">
        <v>138</v>
      </c>
      <c r="E6" t="s">
        <v>139</v>
      </c>
      <c r="F6" t="s">
        <v>140</v>
      </c>
      <c r="G6" t="s">
        <v>141</v>
      </c>
    </row>
    <row r="7" spans="2:7" x14ac:dyDescent="0.25">
      <c r="B7" s="64">
        <v>23</v>
      </c>
      <c r="C7">
        <f>B7*3.14159</f>
        <v>72.256569999999996</v>
      </c>
      <c r="D7">
        <f>C7/63360</f>
        <v>1.1404130366161616E-3</v>
      </c>
      <c r="E7" s="64">
        <v>8800</v>
      </c>
      <c r="F7" s="64">
        <v>2.105</v>
      </c>
      <c r="G7" s="64">
        <v>4.4000000000000004</v>
      </c>
    </row>
    <row r="9" spans="2:7" x14ac:dyDescent="0.25">
      <c r="E9" t="s">
        <v>142</v>
      </c>
      <c r="F9" t="s">
        <v>143</v>
      </c>
    </row>
    <row r="10" spans="2:7" x14ac:dyDescent="0.25">
      <c r="E10">
        <f>E7/F7/G7</f>
        <v>950.11876484560571</v>
      </c>
      <c r="F10">
        <f>E10*60</f>
        <v>57007.125890736344</v>
      </c>
    </row>
    <row r="12" spans="2:7" x14ac:dyDescent="0.25">
      <c r="E12" t="s">
        <v>153</v>
      </c>
    </row>
    <row r="13" spans="2:7" x14ac:dyDescent="0.25">
      <c r="E13">
        <f>F10*D7</f>
        <v>65.011669545814442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0"/>
  <sheetViews>
    <sheetView zoomScale="85" zoomScaleNormal="85" workbookViewId="0">
      <selection activeCell="L10" sqref="L10"/>
    </sheetView>
  </sheetViews>
  <sheetFormatPr defaultRowHeight="15" x14ac:dyDescent="0.25"/>
  <cols>
    <col min="3" max="3" width="12.42578125" bestFit="1" customWidth="1"/>
    <col min="4" max="4" width="12" bestFit="1" customWidth="1"/>
    <col min="6" max="6" width="12.28515625" bestFit="1" customWidth="1"/>
    <col min="7" max="7" width="11.42578125" bestFit="1" customWidth="1"/>
    <col min="8" max="8" width="12" bestFit="1" customWidth="1"/>
    <col min="11" max="11" width="10.28515625" bestFit="1" customWidth="1"/>
  </cols>
  <sheetData>
    <row r="2" spans="1:11" x14ac:dyDescent="0.25">
      <c r="B2" s="34"/>
      <c r="C2" s="35"/>
      <c r="D2" s="35" t="s">
        <v>37</v>
      </c>
      <c r="E2" s="35"/>
      <c r="F2" s="35"/>
      <c r="G2" s="35" t="s">
        <v>54</v>
      </c>
      <c r="H2" s="35"/>
      <c r="I2" s="36"/>
    </row>
    <row r="3" spans="1:11" x14ac:dyDescent="0.25">
      <c r="B3" s="1"/>
      <c r="C3" s="7"/>
      <c r="D3" s="7"/>
      <c r="E3" s="83" t="s">
        <v>28</v>
      </c>
      <c r="F3" s="84"/>
      <c r="G3" s="7"/>
      <c r="H3" s="7"/>
      <c r="I3" s="37"/>
    </row>
    <row r="4" spans="1:11" x14ac:dyDescent="0.25">
      <c r="B4" s="38"/>
      <c r="C4" s="41" t="s">
        <v>31</v>
      </c>
      <c r="D4" s="43"/>
      <c r="E4" s="38" t="s">
        <v>32</v>
      </c>
      <c r="F4" s="40" t="s">
        <v>33</v>
      </c>
      <c r="G4" s="5" t="s">
        <v>29</v>
      </c>
      <c r="H4" s="74" t="s">
        <v>134</v>
      </c>
      <c r="I4" s="43"/>
    </row>
    <row r="5" spans="1:11" x14ac:dyDescent="0.25">
      <c r="B5" s="34" t="s">
        <v>34</v>
      </c>
      <c r="C5" s="111">
        <v>400</v>
      </c>
      <c r="D5" s="112">
        <v>400</v>
      </c>
      <c r="E5" s="38">
        <v>1</v>
      </c>
      <c r="F5" s="40">
        <v>1</v>
      </c>
      <c r="G5" s="5">
        <v>10</v>
      </c>
      <c r="H5" s="39">
        <f>'GTI weights'!J18</f>
        <v>918.54050000000007</v>
      </c>
      <c r="I5" s="5">
        <f>'GTI weights'!K18</f>
        <v>895.54050000000007</v>
      </c>
    </row>
    <row r="6" spans="1:11" x14ac:dyDescent="0.25">
      <c r="B6" s="2"/>
      <c r="C6" s="113">
        <v>400</v>
      </c>
      <c r="D6" s="114">
        <v>400</v>
      </c>
      <c r="E6" s="2">
        <v>0.65</v>
      </c>
      <c r="F6" s="3">
        <v>1</v>
      </c>
      <c r="G6" s="4">
        <v>0</v>
      </c>
      <c r="H6" s="16">
        <f>'GTI weights'!J19</f>
        <v>575.56549999999993</v>
      </c>
      <c r="I6" s="4">
        <f>'GTI weights'!K19</f>
        <v>555.56549999999993</v>
      </c>
    </row>
    <row r="7" spans="1:11" x14ac:dyDescent="0.25">
      <c r="B7" s="1" t="s">
        <v>35</v>
      </c>
      <c r="C7" s="2">
        <f>C5*175.1268</f>
        <v>70050.720000000001</v>
      </c>
      <c r="D7" s="4">
        <f>D5*175.1268</f>
        <v>70050.720000000001</v>
      </c>
      <c r="E7" s="38">
        <v>1</v>
      </c>
      <c r="F7" s="40">
        <v>1</v>
      </c>
      <c r="G7" s="5">
        <f>G5*3.14159/180</f>
        <v>0.17453277777777779</v>
      </c>
      <c r="H7" s="16">
        <f>H5*0.45359237</f>
        <v>416.64296233598503</v>
      </c>
      <c r="I7" s="4">
        <f>I5*0.45359237</f>
        <v>406.21033782598505</v>
      </c>
    </row>
    <row r="8" spans="1:11" x14ac:dyDescent="0.25">
      <c r="B8" s="2"/>
      <c r="C8" s="2">
        <f>C6*175.1268</f>
        <v>70050.720000000001</v>
      </c>
      <c r="D8" s="4">
        <f>D6*175.1268</f>
        <v>70050.720000000001</v>
      </c>
      <c r="E8" s="2">
        <v>0.65</v>
      </c>
      <c r="F8" s="3">
        <v>1</v>
      </c>
      <c r="G8" s="4">
        <f>G6*3.14159/180</f>
        <v>0</v>
      </c>
      <c r="H8" s="16">
        <f>H6*0.45359237</f>
        <v>261.07211923523499</v>
      </c>
      <c r="I8" s="4">
        <f>I6*0.45359237</f>
        <v>252.00027183523497</v>
      </c>
    </row>
    <row r="10" spans="1:11" x14ac:dyDescent="0.25">
      <c r="C10" t="s">
        <v>5</v>
      </c>
      <c r="D10" t="s">
        <v>17</v>
      </c>
    </row>
    <row r="11" spans="1:11" x14ac:dyDescent="0.25">
      <c r="B11" t="s">
        <v>43</v>
      </c>
      <c r="C11">
        <f>F7/E7</f>
        <v>1</v>
      </c>
      <c r="D11">
        <f>F8/E8</f>
        <v>1.5384615384615383</v>
      </c>
      <c r="F11" s="41" t="s">
        <v>30</v>
      </c>
      <c r="G11" s="42"/>
      <c r="H11" s="40"/>
    </row>
    <row r="12" spans="1:11" x14ac:dyDescent="0.25">
      <c r="B12" t="s">
        <v>36</v>
      </c>
      <c r="C12">
        <f>C11^2</f>
        <v>1</v>
      </c>
      <c r="D12">
        <f>D11^2</f>
        <v>2.3668639053254434</v>
      </c>
      <c r="F12" s="2">
        <f>H7</f>
        <v>416.64296233598503</v>
      </c>
      <c r="G12" s="2">
        <f>I7</f>
        <v>406.21033782598505</v>
      </c>
      <c r="H12" s="105" t="s">
        <v>39</v>
      </c>
    </row>
    <row r="13" spans="1:11" x14ac:dyDescent="0.25">
      <c r="B13" t="s">
        <v>38</v>
      </c>
      <c r="C13">
        <f>C7</f>
        <v>70050.720000000001</v>
      </c>
      <c r="D13">
        <f>C8</f>
        <v>70050.720000000001</v>
      </c>
      <c r="E13" t="s">
        <v>40</v>
      </c>
      <c r="F13" s="2">
        <f>H8</f>
        <v>261.07211923523499</v>
      </c>
      <c r="G13" s="2">
        <f>I8</f>
        <v>252.00027183523497</v>
      </c>
      <c r="H13" s="104"/>
    </row>
    <row r="14" spans="1:11" x14ac:dyDescent="0.25">
      <c r="B14" t="s">
        <v>42</v>
      </c>
      <c r="C14" s="44">
        <f>4*(3.14159^2)</f>
        <v>39.478350912399996</v>
      </c>
      <c r="D14" s="44"/>
    </row>
    <row r="15" spans="1:11" x14ac:dyDescent="0.25">
      <c r="C15" s="44"/>
      <c r="D15" s="44"/>
    </row>
    <row r="16" spans="1:11" x14ac:dyDescent="0.25">
      <c r="A16" s="81" t="s">
        <v>45</v>
      </c>
      <c r="B16" s="103"/>
      <c r="C16" s="103"/>
      <c r="D16" s="103"/>
      <c r="E16" s="82"/>
      <c r="F16" s="34"/>
      <c r="G16" s="47" t="s">
        <v>46</v>
      </c>
      <c r="H16" s="47"/>
      <c r="I16" s="47"/>
      <c r="J16" s="47"/>
      <c r="K16" s="45"/>
    </row>
    <row r="17" spans="1:11" x14ac:dyDescent="0.25">
      <c r="A17" s="1"/>
      <c r="B17" s="7"/>
      <c r="C17" s="16">
        <f>C14*F12*C12</f>
        <v>16448.377072281874</v>
      </c>
      <c r="D17" s="2">
        <f>C14*G12*C12</f>
        <v>16036.514260938788</v>
      </c>
      <c r="E17" s="46" t="s">
        <v>53</v>
      </c>
      <c r="F17" s="1"/>
      <c r="G17" s="7"/>
      <c r="H17" s="7"/>
      <c r="I17" s="16">
        <f>C14*F12*C12*COS(G7)</f>
        <v>16198.489686321514</v>
      </c>
      <c r="J17" s="2">
        <f>C14*G12*C12*COS(G7)</f>
        <v>15792.883985989962</v>
      </c>
      <c r="K17" s="46" t="s">
        <v>53</v>
      </c>
    </row>
    <row r="18" spans="1:11" x14ac:dyDescent="0.25">
      <c r="A18" s="1"/>
      <c r="B18" s="7"/>
      <c r="C18" s="7">
        <f>C14*F13*D12</f>
        <v>24394.548489023757</v>
      </c>
      <c r="D18" s="1">
        <f>C14*G13*D12</f>
        <v>23546.876121968271</v>
      </c>
      <c r="E18" s="46"/>
      <c r="F18" s="1"/>
      <c r="G18" s="7"/>
      <c r="H18" s="7"/>
      <c r="I18" s="7">
        <f>C14*D12*F13*COS(G8)</f>
        <v>24394.548489023757</v>
      </c>
      <c r="J18" s="1">
        <f>C14*D12*G13*COS(G8)</f>
        <v>23546.876121968267</v>
      </c>
      <c r="K18" s="46"/>
    </row>
    <row r="19" spans="1:11" x14ac:dyDescent="0.25">
      <c r="A19" s="1"/>
      <c r="B19" s="7"/>
      <c r="C19" s="7"/>
      <c r="D19" s="7"/>
      <c r="E19" s="37"/>
      <c r="F19" s="1"/>
      <c r="G19" s="7"/>
      <c r="H19" s="7"/>
      <c r="I19" s="7"/>
      <c r="J19" s="7"/>
      <c r="K19" s="37"/>
    </row>
    <row r="20" spans="1:11" x14ac:dyDescent="0.25">
      <c r="A20" s="1"/>
      <c r="B20" s="7"/>
      <c r="C20" s="16">
        <f>C13/C17</f>
        <v>4.2588225994676758</v>
      </c>
      <c r="D20" s="2">
        <f>C13/D17</f>
        <v>4.3682011477161984</v>
      </c>
      <c r="E20" s="100" t="s">
        <v>41</v>
      </c>
      <c r="F20" s="1"/>
      <c r="G20" s="7"/>
      <c r="H20" s="7"/>
      <c r="I20" s="16">
        <f>C13/I17</f>
        <v>4.3245216903865371</v>
      </c>
      <c r="J20" s="2">
        <f>C13/J17</f>
        <v>4.4355875761604251</v>
      </c>
      <c r="K20" s="100" t="s">
        <v>41</v>
      </c>
    </row>
    <row r="21" spans="1:11" x14ac:dyDescent="0.25">
      <c r="A21" s="1"/>
      <c r="B21" s="7"/>
      <c r="C21" s="7">
        <f>D13/C18</f>
        <v>2.8715727217299833</v>
      </c>
      <c r="D21" s="1">
        <f>D13/D18</f>
        <v>2.9749474893039229</v>
      </c>
      <c r="E21" s="100"/>
      <c r="F21" s="1"/>
      <c r="G21" s="7"/>
      <c r="H21" s="7"/>
      <c r="I21" s="7">
        <f>D13/I18</f>
        <v>2.8715727217299833</v>
      </c>
      <c r="J21" s="1">
        <f>D13/J18</f>
        <v>2.9749474893039234</v>
      </c>
      <c r="K21" s="100"/>
    </row>
    <row r="22" spans="1:11" x14ac:dyDescent="0.25">
      <c r="A22" s="1"/>
      <c r="B22" s="7"/>
      <c r="C22" s="7"/>
      <c r="D22" s="7"/>
      <c r="E22" s="37"/>
      <c r="F22" s="1"/>
      <c r="G22" s="7"/>
      <c r="H22" s="7"/>
      <c r="I22" s="7"/>
      <c r="J22" s="7"/>
      <c r="K22" s="37"/>
    </row>
    <row r="23" spans="1:11" x14ac:dyDescent="0.25">
      <c r="A23" s="1"/>
      <c r="B23" s="7"/>
      <c r="C23" s="7"/>
      <c r="D23" s="7"/>
      <c r="E23" s="37"/>
      <c r="F23" s="1"/>
      <c r="G23" s="7"/>
      <c r="H23" s="7"/>
      <c r="I23" s="7"/>
      <c r="J23" s="7"/>
      <c r="K23" s="37"/>
    </row>
    <row r="24" spans="1:11" x14ac:dyDescent="0.25">
      <c r="A24" s="102" t="s">
        <v>51</v>
      </c>
      <c r="B24" s="101"/>
      <c r="C24" s="16">
        <f>SQRT(C20)</f>
        <v>2.063691498133303</v>
      </c>
      <c r="D24" s="2">
        <f>SQRT(D20)</f>
        <v>2.0900241978781486</v>
      </c>
      <c r="E24" s="100" t="s">
        <v>44</v>
      </c>
      <c r="F24" s="1"/>
      <c r="G24" s="101" t="s">
        <v>52</v>
      </c>
      <c r="H24" s="101"/>
      <c r="I24" s="16">
        <f>SQRT(I20)</f>
        <v>2.0795484342487764</v>
      </c>
      <c r="J24" s="2">
        <f>SQRT(J20)</f>
        <v>2.1060834684694778</v>
      </c>
      <c r="K24" s="100" t="s">
        <v>44</v>
      </c>
    </row>
    <row r="25" spans="1:11" x14ac:dyDescent="0.25">
      <c r="A25" s="1"/>
      <c r="B25" s="7"/>
      <c r="C25" s="7">
        <f>SQRT(C21)</f>
        <v>1.6945715451788936</v>
      </c>
      <c r="D25" s="1">
        <f>SQRT(D21)</f>
        <v>1.7248036089085397</v>
      </c>
      <c r="E25" s="100"/>
      <c r="F25" s="2"/>
      <c r="G25" s="16"/>
      <c r="H25" s="16"/>
      <c r="I25" s="16">
        <f>SQRT(I21)</f>
        <v>1.6945715451788936</v>
      </c>
      <c r="J25" s="2">
        <f>SQRT(J21)</f>
        <v>1.7248036089085399</v>
      </c>
      <c r="K25" s="104"/>
    </row>
    <row r="26" spans="1:11" x14ac:dyDescent="0.25">
      <c r="A26" s="2"/>
      <c r="B26" s="16"/>
      <c r="C26" s="16"/>
      <c r="D26" s="16"/>
      <c r="E26" s="3"/>
    </row>
    <row r="29" spans="1:11" x14ac:dyDescent="0.25">
      <c r="C29" s="16" t="s">
        <v>47</v>
      </c>
      <c r="D29" s="2" t="s">
        <v>48</v>
      </c>
    </row>
    <row r="30" spans="1:11" x14ac:dyDescent="0.25">
      <c r="C30" t="s">
        <v>49</v>
      </c>
      <c r="D30" s="1" t="s">
        <v>50</v>
      </c>
    </row>
  </sheetData>
  <mergeCells count="9">
    <mergeCell ref="K24:K25"/>
    <mergeCell ref="K20:K21"/>
    <mergeCell ref="H12:H13"/>
    <mergeCell ref="E3:F3"/>
    <mergeCell ref="E24:E25"/>
    <mergeCell ref="E20:E21"/>
    <mergeCell ref="G24:H24"/>
    <mergeCell ref="A24:B24"/>
    <mergeCell ref="A16:E16"/>
  </mergeCells>
  <pageMargins left="0.7" right="0.7" top="0.75" bottom="0.75" header="0.3" footer="0.3"/>
  <pageSetup orientation="landscape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23"/>
  <sheetViews>
    <sheetView zoomScale="85" zoomScaleNormal="85" workbookViewId="0">
      <selection activeCell="D22" sqref="D22"/>
    </sheetView>
  </sheetViews>
  <sheetFormatPr defaultRowHeight="15" x14ac:dyDescent="0.25"/>
  <cols>
    <col min="1" max="1" width="16" bestFit="1" customWidth="1"/>
    <col min="6" max="6" width="9" customWidth="1"/>
    <col min="7" max="7" width="9" style="65" bestFit="1" customWidth="1"/>
    <col min="8" max="9" width="13.140625" style="65" customWidth="1"/>
    <col min="10" max="10" width="9.140625" style="66"/>
  </cols>
  <sheetData>
    <row r="3" spans="1:10" x14ac:dyDescent="0.25">
      <c r="A3" s="109" t="s">
        <v>122</v>
      </c>
      <c r="B3" s="109"/>
      <c r="C3" s="109"/>
    </row>
    <row r="4" spans="1:10" ht="30" x14ac:dyDescent="0.25">
      <c r="A4" s="106" t="s">
        <v>123</v>
      </c>
      <c r="B4" s="35">
        <v>245</v>
      </c>
      <c r="C4" s="36" t="s">
        <v>55</v>
      </c>
      <c r="F4" s="68" t="s">
        <v>125</v>
      </c>
      <c r="G4" s="69" t="s">
        <v>126</v>
      </c>
      <c r="H4" s="69" t="s">
        <v>129</v>
      </c>
      <c r="I4" s="69" t="s">
        <v>130</v>
      </c>
      <c r="J4" s="70" t="s">
        <v>131</v>
      </c>
    </row>
    <row r="5" spans="1:10" x14ac:dyDescent="0.25">
      <c r="A5" s="107"/>
      <c r="B5" s="7">
        <v>40</v>
      </c>
      <c r="C5" s="37" t="s">
        <v>124</v>
      </c>
      <c r="F5">
        <v>200</v>
      </c>
      <c r="G5" s="65">
        <f t="shared" ref="G5:G23" si="0">(F5/$B$8)/($B$7)</f>
        <v>0.63492063492063489</v>
      </c>
      <c r="H5" s="65">
        <f t="shared" ref="H5:H23" si="1">($B$10^2-(G5/2)^2)^0.5</f>
        <v>12.854348198836663</v>
      </c>
      <c r="I5" s="65">
        <f t="shared" ref="I5:I23" si="2">$B$10-H5</f>
        <v>3.919517698770747E-3</v>
      </c>
      <c r="J5" s="66">
        <f>F5/I5</f>
        <v>51026.686284061099</v>
      </c>
    </row>
    <row r="6" spans="1:10" x14ac:dyDescent="0.25">
      <c r="A6" s="108"/>
      <c r="B6" s="16">
        <v>18</v>
      </c>
      <c r="C6" s="3" t="s">
        <v>56</v>
      </c>
      <c r="F6">
        <v>300</v>
      </c>
      <c r="G6" s="65">
        <f t="shared" si="0"/>
        <v>0.95238095238095233</v>
      </c>
      <c r="H6" s="65">
        <f t="shared" si="1"/>
        <v>12.849447120420505</v>
      </c>
      <c r="I6" s="65">
        <f t="shared" si="2"/>
        <v>8.8205961149281364E-3</v>
      </c>
      <c r="J6" s="66">
        <f t="shared" ref="J6:J23" si="3">(F6-F5)/(I6-I5)</f>
        <v>20403.672724421205</v>
      </c>
    </row>
    <row r="7" spans="1:10" x14ac:dyDescent="0.25">
      <c r="A7" s="38" t="s">
        <v>132</v>
      </c>
      <c r="B7" s="39">
        <v>9</v>
      </c>
      <c r="C7" s="40" t="s">
        <v>56</v>
      </c>
      <c r="F7">
        <v>400</v>
      </c>
      <c r="G7" s="65">
        <f t="shared" si="0"/>
        <v>1.2698412698412698</v>
      </c>
      <c r="H7" s="65">
        <f t="shared" si="1"/>
        <v>12.84258246839199</v>
      </c>
      <c r="I7" s="65">
        <f t="shared" si="2"/>
        <v>1.5685248143443076E-2</v>
      </c>
      <c r="J7" s="66">
        <f t="shared" si="3"/>
        <v>14567.380776856864</v>
      </c>
    </row>
    <row r="8" spans="1:10" x14ac:dyDescent="0.25">
      <c r="A8" s="38" t="s">
        <v>128</v>
      </c>
      <c r="B8" s="39">
        <v>35</v>
      </c>
      <c r="C8" s="40" t="s">
        <v>127</v>
      </c>
      <c r="F8">
        <v>500</v>
      </c>
      <c r="G8" s="65">
        <f t="shared" si="0"/>
        <v>1.5873015873015874</v>
      </c>
      <c r="H8" s="65">
        <f t="shared" si="1"/>
        <v>12.833751091860664</v>
      </c>
      <c r="I8" s="65">
        <f t="shared" si="2"/>
        <v>2.4516624674769005E-2</v>
      </c>
      <c r="J8" s="66">
        <f t="shared" si="3"/>
        <v>11323.263100071463</v>
      </c>
    </row>
    <row r="9" spans="1:10" x14ac:dyDescent="0.25">
      <c r="F9">
        <v>600</v>
      </c>
      <c r="G9" s="65">
        <f t="shared" si="0"/>
        <v>1.9047619047619047</v>
      </c>
      <c r="H9" s="65">
        <f t="shared" si="1"/>
        <v>12.822948927280311</v>
      </c>
      <c r="I9" s="65">
        <f t="shared" si="2"/>
        <v>3.5318789255121885E-2</v>
      </c>
      <c r="J9" s="66">
        <f t="shared" si="3"/>
        <v>9257.4038523613435</v>
      </c>
    </row>
    <row r="10" spans="1:10" x14ac:dyDescent="0.25">
      <c r="A10" s="67" t="s">
        <v>133</v>
      </c>
      <c r="B10" s="67">
        <f>(B4*(B5/100))/25.4  + B6/2</f>
        <v>12.858267716535433</v>
      </c>
      <c r="F10">
        <v>700</v>
      </c>
      <c r="G10" s="65">
        <f t="shared" si="0"/>
        <v>2.2222222222222223</v>
      </c>
      <c r="H10" s="65">
        <f t="shared" si="1"/>
        <v>12.810170989056422</v>
      </c>
      <c r="I10" s="65">
        <f t="shared" si="2"/>
        <v>4.8096727479011392E-2</v>
      </c>
      <c r="J10" s="66">
        <f t="shared" si="3"/>
        <v>7825.9886883034851</v>
      </c>
    </row>
    <row r="11" spans="1:10" x14ac:dyDescent="0.25">
      <c r="F11" s="110">
        <v>800</v>
      </c>
      <c r="G11" s="115">
        <f t="shared" si="0"/>
        <v>2.5396825396825395</v>
      </c>
      <c r="H11" s="115">
        <f t="shared" si="1"/>
        <v>12.795411357963653</v>
      </c>
      <c r="I11" s="115">
        <f t="shared" si="2"/>
        <v>6.2856358571780291E-2</v>
      </c>
      <c r="J11" s="116">
        <f t="shared" si="3"/>
        <v>6775.2370890213115</v>
      </c>
    </row>
    <row r="12" spans="1:10" x14ac:dyDescent="0.25">
      <c r="F12">
        <v>900</v>
      </c>
      <c r="G12" s="65">
        <f t="shared" si="0"/>
        <v>2.8571428571428572</v>
      </c>
      <c r="H12" s="65">
        <f t="shared" si="1"/>
        <v>12.778663167310059</v>
      </c>
      <c r="I12" s="65">
        <f t="shared" si="2"/>
        <v>7.9604549225374299E-2</v>
      </c>
      <c r="J12" s="66">
        <f t="shared" si="3"/>
        <v>5970.7942229891514</v>
      </c>
    </row>
    <row r="13" spans="1:10" x14ac:dyDescent="0.25">
      <c r="F13" s="71">
        <v>1000</v>
      </c>
      <c r="G13" s="72">
        <f t="shared" si="0"/>
        <v>3.1746031746031749</v>
      </c>
      <c r="H13" s="72">
        <f t="shared" si="1"/>
        <v>12.759918586771908</v>
      </c>
      <c r="I13" s="72">
        <f t="shared" si="2"/>
        <v>9.8349129763525056E-2</v>
      </c>
      <c r="J13" s="73">
        <f t="shared" si="3"/>
        <v>5334.8753148394262</v>
      </c>
    </row>
    <row r="14" spans="1:10" x14ac:dyDescent="0.25">
      <c r="F14">
        <v>1100</v>
      </c>
      <c r="G14" s="65">
        <f t="shared" si="0"/>
        <v>3.4920634920634921</v>
      </c>
      <c r="H14" s="65">
        <f t="shared" si="1"/>
        <v>12.739168803809244</v>
      </c>
      <c r="I14" s="65">
        <f t="shared" si="2"/>
        <v>0.119098912726189</v>
      </c>
      <c r="J14" s="66">
        <f t="shared" si="3"/>
        <v>4819.3275168195587</v>
      </c>
    </row>
    <row r="15" spans="1:10" x14ac:dyDescent="0.25">
      <c r="F15">
        <v>1200</v>
      </c>
      <c r="G15" s="65">
        <f t="shared" si="0"/>
        <v>3.8095238095238093</v>
      </c>
      <c r="H15" s="65">
        <f t="shared" si="1"/>
        <v>12.716404002557686</v>
      </c>
      <c r="I15" s="65">
        <f t="shared" si="2"/>
        <v>0.141863713977747</v>
      </c>
      <c r="J15" s="66">
        <f t="shared" si="3"/>
        <v>4392.7464551510684</v>
      </c>
    </row>
    <row r="16" spans="1:10" x14ac:dyDescent="0.25">
      <c r="F16">
        <v>1300</v>
      </c>
      <c r="G16" s="65">
        <f t="shared" si="0"/>
        <v>4.1269841269841274</v>
      </c>
      <c r="H16" s="65">
        <f t="shared" si="1"/>
        <v>12.691613340076296</v>
      </c>
      <c r="I16" s="65">
        <f t="shared" si="2"/>
        <v>0.16665437645913705</v>
      </c>
      <c r="J16" s="66">
        <f t="shared" si="3"/>
        <v>4033.77683331651</v>
      </c>
    </row>
    <row r="17" spans="6:10" x14ac:dyDescent="0.25">
      <c r="F17">
        <v>1400</v>
      </c>
      <c r="G17" s="65">
        <f t="shared" si="0"/>
        <v>4.4444444444444446</v>
      </c>
      <c r="H17" s="65">
        <f t="shared" si="1"/>
        <v>12.664784919814432</v>
      </c>
      <c r="I17" s="65">
        <f t="shared" si="2"/>
        <v>0.19348279672100155</v>
      </c>
      <c r="J17" s="66">
        <f t="shared" si="3"/>
        <v>3727.390544203824</v>
      </c>
    </row>
    <row r="18" spans="6:10" x14ac:dyDescent="0.25">
      <c r="F18">
        <v>1500</v>
      </c>
      <c r="G18" s="65">
        <f t="shared" si="0"/>
        <v>4.7619047619047619</v>
      </c>
      <c r="H18" s="65">
        <f t="shared" si="1"/>
        <v>12.635905762142045</v>
      </c>
      <c r="I18" s="65">
        <f t="shared" si="2"/>
        <v>0.22236195439338857</v>
      </c>
      <c r="J18" s="66">
        <f t="shared" si="3"/>
        <v>3462.7048729892695</v>
      </c>
    </row>
    <row r="19" spans="6:10" x14ac:dyDescent="0.25">
      <c r="F19">
        <v>1600</v>
      </c>
      <c r="G19" s="65">
        <f t="shared" si="0"/>
        <v>5.0793650793650791</v>
      </c>
      <c r="H19" s="65">
        <f t="shared" si="1"/>
        <v>12.604961771767854</v>
      </c>
      <c r="I19" s="65">
        <f t="shared" si="2"/>
        <v>0.25330594476757895</v>
      </c>
      <c r="J19" s="66">
        <f t="shared" si="3"/>
        <v>3231.6452658739045</v>
      </c>
    </row>
    <row r="20" spans="6:10" x14ac:dyDescent="0.25">
      <c r="F20">
        <v>1700</v>
      </c>
      <c r="G20" s="65">
        <f t="shared" si="0"/>
        <v>5.3968253968253963</v>
      </c>
      <c r="H20" s="65">
        <f t="shared" si="1"/>
        <v>12.571937701847812</v>
      </c>
      <c r="I20" s="65">
        <f t="shared" si="2"/>
        <v>0.28633001468762131</v>
      </c>
      <c r="J20" s="66">
        <f t="shared" si="3"/>
        <v>3028.09436396299</v>
      </c>
    </row>
    <row r="21" spans="6:10" x14ac:dyDescent="0.25">
      <c r="F21">
        <v>1800</v>
      </c>
      <c r="G21" s="65">
        <f t="shared" si="0"/>
        <v>5.7142857142857144</v>
      </c>
      <c r="H21" s="65">
        <f t="shared" si="1"/>
        <v>12.536817114562009</v>
      </c>
      <c r="I21" s="65">
        <f t="shared" si="2"/>
        <v>0.32145060197342445</v>
      </c>
      <c r="J21" s="66">
        <f t="shared" si="3"/>
        <v>2847.3327961808654</v>
      </c>
    </row>
    <row r="22" spans="6:10" x14ac:dyDescent="0.25">
      <c r="F22">
        <v>1900</v>
      </c>
      <c r="G22" s="65">
        <f t="shared" si="0"/>
        <v>6.0317460317460316</v>
      </c>
      <c r="H22" s="65">
        <f t="shared" si="1"/>
        <v>12.499582337911388</v>
      </c>
      <c r="I22" s="65">
        <f t="shared" si="2"/>
        <v>0.35868537862404537</v>
      </c>
      <c r="J22" s="66">
        <f t="shared" si="3"/>
        <v>2685.6613358612003</v>
      </c>
    </row>
    <row r="23" spans="6:10" x14ac:dyDescent="0.25">
      <c r="F23">
        <v>2000</v>
      </c>
      <c r="G23" s="65">
        <f t="shared" si="0"/>
        <v>6.3492063492063497</v>
      </c>
      <c r="H23" s="65">
        <f t="shared" si="1"/>
        <v>12.460214418455919</v>
      </c>
      <c r="I23" s="65">
        <f t="shared" si="2"/>
        <v>0.39805329807951395</v>
      </c>
      <c r="J23" s="66">
        <f t="shared" si="3"/>
        <v>2540.1393160518937</v>
      </c>
    </row>
  </sheetData>
  <mergeCells count="2">
    <mergeCell ref="A4:A6"/>
    <mergeCell ref="A3:C3"/>
  </mergeCells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Wheel rate</vt:lpstr>
      <vt:lpstr>Swaybar rate calc</vt:lpstr>
      <vt:lpstr>GTI weights</vt:lpstr>
      <vt:lpstr>Weight Transfer</vt:lpstr>
      <vt:lpstr>Gearing and ECU</vt:lpstr>
      <vt:lpstr>Ride frequency</vt:lpstr>
      <vt:lpstr>Tire spring rate</vt:lpstr>
    </vt:vector>
  </TitlesOfParts>
  <Company>Honda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VC033484</dc:creator>
  <cp:lastModifiedBy>Todd Kunze</cp:lastModifiedBy>
  <cp:lastPrinted>2014-09-09T17:12:26Z</cp:lastPrinted>
  <dcterms:created xsi:type="dcterms:W3CDTF">2014-03-12T11:38:21Z</dcterms:created>
  <dcterms:modified xsi:type="dcterms:W3CDTF">2020-07-28T15:57:29Z</dcterms:modified>
</cp:coreProperties>
</file>