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https://1xylem-my.sharepoint.com/personal/zsombor_vankos_xylem_com/Documents/Sales_OK/Árlisták/2026/Wedeco/NEW PRODUCT PRICELIST 2026/FINAL DISTRIBUTOR PRICES/"/>
    </mc:Choice>
  </mc:AlternateContent>
  <xr:revisionPtr revIDLastSave="169" documentId="13_ncr:1_{25551CE4-E8DD-4EA0-A771-8FBCABB3B6F9}" xr6:coauthVersionLast="47" xr6:coauthVersionMax="47" xr10:uidLastSave="{09EC9F42-10E1-427F-BFE8-F34E522D7DB2}"/>
  <workbookProtection workbookAlgorithmName="SHA-512" workbookHashValue="0Bz7nWdu0AB0uG80pR4hV8yLGB35924vs8VEXjtvhZL88NoK5Xidn/wusEKnCtbKNQjWe2G/lot+M9/4/d7AtQ==" workbookSaltValue="BhG2rTeGHSHdl0LETE/vTQ==" workbookSpinCount="100000" lockStructure="1"/>
  <bookViews>
    <workbookView xWindow="-120" yWindow="-120" windowWidth="29040" windowHeight="15720" tabRatio="720" firstSheet="2" activeTab="2" xr2:uid="{B9B98D2C-255B-4A52-B41F-C9CB4305B700}"/>
  </bookViews>
  <sheets>
    <sheet name="Packaging cost" sheetId="23" state="hidden" r:id="rId1"/>
    <sheet name="Country File" sheetId="21" state="hidden" r:id="rId2"/>
    <sheet name="Welcome" sheetId="19" r:id="rId3"/>
    <sheet name="Applied Discounts" sheetId="41" r:id="rId4"/>
    <sheet name="Spektron e" sheetId="1" r:id="rId5"/>
    <sheet name="LBX" sheetId="3" r:id="rId6"/>
    <sheet name="Acton" sheetId="4" r:id="rId7"/>
    <sheet name="Spektron Industrial" sheetId="12" r:id="rId8"/>
    <sheet name="PureTube" sheetId="5" r:id="rId9"/>
    <sheet name="Aquada" sheetId="13" r:id="rId10"/>
    <sheet name="UV Auxiliaries" sheetId="26" r:id="rId11"/>
    <sheet name="Modular, GSO, OCS" sheetId="39" r:id="rId12"/>
    <sheet name="Common IDs" sheetId="14" state="hidden" r:id="rId13"/>
    <sheet name="pricing overview all products" sheetId="8" state="hidden" r:id="rId14"/>
    <sheet name="Configurator Codes" sheetId="7" state="hidden" r:id="rId15"/>
    <sheet name="Aquada Configurations" sheetId="28" state="hidden" r:id="rId16"/>
    <sheet name="Drop Downs" sheetId="9" state="hidden" r:id="rId17"/>
    <sheet name="Change log" sheetId="42" state="hidden" r:id="rId18"/>
  </sheets>
  <definedNames>
    <definedName name="_xlnm._FilterDatabase" localSheetId="12" hidden="1">'Common IDs'!$A$1:$C$488</definedName>
    <definedName name="_xlnm._FilterDatabase" localSheetId="0" hidden="1">'Packaging cost'!$A$1:$E$912</definedName>
    <definedName name="_xlnm.Print_Area" localSheetId="6">Acton!$A$1:$BH$13</definedName>
    <definedName name="_xlnm.Print_Area" localSheetId="9">Aquada!$A$1:$AQ$22</definedName>
    <definedName name="_xlnm.Print_Area" localSheetId="1">'Country File'!$A$1:$Q$69</definedName>
    <definedName name="_xlnm.Print_Area" localSheetId="5">LBX!$A$1:$BH$15</definedName>
    <definedName name="_xlnm.Print_Area" localSheetId="8">PureTube!$A$1:$AV$12</definedName>
    <definedName name="_xlnm.Print_Area" localSheetId="4">'Spektron e'!$A$1:$BG$25</definedName>
    <definedName name="_xlnm.Print_Area" localSheetId="7">'Spektron Industrial'!$A$1:$BD$15</definedName>
    <definedName name="_xlnm.Print_Area" localSheetId="10">'UV Auxiliaries'!$A$1:$AV$32</definedName>
    <definedName name="_xlnm.Print_Area" localSheetId="2">Welcome!$B$1:$U$36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1" l="1"/>
  <c r="C11" i="9" l="1"/>
  <c r="Q5" i="7" s="1"/>
  <c r="C7" i="9"/>
  <c r="Q4" i="7" s="1"/>
  <c r="BA7" i="39" l="1"/>
  <c r="T34" i="19"/>
  <c r="T33" i="19"/>
  <c r="G10" i="19"/>
  <c r="BE7" i="39"/>
  <c r="BE8" i="39"/>
  <c r="BE9" i="39"/>
  <c r="BE10" i="39"/>
  <c r="BE11" i="39"/>
  <c r="BE12" i="39"/>
  <c r="BE13" i="39"/>
  <c r="BE14" i="39"/>
  <c r="BE15" i="39"/>
  <c r="BE16" i="39"/>
  <c r="BE17" i="39"/>
  <c r="BE18" i="39"/>
  <c r="BE19" i="39"/>
  <c r="BE20" i="39"/>
  <c r="BE21" i="39"/>
  <c r="BE22" i="39"/>
  <c r="BE23" i="39"/>
  <c r="BE24" i="39"/>
  <c r="BE25" i="39"/>
  <c r="BE26" i="39"/>
  <c r="BE27" i="39"/>
  <c r="BE28" i="39"/>
  <c r="BE29" i="39"/>
  <c r="BE30" i="39"/>
  <c r="BE31" i="39"/>
  <c r="BE32" i="39"/>
  <c r="BE6" i="39"/>
  <c r="T3" i="21" l="1"/>
  <c r="T2" i="21"/>
  <c r="G12" i="19" l="1"/>
  <c r="BF4" i="4" l="1"/>
  <c r="AR4" i="13"/>
  <c r="BD4" i="12"/>
  <c r="AP4" i="13"/>
  <c r="BB4" i="12"/>
  <c r="AU4" i="13"/>
  <c r="BH4" i="1"/>
  <c r="BH4" i="39"/>
  <c r="BF4" i="39"/>
  <c r="AV4" i="5"/>
  <c r="BF4" i="1"/>
  <c r="BH4" i="3"/>
  <c r="BF4" i="3"/>
  <c r="AT4" i="5"/>
  <c r="BH4" i="4"/>
  <c r="H3" i="39"/>
  <c r="K3" i="26"/>
  <c r="I3" i="13"/>
  <c r="H3" i="5"/>
  <c r="H3" i="12"/>
  <c r="H3" i="1"/>
  <c r="H3" i="4"/>
  <c r="H3" i="3"/>
  <c r="O3" i="21"/>
  <c r="O2" i="21"/>
  <c r="P23" i="26" l="1"/>
  <c r="P24" i="26"/>
  <c r="P25" i="26"/>
  <c r="P26" i="26"/>
  <c r="P27" i="26"/>
  <c r="AO23" i="26" l="1"/>
  <c r="AO24" i="26"/>
  <c r="AO25" i="26"/>
  <c r="AO26" i="26"/>
  <c r="AO27" i="26"/>
  <c r="AO8" i="26"/>
  <c r="AS22" i="26"/>
  <c r="AO22" i="26"/>
  <c r="AS9" i="13"/>
  <c r="AT9" i="13" s="1"/>
  <c r="AS10" i="13"/>
  <c r="AT10" i="13" s="1"/>
  <c r="AS11" i="13"/>
  <c r="AT11" i="13" s="1"/>
  <c r="AS12" i="13"/>
  <c r="AT12" i="13" s="1"/>
  <c r="AS13" i="13"/>
  <c r="AT13" i="13" s="1"/>
  <c r="AS14" i="13"/>
  <c r="AT14" i="13" s="1"/>
  <c r="AS15" i="13"/>
  <c r="AT15" i="13" s="1"/>
  <c r="AS16" i="13"/>
  <c r="AT16" i="13" s="1"/>
  <c r="AS17" i="13"/>
  <c r="AT17" i="13" s="1"/>
  <c r="AS18" i="13"/>
  <c r="AT18" i="13" s="1"/>
  <c r="AS19" i="13"/>
  <c r="AT19" i="13" s="1"/>
  <c r="AS20" i="13"/>
  <c r="AT20" i="13" s="1"/>
  <c r="AN7" i="13"/>
  <c r="AO7" i="13" s="1"/>
  <c r="AN8" i="13"/>
  <c r="AO8" i="13" s="1"/>
  <c r="AN9" i="13"/>
  <c r="AO9" i="13" s="1"/>
  <c r="AN10" i="13"/>
  <c r="AO10" i="13" s="1"/>
  <c r="AN11" i="13"/>
  <c r="AO11" i="13" s="1"/>
  <c r="AN12" i="13"/>
  <c r="AO12" i="13" s="1"/>
  <c r="AN13" i="13"/>
  <c r="AO13" i="13" s="1"/>
  <c r="AN14" i="13"/>
  <c r="AO14" i="13" s="1"/>
  <c r="AN15" i="13"/>
  <c r="AO15" i="13" s="1"/>
  <c r="AN16" i="13"/>
  <c r="AO16" i="13" s="1"/>
  <c r="AN17" i="13"/>
  <c r="AO17" i="13" s="1"/>
  <c r="AN18" i="13"/>
  <c r="AO18" i="13" s="1"/>
  <c r="AN19" i="13"/>
  <c r="AO19" i="13" s="1"/>
  <c r="AN20" i="13"/>
  <c r="AO20" i="13" s="1"/>
  <c r="AN6" i="13"/>
  <c r="AO6" i="13" s="1"/>
  <c r="I3" i="28"/>
  <c r="I4" i="28"/>
  <c r="I5" i="28"/>
  <c r="I6" i="28"/>
  <c r="I2" i="28"/>
  <c r="AS15" i="26"/>
  <c r="AS7" i="13" l="1"/>
  <c r="AT7" i="13" s="1"/>
  <c r="AS8" i="13"/>
  <c r="AT8" i="13" s="1"/>
  <c r="AS6" i="13"/>
  <c r="AT6" i="13" s="1"/>
  <c r="AO13" i="26" l="1"/>
  <c r="AQ24" i="26" l="1"/>
  <c r="AQ25" i="26"/>
  <c r="AQ26" i="26"/>
  <c r="AQ27" i="26"/>
  <c r="AQ23" i="26"/>
  <c r="U8" i="5"/>
  <c r="U6" i="5"/>
  <c r="U7" i="5"/>
  <c r="AO6" i="26"/>
  <c r="AO7" i="26"/>
  <c r="AO9" i="26"/>
  <c r="AO10" i="26"/>
  <c r="AO11" i="26"/>
  <c r="AO12" i="26"/>
  <c r="AO14" i="26"/>
  <c r="Q23" i="7" l="1"/>
  <c r="S23" i="7" s="1"/>
  <c r="Q22" i="7"/>
  <c r="S22" i="7" s="1"/>
  <c r="Q21" i="7"/>
  <c r="S21" i="7" s="1"/>
  <c r="Q20" i="7"/>
  <c r="S20" i="7" s="1"/>
  <c r="Q19" i="7"/>
  <c r="Q18" i="7"/>
  <c r="S18" i="7" s="1"/>
  <c r="Q17" i="7"/>
  <c r="S17" i="7" s="1"/>
  <c r="Q15" i="7"/>
  <c r="S15" i="7" s="1"/>
  <c r="Q13" i="7"/>
  <c r="S13" i="7" s="1"/>
  <c r="Q11" i="7"/>
  <c r="S11" i="7" s="1"/>
  <c r="Q9" i="7"/>
  <c r="S9" i="7" s="1"/>
  <c r="Q7" i="7"/>
  <c r="S12" i="7"/>
  <c r="S14" i="7"/>
  <c r="AZ17" i="39"/>
  <c r="BA17" i="39"/>
  <c r="AZ18" i="39"/>
  <c r="BA18" i="39"/>
  <c r="AZ19" i="39"/>
  <c r="BA19" i="39"/>
  <c r="AZ20" i="39"/>
  <c r="BA20" i="39"/>
  <c r="AZ21" i="39"/>
  <c r="BA21" i="39"/>
  <c r="AZ22" i="39"/>
  <c r="BA22" i="39"/>
  <c r="AZ23" i="39"/>
  <c r="BA23" i="39"/>
  <c r="AZ24" i="39"/>
  <c r="BA24" i="39"/>
  <c r="AZ25" i="39"/>
  <c r="BA25" i="39"/>
  <c r="AZ26" i="39"/>
  <c r="BA26" i="39"/>
  <c r="AZ27" i="39"/>
  <c r="BA27" i="39"/>
  <c r="AZ28" i="39"/>
  <c r="BA28" i="39"/>
  <c r="AZ29" i="39"/>
  <c r="BA29" i="39"/>
  <c r="AZ30" i="39"/>
  <c r="BA30" i="39"/>
  <c r="AZ31" i="39"/>
  <c r="BA31" i="39"/>
  <c r="AZ32" i="39"/>
  <c r="BA32" i="39"/>
  <c r="S8" i="7"/>
  <c r="S10" i="7"/>
  <c r="S19" i="7"/>
  <c r="J8" i="7"/>
  <c r="H8" i="7"/>
  <c r="BD17" i="1" l="1"/>
  <c r="BE17" i="1" s="1"/>
  <c r="Q16" i="7" l="1"/>
  <c r="S16" i="7" s="1"/>
  <c r="L13" i="8" l="1"/>
  <c r="AZ17" i="1" l="1"/>
  <c r="BA17" i="1"/>
  <c r="L40" i="8" l="1"/>
  <c r="L39" i="8"/>
  <c r="L38" i="8"/>
  <c r="L19" i="8"/>
  <c r="L20" i="8"/>
  <c r="L21" i="8"/>
  <c r="L22" i="8"/>
  <c r="L23" i="8"/>
  <c r="L24" i="8"/>
  <c r="L25" i="8"/>
  <c r="L26" i="8"/>
  <c r="L27" i="8"/>
  <c r="L28" i="8"/>
  <c r="L29" i="8"/>
  <c r="L30" i="8"/>
  <c r="L3" i="8"/>
  <c r="L4" i="8"/>
  <c r="L8" i="8"/>
  <c r="L9" i="8"/>
  <c r="L10" i="8"/>
  <c r="L11" i="8"/>
  <c r="L12" i="8"/>
  <c r="L14" i="8"/>
  <c r="L15" i="8"/>
  <c r="L16" i="8"/>
  <c r="L17" i="8"/>
  <c r="L18" i="8"/>
  <c r="L2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BA16" i="39" l="1"/>
  <c r="AZ16" i="39"/>
  <c r="BA15" i="39"/>
  <c r="AZ15" i="39"/>
  <c r="BA14" i="39"/>
  <c r="AZ14" i="39"/>
  <c r="BA13" i="39"/>
  <c r="AZ13" i="39"/>
  <c r="BA12" i="39"/>
  <c r="AZ12" i="39"/>
  <c r="BA11" i="39"/>
  <c r="AZ11" i="39"/>
  <c r="BA10" i="39"/>
  <c r="AZ10" i="39"/>
  <c r="BA9" i="39"/>
  <c r="AZ9" i="39"/>
  <c r="BA8" i="39"/>
  <c r="AZ8" i="39"/>
  <c r="AZ7" i="39"/>
  <c r="BA6" i="39"/>
  <c r="AZ6" i="39"/>
  <c r="AO20" i="26"/>
  <c r="L6" i="8" l="1"/>
  <c r="L7" i="8"/>
  <c r="L5" i="8"/>
  <c r="S7" i="5" l="1"/>
  <c r="T7" i="5"/>
  <c r="S8" i="5"/>
  <c r="T8" i="5"/>
  <c r="T6" i="5"/>
  <c r="C89" i="9" l="1"/>
  <c r="L133" i="7" l="1"/>
  <c r="L135" i="7"/>
  <c r="AM7" i="13" l="1"/>
  <c r="AM8" i="13"/>
  <c r="AM9" i="13"/>
  <c r="AM10" i="13"/>
  <c r="AM11" i="13"/>
  <c r="AM12" i="13"/>
  <c r="AM13" i="13"/>
  <c r="AM14" i="13"/>
  <c r="AM15" i="13"/>
  <c r="AM16" i="13"/>
  <c r="AM17" i="13"/>
  <c r="AM18" i="13"/>
  <c r="AM19" i="13"/>
  <c r="AM20" i="13"/>
  <c r="AM6" i="13"/>
  <c r="AO16" i="26"/>
  <c r="AO17" i="26"/>
  <c r="AO18" i="26"/>
  <c r="AO19" i="26"/>
  <c r="AO21" i="26"/>
  <c r="AO15" i="26"/>
  <c r="C107" i="9"/>
  <c r="D107" i="9" s="1"/>
  <c r="C103" i="9"/>
  <c r="D103" i="9" s="1"/>
  <c r="C99" i="9"/>
  <c r="D99" i="9" s="1"/>
  <c r="AO7" i="5"/>
  <c r="AO8" i="5"/>
  <c r="AO6" i="5"/>
  <c r="AW7" i="12"/>
  <c r="AW8" i="12"/>
  <c r="AW9" i="12"/>
  <c r="AW10" i="12"/>
  <c r="AW11" i="12"/>
  <c r="AW12" i="12"/>
  <c r="AW6" i="12"/>
  <c r="BD18" i="1"/>
  <c r="BE18" i="1" s="1"/>
  <c r="BD19" i="1"/>
  <c r="BE19" i="1" s="1"/>
  <c r="BD20" i="1"/>
  <c r="BE20" i="1" s="1"/>
  <c r="BD21" i="1"/>
  <c r="BE21" i="1" s="1"/>
  <c r="BD22" i="1"/>
  <c r="BE22" i="1" s="1"/>
  <c r="BD16" i="1"/>
  <c r="BE16" i="1" s="1"/>
  <c r="BD14" i="1"/>
  <c r="BE14" i="1" s="1"/>
  <c r="BD15" i="1"/>
  <c r="BE15" i="1" s="1"/>
  <c r="BD13" i="1"/>
  <c r="BE13" i="1" s="1"/>
  <c r="BD10" i="1"/>
  <c r="BE10" i="1" s="1"/>
  <c r="BD11" i="1"/>
  <c r="BE11" i="1" s="1"/>
  <c r="BD12" i="1"/>
  <c r="BE12" i="1" s="1"/>
  <c r="Q6" i="7"/>
  <c r="C3" i="9"/>
  <c r="BA6" i="3"/>
  <c r="BA7" i="3"/>
  <c r="BA8" i="3"/>
  <c r="BA9" i="3"/>
  <c r="BA10" i="3"/>
  <c r="BA11" i="3"/>
  <c r="BA12" i="3"/>
  <c r="BA10" i="1"/>
  <c r="BA11" i="1"/>
  <c r="BA12" i="1"/>
  <c r="BA13" i="1"/>
  <c r="BA6" i="1"/>
  <c r="Q3" i="7" l="1"/>
  <c r="BD6" i="1" s="1"/>
  <c r="BE6" i="1" s="1"/>
  <c r="BD8" i="1"/>
  <c r="BE8" i="1" s="1"/>
  <c r="BD7" i="1"/>
  <c r="BE7" i="1" s="1"/>
  <c r="L165" i="7"/>
  <c r="L164" i="7"/>
  <c r="L163" i="7"/>
  <c r="K163" i="7" s="1"/>
  <c r="BA7" i="4" l="1"/>
  <c r="BA8" i="4"/>
  <c r="BA9" i="4"/>
  <c r="BA10" i="4"/>
  <c r="BA6" i="4"/>
  <c r="BA7" i="1" l="1"/>
  <c r="BA8" i="1"/>
  <c r="BA9" i="1"/>
  <c r="BA14" i="1"/>
  <c r="BA15" i="1"/>
  <c r="BA16" i="1"/>
  <c r="BA18" i="1"/>
  <c r="BA19" i="1"/>
  <c r="BA20" i="1"/>
  <c r="BA21" i="1"/>
  <c r="BA22" i="1"/>
  <c r="AS17" i="26" l="1"/>
  <c r="AS18" i="26"/>
  <c r="AS19" i="26"/>
  <c r="AS20" i="26"/>
  <c r="AS21" i="26"/>
  <c r="AS16" i="26" l="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2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3" i="21"/>
  <c r="G4" i="21"/>
  <c r="G2" i="21"/>
  <c r="P2" i="21" l="1"/>
  <c r="P3" i="21"/>
  <c r="AZ12" i="3"/>
  <c r="AZ6" i="3"/>
  <c r="AZ7" i="3"/>
  <c r="AZ8" i="3"/>
  <c r="AZ9" i="3"/>
  <c r="AZ10" i="3"/>
  <c r="AZ11" i="3"/>
  <c r="AZ22" i="1"/>
  <c r="AZ21" i="1"/>
  <c r="AZ20" i="1"/>
  <c r="AZ19" i="1"/>
  <c r="AZ18" i="1"/>
  <c r="AZ16" i="1"/>
  <c r="AZ15" i="1"/>
  <c r="AZ14" i="1"/>
  <c r="AZ13" i="1"/>
  <c r="AZ12" i="1"/>
  <c r="AZ11" i="1"/>
  <c r="AZ10" i="1"/>
  <c r="AZ9" i="1"/>
  <c r="AZ8" i="1"/>
  <c r="AZ7" i="1"/>
  <c r="AZ6" i="1"/>
  <c r="K6" i="5" l="1"/>
  <c r="N6" i="5" s="1"/>
  <c r="R29" i="39"/>
  <c r="U29" i="39" s="1"/>
  <c r="K12" i="39"/>
  <c r="N12" i="39" s="1"/>
  <c r="K21" i="39"/>
  <c r="N21" i="39" s="1"/>
  <c r="K30" i="39"/>
  <c r="N30" i="39" s="1"/>
  <c r="R25" i="39"/>
  <c r="K8" i="39"/>
  <c r="N8" i="39" s="1"/>
  <c r="K17" i="39"/>
  <c r="N17" i="39" s="1"/>
  <c r="K20" i="39"/>
  <c r="N20" i="39" s="1"/>
  <c r="K29" i="39"/>
  <c r="N29" i="39" s="1"/>
  <c r="K7" i="39"/>
  <c r="N7" i="39" s="1"/>
  <c r="K16" i="39"/>
  <c r="N16" i="39" s="1"/>
  <c r="K25" i="39"/>
  <c r="N25" i="39" s="1"/>
  <c r="J7" i="5"/>
  <c r="M7" i="5" s="1"/>
  <c r="R12" i="39"/>
  <c r="U12" i="39" s="1"/>
  <c r="K24" i="39"/>
  <c r="N24" i="39" s="1"/>
  <c r="R20" i="39"/>
  <c r="K7" i="5"/>
  <c r="N7" i="5" s="1"/>
  <c r="J8" i="5"/>
  <c r="K11" i="39"/>
  <c r="N11" i="39" s="1"/>
  <c r="R18" i="39"/>
  <c r="K19" i="39"/>
  <c r="N19" i="39" s="1"/>
  <c r="K28" i="39"/>
  <c r="N28" i="39" s="1"/>
  <c r="L26" i="26"/>
  <c r="O26" i="26" s="1"/>
  <c r="AT26" i="26" s="1"/>
  <c r="K15" i="39"/>
  <c r="N15" i="39" s="1"/>
  <c r="K18" i="39"/>
  <c r="N18" i="39" s="1"/>
  <c r="R23" i="39"/>
  <c r="U23" i="39" s="1"/>
  <c r="L27" i="26"/>
  <c r="O27" i="26" s="1"/>
  <c r="AT27" i="26" s="1"/>
  <c r="R31" i="39"/>
  <c r="R27" i="39"/>
  <c r="K13" i="39"/>
  <c r="N13" i="39" s="1"/>
  <c r="R26" i="39"/>
  <c r="U26" i="39" s="1"/>
  <c r="J6" i="5"/>
  <c r="K27" i="39"/>
  <c r="N27" i="39" s="1"/>
  <c r="L25" i="26"/>
  <c r="O25" i="26" s="1"/>
  <c r="AT25" i="26" s="1"/>
  <c r="R16" i="39"/>
  <c r="U16" i="39" s="1"/>
  <c r="K10" i="39"/>
  <c r="N10" i="39" s="1"/>
  <c r="K23" i="39"/>
  <c r="N23" i="39" s="1"/>
  <c r="K32" i="39"/>
  <c r="N32" i="39" s="1"/>
  <c r="R28" i="39"/>
  <c r="U28" i="39" s="1"/>
  <c r="R14" i="39"/>
  <c r="U14" i="39" s="1"/>
  <c r="L23" i="26"/>
  <c r="O23" i="26" s="1"/>
  <c r="AT23" i="26" s="1"/>
  <c r="K14" i="39"/>
  <c r="N14" i="39" s="1"/>
  <c r="R21" i="39"/>
  <c r="K22" i="39"/>
  <c r="N22" i="39" s="1"/>
  <c r="K9" i="39"/>
  <c r="N9" i="39" s="1"/>
  <c r="K8" i="5"/>
  <c r="N8" i="5" s="1"/>
  <c r="L24" i="26"/>
  <c r="O24" i="26" s="1"/>
  <c r="AT24" i="26" s="1"/>
  <c r="R15" i="39"/>
  <c r="U15" i="39" s="1"/>
  <c r="R24" i="39"/>
  <c r="U24" i="39" s="1"/>
  <c r="K26" i="39"/>
  <c r="N26" i="39" s="1"/>
  <c r="K31" i="39"/>
  <c r="N31" i="39" s="1"/>
  <c r="R11" i="39"/>
  <c r="U11" i="39" s="1"/>
  <c r="R32" i="39"/>
  <c r="U32" i="39" s="1"/>
  <c r="R19" i="39"/>
  <c r="U19" i="39" s="1"/>
  <c r="R13" i="39"/>
  <c r="U13" i="39" s="1"/>
  <c r="R22" i="39"/>
  <c r="R9" i="39"/>
  <c r="R10" i="39"/>
  <c r="R30" i="39"/>
  <c r="U30" i="39" s="1"/>
  <c r="R17" i="39"/>
  <c r="BB12" i="39"/>
  <c r="BC12" i="39" s="1"/>
  <c r="BB24" i="39"/>
  <c r="BC24" i="39" s="1"/>
  <c r="AX9" i="12"/>
  <c r="BB7" i="4"/>
  <c r="BB11" i="3"/>
  <c r="BB13" i="1"/>
  <c r="BB7" i="39"/>
  <c r="BC7" i="39" s="1"/>
  <c r="BB8" i="39"/>
  <c r="BC8" i="39" s="1"/>
  <c r="BB7" i="3"/>
  <c r="BB9" i="1"/>
  <c r="BB6" i="39"/>
  <c r="BC6" i="39" s="1"/>
  <c r="BB9" i="3"/>
  <c r="BB6" i="1"/>
  <c r="BB11" i="39"/>
  <c r="BC11" i="39" s="1"/>
  <c r="BB13" i="39"/>
  <c r="BC13" i="39" s="1"/>
  <c r="BB25" i="39"/>
  <c r="BC25" i="39" s="1"/>
  <c r="BB8" i="4"/>
  <c r="BB12" i="3"/>
  <c r="BB14" i="1"/>
  <c r="BB26" i="39"/>
  <c r="BC26" i="39" s="1"/>
  <c r="AX11" i="12"/>
  <c r="BB9" i="4"/>
  <c r="BB15" i="1"/>
  <c r="BB16" i="1"/>
  <c r="BB28" i="39"/>
  <c r="BC28" i="39" s="1"/>
  <c r="BB30" i="39"/>
  <c r="BB31" i="39"/>
  <c r="BC31" i="39" s="1"/>
  <c r="BB8" i="1"/>
  <c r="BB20" i="1"/>
  <c r="BB32" i="39"/>
  <c r="BC32" i="39" s="1"/>
  <c r="BB21" i="39"/>
  <c r="BC21" i="39" s="1"/>
  <c r="BB22" i="39"/>
  <c r="BC22" i="39" s="1"/>
  <c r="BB14" i="39"/>
  <c r="BC14" i="39" s="1"/>
  <c r="BB17" i="1"/>
  <c r="BC17" i="1" s="1"/>
  <c r="BB19" i="1"/>
  <c r="BB21" i="1"/>
  <c r="BB8" i="3"/>
  <c r="BB10" i="1"/>
  <c r="BB10" i="39"/>
  <c r="BC10" i="39" s="1"/>
  <c r="BB11" i="1"/>
  <c r="BB23" i="39"/>
  <c r="BC23" i="39" s="1"/>
  <c r="AX8" i="12"/>
  <c r="BB15" i="39"/>
  <c r="BC15" i="39" s="1"/>
  <c r="BB27" i="39"/>
  <c r="BC27" i="39" s="1"/>
  <c r="AX12" i="12"/>
  <c r="BB10" i="4"/>
  <c r="BB16" i="39"/>
  <c r="BC16" i="39" s="1"/>
  <c r="BB29" i="39"/>
  <c r="BC29" i="39" s="1"/>
  <c r="BB18" i="1"/>
  <c r="BC18" i="1" s="1"/>
  <c r="BB18" i="39"/>
  <c r="BC18" i="39" s="1"/>
  <c r="BB19" i="39"/>
  <c r="BC19" i="39" s="1"/>
  <c r="BB20" i="39"/>
  <c r="BC20" i="39" s="1"/>
  <c r="BB9" i="39"/>
  <c r="BC9" i="39" s="1"/>
  <c r="BB22" i="1"/>
  <c r="BB10" i="3"/>
  <c r="BB12" i="1"/>
  <c r="BB17" i="39"/>
  <c r="BC17" i="39" s="1"/>
  <c r="AX7" i="12"/>
  <c r="I8" i="39"/>
  <c r="L8" i="39" s="1"/>
  <c r="W10" i="1"/>
  <c r="Z10" i="1" s="1"/>
  <c r="I10" i="3"/>
  <c r="L10" i="3" s="1"/>
  <c r="W15" i="1"/>
  <c r="Z15" i="1" s="1"/>
  <c r="W17" i="1"/>
  <c r="Z17" i="1" s="1"/>
  <c r="AK18" i="1"/>
  <c r="AN18" i="1" s="1"/>
  <c r="J7" i="13"/>
  <c r="M7" i="13" s="1"/>
  <c r="AP7" i="13" s="1"/>
  <c r="I22" i="39"/>
  <c r="L22" i="39" s="1"/>
  <c r="I7" i="5"/>
  <c r="L7" i="5" s="1"/>
  <c r="L20" i="26"/>
  <c r="I24" i="39"/>
  <c r="L24" i="39" s="1"/>
  <c r="AU8" i="4"/>
  <c r="P14" i="1"/>
  <c r="AP17" i="26"/>
  <c r="AQ17" i="26" s="1"/>
  <c r="AP19" i="26"/>
  <c r="AQ19" i="26" s="1"/>
  <c r="AU9" i="4"/>
  <c r="AD14" i="1"/>
  <c r="I19" i="39"/>
  <c r="L19" i="39" s="1"/>
  <c r="I20" i="39"/>
  <c r="L20" i="39" s="1"/>
  <c r="W22" i="1"/>
  <c r="Z22" i="1" s="1"/>
  <c r="W13" i="1"/>
  <c r="Z13" i="1" s="1"/>
  <c r="P10" i="1"/>
  <c r="AP22" i="26"/>
  <c r="AQ22" i="26" s="1"/>
  <c r="W20" i="1"/>
  <c r="J19" i="13"/>
  <c r="L13" i="26"/>
  <c r="O13" i="26" s="1"/>
  <c r="AT13" i="26" s="1"/>
  <c r="AK11" i="3"/>
  <c r="AU6" i="4"/>
  <c r="J10" i="13"/>
  <c r="I27" i="39"/>
  <c r="L27" i="39" s="1"/>
  <c r="I30" i="39"/>
  <c r="L30" i="39" s="1"/>
  <c r="L14" i="26"/>
  <c r="O14" i="26" s="1"/>
  <c r="AT14" i="26" s="1"/>
  <c r="I7" i="12"/>
  <c r="AK12" i="3"/>
  <c r="W9" i="1"/>
  <c r="Z9" i="1" s="1"/>
  <c r="I6" i="1"/>
  <c r="L6" i="1" s="1"/>
  <c r="I11" i="1"/>
  <c r="L11" i="1" s="1"/>
  <c r="L8" i="26"/>
  <c r="O8" i="26" s="1"/>
  <c r="AT8" i="26" s="1"/>
  <c r="W6" i="3"/>
  <c r="L17" i="26"/>
  <c r="AD6" i="1"/>
  <c r="AG6" i="1" s="1"/>
  <c r="I8" i="3"/>
  <c r="L8" i="3" s="1"/>
  <c r="AD22" i="1"/>
  <c r="W8" i="1"/>
  <c r="Z8" i="1" s="1"/>
  <c r="AD7" i="1"/>
  <c r="AG7" i="1" s="1"/>
  <c r="AK15" i="1"/>
  <c r="AN15" i="1" s="1"/>
  <c r="W7" i="3"/>
  <c r="I7" i="4"/>
  <c r="L7" i="4" s="1"/>
  <c r="I18" i="39"/>
  <c r="L18" i="39" s="1"/>
  <c r="L16" i="26"/>
  <c r="AK8" i="1"/>
  <c r="AN8" i="1" s="1"/>
  <c r="W6" i="1"/>
  <c r="Z6" i="1" s="1"/>
  <c r="AU10" i="4"/>
  <c r="W19" i="1"/>
  <c r="Z19" i="1" s="1"/>
  <c r="P7" i="1"/>
  <c r="L18" i="26"/>
  <c r="P22" i="1"/>
  <c r="I26" i="39"/>
  <c r="L26" i="39" s="1"/>
  <c r="I15" i="39"/>
  <c r="L15" i="39" s="1"/>
  <c r="I9" i="1"/>
  <c r="L9" i="1" s="1"/>
  <c r="I14" i="1"/>
  <c r="L14" i="1" s="1"/>
  <c r="L12" i="26"/>
  <c r="O12" i="26" s="1"/>
  <c r="AT12" i="26" s="1"/>
  <c r="I29" i="39"/>
  <c r="L29" i="39" s="1"/>
  <c r="I6" i="5"/>
  <c r="L6" i="5" s="1"/>
  <c r="W7" i="1"/>
  <c r="Z7" i="1" s="1"/>
  <c r="I11" i="39"/>
  <c r="L11" i="39" s="1"/>
  <c r="AD15" i="1"/>
  <c r="I32" i="39"/>
  <c r="L32" i="39" s="1"/>
  <c r="P17" i="1"/>
  <c r="S17" i="1" s="1"/>
  <c r="I12" i="39"/>
  <c r="L12" i="39" s="1"/>
  <c r="I17" i="1"/>
  <c r="L17" i="1" s="1"/>
  <c r="I8" i="5"/>
  <c r="L8" i="5" s="1"/>
  <c r="I22" i="1"/>
  <c r="L22" i="1" s="1"/>
  <c r="P10" i="4"/>
  <c r="J20" i="13"/>
  <c r="P9" i="3"/>
  <c r="S9" i="3" s="1"/>
  <c r="AK6" i="3"/>
  <c r="I8" i="4"/>
  <c r="J13" i="13"/>
  <c r="L21" i="26"/>
  <c r="J9" i="13"/>
  <c r="P6" i="5"/>
  <c r="W18" i="1"/>
  <c r="Z18" i="1" s="1"/>
  <c r="P16" i="1"/>
  <c r="L11" i="26"/>
  <c r="O11" i="26" s="1"/>
  <c r="AT11" i="26" s="1"/>
  <c r="I12" i="1"/>
  <c r="L12" i="1" s="1"/>
  <c r="L15" i="26"/>
  <c r="I14" i="39"/>
  <c r="L14" i="39" s="1"/>
  <c r="AK16" i="1"/>
  <c r="AN16" i="1" s="1"/>
  <c r="I31" i="39"/>
  <c r="L31" i="39" s="1"/>
  <c r="W10" i="3"/>
  <c r="W11" i="3"/>
  <c r="AD10" i="1"/>
  <c r="P7" i="4"/>
  <c r="AK8" i="3"/>
  <c r="AN8" i="3" s="1"/>
  <c r="I6" i="4"/>
  <c r="I12" i="12"/>
  <c r="J6" i="13"/>
  <c r="M6" i="13" s="1"/>
  <c r="AP6" i="13" s="1"/>
  <c r="I10" i="4"/>
  <c r="J15" i="13"/>
  <c r="I10" i="39"/>
  <c r="L10" i="39" s="1"/>
  <c r="J17" i="13"/>
  <c r="W12" i="1"/>
  <c r="Z12" i="1" s="1"/>
  <c r="P8" i="3"/>
  <c r="I10" i="12"/>
  <c r="AK9" i="3"/>
  <c r="AD20" i="1"/>
  <c r="AD18" i="1"/>
  <c r="W21" i="1"/>
  <c r="Z21" i="1" s="1"/>
  <c r="AK12" i="1"/>
  <c r="AN12" i="1" s="1"/>
  <c r="I18" i="1"/>
  <c r="L18" i="1" s="1"/>
  <c r="I7" i="39"/>
  <c r="L7" i="39" s="1"/>
  <c r="P9" i="1"/>
  <c r="I9" i="12"/>
  <c r="J12" i="13"/>
  <c r="I23" i="39"/>
  <c r="L23" i="39" s="1"/>
  <c r="AP21" i="26"/>
  <c r="AQ21" i="26" s="1"/>
  <c r="AK19" i="1"/>
  <c r="AN19" i="1" s="1"/>
  <c r="AD13" i="1"/>
  <c r="J18" i="13"/>
  <c r="AP16" i="26"/>
  <c r="AQ16" i="26" s="1"/>
  <c r="AD19" i="1"/>
  <c r="I8" i="12"/>
  <c r="P13" i="1"/>
  <c r="I6" i="12"/>
  <c r="AK9" i="1"/>
  <c r="AN9" i="1" s="1"/>
  <c r="P19" i="1"/>
  <c r="P12" i="1"/>
  <c r="P6" i="4"/>
  <c r="S6" i="4" s="1"/>
  <c r="W14" i="1"/>
  <c r="Z14" i="1" s="1"/>
  <c r="I16" i="39"/>
  <c r="L16" i="39" s="1"/>
  <c r="I10" i="1"/>
  <c r="L10" i="1" s="1"/>
  <c r="W12" i="3"/>
  <c r="I6" i="3"/>
  <c r="L6" i="3" s="1"/>
  <c r="L9" i="26"/>
  <c r="O9" i="26" s="1"/>
  <c r="AT9" i="26" s="1"/>
  <c r="AD8" i="1"/>
  <c r="AG8" i="1" s="1"/>
  <c r="J8" i="13"/>
  <c r="M8" i="13" s="1"/>
  <c r="AP8" i="13" s="1"/>
  <c r="I25" i="39"/>
  <c r="L25" i="39" s="1"/>
  <c r="I8" i="1"/>
  <c r="L8" i="1" s="1"/>
  <c r="W8" i="3"/>
  <c r="I7" i="1"/>
  <c r="L7" i="1" s="1"/>
  <c r="P21" i="1"/>
  <c r="I28" i="39"/>
  <c r="L28" i="39" s="1"/>
  <c r="L10" i="26"/>
  <c r="O10" i="26" s="1"/>
  <c r="AT10" i="26" s="1"/>
  <c r="P8" i="1"/>
  <c r="AK14" i="1"/>
  <c r="AN14" i="1" s="1"/>
  <c r="AK17" i="1"/>
  <c r="AN17" i="1" s="1"/>
  <c r="W9" i="3"/>
  <c r="P8" i="5"/>
  <c r="I20" i="1"/>
  <c r="L20" i="1" s="1"/>
  <c r="AK7" i="1"/>
  <c r="AN7" i="1" s="1"/>
  <c r="AD16" i="1"/>
  <c r="I19" i="1"/>
  <c r="L19" i="1" s="1"/>
  <c r="AK11" i="1"/>
  <c r="AN11" i="1" s="1"/>
  <c r="I13" i="39"/>
  <c r="L13" i="39" s="1"/>
  <c r="J14" i="13"/>
  <c r="P7" i="5"/>
  <c r="W16" i="1"/>
  <c r="Z16" i="1" s="1"/>
  <c r="AD12" i="1"/>
  <c r="AK10" i="1"/>
  <c r="AN10" i="1" s="1"/>
  <c r="I9" i="4"/>
  <c r="AP15" i="26"/>
  <c r="AQ15" i="26" s="1"/>
  <c r="W11" i="1"/>
  <c r="Z11" i="1" s="1"/>
  <c r="L19" i="26"/>
  <c r="J11" i="13"/>
  <c r="I11" i="3"/>
  <c r="L11" i="3" s="1"/>
  <c r="P15" i="1"/>
  <c r="P6" i="1"/>
  <c r="I21" i="39"/>
  <c r="L21" i="39" s="1"/>
  <c r="P10" i="3"/>
  <c r="I12" i="3"/>
  <c r="L12" i="3" s="1"/>
  <c r="P11" i="3"/>
  <c r="S11" i="3" s="1"/>
  <c r="I6" i="39"/>
  <c r="L6" i="39" s="1"/>
  <c r="P20" i="1"/>
  <c r="L22" i="26"/>
  <c r="AK13" i="1"/>
  <c r="AN13" i="1" s="1"/>
  <c r="I13" i="1"/>
  <c r="L13" i="1" s="1"/>
  <c r="AP20" i="26"/>
  <c r="AQ20" i="26" s="1"/>
  <c r="I15" i="1"/>
  <c r="L15" i="1" s="1"/>
  <c r="P9" i="4"/>
  <c r="AK10" i="3"/>
  <c r="AN10" i="3" s="1"/>
  <c r="AK21" i="1"/>
  <c r="AN21" i="1" s="1"/>
  <c r="AK7" i="3"/>
  <c r="AN7" i="3" s="1"/>
  <c r="AK22" i="1"/>
  <c r="AN22" i="1" s="1"/>
  <c r="J16" i="13"/>
  <c r="I9" i="3"/>
  <c r="L9" i="3" s="1"/>
  <c r="AD9" i="1"/>
  <c r="AG9" i="1" s="1"/>
  <c r="AP18" i="26"/>
  <c r="AQ18" i="26" s="1"/>
  <c r="P8" i="4"/>
  <c r="P12" i="3"/>
  <c r="I7" i="3"/>
  <c r="L7" i="3" s="1"/>
  <c r="AD21" i="1"/>
  <c r="I9" i="39"/>
  <c r="L9" i="39" s="1"/>
  <c r="P7" i="3"/>
  <c r="AK6" i="1"/>
  <c r="AN6" i="1" s="1"/>
  <c r="P6" i="3"/>
  <c r="S6" i="3" s="1"/>
  <c r="P11" i="1"/>
  <c r="AD17" i="1"/>
  <c r="AG17" i="1" s="1"/>
  <c r="I11" i="12"/>
  <c r="AU7" i="4"/>
  <c r="AK20" i="1"/>
  <c r="AN20" i="1" s="1"/>
  <c r="P18" i="1"/>
  <c r="AD11" i="1"/>
  <c r="I17" i="39"/>
  <c r="L17" i="39" s="1"/>
  <c r="I21" i="1"/>
  <c r="L21" i="1" s="1"/>
  <c r="I16" i="1"/>
  <c r="L16" i="1" s="1"/>
  <c r="BB7" i="1"/>
  <c r="N23" i="26"/>
  <c r="Q23" i="26" s="1"/>
  <c r="AV23" i="26" s="1"/>
  <c r="N15" i="26"/>
  <c r="R7" i="5"/>
  <c r="L9" i="13"/>
  <c r="L17" i="13"/>
  <c r="K10" i="12"/>
  <c r="AW6" i="4"/>
  <c r="K9" i="4"/>
  <c r="AM12" i="3"/>
  <c r="Y12" i="3"/>
  <c r="R6" i="3"/>
  <c r="K9" i="3"/>
  <c r="N9" i="3" s="1"/>
  <c r="Y10" i="3"/>
  <c r="N22" i="26"/>
  <c r="N14" i="26"/>
  <c r="Q14" i="26" s="1"/>
  <c r="AV14" i="26" s="1"/>
  <c r="R8" i="5"/>
  <c r="L10" i="13"/>
  <c r="L18" i="13"/>
  <c r="K11" i="12"/>
  <c r="R7" i="4"/>
  <c r="U7" i="4" s="1"/>
  <c r="K10" i="4"/>
  <c r="AM6" i="3"/>
  <c r="AP6" i="3" s="1"/>
  <c r="Y6" i="3"/>
  <c r="K7" i="3"/>
  <c r="N7" i="3" s="1"/>
  <c r="AM7" i="3"/>
  <c r="K11" i="3"/>
  <c r="N11" i="3" s="1"/>
  <c r="N21" i="26"/>
  <c r="N13" i="26"/>
  <c r="Q13" i="26" s="1"/>
  <c r="AV13" i="26" s="1"/>
  <c r="R6" i="5"/>
  <c r="L11" i="13"/>
  <c r="L19" i="13"/>
  <c r="K12" i="12"/>
  <c r="R8" i="4"/>
  <c r="K6" i="4"/>
  <c r="N6" i="4" s="1"/>
  <c r="AF6" i="3"/>
  <c r="R7" i="3"/>
  <c r="U7" i="3" s="1"/>
  <c r="K8" i="3"/>
  <c r="N8" i="3" s="1"/>
  <c r="R8" i="3"/>
  <c r="U8" i="3" s="1"/>
  <c r="R10" i="3"/>
  <c r="K12" i="3"/>
  <c r="N12" i="3" s="1"/>
  <c r="K6" i="39"/>
  <c r="N6" i="39" s="1"/>
  <c r="N20" i="26"/>
  <c r="N12" i="26"/>
  <c r="Q12" i="26" s="1"/>
  <c r="AV12" i="26" s="1"/>
  <c r="L12" i="13"/>
  <c r="L20" i="13"/>
  <c r="K6" i="12"/>
  <c r="R9" i="4"/>
  <c r="Y7" i="3"/>
  <c r="AM10" i="3"/>
  <c r="N27" i="26"/>
  <c r="Q27" i="26" s="1"/>
  <c r="AV27" i="26" s="1"/>
  <c r="N19" i="26"/>
  <c r="N11" i="26"/>
  <c r="Q11" i="26" s="1"/>
  <c r="AV11" i="26" s="1"/>
  <c r="L13" i="13"/>
  <c r="L6" i="13"/>
  <c r="AW7" i="4"/>
  <c r="R10" i="4"/>
  <c r="AM8" i="3"/>
  <c r="Y8" i="3"/>
  <c r="R9" i="3"/>
  <c r="K10" i="3"/>
  <c r="N10" i="3" s="1"/>
  <c r="R11" i="3"/>
  <c r="N26" i="26"/>
  <c r="Q26" i="26" s="1"/>
  <c r="AV26" i="26" s="1"/>
  <c r="N18" i="26"/>
  <c r="N10" i="26"/>
  <c r="Q10" i="26" s="1"/>
  <c r="AV10" i="26" s="1"/>
  <c r="L14" i="13"/>
  <c r="K7" i="12"/>
  <c r="AW8" i="4"/>
  <c r="R6" i="4"/>
  <c r="AM9" i="3"/>
  <c r="AP9" i="3" s="1"/>
  <c r="Y9" i="3"/>
  <c r="K6" i="3"/>
  <c r="N6" i="3" s="1"/>
  <c r="N25" i="26"/>
  <c r="Q25" i="26" s="1"/>
  <c r="AV25" i="26" s="1"/>
  <c r="N17" i="26"/>
  <c r="N9" i="26"/>
  <c r="Q9" i="26" s="1"/>
  <c r="AV9" i="26" s="1"/>
  <c r="L7" i="13"/>
  <c r="L15" i="13"/>
  <c r="K8" i="12"/>
  <c r="AW9" i="4"/>
  <c r="K7" i="4"/>
  <c r="N7" i="4" s="1"/>
  <c r="N24" i="26"/>
  <c r="Q24" i="26" s="1"/>
  <c r="AV24" i="26" s="1"/>
  <c r="N16" i="26"/>
  <c r="N8" i="26"/>
  <c r="Q8" i="26" s="1"/>
  <c r="AV8" i="26" s="1"/>
  <c r="L8" i="13"/>
  <c r="L16" i="13"/>
  <c r="K9" i="12"/>
  <c r="AW10" i="4"/>
  <c r="K8" i="4"/>
  <c r="AM11" i="3"/>
  <c r="Y11" i="3"/>
  <c r="R12" i="3"/>
  <c r="U12" i="3" s="1"/>
  <c r="AM10" i="1"/>
  <c r="AP10" i="1" s="1"/>
  <c r="AM18" i="1"/>
  <c r="AP18" i="1" s="1"/>
  <c r="AF12" i="1"/>
  <c r="AF20" i="1"/>
  <c r="Y16" i="1"/>
  <c r="AB16" i="1" s="1"/>
  <c r="R7" i="1"/>
  <c r="R15" i="1"/>
  <c r="R6" i="1"/>
  <c r="K14" i="1"/>
  <c r="N14" i="1" s="1"/>
  <c r="K22" i="1"/>
  <c r="N22" i="1" s="1"/>
  <c r="K9" i="1"/>
  <c r="N9" i="1" s="1"/>
  <c r="K19" i="1"/>
  <c r="N19" i="1" s="1"/>
  <c r="Y15" i="1"/>
  <c r="AB15" i="1" s="1"/>
  <c r="AM11" i="1"/>
  <c r="AP11" i="1" s="1"/>
  <c r="AM19" i="1"/>
  <c r="AP19" i="1" s="1"/>
  <c r="AF13" i="1"/>
  <c r="AF21" i="1"/>
  <c r="Y17" i="1"/>
  <c r="AB17" i="1" s="1"/>
  <c r="R8" i="1"/>
  <c r="R16" i="1"/>
  <c r="K7" i="1"/>
  <c r="N7" i="1" s="1"/>
  <c r="K15" i="1"/>
  <c r="N15" i="1" s="1"/>
  <c r="R18" i="1"/>
  <c r="K11" i="1"/>
  <c r="N11" i="1" s="1"/>
  <c r="AF19" i="1"/>
  <c r="AM12" i="1"/>
  <c r="AP12" i="1" s="1"/>
  <c r="AM20" i="1"/>
  <c r="AP20" i="1" s="1"/>
  <c r="AF14" i="1"/>
  <c r="AF22" i="1"/>
  <c r="Y18" i="1"/>
  <c r="AB18" i="1" s="1"/>
  <c r="R9" i="1"/>
  <c r="R17" i="1"/>
  <c r="U17" i="1" s="1"/>
  <c r="K8" i="1"/>
  <c r="N8" i="1" s="1"/>
  <c r="K16" i="1"/>
  <c r="N16" i="1" s="1"/>
  <c r="K18" i="1"/>
  <c r="N18" i="1" s="1"/>
  <c r="AF11" i="1"/>
  <c r="K13" i="1"/>
  <c r="N13" i="1" s="1"/>
  <c r="AM13" i="1"/>
  <c r="AP13" i="1" s="1"/>
  <c r="AM21" i="1"/>
  <c r="AP21" i="1" s="1"/>
  <c r="AF15" i="1"/>
  <c r="AF9" i="1"/>
  <c r="Y19" i="1"/>
  <c r="AB19" i="1" s="1"/>
  <c r="R10" i="1"/>
  <c r="K17" i="1"/>
  <c r="N17" i="1" s="1"/>
  <c r="AM17" i="1"/>
  <c r="AP17" i="1" s="1"/>
  <c r="K21" i="1"/>
  <c r="N21" i="1" s="1"/>
  <c r="AM14" i="1"/>
  <c r="AP14" i="1" s="1"/>
  <c r="AM22" i="1"/>
  <c r="AP22" i="1" s="1"/>
  <c r="AF16" i="1"/>
  <c r="Y12" i="1"/>
  <c r="AB12" i="1" s="1"/>
  <c r="Y20" i="1"/>
  <c r="AB20" i="1" s="1"/>
  <c r="R11" i="1"/>
  <c r="R19" i="1"/>
  <c r="K10" i="1"/>
  <c r="N10" i="1" s="1"/>
  <c r="K12" i="1"/>
  <c r="N12" i="1" s="1"/>
  <c r="Y11" i="1"/>
  <c r="AB11" i="1" s="1"/>
  <c r="AM15" i="1"/>
  <c r="AP15" i="1" s="1"/>
  <c r="AM9" i="1"/>
  <c r="AP9" i="1" s="1"/>
  <c r="AF17" i="1"/>
  <c r="AI17" i="1" s="1"/>
  <c r="Y13" i="1"/>
  <c r="AB13" i="1" s="1"/>
  <c r="Y21" i="1"/>
  <c r="AB21" i="1" s="1"/>
  <c r="R12" i="1"/>
  <c r="R20" i="1"/>
  <c r="K20" i="1"/>
  <c r="N20" i="1" s="1"/>
  <c r="R22" i="1"/>
  <c r="AM16" i="1"/>
  <c r="AP16" i="1" s="1"/>
  <c r="AF10" i="1"/>
  <c r="AF18" i="1"/>
  <c r="Y14" i="1"/>
  <c r="AB14" i="1" s="1"/>
  <c r="Y22" i="1"/>
  <c r="AB22" i="1" s="1"/>
  <c r="R13" i="1"/>
  <c r="R21" i="1"/>
  <c r="K6" i="1"/>
  <c r="N6" i="1" s="1"/>
  <c r="R14" i="1"/>
  <c r="Q17" i="39"/>
  <c r="T17" i="39" s="1"/>
  <c r="Q9" i="39"/>
  <c r="T9" i="39" s="1"/>
  <c r="AL7" i="39"/>
  <c r="AO7" i="39" s="1"/>
  <c r="X17" i="1"/>
  <c r="AA17" i="1" s="1"/>
  <c r="J28" i="39"/>
  <c r="M28" i="39" s="1"/>
  <c r="J7" i="39"/>
  <c r="M7" i="39" s="1"/>
  <c r="AE10" i="39"/>
  <c r="AH10" i="39" s="1"/>
  <c r="Q27" i="39"/>
  <c r="T27" i="39" s="1"/>
  <c r="J27" i="39"/>
  <c r="M27" i="39" s="1"/>
  <c r="AL13" i="39"/>
  <c r="AO13" i="39" s="1"/>
  <c r="AE16" i="39"/>
  <c r="AH16" i="39" s="1"/>
  <c r="X27" i="39"/>
  <c r="AA27" i="39" s="1"/>
  <c r="J17" i="1"/>
  <c r="M17" i="1" s="1"/>
  <c r="AE6" i="1"/>
  <c r="X26" i="39"/>
  <c r="AA26" i="39" s="1"/>
  <c r="AL18" i="39"/>
  <c r="AO18" i="39" s="1"/>
  <c r="AE25" i="39"/>
  <c r="AH25" i="39" s="1"/>
  <c r="J9" i="39"/>
  <c r="M9" i="39" s="1"/>
  <c r="AE32" i="39"/>
  <c r="AH32" i="39" s="1"/>
  <c r="J8" i="39"/>
  <c r="M8" i="39" s="1"/>
  <c r="X32" i="39"/>
  <c r="AA32" i="39" s="1"/>
  <c r="AL24" i="39"/>
  <c r="AO24" i="39" s="1"/>
  <c r="AE24" i="39"/>
  <c r="AH24" i="39" s="1"/>
  <c r="AE31" i="39"/>
  <c r="AH31" i="39" s="1"/>
  <c r="X19" i="39"/>
  <c r="AA19" i="39" s="1"/>
  <c r="J10" i="39"/>
  <c r="M10" i="39" s="1"/>
  <c r="AL16" i="39"/>
  <c r="AO16" i="39" s="1"/>
  <c r="J6" i="39"/>
  <c r="M6" i="39" s="1"/>
  <c r="AE22" i="39"/>
  <c r="AH22" i="39" s="1"/>
  <c r="Q17" i="1"/>
  <c r="T17" i="1" s="1"/>
  <c r="AE30" i="39"/>
  <c r="AH30" i="39" s="1"/>
  <c r="X31" i="39"/>
  <c r="AA31" i="39" s="1"/>
  <c r="Q19" i="39"/>
  <c r="T19" i="39" s="1"/>
  <c r="AE7" i="39"/>
  <c r="AH7" i="39" s="1"/>
  <c r="Q23" i="39"/>
  <c r="T23" i="39" s="1"/>
  <c r="Q30" i="39"/>
  <c r="T30" i="39" s="1"/>
  <c r="J19" i="39"/>
  <c r="M19" i="39" s="1"/>
  <c r="J30" i="39"/>
  <c r="M30" i="39" s="1"/>
  <c r="X22" i="39"/>
  <c r="AA22" i="39" s="1"/>
  <c r="Q22" i="39"/>
  <c r="T22" i="39" s="1"/>
  <c r="Q29" i="39"/>
  <c r="T29" i="39" s="1"/>
  <c r="J11" i="39"/>
  <c r="M11" i="39" s="1"/>
  <c r="X28" i="39"/>
  <c r="AA28" i="39" s="1"/>
  <c r="AL17" i="1"/>
  <c r="AO17" i="1" s="1"/>
  <c r="AL6" i="39"/>
  <c r="AO6" i="39" s="1"/>
  <c r="AL14" i="39"/>
  <c r="AO14" i="39" s="1"/>
  <c r="Q31" i="39"/>
  <c r="T31" i="39" s="1"/>
  <c r="AL17" i="39"/>
  <c r="AO17" i="39" s="1"/>
  <c r="AE28" i="39"/>
  <c r="AH28" i="39" s="1"/>
  <c r="Q28" i="39"/>
  <c r="T28" i="39" s="1"/>
  <c r="J29" i="39"/>
  <c r="M29" i="39" s="1"/>
  <c r="AL20" i="39"/>
  <c r="AO20" i="39" s="1"/>
  <c r="AE17" i="1"/>
  <c r="AH17" i="1" s="1"/>
  <c r="AL27" i="39"/>
  <c r="AO27" i="39" s="1"/>
  <c r="AE27" i="39"/>
  <c r="AH27" i="39" s="1"/>
  <c r="J20" i="39"/>
  <c r="M20" i="39" s="1"/>
  <c r="AL19" i="39"/>
  <c r="AO19" i="39" s="1"/>
  <c r="AL26" i="39"/>
  <c r="AO26" i="39" s="1"/>
  <c r="AE29" i="39"/>
  <c r="AH29" i="39" s="1"/>
  <c r="AL11" i="39"/>
  <c r="AO11" i="39" s="1"/>
  <c r="AL12" i="39"/>
  <c r="AO12" i="39" s="1"/>
  <c r="J24" i="39"/>
  <c r="M24" i="39" s="1"/>
  <c r="AE11" i="39"/>
  <c r="AH11" i="39" s="1"/>
  <c r="AL25" i="39"/>
  <c r="AO25" i="39" s="1"/>
  <c r="AL29" i="39"/>
  <c r="AO29" i="39" s="1"/>
  <c r="AE26" i="39"/>
  <c r="AH26" i="39" s="1"/>
  <c r="AE8" i="39"/>
  <c r="AH8" i="39" s="1"/>
  <c r="AE6" i="39"/>
  <c r="AH6" i="39" s="1"/>
  <c r="X18" i="39"/>
  <c r="AA18" i="39" s="1"/>
  <c r="AE23" i="39"/>
  <c r="AH23" i="39" s="1"/>
  <c r="X25" i="39"/>
  <c r="AA25" i="39" s="1"/>
  <c r="AL30" i="39"/>
  <c r="AO30" i="39" s="1"/>
  <c r="Q25" i="39"/>
  <c r="T25" i="39" s="1"/>
  <c r="AE14" i="39"/>
  <c r="AH14" i="39" s="1"/>
  <c r="AE17" i="39"/>
  <c r="AH17" i="39" s="1"/>
  <c r="X17" i="39"/>
  <c r="AA17" i="39" s="1"/>
  <c r="X24" i="39"/>
  <c r="AA24" i="39" s="1"/>
  <c r="AL28" i="39"/>
  <c r="AO28" i="39" s="1"/>
  <c r="Q6" i="39"/>
  <c r="T6" i="39" s="1"/>
  <c r="AL9" i="39"/>
  <c r="AO9" i="39" s="1"/>
  <c r="AL8" i="39"/>
  <c r="AO8" i="39" s="1"/>
  <c r="AE21" i="39"/>
  <c r="AH21" i="39" s="1"/>
  <c r="J13" i="39"/>
  <c r="M13" i="39" s="1"/>
  <c r="J26" i="39"/>
  <c r="M26" i="39" s="1"/>
  <c r="X23" i="39"/>
  <c r="AA23" i="39" s="1"/>
  <c r="J25" i="39"/>
  <c r="M25" i="39" s="1"/>
  <c r="Q24" i="39"/>
  <c r="T24" i="39" s="1"/>
  <c r="J31" i="39"/>
  <c r="M31" i="39" s="1"/>
  <c r="J16" i="39"/>
  <c r="M16" i="39" s="1"/>
  <c r="J23" i="39"/>
  <c r="M23" i="39" s="1"/>
  <c r="Q21" i="39"/>
  <c r="T21" i="39" s="1"/>
  <c r="AL22" i="39"/>
  <c r="AO22" i="39" s="1"/>
  <c r="AE15" i="39"/>
  <c r="AH15" i="39" s="1"/>
  <c r="J14" i="39"/>
  <c r="M14" i="39" s="1"/>
  <c r="J22" i="39"/>
  <c r="M22" i="39" s="1"/>
  <c r="Q8" i="39"/>
  <c r="T8" i="39" s="1"/>
  <c r="AL10" i="39"/>
  <c r="AO10" i="39" s="1"/>
  <c r="BC30" i="39"/>
  <c r="AE18" i="39"/>
  <c r="AH18" i="39" s="1"/>
  <c r="X30" i="39"/>
  <c r="AA30" i="39" s="1"/>
  <c r="AE9" i="39"/>
  <c r="AH9" i="39" s="1"/>
  <c r="Q18" i="39"/>
  <c r="T18" i="39" s="1"/>
  <c r="J18" i="39"/>
  <c r="M18" i="39" s="1"/>
  <c r="X29" i="39"/>
  <c r="AA29" i="39" s="1"/>
  <c r="X21" i="39"/>
  <c r="AA21" i="39" s="1"/>
  <c r="AE13" i="39"/>
  <c r="AH13" i="39" s="1"/>
  <c r="Q7" i="39"/>
  <c r="T7" i="39" s="1"/>
  <c r="AL15" i="39"/>
  <c r="AO15" i="39" s="1"/>
  <c r="Q32" i="39"/>
  <c r="T32" i="39" s="1"/>
  <c r="Q26" i="39"/>
  <c r="T26" i="39" s="1"/>
  <c r="J17" i="39"/>
  <c r="M17" i="39" s="1"/>
  <c r="J21" i="39"/>
  <c r="M21" i="39" s="1"/>
  <c r="Q20" i="39"/>
  <c r="T20" i="39" s="1"/>
  <c r="AL21" i="39"/>
  <c r="AO21" i="39" s="1"/>
  <c r="AL23" i="39"/>
  <c r="AO23" i="39" s="1"/>
  <c r="AL32" i="39"/>
  <c r="AO32" i="39" s="1"/>
  <c r="AE20" i="39"/>
  <c r="AH20" i="39" s="1"/>
  <c r="X20" i="39"/>
  <c r="AA20" i="39" s="1"/>
  <c r="J15" i="39"/>
  <c r="M15" i="39" s="1"/>
  <c r="J32" i="39"/>
  <c r="M32" i="39" s="1"/>
  <c r="AL31" i="39"/>
  <c r="AO31" i="39" s="1"/>
  <c r="AE12" i="39"/>
  <c r="AH12" i="39" s="1"/>
  <c r="AE19" i="39"/>
  <c r="AH19" i="39" s="1"/>
  <c r="J12" i="39"/>
  <c r="M12" i="39" s="1"/>
  <c r="Y9" i="1"/>
  <c r="AB9" i="1" s="1"/>
  <c r="AM6" i="1"/>
  <c r="AP6" i="1" s="1"/>
  <c r="S6" i="5"/>
  <c r="N7" i="26"/>
  <c r="Q7" i="26" s="1"/>
  <c r="AV7" i="26" s="1"/>
  <c r="Y10" i="1"/>
  <c r="AB10" i="1" s="1"/>
  <c r="Z20" i="1"/>
  <c r="AM7" i="1"/>
  <c r="AP7" i="1" s="1"/>
  <c r="Y6" i="1"/>
  <c r="AB6" i="1" s="1"/>
  <c r="AF7" i="1"/>
  <c r="L7" i="26"/>
  <c r="O7" i="26" s="1"/>
  <c r="AT7" i="26" s="1"/>
  <c r="AF6" i="1"/>
  <c r="AM8" i="1"/>
  <c r="AP8" i="1" s="1"/>
  <c r="AF8" i="1"/>
  <c r="L6" i="4"/>
  <c r="Y8" i="1"/>
  <c r="AB8" i="1" s="1"/>
  <c r="Y7" i="1"/>
  <c r="AB7" i="1" s="1"/>
  <c r="L6" i="26"/>
  <c r="O6" i="26" s="1"/>
  <c r="AT6" i="26" s="1"/>
  <c r="N6" i="26"/>
  <c r="Q6" i="26" s="1"/>
  <c r="AV6" i="26" s="1"/>
  <c r="P17" i="39"/>
  <c r="S17" i="39" s="1"/>
  <c r="W17" i="39"/>
  <c r="Z17" i="39" s="1"/>
  <c r="AD17" i="39"/>
  <c r="AG17" i="39" s="1"/>
  <c r="AK17" i="39"/>
  <c r="AN17" i="39" s="1"/>
  <c r="AR17" i="39"/>
  <c r="AS17" i="39" s="1"/>
  <c r="AU17" i="39"/>
  <c r="AV17" i="39" s="1"/>
  <c r="P18" i="39"/>
  <c r="S18" i="39" s="1"/>
  <c r="W18" i="39"/>
  <c r="Z18" i="39" s="1"/>
  <c r="AD18" i="39"/>
  <c r="AG18" i="39" s="1"/>
  <c r="AK18" i="39"/>
  <c r="AN18" i="39" s="1"/>
  <c r="AR18" i="39"/>
  <c r="AS18" i="39" s="1"/>
  <c r="AU18" i="39"/>
  <c r="AV18" i="39" s="1"/>
  <c r="P19" i="39"/>
  <c r="S19" i="39" s="1"/>
  <c r="W19" i="39"/>
  <c r="Z19" i="39" s="1"/>
  <c r="AD19" i="39"/>
  <c r="AG19" i="39" s="1"/>
  <c r="AK19" i="39"/>
  <c r="AN19" i="39" s="1"/>
  <c r="AR19" i="39"/>
  <c r="AS19" i="39" s="1"/>
  <c r="AU19" i="39"/>
  <c r="AV19" i="39" s="1"/>
  <c r="P20" i="39"/>
  <c r="S20" i="39" s="1"/>
  <c r="W20" i="39"/>
  <c r="Z20" i="39" s="1"/>
  <c r="AD20" i="39"/>
  <c r="AG20" i="39" s="1"/>
  <c r="AK20" i="39"/>
  <c r="AN20" i="39" s="1"/>
  <c r="AR20" i="39"/>
  <c r="AS20" i="39" s="1"/>
  <c r="AU20" i="39"/>
  <c r="AV20" i="39" s="1"/>
  <c r="P21" i="39"/>
  <c r="S21" i="39" s="1"/>
  <c r="W21" i="39"/>
  <c r="Z21" i="39" s="1"/>
  <c r="AD21" i="39"/>
  <c r="AG21" i="39" s="1"/>
  <c r="AK21" i="39"/>
  <c r="AN21" i="39" s="1"/>
  <c r="AR21" i="39"/>
  <c r="AS21" i="39" s="1"/>
  <c r="AU21" i="39"/>
  <c r="AV21" i="39" s="1"/>
  <c r="P22" i="39"/>
  <c r="S22" i="39" s="1"/>
  <c r="W22" i="39"/>
  <c r="Z22" i="39" s="1"/>
  <c r="AD22" i="39"/>
  <c r="AG22" i="39" s="1"/>
  <c r="AK22" i="39"/>
  <c r="AN22" i="39" s="1"/>
  <c r="AR22" i="39"/>
  <c r="AS22" i="39" s="1"/>
  <c r="AU22" i="39"/>
  <c r="AV22" i="39" s="1"/>
  <c r="P23" i="39"/>
  <c r="S23" i="39" s="1"/>
  <c r="W23" i="39"/>
  <c r="Z23" i="39" s="1"/>
  <c r="AD23" i="39"/>
  <c r="AG23" i="39" s="1"/>
  <c r="AK23" i="39"/>
  <c r="AN23" i="39" s="1"/>
  <c r="AR23" i="39"/>
  <c r="AS23" i="39" s="1"/>
  <c r="AU23" i="39"/>
  <c r="AV23" i="39" s="1"/>
  <c r="P24" i="39"/>
  <c r="S24" i="39" s="1"/>
  <c r="W24" i="39"/>
  <c r="Z24" i="39" s="1"/>
  <c r="AD24" i="39"/>
  <c r="AG24" i="39" s="1"/>
  <c r="AK24" i="39"/>
  <c r="AN24" i="39" s="1"/>
  <c r="AR24" i="39"/>
  <c r="AS24" i="39" s="1"/>
  <c r="AU24" i="39"/>
  <c r="AV24" i="39" s="1"/>
  <c r="P25" i="39"/>
  <c r="S25" i="39" s="1"/>
  <c r="W25" i="39"/>
  <c r="Z25" i="39" s="1"/>
  <c r="AD25" i="39"/>
  <c r="AG25" i="39" s="1"/>
  <c r="AK25" i="39"/>
  <c r="AN25" i="39" s="1"/>
  <c r="AR25" i="39"/>
  <c r="AS25" i="39" s="1"/>
  <c r="AU25" i="39"/>
  <c r="AV25" i="39" s="1"/>
  <c r="P26" i="39"/>
  <c r="S26" i="39" s="1"/>
  <c r="W26" i="39"/>
  <c r="Z26" i="39" s="1"/>
  <c r="AD26" i="39"/>
  <c r="AG26" i="39" s="1"/>
  <c r="AK26" i="39"/>
  <c r="AN26" i="39" s="1"/>
  <c r="AR26" i="39"/>
  <c r="AS26" i="39" s="1"/>
  <c r="AU26" i="39"/>
  <c r="AV26" i="39" s="1"/>
  <c r="P27" i="39"/>
  <c r="S27" i="39" s="1"/>
  <c r="W27" i="39"/>
  <c r="Z27" i="39" s="1"/>
  <c r="AD27" i="39"/>
  <c r="AG27" i="39" s="1"/>
  <c r="AK27" i="39"/>
  <c r="AN27" i="39" s="1"/>
  <c r="AR27" i="39"/>
  <c r="AS27" i="39" s="1"/>
  <c r="AU27" i="39"/>
  <c r="AV27" i="39" s="1"/>
  <c r="P28" i="39"/>
  <c r="S28" i="39" s="1"/>
  <c r="W28" i="39"/>
  <c r="Z28" i="39" s="1"/>
  <c r="AD28" i="39"/>
  <c r="AG28" i="39" s="1"/>
  <c r="AK28" i="39"/>
  <c r="AN28" i="39" s="1"/>
  <c r="AR28" i="39"/>
  <c r="AS28" i="39" s="1"/>
  <c r="AU28" i="39"/>
  <c r="AV28" i="39" s="1"/>
  <c r="P29" i="39"/>
  <c r="S29" i="39" s="1"/>
  <c r="W29" i="39"/>
  <c r="Z29" i="39" s="1"/>
  <c r="AD29" i="39"/>
  <c r="AG29" i="39" s="1"/>
  <c r="AK29" i="39"/>
  <c r="AN29" i="39" s="1"/>
  <c r="AR29" i="39"/>
  <c r="AS29" i="39" s="1"/>
  <c r="AU29" i="39"/>
  <c r="AV29" i="39" s="1"/>
  <c r="P30" i="39"/>
  <c r="S30" i="39" s="1"/>
  <c r="W30" i="39"/>
  <c r="Z30" i="39" s="1"/>
  <c r="AD30" i="39"/>
  <c r="AG30" i="39" s="1"/>
  <c r="AK30" i="39"/>
  <c r="AN30" i="39" s="1"/>
  <c r="AR30" i="39"/>
  <c r="AS30" i="39" s="1"/>
  <c r="AU30" i="39"/>
  <c r="AV30" i="39" s="1"/>
  <c r="P31" i="39"/>
  <c r="S31" i="39" s="1"/>
  <c r="W31" i="39"/>
  <c r="Z31" i="39" s="1"/>
  <c r="AD31" i="39"/>
  <c r="AG31" i="39" s="1"/>
  <c r="AK31" i="39"/>
  <c r="AN31" i="39" s="1"/>
  <c r="AR31" i="39"/>
  <c r="AS31" i="39" s="1"/>
  <c r="AU31" i="39"/>
  <c r="AV31" i="39" s="1"/>
  <c r="P32" i="39"/>
  <c r="S32" i="39" s="1"/>
  <c r="W32" i="39"/>
  <c r="Z32" i="39" s="1"/>
  <c r="AD32" i="39"/>
  <c r="AG32" i="39" s="1"/>
  <c r="AK32" i="39"/>
  <c r="AN32" i="39" s="1"/>
  <c r="AR32" i="39"/>
  <c r="AS32" i="39" s="1"/>
  <c r="AU32" i="39"/>
  <c r="AV32" i="39" s="1"/>
  <c r="U17" i="39"/>
  <c r="Y17" i="39"/>
  <c r="AB17" i="39" s="1"/>
  <c r="AF17" i="39"/>
  <c r="AI17" i="39" s="1"/>
  <c r="AM17" i="39"/>
  <c r="AP17" i="39" s="1"/>
  <c r="U18" i="39"/>
  <c r="Y18" i="39"/>
  <c r="AB18" i="39" s="1"/>
  <c r="AF18" i="39"/>
  <c r="AI18" i="39" s="1"/>
  <c r="AM18" i="39"/>
  <c r="AP18" i="39" s="1"/>
  <c r="Y19" i="39"/>
  <c r="AB19" i="39" s="1"/>
  <c r="AF19" i="39"/>
  <c r="AI19" i="39" s="1"/>
  <c r="AM19" i="39"/>
  <c r="AP19" i="39" s="1"/>
  <c r="U20" i="39"/>
  <c r="Y20" i="39"/>
  <c r="AB20" i="39" s="1"/>
  <c r="AF20" i="39"/>
  <c r="AI20" i="39" s="1"/>
  <c r="AM20" i="39"/>
  <c r="AP20" i="39" s="1"/>
  <c r="U21" i="39"/>
  <c r="Y21" i="39"/>
  <c r="AB21" i="39" s="1"/>
  <c r="AF21" i="39"/>
  <c r="AI21" i="39" s="1"/>
  <c r="AM21" i="39"/>
  <c r="AP21" i="39" s="1"/>
  <c r="U22" i="39"/>
  <c r="Y22" i="39"/>
  <c r="AB22" i="39" s="1"/>
  <c r="AF22" i="39"/>
  <c r="AI22" i="39" s="1"/>
  <c r="AM22" i="39"/>
  <c r="AP22" i="39" s="1"/>
  <c r="Y23" i="39"/>
  <c r="AB23" i="39" s="1"/>
  <c r="AF23" i="39"/>
  <c r="AI23" i="39" s="1"/>
  <c r="AM23" i="39"/>
  <c r="AP23" i="39" s="1"/>
  <c r="Y24" i="39"/>
  <c r="AB24" i="39" s="1"/>
  <c r="AF24" i="39"/>
  <c r="AI24" i="39" s="1"/>
  <c r="AM24" i="39"/>
  <c r="AP24" i="39" s="1"/>
  <c r="U25" i="39"/>
  <c r="Y25" i="39"/>
  <c r="AB25" i="39" s="1"/>
  <c r="AF25" i="39"/>
  <c r="AI25" i="39" s="1"/>
  <c r="AM25" i="39"/>
  <c r="AP25" i="39" s="1"/>
  <c r="Y26" i="39"/>
  <c r="AB26" i="39" s="1"/>
  <c r="AF26" i="39"/>
  <c r="AI26" i="39" s="1"/>
  <c r="AM26" i="39"/>
  <c r="AP26" i="39" s="1"/>
  <c r="U27" i="39"/>
  <c r="Y27" i="39"/>
  <c r="AB27" i="39" s="1"/>
  <c r="AF27" i="39"/>
  <c r="AI27" i="39" s="1"/>
  <c r="AM27" i="39"/>
  <c r="AP27" i="39" s="1"/>
  <c r="Y28" i="39"/>
  <c r="AB28" i="39" s="1"/>
  <c r="AF28" i="39"/>
  <c r="AI28" i="39" s="1"/>
  <c r="AM28" i="39"/>
  <c r="AP28" i="39" s="1"/>
  <c r="Y29" i="39"/>
  <c r="AB29" i="39" s="1"/>
  <c r="AF29" i="39"/>
  <c r="AI29" i="39" s="1"/>
  <c r="AM29" i="39"/>
  <c r="AP29" i="39" s="1"/>
  <c r="Y30" i="39"/>
  <c r="AB30" i="39" s="1"/>
  <c r="AF30" i="39"/>
  <c r="AI30" i="39" s="1"/>
  <c r="AM30" i="39"/>
  <c r="AP30" i="39" s="1"/>
  <c r="U31" i="39"/>
  <c r="Y31" i="39"/>
  <c r="AB31" i="39" s="1"/>
  <c r="AF31" i="39"/>
  <c r="AI31" i="39" s="1"/>
  <c r="AM31" i="39"/>
  <c r="AP31" i="39" s="1"/>
  <c r="Y32" i="39"/>
  <c r="AB32" i="39" s="1"/>
  <c r="AF32" i="39"/>
  <c r="AI32" i="39" s="1"/>
  <c r="AM32" i="39"/>
  <c r="AP32" i="39" s="1"/>
  <c r="R8" i="39"/>
  <c r="U8" i="39" s="1"/>
  <c r="AU17" i="1"/>
  <c r="AV17" i="1" s="1"/>
  <c r="AR17" i="1"/>
  <c r="AS17" i="1" s="1"/>
  <c r="AU6" i="39"/>
  <c r="AV6" i="39" s="1"/>
  <c r="AR16" i="39"/>
  <c r="AS16" i="39" s="1"/>
  <c r="R7" i="39"/>
  <c r="U7" i="39" s="1"/>
  <c r="AU7" i="39"/>
  <c r="AV7" i="39" s="1"/>
  <c r="AR15" i="39"/>
  <c r="AS15" i="39" s="1"/>
  <c r="P7" i="39"/>
  <c r="S7" i="39" s="1"/>
  <c r="AU16" i="39"/>
  <c r="AV16" i="39" s="1"/>
  <c r="R6" i="39"/>
  <c r="U6" i="39" s="1"/>
  <c r="AR6" i="39"/>
  <c r="AS6" i="39" s="1"/>
  <c r="AR14" i="39"/>
  <c r="AS14" i="39" s="1"/>
  <c r="AU9" i="39"/>
  <c r="AV9" i="39" s="1"/>
  <c r="AR13" i="39"/>
  <c r="AS13" i="39" s="1"/>
  <c r="AU10" i="39"/>
  <c r="AV10" i="39" s="1"/>
  <c r="AR12" i="39"/>
  <c r="AS12" i="39" s="1"/>
  <c r="AF6" i="39"/>
  <c r="AI6" i="39" s="1"/>
  <c r="AD16" i="39"/>
  <c r="AG16" i="39" s="1"/>
  <c r="AD14" i="39"/>
  <c r="AG14" i="39" s="1"/>
  <c r="AD6" i="39"/>
  <c r="AG6" i="39" s="1"/>
  <c r="AF16" i="39"/>
  <c r="AI16" i="39" s="1"/>
  <c r="AF14" i="39"/>
  <c r="AI14" i="39" s="1"/>
  <c r="AD7" i="39"/>
  <c r="AG7" i="39" s="1"/>
  <c r="AF13" i="39"/>
  <c r="AI13" i="39" s="1"/>
  <c r="AD13" i="39"/>
  <c r="AG13" i="39" s="1"/>
  <c r="AF7" i="39"/>
  <c r="AI7" i="39" s="1"/>
  <c r="AF15" i="39"/>
  <c r="AI15" i="39" s="1"/>
  <c r="AD9" i="39"/>
  <c r="AG9" i="39" s="1"/>
  <c r="AF8" i="39"/>
  <c r="AI8" i="39" s="1"/>
  <c r="AF10" i="39"/>
  <c r="AI10" i="39" s="1"/>
  <c r="AD11" i="39"/>
  <c r="AG11" i="39" s="1"/>
  <c r="AF12" i="39"/>
  <c r="AI12" i="39" s="1"/>
  <c r="AD15" i="39"/>
  <c r="AG15" i="39" s="1"/>
  <c r="AD10" i="39"/>
  <c r="AG10" i="39" s="1"/>
  <c r="AF11" i="39"/>
  <c r="AI11" i="39" s="1"/>
  <c r="AD12" i="39"/>
  <c r="AG12" i="39" s="1"/>
  <c r="AD8" i="39"/>
  <c r="AG8" i="39" s="1"/>
  <c r="AF9" i="39"/>
  <c r="AI9" i="39" s="1"/>
  <c r="AM9" i="39"/>
  <c r="AP9" i="39" s="1"/>
  <c r="AK8" i="39"/>
  <c r="AN8" i="39" s="1"/>
  <c r="AK13" i="39"/>
  <c r="AN13" i="39" s="1"/>
  <c r="AM12" i="39"/>
  <c r="AP12" i="39" s="1"/>
  <c r="AM8" i="39"/>
  <c r="AP8" i="39" s="1"/>
  <c r="AM13" i="39"/>
  <c r="AP13" i="39" s="1"/>
  <c r="AK9" i="39"/>
  <c r="AN9" i="39" s="1"/>
  <c r="AM11" i="39"/>
  <c r="AP11" i="39" s="1"/>
  <c r="AK7" i="39"/>
  <c r="AN7" i="39" s="1"/>
  <c r="AM14" i="39"/>
  <c r="AP14" i="39" s="1"/>
  <c r="AM7" i="39"/>
  <c r="AP7" i="39" s="1"/>
  <c r="AM15" i="39"/>
  <c r="AP15" i="39" s="1"/>
  <c r="AK6" i="39"/>
  <c r="AN6" i="39" s="1"/>
  <c r="AM6" i="39"/>
  <c r="AP6" i="39" s="1"/>
  <c r="AK12" i="39"/>
  <c r="AN12" i="39" s="1"/>
  <c r="AK15" i="39"/>
  <c r="AN15" i="39" s="1"/>
  <c r="AM10" i="39"/>
  <c r="AP10" i="39" s="1"/>
  <c r="AK10" i="39"/>
  <c r="AN10" i="39" s="1"/>
  <c r="AK16" i="39"/>
  <c r="AN16" i="39" s="1"/>
  <c r="AK11" i="39"/>
  <c r="AN11" i="39" s="1"/>
  <c r="AK14" i="39"/>
  <c r="AN14" i="39" s="1"/>
  <c r="AM16" i="39"/>
  <c r="AP16" i="39" s="1"/>
  <c r="AU8" i="39"/>
  <c r="AV8" i="39" s="1"/>
  <c r="P8" i="39"/>
  <c r="S8" i="39" s="1"/>
  <c r="AU11" i="39"/>
  <c r="AV11" i="39" s="1"/>
  <c r="AR11" i="39"/>
  <c r="AS11" i="39" s="1"/>
  <c r="AU12" i="39"/>
  <c r="AV12" i="39" s="1"/>
  <c r="AR10" i="39"/>
  <c r="AS10" i="39" s="1"/>
  <c r="U9" i="39"/>
  <c r="AU14" i="39"/>
  <c r="AV14" i="39" s="1"/>
  <c r="AR8" i="39"/>
  <c r="AS8" i="39" s="1"/>
  <c r="P6" i="39"/>
  <c r="S6" i="39" s="1"/>
  <c r="AU15" i="39"/>
  <c r="AV15" i="39" s="1"/>
  <c r="AR7" i="39"/>
  <c r="AS7" i="39" s="1"/>
  <c r="AU13" i="39"/>
  <c r="AV13" i="39" s="1"/>
  <c r="AR9" i="39"/>
  <c r="AS9" i="39" s="1"/>
  <c r="P9" i="39"/>
  <c r="S9" i="39" s="1"/>
  <c r="Q11" i="39"/>
  <c r="T11" i="39" s="1"/>
  <c r="P11" i="39"/>
  <c r="S11" i="39" s="1"/>
  <c r="Q14" i="39"/>
  <c r="T14" i="39" s="1"/>
  <c r="P14" i="39"/>
  <c r="S14" i="39" s="1"/>
  <c r="Q16" i="39"/>
  <c r="T16" i="39" s="1"/>
  <c r="P16" i="39"/>
  <c r="S16" i="39" s="1"/>
  <c r="Q15" i="39"/>
  <c r="T15" i="39" s="1"/>
  <c r="P15" i="39"/>
  <c r="S15" i="39" s="1"/>
  <c r="P10" i="39"/>
  <c r="S10" i="39" s="1"/>
  <c r="U10" i="39"/>
  <c r="Q10" i="39"/>
  <c r="T10" i="39" s="1"/>
  <c r="Q13" i="39"/>
  <c r="T13" i="39" s="1"/>
  <c r="P13" i="39"/>
  <c r="S13" i="39" s="1"/>
  <c r="P12" i="39"/>
  <c r="S12" i="39" s="1"/>
  <c r="Q12" i="39"/>
  <c r="T12" i="39" s="1"/>
  <c r="AF6" i="4"/>
  <c r="AI6" i="4" s="1"/>
  <c r="AF10" i="4"/>
  <c r="AI10" i="4" s="1"/>
  <c r="AF8" i="4"/>
  <c r="AI8" i="4" s="1"/>
  <c r="AF9" i="4"/>
  <c r="AI9" i="4" s="1"/>
  <c r="AF7" i="4"/>
  <c r="AI7" i="4" s="1"/>
  <c r="AD7" i="4"/>
  <c r="AG7" i="4" s="1"/>
  <c r="AD8" i="4"/>
  <c r="AG8" i="4" s="1"/>
  <c r="AD9" i="4"/>
  <c r="AG9" i="4" s="1"/>
  <c r="AD10" i="4"/>
  <c r="AG10" i="4" s="1"/>
  <c r="AD6" i="4"/>
  <c r="AG6" i="4" s="1"/>
  <c r="J11" i="3"/>
  <c r="M11" i="3" s="1"/>
  <c r="AE7" i="4"/>
  <c r="AH7" i="4" s="1"/>
  <c r="Q7" i="5"/>
  <c r="AL19" i="1"/>
  <c r="AO19" i="1" s="1"/>
  <c r="AL16" i="1"/>
  <c r="AO16" i="1" s="1"/>
  <c r="AE6" i="4"/>
  <c r="AH6" i="4" s="1"/>
  <c r="AL8" i="1"/>
  <c r="AO8" i="1" s="1"/>
  <c r="X7" i="1"/>
  <c r="AA7" i="1" s="1"/>
  <c r="AE9" i="4"/>
  <c r="AH9" i="4" s="1"/>
  <c r="J12" i="3"/>
  <c r="M12" i="3" s="1"/>
  <c r="AE8" i="4"/>
  <c r="AH8" i="4" s="1"/>
  <c r="M6" i="5"/>
  <c r="J7" i="4"/>
  <c r="M7" i="4" s="1"/>
  <c r="Q8" i="5"/>
  <c r="AL15" i="1"/>
  <c r="AO15" i="1" s="1"/>
  <c r="AL10" i="1"/>
  <c r="AO10" i="1" s="1"/>
  <c r="AL13" i="1"/>
  <c r="AO13" i="1" s="1"/>
  <c r="J9" i="3"/>
  <c r="M9" i="3" s="1"/>
  <c r="Q6" i="5"/>
  <c r="AL9" i="1"/>
  <c r="AO9" i="1" s="1"/>
  <c r="J8" i="3"/>
  <c r="M8" i="3" s="1"/>
  <c r="X22" i="1"/>
  <c r="AA22" i="1" s="1"/>
  <c r="X20" i="1"/>
  <c r="AA20" i="1" s="1"/>
  <c r="X8" i="4"/>
  <c r="AA8" i="4" s="1"/>
  <c r="X16" i="1"/>
  <c r="AA16" i="1" s="1"/>
  <c r="AL21" i="1"/>
  <c r="AO21" i="1" s="1"/>
  <c r="X9" i="1"/>
  <c r="AA9" i="1" s="1"/>
  <c r="X8" i="1"/>
  <c r="AA8" i="1" s="1"/>
  <c r="AL11" i="1"/>
  <c r="AO11" i="1" s="1"/>
  <c r="AL14" i="1"/>
  <c r="AO14" i="1" s="1"/>
  <c r="AL18" i="1"/>
  <c r="AO18" i="1" s="1"/>
  <c r="J10" i="3"/>
  <c r="M10" i="3" s="1"/>
  <c r="X12" i="1"/>
  <c r="AA12" i="1" s="1"/>
  <c r="J6" i="3"/>
  <c r="M6" i="3" s="1"/>
  <c r="AL7" i="1"/>
  <c r="AO7" i="1" s="1"/>
  <c r="X15" i="1"/>
  <c r="AA15" i="1" s="1"/>
  <c r="X21" i="1"/>
  <c r="AA21" i="1" s="1"/>
  <c r="X13" i="1"/>
  <c r="AA13" i="1" s="1"/>
  <c r="J7" i="3"/>
  <c r="M7" i="3" s="1"/>
  <c r="X6" i="1"/>
  <c r="AA6" i="1" s="1"/>
  <c r="X11" i="1"/>
  <c r="AA11" i="1" s="1"/>
  <c r="X14" i="1"/>
  <c r="AA14" i="1" s="1"/>
  <c r="X10" i="1"/>
  <c r="AA10" i="1" s="1"/>
  <c r="X19" i="1"/>
  <c r="AA19" i="1" s="1"/>
  <c r="X18" i="1"/>
  <c r="AA18" i="1" s="1"/>
  <c r="M8" i="5"/>
  <c r="J6" i="4"/>
  <c r="M6" i="4" s="1"/>
  <c r="AL22" i="1"/>
  <c r="AO22" i="1" s="1"/>
  <c r="AL20" i="1"/>
  <c r="AO20" i="1" s="1"/>
  <c r="AL6" i="1"/>
  <c r="AO6" i="1" s="1"/>
  <c r="AE10" i="4"/>
  <c r="AH10" i="4" s="1"/>
  <c r="AL12" i="1"/>
  <c r="AO12" i="1" s="1"/>
  <c r="K7" i="13"/>
  <c r="N7" i="13" s="1"/>
  <c r="AQ7" i="13" s="1"/>
  <c r="J6" i="1"/>
  <c r="M6" i="1" s="1"/>
  <c r="J14" i="1"/>
  <c r="M14" i="1" s="1"/>
  <c r="J18" i="1"/>
  <c r="M18" i="1" s="1"/>
  <c r="J8" i="1"/>
  <c r="M8" i="1" s="1"/>
  <c r="J9" i="1"/>
  <c r="M9" i="1" s="1"/>
  <c r="J22" i="1"/>
  <c r="M22" i="1" s="1"/>
  <c r="K8" i="13"/>
  <c r="N8" i="13" s="1"/>
  <c r="AQ8" i="13" s="1"/>
  <c r="J10" i="1"/>
  <c r="M10" i="1" s="1"/>
  <c r="J13" i="1"/>
  <c r="M13" i="1" s="1"/>
  <c r="J11" i="1"/>
  <c r="M11" i="1" s="1"/>
  <c r="J20" i="1"/>
  <c r="M20" i="1" s="1"/>
  <c r="J16" i="1"/>
  <c r="M16" i="1" s="1"/>
  <c r="K6" i="13"/>
  <c r="N6" i="13" s="1"/>
  <c r="AQ6" i="13" s="1"/>
  <c r="J7" i="1"/>
  <c r="M7" i="1" s="1"/>
  <c r="J15" i="1"/>
  <c r="M15" i="1" s="1"/>
  <c r="J12" i="1"/>
  <c r="M12" i="1" s="1"/>
  <c r="J19" i="1"/>
  <c r="M19" i="1" s="1"/>
  <c r="J21" i="1"/>
  <c r="M21" i="1" s="1"/>
  <c r="AQ11" i="12"/>
  <c r="AR11" i="12" s="1"/>
  <c r="AR13" i="1"/>
  <c r="AS13" i="1" s="1"/>
  <c r="AU12" i="1"/>
  <c r="AV12" i="1" s="1"/>
  <c r="AR8" i="3"/>
  <c r="AS8" i="3" s="1"/>
  <c r="AN6" i="12"/>
  <c r="AO6" i="12" s="1"/>
  <c r="AU21" i="1"/>
  <c r="AV21" i="1" s="1"/>
  <c r="AN11" i="12"/>
  <c r="AO11" i="12" s="1"/>
  <c r="AQ7" i="12"/>
  <c r="AR7" i="12" s="1"/>
  <c r="AU14" i="1"/>
  <c r="AV14" i="1" s="1"/>
  <c r="AR10" i="1"/>
  <c r="AS10" i="1" s="1"/>
  <c r="AU6" i="1"/>
  <c r="AV6" i="1" s="1"/>
  <c r="AR7" i="3"/>
  <c r="AS7" i="3" s="1"/>
  <c r="AU13" i="1"/>
  <c r="AV13" i="1" s="1"/>
  <c r="AU22" i="1"/>
  <c r="AV22" i="1" s="1"/>
  <c r="AR18" i="1"/>
  <c r="AS18" i="1" s="1"/>
  <c r="AR11" i="1"/>
  <c r="AS11" i="1" s="1"/>
  <c r="AR21" i="1"/>
  <c r="AS21" i="1" s="1"/>
  <c r="AR16" i="1"/>
  <c r="AS16" i="1" s="1"/>
  <c r="AR11" i="3"/>
  <c r="AS11" i="3" s="1"/>
  <c r="AU8" i="3"/>
  <c r="AV8" i="3" s="1"/>
  <c r="AK11" i="12"/>
  <c r="AL11" i="12" s="1"/>
  <c r="AQ10" i="12"/>
  <c r="AR10" i="12" s="1"/>
  <c r="AU20" i="1"/>
  <c r="AV20" i="1" s="1"/>
  <c r="AR20" i="1"/>
  <c r="AS20" i="1" s="1"/>
  <c r="AR15" i="1"/>
  <c r="AS15" i="1" s="1"/>
  <c r="AR10" i="3"/>
  <c r="AS10" i="3" s="1"/>
  <c r="AU7" i="3"/>
  <c r="AV7" i="3" s="1"/>
  <c r="AQ9" i="12"/>
  <c r="AR9" i="12" s="1"/>
  <c r="AR9" i="3"/>
  <c r="AS9" i="3" s="1"/>
  <c r="AU6" i="3"/>
  <c r="AV6" i="3" s="1"/>
  <c r="AK10" i="12"/>
  <c r="AL10" i="12" s="1"/>
  <c r="AQ8" i="12"/>
  <c r="AR8" i="12" s="1"/>
  <c r="AN7" i="4"/>
  <c r="AO7" i="4" s="1"/>
  <c r="AR12" i="1"/>
  <c r="AS12" i="1" s="1"/>
  <c r="AR6" i="3"/>
  <c r="AS6" i="3" s="1"/>
  <c r="AK6" i="12"/>
  <c r="AL6" i="12" s="1"/>
  <c r="AN12" i="12"/>
  <c r="AO12" i="12" s="1"/>
  <c r="AU19" i="1"/>
  <c r="AV19" i="1" s="1"/>
  <c r="AU15" i="1"/>
  <c r="AV15" i="1" s="1"/>
  <c r="AU9" i="1"/>
  <c r="AV9" i="1" s="1"/>
  <c r="AU16" i="1"/>
  <c r="AV16" i="1" s="1"/>
  <c r="AR7" i="1"/>
  <c r="AS7" i="1" s="1"/>
  <c r="AU12" i="3"/>
  <c r="AV12" i="3" s="1"/>
  <c r="AK8" i="12"/>
  <c r="AL8" i="12" s="1"/>
  <c r="AN8" i="12"/>
  <c r="AO8" i="12" s="1"/>
  <c r="AN10" i="12"/>
  <c r="AO10" i="12" s="1"/>
  <c r="AR6" i="1"/>
  <c r="AS6" i="1" s="1"/>
  <c r="AN7" i="12"/>
  <c r="AO7" i="12" s="1"/>
  <c r="AR8" i="1"/>
  <c r="AS8" i="1" s="1"/>
  <c r="AN9" i="12"/>
  <c r="AO9" i="12" s="1"/>
  <c r="AR22" i="1"/>
  <c r="AS22" i="1" s="1"/>
  <c r="AU7" i="1"/>
  <c r="AV7" i="1" s="1"/>
  <c r="AU11" i="3"/>
  <c r="AV11" i="3" s="1"/>
  <c r="AK9" i="12"/>
  <c r="AL9" i="12" s="1"/>
  <c r="AQ6" i="12"/>
  <c r="AR6" i="12" s="1"/>
  <c r="AK7" i="12"/>
  <c r="AL7" i="12" s="1"/>
  <c r="AU8" i="1"/>
  <c r="AV8" i="1" s="1"/>
  <c r="AR12" i="3"/>
  <c r="AS12" i="3" s="1"/>
  <c r="AU10" i="3"/>
  <c r="AV10" i="3" s="1"/>
  <c r="AK12" i="12"/>
  <c r="AL12" i="12" s="1"/>
  <c r="AQ12" i="12"/>
  <c r="AR12" i="12" s="1"/>
  <c r="AR9" i="1"/>
  <c r="AS9" i="1" s="1"/>
  <c r="AU10" i="1"/>
  <c r="AV10" i="1" s="1"/>
  <c r="AR14" i="1"/>
  <c r="AS14" i="1" s="1"/>
  <c r="AU11" i="1"/>
  <c r="AV11" i="1" s="1"/>
  <c r="AR19" i="1"/>
  <c r="AS19" i="1" s="1"/>
  <c r="AU18" i="1"/>
  <c r="AV18" i="1" s="1"/>
  <c r="AU9" i="3"/>
  <c r="AV9" i="3" s="1"/>
  <c r="AK9" i="4"/>
  <c r="AL9" i="4" s="1"/>
  <c r="AK10" i="4"/>
  <c r="AL10" i="4" s="1"/>
  <c r="AK8" i="4"/>
  <c r="AL8" i="4" s="1"/>
  <c r="AK7" i="4"/>
  <c r="AL7" i="4" s="1"/>
  <c r="AK6" i="4"/>
  <c r="AL6" i="4" s="1"/>
  <c r="AL11" i="3"/>
  <c r="AO11" i="3" s="1"/>
  <c r="AL12" i="3"/>
  <c r="AO12" i="3" s="1"/>
  <c r="Y6" i="4"/>
  <c r="AB6" i="4" s="1"/>
  <c r="X7" i="4"/>
  <c r="AA7" i="4" s="1"/>
  <c r="W8" i="4"/>
  <c r="Z8" i="4" s="1"/>
  <c r="X9" i="4"/>
  <c r="AA9" i="4" s="1"/>
  <c r="Y10" i="4"/>
  <c r="AB10" i="4" s="1"/>
  <c r="AD6" i="12"/>
  <c r="AF7" i="12"/>
  <c r="AI7" i="12" s="1"/>
  <c r="AF8" i="12"/>
  <c r="AI8" i="12" s="1"/>
  <c r="AF9" i="12"/>
  <c r="AI9" i="12" s="1"/>
  <c r="R10" i="12"/>
  <c r="U10" i="12" s="1"/>
  <c r="Q11" i="12"/>
  <c r="T11" i="12" s="1"/>
  <c r="AF12" i="12"/>
  <c r="AI12" i="12" s="1"/>
  <c r="Q10" i="3"/>
  <c r="T10" i="3" s="1"/>
  <c r="Q8" i="4"/>
  <c r="T8" i="4" s="1"/>
  <c r="Q9" i="4"/>
  <c r="T9" i="4" s="1"/>
  <c r="Q10" i="4"/>
  <c r="T10" i="4" s="1"/>
  <c r="Y6" i="12"/>
  <c r="AB6" i="12" s="1"/>
  <c r="Y7" i="12"/>
  <c r="AB7" i="12" s="1"/>
  <c r="Y8" i="12"/>
  <c r="AB8" i="12" s="1"/>
  <c r="Y9" i="12"/>
  <c r="AB9" i="12" s="1"/>
  <c r="Y10" i="12"/>
  <c r="AB10" i="12" s="1"/>
  <c r="Y11" i="12"/>
  <c r="AB11" i="12" s="1"/>
  <c r="Y12" i="12"/>
  <c r="AB12" i="12" s="1"/>
  <c r="AK20" i="13"/>
  <c r="AK8" i="13"/>
  <c r="AK9" i="13"/>
  <c r="AK10" i="13"/>
  <c r="AK11" i="13"/>
  <c r="AK12" i="13"/>
  <c r="AK13" i="13"/>
  <c r="AK14" i="13"/>
  <c r="AK15" i="13"/>
  <c r="AK16" i="13"/>
  <c r="AK17" i="13"/>
  <c r="AK18" i="13"/>
  <c r="AK19" i="13"/>
  <c r="AK7" i="13"/>
  <c r="AK6" i="13"/>
  <c r="BG27" i="39" l="1"/>
  <c r="BG31" i="39"/>
  <c r="BG29" i="39"/>
  <c r="BG24" i="39"/>
  <c r="BG17" i="1"/>
  <c r="BG30" i="39"/>
  <c r="BG22" i="39"/>
  <c r="BG21" i="39"/>
  <c r="BG25" i="39"/>
  <c r="BG23" i="39"/>
  <c r="BG20" i="39"/>
  <c r="BG18" i="39"/>
  <c r="BG17" i="39"/>
  <c r="BG32" i="39"/>
  <c r="BG26" i="39"/>
  <c r="BG19" i="39"/>
  <c r="BG28" i="39"/>
  <c r="O6" i="13"/>
  <c r="AR6" i="13" s="1"/>
  <c r="O7" i="13"/>
  <c r="AR7" i="13" s="1"/>
  <c r="O8" i="13"/>
  <c r="AR8" i="13" s="1"/>
  <c r="N8" i="4"/>
  <c r="L8" i="4"/>
  <c r="BH32" i="39"/>
  <c r="BH31" i="39"/>
  <c r="BH30" i="39"/>
  <c r="BH29" i="39"/>
  <c r="BH28" i="39"/>
  <c r="BH27" i="39"/>
  <c r="BH26" i="39"/>
  <c r="BH25" i="39"/>
  <c r="BH24" i="39"/>
  <c r="BH23" i="39"/>
  <c r="BH22" i="39"/>
  <c r="BH21" i="39"/>
  <c r="BH20" i="39"/>
  <c r="BH19" i="39"/>
  <c r="BH18" i="39"/>
  <c r="BH17" i="39"/>
  <c r="BF32" i="39"/>
  <c r="BF31" i="39"/>
  <c r="BF30" i="39"/>
  <c r="BF29" i="39"/>
  <c r="BF28" i="39"/>
  <c r="BF27" i="39"/>
  <c r="BF26" i="39"/>
  <c r="BF25" i="39"/>
  <c r="BF24" i="39"/>
  <c r="BF23" i="39"/>
  <c r="BF22" i="39"/>
  <c r="BF21" i="39"/>
  <c r="BF20" i="39"/>
  <c r="BF19" i="39"/>
  <c r="BF18" i="39"/>
  <c r="BF17" i="39"/>
  <c r="BH17" i="1"/>
  <c r="BF17" i="1"/>
  <c r="J8" i="4"/>
  <c r="M8" i="4" s="1"/>
  <c r="AF11" i="3"/>
  <c r="AI11" i="3" s="1"/>
  <c r="AE8" i="3"/>
  <c r="AH8" i="3" s="1"/>
  <c r="AD6" i="3"/>
  <c r="AG6" i="3" s="1"/>
  <c r="AE12" i="3"/>
  <c r="AH12" i="3" s="1"/>
  <c r="AF10" i="3"/>
  <c r="AI10" i="3" s="1"/>
  <c r="S6" i="1"/>
  <c r="W6" i="39"/>
  <c r="Z6" i="39" s="1"/>
  <c r="BF6" i="39" s="1"/>
  <c r="Y6" i="39"/>
  <c r="AB6" i="39" s="1"/>
  <c r="BH6" i="39" s="1"/>
  <c r="X6" i="39"/>
  <c r="AA6" i="39" s="1"/>
  <c r="BG6" i="39" s="1"/>
  <c r="S16" i="1"/>
  <c r="S18" i="1"/>
  <c r="Q15" i="1"/>
  <c r="T15" i="1" s="1"/>
  <c r="Q10" i="1"/>
  <c r="T10" i="1" s="1"/>
  <c r="Y10" i="39"/>
  <c r="AB10" i="39" s="1"/>
  <c r="BH10" i="39" s="1"/>
  <c r="X10" i="39"/>
  <c r="AA10" i="39" s="1"/>
  <c r="BG10" i="39" s="1"/>
  <c r="W10" i="39"/>
  <c r="Z10" i="39" s="1"/>
  <c r="BF10" i="39" s="1"/>
  <c r="U14" i="1"/>
  <c r="Q20" i="1"/>
  <c r="T20" i="1" s="1"/>
  <c r="S8" i="1"/>
  <c r="Y8" i="39"/>
  <c r="AB8" i="39" s="1"/>
  <c r="BH8" i="39" s="1"/>
  <c r="X8" i="39"/>
  <c r="AA8" i="39" s="1"/>
  <c r="BG8" i="39" s="1"/>
  <c r="W8" i="39"/>
  <c r="Z8" i="39" s="1"/>
  <c r="BF8" i="39" s="1"/>
  <c r="Q19" i="1"/>
  <c r="T19" i="1" s="1"/>
  <c r="S7" i="1"/>
  <c r="Y7" i="39"/>
  <c r="AB7" i="39" s="1"/>
  <c r="BH7" i="39" s="1"/>
  <c r="W7" i="39"/>
  <c r="Z7" i="39" s="1"/>
  <c r="BF7" i="39" s="1"/>
  <c r="X7" i="39"/>
  <c r="AA7" i="39" s="1"/>
  <c r="BG7" i="39" s="1"/>
  <c r="Y15" i="39"/>
  <c r="AB15" i="39" s="1"/>
  <c r="BH15" i="39" s="1"/>
  <c r="X15" i="39"/>
  <c r="AA15" i="39" s="1"/>
  <c r="BG15" i="39" s="1"/>
  <c r="W15" i="39"/>
  <c r="Z15" i="39" s="1"/>
  <c r="BF15" i="39" s="1"/>
  <c r="S12" i="1"/>
  <c r="W14" i="39"/>
  <c r="Z14" i="39" s="1"/>
  <c r="BF14" i="39" s="1"/>
  <c r="X14" i="39"/>
  <c r="AA14" i="39" s="1"/>
  <c r="BG14" i="39" s="1"/>
  <c r="Y14" i="39"/>
  <c r="AB14" i="39" s="1"/>
  <c r="BH14" i="39" s="1"/>
  <c r="Q9" i="1"/>
  <c r="T9" i="1" s="1"/>
  <c r="Y9" i="39"/>
  <c r="AB9" i="39" s="1"/>
  <c r="BH9" i="39" s="1"/>
  <c r="W9" i="39"/>
  <c r="Z9" i="39" s="1"/>
  <c r="BF9" i="39" s="1"/>
  <c r="X9" i="39"/>
  <c r="AA9" i="39" s="1"/>
  <c r="BG9" i="39" s="1"/>
  <c r="U13" i="1"/>
  <c r="W16" i="39"/>
  <c r="Z16" i="39" s="1"/>
  <c r="BF16" i="39" s="1"/>
  <c r="X16" i="39"/>
  <c r="AA16" i="39" s="1"/>
  <c r="BG16" i="39" s="1"/>
  <c r="Y16" i="39"/>
  <c r="AB16" i="39" s="1"/>
  <c r="BH16" i="39" s="1"/>
  <c r="S22" i="1"/>
  <c r="S11" i="1"/>
  <c r="Y12" i="39"/>
  <c r="AB12" i="39" s="1"/>
  <c r="BH12" i="39" s="1"/>
  <c r="X12" i="39"/>
  <c r="AA12" i="39" s="1"/>
  <c r="BG12" i="39" s="1"/>
  <c r="W12" i="39"/>
  <c r="Z12" i="39" s="1"/>
  <c r="BF12" i="39" s="1"/>
  <c r="Y13" i="39"/>
  <c r="AB13" i="39" s="1"/>
  <c r="BH13" i="39" s="1"/>
  <c r="X13" i="39"/>
  <c r="AA13" i="39" s="1"/>
  <c r="BG13" i="39" s="1"/>
  <c r="W13" i="39"/>
  <c r="Z13" i="39" s="1"/>
  <c r="BF13" i="39" s="1"/>
  <c r="S21" i="1"/>
  <c r="Y11" i="39"/>
  <c r="AB11" i="39" s="1"/>
  <c r="BH11" i="39" s="1"/>
  <c r="X11" i="39"/>
  <c r="AA11" i="39" s="1"/>
  <c r="BG11" i="39" s="1"/>
  <c r="W11" i="39"/>
  <c r="Z11" i="39" s="1"/>
  <c r="BF11" i="39" s="1"/>
  <c r="P6" i="12"/>
  <c r="S6" i="12" s="1"/>
  <c r="P10" i="12"/>
  <c r="S10" i="12" s="1"/>
  <c r="Z11" i="3"/>
  <c r="U19" i="1"/>
  <c r="S12" i="3"/>
  <c r="R6" i="12"/>
  <c r="U6" i="12" s="1"/>
  <c r="Q9" i="12"/>
  <c r="T9" i="12" s="1"/>
  <c r="R8" i="12"/>
  <c r="U8" i="12" s="1"/>
  <c r="Q6" i="12"/>
  <c r="T6" i="12" s="1"/>
  <c r="Q10" i="12"/>
  <c r="T10" i="12" s="1"/>
  <c r="AE18" i="1"/>
  <c r="AH18" i="1" s="1"/>
  <c r="AI6" i="1"/>
  <c r="AF11" i="12"/>
  <c r="AI11" i="12" s="1"/>
  <c r="W10" i="4"/>
  <c r="Z10" i="4" s="1"/>
  <c r="AN6" i="4"/>
  <c r="AO6" i="4" s="1"/>
  <c r="Y9" i="4"/>
  <c r="AB9" i="4" s="1"/>
  <c r="AF10" i="12"/>
  <c r="AI10" i="12" s="1"/>
  <c r="AE13" i="1"/>
  <c r="AH13" i="1" s="1"/>
  <c r="AP7" i="3"/>
  <c r="AL8" i="3"/>
  <c r="AO8" i="3" s="1"/>
  <c r="AI15" i="1"/>
  <c r="AF8" i="3"/>
  <c r="AI8" i="3" s="1"/>
  <c r="AG21" i="1"/>
  <c r="AE7" i="1"/>
  <c r="AH7" i="1" s="1"/>
  <c r="AL6" i="3"/>
  <c r="AO6" i="3" s="1"/>
  <c r="W9" i="4"/>
  <c r="Z9" i="4" s="1"/>
  <c r="AI13" i="1"/>
  <c r="AD11" i="3"/>
  <c r="AG11" i="3" s="1"/>
  <c r="AE22" i="1"/>
  <c r="AH22" i="1" s="1"/>
  <c r="Z7" i="3"/>
  <c r="AI8" i="1"/>
  <c r="AL9" i="3"/>
  <c r="AO9" i="3" s="1"/>
  <c r="AE8" i="1"/>
  <c r="AH8" i="1" s="1"/>
  <c r="AD8" i="3"/>
  <c r="AG8" i="3" s="1"/>
  <c r="AH6" i="1"/>
  <c r="X10" i="4"/>
  <c r="AA10" i="4" s="1"/>
  <c r="AX10" i="4"/>
  <c r="Q14" i="1"/>
  <c r="T14" i="1" s="1"/>
  <c r="Q8" i="1"/>
  <c r="T8" i="1" s="1"/>
  <c r="Q16" i="1"/>
  <c r="T16" i="1" s="1"/>
  <c r="Q6" i="3"/>
  <c r="T6" i="3" s="1"/>
  <c r="R7" i="12"/>
  <c r="U7" i="12" s="1"/>
  <c r="P11" i="12"/>
  <c r="S11" i="12" s="1"/>
  <c r="X12" i="3"/>
  <c r="AA12" i="3" s="1"/>
  <c r="R11" i="12"/>
  <c r="U11" i="12" s="1"/>
  <c r="U7" i="1"/>
  <c r="P12" i="12"/>
  <c r="S12" i="12" s="1"/>
  <c r="S10" i="4"/>
  <c r="S8" i="3"/>
  <c r="AE9" i="3"/>
  <c r="AH9" i="3" s="1"/>
  <c r="P7" i="12"/>
  <c r="S7" i="12" s="1"/>
  <c r="AZ6" i="4"/>
  <c r="R9" i="12"/>
  <c r="U9" i="12" s="1"/>
  <c r="Z12" i="3"/>
  <c r="AX7" i="4"/>
  <c r="AZ10" i="4"/>
  <c r="Q12" i="3"/>
  <c r="T12" i="3" s="1"/>
  <c r="AE7" i="3"/>
  <c r="AH7" i="3" s="1"/>
  <c r="Q7" i="12"/>
  <c r="T7" i="12" s="1"/>
  <c r="Q12" i="12"/>
  <c r="T12" i="12" s="1"/>
  <c r="AB6" i="3"/>
  <c r="P9" i="12"/>
  <c r="S9" i="12" s="1"/>
  <c r="Z6" i="3"/>
  <c r="AZ8" i="4"/>
  <c r="AV6" i="4"/>
  <c r="AY6" i="4" s="1"/>
  <c r="Q8" i="12"/>
  <c r="T8" i="12" s="1"/>
  <c r="AV8" i="4"/>
  <c r="AY8" i="4" s="1"/>
  <c r="R12" i="12"/>
  <c r="U12" i="12" s="1"/>
  <c r="Z8" i="3"/>
  <c r="X8" i="3"/>
  <c r="AA8" i="3" s="1"/>
  <c r="U6" i="4"/>
  <c r="P8" i="12"/>
  <c r="S8" i="12" s="1"/>
  <c r="U6" i="3"/>
  <c r="S9" i="4"/>
  <c r="AN10" i="4"/>
  <c r="AO10" i="4" s="1"/>
  <c r="AI11" i="1"/>
  <c r="Z10" i="3"/>
  <c r="AE9" i="1"/>
  <c r="AH9" i="1" s="1"/>
  <c r="AG10" i="1"/>
  <c r="AD9" i="3"/>
  <c r="AG9" i="3" s="1"/>
  <c r="X9" i="3"/>
  <c r="AA9" i="3" s="1"/>
  <c r="AE21" i="1"/>
  <c r="AH21" i="1" s="1"/>
  <c r="X7" i="3"/>
  <c r="AA7" i="3" s="1"/>
  <c r="AL10" i="3"/>
  <c r="AO10" i="3" s="1"/>
  <c r="AB10" i="3"/>
  <c r="AP10" i="3"/>
  <c r="AF7" i="3"/>
  <c r="AI7" i="3" s="1"/>
  <c r="AF6" i="12"/>
  <c r="AI6" i="12" s="1"/>
  <c r="AI18" i="1"/>
  <c r="AX6" i="4"/>
  <c r="AD7" i="3"/>
  <c r="AG7" i="3" s="1"/>
  <c r="AN12" i="3"/>
  <c r="Y8" i="4"/>
  <c r="AB8" i="4" s="1"/>
  <c r="AP11" i="3"/>
  <c r="AB11" i="3"/>
  <c r="Y7" i="4"/>
  <c r="AB7" i="4" s="1"/>
  <c r="AE10" i="1"/>
  <c r="AH10" i="1" s="1"/>
  <c r="X6" i="4"/>
  <c r="AA6" i="4" s="1"/>
  <c r="AE6" i="12"/>
  <c r="AE15" i="1"/>
  <c r="AH15" i="1" s="1"/>
  <c r="AL7" i="3"/>
  <c r="AO7" i="3" s="1"/>
  <c r="AE6" i="3"/>
  <c r="AH6" i="3" s="1"/>
  <c r="AP8" i="3"/>
  <c r="AB8" i="3"/>
  <c r="AF9" i="3"/>
  <c r="AI9" i="3" s="1"/>
  <c r="AI9" i="1"/>
  <c r="AN11" i="3"/>
  <c r="AN9" i="3"/>
  <c r="AN6" i="3"/>
  <c r="AE20" i="1"/>
  <c r="AH20" i="1" s="1"/>
  <c r="AE14" i="1"/>
  <c r="AH14" i="1" s="1"/>
  <c r="AV7" i="4"/>
  <c r="AY7" i="4" s="1"/>
  <c r="AE11" i="3"/>
  <c r="AH11" i="3" s="1"/>
  <c r="AP12" i="3"/>
  <c r="AI6" i="3"/>
  <c r="AI16" i="1"/>
  <c r="AI21" i="1"/>
  <c r="W7" i="4"/>
  <c r="Z7" i="4" s="1"/>
  <c r="AG22" i="1"/>
  <c r="AX9" i="4"/>
  <c r="W6" i="4"/>
  <c r="Z6" i="4" s="1"/>
  <c r="Z9" i="3"/>
  <c r="AE11" i="1"/>
  <c r="AH11" i="1" s="1"/>
  <c r="AV10" i="4"/>
  <c r="AY10" i="4" s="1"/>
  <c r="X6" i="3"/>
  <c r="AA6" i="3" s="1"/>
  <c r="AB9" i="3"/>
  <c r="AB12" i="3"/>
  <c r="AI12" i="1"/>
  <c r="AG15" i="1"/>
  <c r="AG13" i="1"/>
  <c r="AG18" i="1"/>
  <c r="AV9" i="4"/>
  <c r="AY9" i="4" s="1"/>
  <c r="AE12" i="1"/>
  <c r="AH12" i="1" s="1"/>
  <c r="AI20" i="1"/>
  <c r="AG12" i="1"/>
  <c r="AG16" i="1"/>
  <c r="AG11" i="1"/>
  <c r="AD12" i="3"/>
  <c r="AG12" i="3" s="1"/>
  <c r="AD10" i="3"/>
  <c r="AG10" i="3" s="1"/>
  <c r="AN8" i="4"/>
  <c r="AO8" i="4" s="1"/>
  <c r="AB7" i="3"/>
  <c r="AI14" i="1"/>
  <c r="AI22" i="1"/>
  <c r="AX8" i="4"/>
  <c r="AG19" i="1"/>
  <c r="X11" i="3"/>
  <c r="AA11" i="3" s="1"/>
  <c r="AE19" i="1"/>
  <c r="AH19" i="1" s="1"/>
  <c r="AG20" i="1"/>
  <c r="X10" i="3"/>
  <c r="AA10" i="3" s="1"/>
  <c r="AZ7" i="4"/>
  <c r="AF12" i="3"/>
  <c r="AI12" i="3" s="1"/>
  <c r="AI10" i="1"/>
  <c r="AG14" i="1"/>
  <c r="AN9" i="4"/>
  <c r="AO9" i="4" s="1"/>
  <c r="AI7" i="1"/>
  <c r="AE16" i="1"/>
  <c r="AH16" i="1" s="1"/>
  <c r="AE10" i="3"/>
  <c r="AH10" i="3" s="1"/>
  <c r="AI19" i="1"/>
  <c r="AZ9" i="4"/>
  <c r="U15" i="1"/>
  <c r="S10" i="1"/>
  <c r="S15" i="1"/>
  <c r="U18" i="1"/>
  <c r="U8" i="1"/>
  <c r="Q7" i="1"/>
  <c r="T7" i="1" s="1"/>
  <c r="Q8" i="3"/>
  <c r="T8" i="3" s="1"/>
  <c r="U16" i="1"/>
  <c r="Q18" i="1"/>
  <c r="T18" i="1" s="1"/>
  <c r="S13" i="1"/>
  <c r="Q7" i="4"/>
  <c r="T7" i="4" s="1"/>
  <c r="Q21" i="1"/>
  <c r="T21" i="1" s="1"/>
  <c r="U22" i="1"/>
  <c r="U10" i="1"/>
  <c r="U20" i="1"/>
  <c r="U8" i="4"/>
  <c r="Q22" i="1"/>
  <c r="T22" i="1" s="1"/>
  <c r="S19" i="1"/>
  <c r="Q6" i="1"/>
  <c r="T6" i="1" s="1"/>
  <c r="Q11" i="3"/>
  <c r="T11" i="3" s="1"/>
  <c r="S20" i="1"/>
  <c r="Q9" i="3"/>
  <c r="T9" i="3" s="1"/>
  <c r="S10" i="3"/>
  <c r="S7" i="3"/>
  <c r="Q6" i="4"/>
  <c r="T6" i="4" s="1"/>
  <c r="U21" i="1"/>
  <c r="U11" i="3"/>
  <c r="Q7" i="3"/>
  <c r="T7" i="3" s="1"/>
  <c r="U12" i="1"/>
  <c r="U6" i="1"/>
  <c r="S9" i="1"/>
  <c r="Q12" i="1"/>
  <c r="T12" i="1" s="1"/>
  <c r="U9" i="3"/>
  <c r="U11" i="1"/>
  <c r="U10" i="4"/>
  <c r="Q11" i="1"/>
  <c r="T11" i="1" s="1"/>
  <c r="U10" i="3"/>
  <c r="U9" i="1"/>
  <c r="S7" i="4"/>
  <c r="U9" i="4"/>
  <c r="Q13" i="1"/>
  <c r="T13" i="1" s="1"/>
  <c r="S14" i="1"/>
  <c r="S8" i="4"/>
  <c r="N9" i="4" l="1"/>
  <c r="L9" i="4"/>
  <c r="J9" i="4"/>
  <c r="M9" i="4" s="1"/>
  <c r="N10" i="4" l="1"/>
  <c r="L10" i="4"/>
  <c r="J10" i="4"/>
  <c r="M10" i="4" s="1"/>
  <c r="BG4" i="39"/>
  <c r="BG4" i="3"/>
  <c r="BC4" i="12"/>
  <c r="AU4" i="5"/>
  <c r="AU4" i="26"/>
  <c r="AT4" i="26"/>
  <c r="BG4" i="4"/>
  <c r="H3" i="26"/>
  <c r="AQ4" i="13"/>
  <c r="BG4" i="1"/>
  <c r="J6" i="12" l="1"/>
  <c r="M6" i="12" s="1"/>
  <c r="L7" i="12"/>
  <c r="N7" i="12"/>
  <c r="L6" i="12"/>
  <c r="N6" i="12"/>
  <c r="J7" i="12"/>
  <c r="M7" i="12" s="1"/>
  <c r="L8" i="12" l="1"/>
  <c r="N8" i="12"/>
  <c r="J8" i="12"/>
  <c r="M8" i="12" s="1"/>
  <c r="BD12" i="3"/>
  <c r="L9" i="12" l="1"/>
  <c r="N9" i="12"/>
  <c r="J9" i="12"/>
  <c r="M9" i="12" s="1"/>
  <c r="BE12" i="3"/>
  <c r="BD11" i="3"/>
  <c r="L10" i="12" l="1"/>
  <c r="N10" i="12"/>
  <c r="J10" i="12"/>
  <c r="M10" i="12" s="1"/>
  <c r="BE11" i="3"/>
  <c r="N11" i="12" l="1"/>
  <c r="L11" i="12"/>
  <c r="J11" i="12"/>
  <c r="M11" i="12" s="1"/>
  <c r="C95" i="9"/>
  <c r="K165" i="7" s="1"/>
  <c r="C92" i="9"/>
  <c r="K164" i="7" s="1"/>
  <c r="L12" i="12" l="1"/>
  <c r="N12" i="12"/>
  <c r="J12" i="12"/>
  <c r="M12" i="12" s="1"/>
  <c r="AR8" i="5"/>
  <c r="AP8" i="5" s="1"/>
  <c r="AR7" i="5"/>
  <c r="AP7" i="5" s="1"/>
  <c r="AR6" i="5"/>
  <c r="AP6" i="5" s="1"/>
  <c r="E57" i="9"/>
  <c r="F57" i="9" s="1"/>
  <c r="L152" i="7" s="1"/>
  <c r="AS8" i="5" l="1"/>
  <c r="AS7" i="5"/>
  <c r="AZ6" i="12"/>
  <c r="AX6" i="12" s="1"/>
  <c r="AQ8" i="5"/>
  <c r="AQ7" i="5"/>
  <c r="AS6" i="5"/>
  <c r="AV9" i="12"/>
  <c r="E77" i="9"/>
  <c r="F63" i="9" s="1"/>
  <c r="L158" i="7" s="1"/>
  <c r="E73" i="9"/>
  <c r="F62" i="9" s="1"/>
  <c r="L157" i="7" s="1"/>
  <c r="E69" i="9"/>
  <c r="F61" i="9" s="1"/>
  <c r="L156" i="7" s="1"/>
  <c r="E65" i="9"/>
  <c r="F59" i="9" s="1"/>
  <c r="L154" i="7" s="1"/>
  <c r="E61" i="9"/>
  <c r="F58" i="9" s="1"/>
  <c r="L153" i="7" s="1"/>
  <c r="E81" i="9"/>
  <c r="F60" i="9" s="1"/>
  <c r="L155" i="7" s="1"/>
  <c r="AQ6" i="5" l="1"/>
  <c r="AY6" i="12"/>
  <c r="BB6" i="12" s="1"/>
  <c r="AT7" i="5"/>
  <c r="AV7" i="5"/>
  <c r="AU7" i="5"/>
  <c r="AT8" i="5"/>
  <c r="AV8" i="5"/>
  <c r="AU8" i="5"/>
  <c r="AZ11" i="12"/>
  <c r="AZ10" i="12"/>
  <c r="AX10" i="12" s="1"/>
  <c r="AZ9" i="12"/>
  <c r="AZ7" i="12"/>
  <c r="AZ12" i="12"/>
  <c r="AZ8" i="12"/>
  <c r="BA6" i="12"/>
  <c r="L144" i="7"/>
  <c r="BD7" i="4" s="1"/>
  <c r="L145" i="7"/>
  <c r="BD8" i="4" s="1"/>
  <c r="L146" i="7"/>
  <c r="BD9" i="4" s="1"/>
  <c r="BE9" i="4" s="1"/>
  <c r="L147" i="7"/>
  <c r="BD10" i="4" s="1"/>
  <c r="L143" i="7"/>
  <c r="BD6" i="4" s="1"/>
  <c r="BB6" i="4" s="1"/>
  <c r="BE10" i="4" l="1"/>
  <c r="BE8" i="4"/>
  <c r="BE7" i="4"/>
  <c r="AT6" i="5"/>
  <c r="AV6" i="5"/>
  <c r="AU6" i="5"/>
  <c r="BC6" i="12"/>
  <c r="BD6" i="12"/>
  <c r="AY12" i="12"/>
  <c r="BC12" i="12" s="1"/>
  <c r="AY11" i="12"/>
  <c r="BB11" i="12" s="1"/>
  <c r="AY10" i="12"/>
  <c r="BC10" i="12" s="1"/>
  <c r="AY9" i="12"/>
  <c r="BD9" i="12" s="1"/>
  <c r="AY8" i="12"/>
  <c r="BD8" i="12" s="1"/>
  <c r="AY7" i="12"/>
  <c r="BB7" i="12" s="1"/>
  <c r="BA11" i="12"/>
  <c r="BA9" i="12"/>
  <c r="BA10" i="12"/>
  <c r="BA12" i="12"/>
  <c r="BA7" i="12"/>
  <c r="BA8" i="12"/>
  <c r="BE6" i="4"/>
  <c r="AV11" i="12"/>
  <c r="AV10" i="12"/>
  <c r="AV8" i="12"/>
  <c r="AV7" i="12"/>
  <c r="AV6" i="12"/>
  <c r="AS10" i="4"/>
  <c r="AS9" i="4"/>
  <c r="AS8" i="4"/>
  <c r="AS7" i="4"/>
  <c r="AS6" i="4"/>
  <c r="BC11" i="3"/>
  <c r="BC12" i="3"/>
  <c r="D44" i="9"/>
  <c r="L126" i="7" s="1"/>
  <c r="D45" i="9"/>
  <c r="L127" i="7" s="1"/>
  <c r="D46" i="9"/>
  <c r="D47" i="9"/>
  <c r="L129" i="7" s="1"/>
  <c r="D48" i="9"/>
  <c r="L130" i="7" s="1"/>
  <c r="D49" i="9"/>
  <c r="L131" i="7" s="1"/>
  <c r="BD9" i="3" s="1"/>
  <c r="D50" i="9"/>
  <c r="D52" i="9"/>
  <c r="D43" i="9"/>
  <c r="L125" i="7" s="1"/>
  <c r="BC10" i="4" l="1"/>
  <c r="BF10" i="4" s="1"/>
  <c r="BD12" i="12"/>
  <c r="BB12" i="12"/>
  <c r="BD11" i="12"/>
  <c r="BC11" i="12"/>
  <c r="BD10" i="12"/>
  <c r="BB10" i="12"/>
  <c r="BC9" i="12"/>
  <c r="BB9" i="12"/>
  <c r="BC8" i="12"/>
  <c r="BB8" i="12"/>
  <c r="BD7" i="12"/>
  <c r="BC7" i="12"/>
  <c r="BC8" i="4"/>
  <c r="BG8" i="4" s="1"/>
  <c r="BC7" i="4"/>
  <c r="BH7" i="4" s="1"/>
  <c r="BH11" i="3"/>
  <c r="BG11" i="3"/>
  <c r="BF11" i="3"/>
  <c r="BF12" i="3"/>
  <c r="BG12" i="3"/>
  <c r="BH12" i="3"/>
  <c r="L128" i="7"/>
  <c r="L134" i="7"/>
  <c r="L132" i="7"/>
  <c r="BC6" i="4"/>
  <c r="BD8" i="3"/>
  <c r="BD7" i="3"/>
  <c r="BC9" i="4"/>
  <c r="BH10" i="4" l="1"/>
  <c r="BG10" i="4"/>
  <c r="BG7" i="4"/>
  <c r="BF7" i="4"/>
  <c r="BF8" i="4"/>
  <c r="BH8" i="4"/>
  <c r="BE8" i="3"/>
  <c r="BE7" i="3"/>
  <c r="BH6" i="4"/>
  <c r="BF6" i="4"/>
  <c r="BG6" i="4"/>
  <c r="BH9" i="4"/>
  <c r="BG9" i="4"/>
  <c r="BF9" i="4"/>
  <c r="BD6" i="3"/>
  <c r="BB6" i="3" s="1"/>
  <c r="BD10" i="3"/>
  <c r="BE9" i="3"/>
  <c r="BC8" i="3"/>
  <c r="BC7" i="3"/>
  <c r="BC12" i="1"/>
  <c r="BF12" i="1" s="1"/>
  <c r="BC13" i="1"/>
  <c r="BC14" i="1"/>
  <c r="BC15" i="1"/>
  <c r="BC16" i="1"/>
  <c r="BC19" i="1"/>
  <c r="BC20" i="1"/>
  <c r="BD9" i="1"/>
  <c r="BE9" i="1" s="1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18" i="9"/>
  <c r="D17" i="9"/>
  <c r="D16" i="9"/>
  <c r="BC9" i="1" l="1"/>
  <c r="BC6" i="3"/>
  <c r="BE10" i="3"/>
  <c r="BG19" i="1"/>
  <c r="BF19" i="1"/>
  <c r="BH19" i="1"/>
  <c r="BG20" i="1"/>
  <c r="BH20" i="1"/>
  <c r="BF20" i="1"/>
  <c r="BF14" i="1"/>
  <c r="BH14" i="1"/>
  <c r="BG14" i="1"/>
  <c r="BH13" i="1"/>
  <c r="BF13" i="1"/>
  <c r="BG13" i="1"/>
  <c r="BG18" i="1"/>
  <c r="BF18" i="1"/>
  <c r="BH18" i="1"/>
  <c r="BH12" i="1"/>
  <c r="BG12" i="1"/>
  <c r="BF16" i="1"/>
  <c r="BG16" i="1"/>
  <c r="BH16" i="1"/>
  <c r="BG7" i="3"/>
  <c r="BF7" i="3"/>
  <c r="BH7" i="3"/>
  <c r="BG15" i="1"/>
  <c r="BH15" i="1"/>
  <c r="BF15" i="1"/>
  <c r="BH8" i="3"/>
  <c r="BF8" i="3"/>
  <c r="BG8" i="3"/>
  <c r="BE6" i="3"/>
  <c r="BC10" i="1"/>
  <c r="BC11" i="1"/>
  <c r="BC8" i="1"/>
  <c r="BF8" i="1" s="1"/>
  <c r="BC10" i="3"/>
  <c r="BC9" i="3"/>
  <c r="S4" i="7"/>
  <c r="S7" i="7"/>
  <c r="S5" i="7"/>
  <c r="S6" i="7"/>
  <c r="BF9" i="1" l="1"/>
  <c r="BH9" i="1"/>
  <c r="BG9" i="1"/>
  <c r="M9" i="13"/>
  <c r="AP9" i="13" s="1"/>
  <c r="K9" i="13"/>
  <c r="N9" i="13" s="1"/>
  <c r="AQ9" i="13" s="1"/>
  <c r="BG11" i="1"/>
  <c r="BH11" i="1"/>
  <c r="BF11" i="1"/>
  <c r="BF6" i="3"/>
  <c r="BG6" i="3"/>
  <c r="BH6" i="3"/>
  <c r="BG9" i="3"/>
  <c r="BH9" i="3"/>
  <c r="BF9" i="3"/>
  <c r="BH10" i="1"/>
  <c r="BG10" i="1"/>
  <c r="BF10" i="1"/>
  <c r="BG10" i="3"/>
  <c r="BH10" i="3"/>
  <c r="BF10" i="3"/>
  <c r="BG8" i="1"/>
  <c r="BH8" i="1"/>
  <c r="BC22" i="1"/>
  <c r="BC21" i="1"/>
  <c r="BC7" i="1"/>
  <c r="H56" i="7"/>
  <c r="O9" i="13" l="1"/>
  <c r="AR9" i="13" s="1"/>
  <c r="M10" i="13"/>
  <c r="AP10" i="13" s="1"/>
  <c r="K10" i="13"/>
  <c r="N10" i="13" s="1"/>
  <c r="AQ10" i="13" s="1"/>
  <c r="BH21" i="1"/>
  <c r="BG21" i="1"/>
  <c r="BF21" i="1"/>
  <c r="BG7" i="1"/>
  <c r="BF7" i="1"/>
  <c r="BH7" i="1"/>
  <c r="BG22" i="1"/>
  <c r="BF22" i="1"/>
  <c r="BH22" i="1"/>
  <c r="J64" i="7"/>
  <c r="H64" i="7" s="1"/>
  <c r="O10" i="13" l="1"/>
  <c r="AR10" i="13" s="1"/>
  <c r="M11" i="13"/>
  <c r="AP11" i="13" s="1"/>
  <c r="K11" i="13"/>
  <c r="N11" i="13" s="1"/>
  <c r="AQ11" i="13" s="1"/>
  <c r="E46" i="7"/>
  <c r="F46" i="7" s="1"/>
  <c r="H51" i="7" s="1"/>
  <c r="E41" i="7"/>
  <c r="E51" i="7"/>
  <c r="F51" i="7" s="1"/>
  <c r="O11" i="13" l="1"/>
  <c r="AR11" i="13" s="1"/>
  <c r="M12" i="13"/>
  <c r="AP12" i="13" s="1"/>
  <c r="K12" i="13"/>
  <c r="N12" i="13" s="1"/>
  <c r="AQ12" i="13" s="1"/>
  <c r="H46" i="7"/>
  <c r="J116" i="7"/>
  <c r="H116" i="7"/>
  <c r="F108" i="7"/>
  <c r="J88" i="7"/>
  <c r="F82" i="7"/>
  <c r="A82" i="7"/>
  <c r="J70" i="7"/>
  <c r="H70" i="7"/>
  <c r="F41" i="7"/>
  <c r="O12" i="13" l="1"/>
  <c r="AR12" i="13" s="1"/>
  <c r="M13" i="13"/>
  <c r="AP13" i="13" s="1"/>
  <c r="K13" i="13"/>
  <c r="N13" i="13" s="1"/>
  <c r="AQ13" i="13" s="1"/>
  <c r="H41" i="7"/>
  <c r="O13" i="13" l="1"/>
  <c r="AR13" i="13" s="1"/>
  <c r="M14" i="13"/>
  <c r="AP14" i="13" s="1"/>
  <c r="K14" i="13"/>
  <c r="N14" i="13" s="1"/>
  <c r="AQ14" i="13" s="1"/>
  <c r="BC6" i="1"/>
  <c r="BF6" i="1" s="1"/>
  <c r="S3" i="7"/>
  <c r="O14" i="13" l="1"/>
  <c r="AR14" i="13" s="1"/>
  <c r="M15" i="13"/>
  <c r="AP15" i="13" s="1"/>
  <c r="K15" i="13"/>
  <c r="N15" i="13" s="1"/>
  <c r="AQ15" i="13" s="1"/>
  <c r="BG6" i="1"/>
  <c r="BH6" i="1"/>
  <c r="J96" i="7"/>
  <c r="O15" i="13" l="1"/>
  <c r="AR15" i="13" s="1"/>
  <c r="M16" i="13"/>
  <c r="AP16" i="13" s="1"/>
  <c r="K16" i="13"/>
  <c r="N16" i="13" s="1"/>
  <c r="AQ16" i="13" s="1"/>
  <c r="O16" i="13" l="1"/>
  <c r="AR16" i="13" s="1"/>
  <c r="M17" i="13"/>
  <c r="AP17" i="13" s="1"/>
  <c r="K17" i="13"/>
  <c r="N17" i="13" s="1"/>
  <c r="AQ17" i="13" s="1"/>
  <c r="O17" i="13" l="1"/>
  <c r="AR17" i="13" s="1"/>
  <c r="M18" i="13"/>
  <c r="AP18" i="13" s="1"/>
  <c r="K18" i="13"/>
  <c r="N18" i="13" s="1"/>
  <c r="AQ18" i="13" s="1"/>
  <c r="O18" i="13" l="1"/>
  <c r="AR18" i="13" s="1"/>
  <c r="M19" i="13"/>
  <c r="AP19" i="13" s="1"/>
  <c r="K19" i="13"/>
  <c r="N19" i="13" s="1"/>
  <c r="AQ19" i="13" s="1"/>
  <c r="O19" i="13" l="1"/>
  <c r="AR19" i="13" s="1"/>
  <c r="M20" i="13"/>
  <c r="AP20" i="13" s="1"/>
  <c r="K20" i="13"/>
  <c r="N20" i="13" s="1"/>
  <c r="AQ20" i="13" s="1"/>
  <c r="O20" i="13" l="1"/>
  <c r="AR20" i="13" s="1"/>
  <c r="O15" i="26"/>
  <c r="AT15" i="26" s="1"/>
  <c r="Q15" i="26"/>
  <c r="AV15" i="26" s="1"/>
  <c r="M15" i="26"/>
  <c r="P15" i="26" s="1"/>
  <c r="AU15" i="26" s="1"/>
  <c r="O16" i="26" l="1"/>
  <c r="AT16" i="26" s="1"/>
  <c r="Q16" i="26"/>
  <c r="AV16" i="26" s="1"/>
  <c r="M16" i="26"/>
  <c r="P16" i="26" s="1"/>
  <c r="AU16" i="26" s="1"/>
  <c r="Q17" i="26" l="1"/>
  <c r="AV17" i="26" s="1"/>
  <c r="O17" i="26"/>
  <c r="AT17" i="26" s="1"/>
  <c r="M17" i="26"/>
  <c r="P17" i="26" s="1"/>
  <c r="AU17" i="26" s="1"/>
  <c r="O18" i="26" l="1"/>
  <c r="AT18" i="26" s="1"/>
  <c r="Q18" i="26"/>
  <c r="AV18" i="26" s="1"/>
  <c r="M18" i="26"/>
  <c r="P18" i="26" s="1"/>
  <c r="AU18" i="26" s="1"/>
  <c r="O19" i="26" l="1"/>
  <c r="AT19" i="26" s="1"/>
  <c r="Q19" i="26"/>
  <c r="AV19" i="26" s="1"/>
  <c r="M19" i="26"/>
  <c r="P19" i="26" s="1"/>
  <c r="AU19" i="26" s="1"/>
  <c r="Q20" i="26" l="1"/>
  <c r="AV20" i="26" s="1"/>
  <c r="O20" i="26"/>
  <c r="AT20" i="26" s="1"/>
  <c r="M20" i="26"/>
  <c r="P20" i="26" s="1"/>
  <c r="AU20" i="26" s="1"/>
  <c r="O21" i="26" l="1"/>
  <c r="AT21" i="26" s="1"/>
  <c r="Q21" i="26"/>
  <c r="AV21" i="26" s="1"/>
  <c r="M21" i="26"/>
  <c r="P21" i="26" s="1"/>
  <c r="AU21" i="26" s="1"/>
  <c r="O22" i="26" l="1"/>
  <c r="AT22" i="26" s="1"/>
  <c r="M22" i="26"/>
  <c r="P22" i="26" s="1"/>
  <c r="AU22" i="26" s="1"/>
  <c r="Q22" i="26"/>
  <c r="AV22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tc={05E6A32D-BBB0-4A4B-B685-161CCF4B72D3}</author>
  </authors>
  <commentList>
    <comment ref="Q5" authorId="0" shapeId="0" xr:uid="{05E6A32D-BBB0-4A4B-B685-161CCF4B72D3}">
      <text>
        <t>[Threaded comment]
Your version of Excel allows you to read this threaded comment; however, any edits to it will get removed if the file is opened in a newer version of Excel. Learn more: https://go.microsoft.com/fwlink/?linkid=870924
Comment:
    EU applies to all of the below countries: 
D/F/E/P/PL/BE/NL/IS/AT/LU/SE/FI/H/BG/TR/GR</t>
      </text>
    </comment>
  </commentList>
</comments>
</file>

<file path=xl/sharedStrings.xml><?xml version="1.0" encoding="utf-8"?>
<sst xmlns="http://schemas.openxmlformats.org/spreadsheetml/2006/main" count="5753" uniqueCount="2110">
  <si>
    <t>Art.-Nr.</t>
  </si>
  <si>
    <t>Series</t>
  </si>
  <si>
    <t>Packaging Cost</t>
  </si>
  <si>
    <t>Lead Time</t>
  </si>
  <si>
    <t>Description</t>
  </si>
  <si>
    <t>AC160E2132210111</t>
  </si>
  <si>
    <t>Acton</t>
  </si>
  <si>
    <t>U-Form, CE, electrical cabinet in painted sheet steel, flange on top (0°)</t>
  </si>
  <si>
    <t>AC160E2132210112</t>
  </si>
  <si>
    <t>U-Form, CE, electrical cabinet in stainless steel, flange on top (0°)</t>
  </si>
  <si>
    <t>AC160E2132210121</t>
  </si>
  <si>
    <t>U-Form, CE, electrical cabinet in painted sheet steel, flange on top (0°), A/C</t>
  </si>
  <si>
    <t>AC160E2132210122</t>
  </si>
  <si>
    <t>U-Form, CE, electrical cabinet in stainless steel, flange on top (0°), A/C</t>
  </si>
  <si>
    <t>AC160E2132210211</t>
  </si>
  <si>
    <t>U-Form, UL, electrical cabinet in painted sheet steel, flange on top (0°)</t>
  </si>
  <si>
    <t>AC160E2132210212</t>
  </si>
  <si>
    <t>U-Form, UL, electrical cabinet in stainless steel, flange on top (0°)</t>
  </si>
  <si>
    <t>AC160E2132210221</t>
  </si>
  <si>
    <t>U-Form,UL, electrical cabinet in painted sheet steel, flange on top (0°), A/C</t>
  </si>
  <si>
    <t>AC160E2132220111</t>
  </si>
  <si>
    <t>U-Form, CE, electrical cabinet in painted sheet steel, flange at right (90°)</t>
  </si>
  <si>
    <t>AC160E2132220112</t>
  </si>
  <si>
    <t>U-Form, CE, electrical cabinet in stainless steel, flange at right (90°)</t>
  </si>
  <si>
    <t>AC160E2132220121</t>
  </si>
  <si>
    <t>U-Form, CE, electrical cabinet in painted sheet steel, flange at right (90°), A/C</t>
  </si>
  <si>
    <t>AC160E2132220122</t>
  </si>
  <si>
    <t>U-Form, CE, electrical cabinet in stainless steel, flange at right (90°), A/C</t>
  </si>
  <si>
    <t>AC160E2132220211</t>
  </si>
  <si>
    <t>U-Form, UL, electrical cabinet in painted sheet steel, flange at right (90°)</t>
  </si>
  <si>
    <t>AC160E2132220212</t>
  </si>
  <si>
    <t>U-Form,UL, electrical cabinet in stainless steel, flange at right (90°)</t>
  </si>
  <si>
    <t>AC160E2132220221</t>
  </si>
  <si>
    <t>U-Form, UL, electrical cabinet in painted sheet steel, flange at right (90°), A/C</t>
  </si>
  <si>
    <t>AC160E2132230111</t>
  </si>
  <si>
    <t>U-Form, CE, electrical cabinet in painted sheet steel, flange at bottom (180°)</t>
  </si>
  <si>
    <t>AC160E2132230112</t>
  </si>
  <si>
    <t>U-Form, CE, electrical cabinet in stainless steel, flange at bottom (180°)</t>
  </si>
  <si>
    <t>AC160E2132230121</t>
  </si>
  <si>
    <t>U-Form, CE, electrical cabinet in painted sheet steel, flange at bottom (180°), A/C</t>
  </si>
  <si>
    <t>AC160E2132230122</t>
  </si>
  <si>
    <t>U-Form, CE, electrical cabinet in stainless steel, flange at bottom (180°), A/C</t>
  </si>
  <si>
    <t>AC160E2132230211</t>
  </si>
  <si>
    <t>U-Form, UL, electrical cabinet in painted sheet steel, flange at bottom (180°)</t>
  </si>
  <si>
    <t>AC160E2132230212</t>
  </si>
  <si>
    <t>U-Form, UL, electrical cabinet in stainless steel, flange at bottom (180°)</t>
  </si>
  <si>
    <t>AC160E2132230221</t>
  </si>
  <si>
    <t>U-Form, UL, electrical cabinet in painted sheet steel, flange at bottom (180°), A/C</t>
  </si>
  <si>
    <t>AC160E2132240111</t>
  </si>
  <si>
    <t>U-Form, CE, electrical cabinet in painted sheet steel, flange at left (270°)</t>
  </si>
  <si>
    <t>AC160E2132240112</t>
  </si>
  <si>
    <t>U-Form, CE, electrical cabinet in stainless steel, flange at left (270°)</t>
  </si>
  <si>
    <t>AC160E2132240121</t>
  </si>
  <si>
    <t>U-Form, CE, electrical cabinet in painted sheet steel, flange at left (270°), A/C</t>
  </si>
  <si>
    <t>AC160E2132240122</t>
  </si>
  <si>
    <t>U-Form, CE, electrical cabinet in stainless steel, flange at left (270°), A/C</t>
  </si>
  <si>
    <t>AC160E2132240211</t>
  </si>
  <si>
    <t>U-Form, UL, electrical cabinet in painted sheet steel, flange at left (270°)</t>
  </si>
  <si>
    <t>AC160E2132240212</t>
  </si>
  <si>
    <t>U-Form, UL, electrical cabinet in stainless steel, flange at left (270°)</t>
  </si>
  <si>
    <t>AC160E2132240221</t>
  </si>
  <si>
    <t>U-Form, UL, electrical cabinet in painted sheet steel, flange at left (270°), A/C</t>
  </si>
  <si>
    <t>AC260E2132210111</t>
  </si>
  <si>
    <t>AC260E2132210112</t>
  </si>
  <si>
    <t>AC260E2132210121</t>
  </si>
  <si>
    <t>AC260E2132210122</t>
  </si>
  <si>
    <t>AC260E2132210211</t>
  </si>
  <si>
    <t>AC260E2132210212</t>
  </si>
  <si>
    <t>AC260E2132210221</t>
  </si>
  <si>
    <t>AC260E2132220111</t>
  </si>
  <si>
    <t>AC260E2132220112</t>
  </si>
  <si>
    <t>AC260E2132220121</t>
  </si>
  <si>
    <t>AC260E2132220122</t>
  </si>
  <si>
    <t>AC260E2132220211</t>
  </si>
  <si>
    <t>AC260E2132220212</t>
  </si>
  <si>
    <t>AC260E2132220221</t>
  </si>
  <si>
    <t>AC260E2132230111</t>
  </si>
  <si>
    <t>AC260E2132230112</t>
  </si>
  <si>
    <t>SP650e2212200111</t>
  </si>
  <si>
    <t>AC260E2132230121</t>
  </si>
  <si>
    <t>AC260E2132230122</t>
  </si>
  <si>
    <t>AC260E2132230211</t>
  </si>
  <si>
    <t>AC260E2132230212</t>
  </si>
  <si>
    <t>AC260E2132230221</t>
  </si>
  <si>
    <t>AC260E2132240111</t>
  </si>
  <si>
    <t>AC260E2132240112</t>
  </si>
  <si>
    <t>AC260E2132240121</t>
  </si>
  <si>
    <t>AC260E2132240122</t>
  </si>
  <si>
    <t>AC260E2132240211</t>
  </si>
  <si>
    <t>AC260E2132240212</t>
  </si>
  <si>
    <t>AC260E2132240221</t>
  </si>
  <si>
    <t>AC27E2132210111</t>
  </si>
  <si>
    <t>AC27E2132210112</t>
  </si>
  <si>
    <t>AC27E2132210121</t>
  </si>
  <si>
    <t>AC27E2132210122</t>
  </si>
  <si>
    <t>AC27E2132210211</t>
  </si>
  <si>
    <t>AC27E2132210212</t>
  </si>
  <si>
    <t>AC27E2132210221</t>
  </si>
  <si>
    <t>AC27E2132220111</t>
  </si>
  <si>
    <t>AC27E2132220112</t>
  </si>
  <si>
    <t>AC27E2132220121</t>
  </si>
  <si>
    <t>AC27E2132220122</t>
  </si>
  <si>
    <t>AC27E2132220211</t>
  </si>
  <si>
    <t>AC27E2132220212</t>
  </si>
  <si>
    <t>AC27E2132220221</t>
  </si>
  <si>
    <t>AC27E2132230111</t>
  </si>
  <si>
    <t>AC27E2132230112</t>
  </si>
  <si>
    <t>AC27E2132230121</t>
  </si>
  <si>
    <t>AC27E2132230122</t>
  </si>
  <si>
    <t>AC27E2132230211</t>
  </si>
  <si>
    <t>AC27E2132230212</t>
  </si>
  <si>
    <t>AC27E2132230221</t>
  </si>
  <si>
    <t>AC27E2132240111</t>
  </si>
  <si>
    <t>AC27E2132240112</t>
  </si>
  <si>
    <t>AC27E2132240121</t>
  </si>
  <si>
    <t>AC27E2132240122</t>
  </si>
  <si>
    <t>AC27E2132240211</t>
  </si>
  <si>
    <t>AC27E2132240212</t>
  </si>
  <si>
    <t>AC27E2132240221</t>
  </si>
  <si>
    <t>AC460E2132210111</t>
  </si>
  <si>
    <t>AC460E2132210112</t>
  </si>
  <si>
    <t>AC460E2132210121</t>
  </si>
  <si>
    <t>AC460E2132210122</t>
  </si>
  <si>
    <t>AC460E2132210211</t>
  </si>
  <si>
    <t>AC460E2132210212</t>
  </si>
  <si>
    <t>AC460E2132210221</t>
  </si>
  <si>
    <t>AC460E2132220111</t>
  </si>
  <si>
    <t>AC460E2132220112</t>
  </si>
  <si>
    <t>AC460E2132220121</t>
  </si>
  <si>
    <t>AC460E2132220122</t>
  </si>
  <si>
    <t>AC460E2132220211</t>
  </si>
  <si>
    <t>AC460E2132220212</t>
  </si>
  <si>
    <t>AC460E2132220221</t>
  </si>
  <si>
    <t>AC460E2132230111</t>
  </si>
  <si>
    <t>AC460E2132230112</t>
  </si>
  <si>
    <t>AC460E2132230121</t>
  </si>
  <si>
    <t>AC460E2132230122</t>
  </si>
  <si>
    <t>AC460E2132230211</t>
  </si>
  <si>
    <t>AC460E2132230212</t>
  </si>
  <si>
    <t>AC460E2132230221</t>
  </si>
  <si>
    <t>AC460E2132240111</t>
  </si>
  <si>
    <t>AC460E2132240112</t>
  </si>
  <si>
    <t>AC460E2132240121</t>
  </si>
  <si>
    <t>AC460E2132240122</t>
  </si>
  <si>
    <t>AC460E2132240211</t>
  </si>
  <si>
    <t>AC460E2132240212</t>
  </si>
  <si>
    <t>AC460E2132240221</t>
  </si>
  <si>
    <t>AC660E2132210111</t>
  </si>
  <si>
    <t>AC660E2132210112</t>
  </si>
  <si>
    <t>AC660E2132210121</t>
  </si>
  <si>
    <t>AC660E2132210122</t>
  </si>
  <si>
    <t>AC660E2132210211</t>
  </si>
  <si>
    <t>AC660E2132210212</t>
  </si>
  <si>
    <t>AC660E2132210221</t>
  </si>
  <si>
    <t>AC660E2132220111</t>
  </si>
  <si>
    <t>AC660E2132220112</t>
  </si>
  <si>
    <t>AC660E2132220121</t>
  </si>
  <si>
    <t>AC660E2132220122</t>
  </si>
  <si>
    <t>AC660E2132220211</t>
  </si>
  <si>
    <t>AC660E2132220212</t>
  </si>
  <si>
    <t>AC660E2132220221</t>
  </si>
  <si>
    <t>AC660E2132230111</t>
  </si>
  <si>
    <t>AC660E2132230112</t>
  </si>
  <si>
    <t>AC660E2132230121</t>
  </si>
  <si>
    <t>AC660E2132230122</t>
  </si>
  <si>
    <t>AC660E2132230211</t>
  </si>
  <si>
    <t>AC660E2132230212</t>
  </si>
  <si>
    <t>AC660E2132230221</t>
  </si>
  <si>
    <t>AC660E2132240111</t>
  </si>
  <si>
    <t>AC660E2132240112</t>
  </si>
  <si>
    <t>AC660E2132240121</t>
  </si>
  <si>
    <t>AC660E2132240122</t>
  </si>
  <si>
    <t>AC660E2132240211</t>
  </si>
  <si>
    <t>AC660E2132240212</t>
  </si>
  <si>
    <t>AC660E2132240221</t>
  </si>
  <si>
    <t>AQUA10ALT</t>
  </si>
  <si>
    <t>Aquada</t>
  </si>
  <si>
    <t>incl.</t>
  </si>
  <si>
    <t>AQUA10MAX</t>
  </si>
  <si>
    <t>AQUA10PRO</t>
  </si>
  <si>
    <t>AQUA1ALT</t>
  </si>
  <si>
    <t>AQUA1MAX</t>
  </si>
  <si>
    <t>AQUA1PRO</t>
  </si>
  <si>
    <t>AQUA2ALT</t>
  </si>
  <si>
    <t>AQUA2MAX</t>
  </si>
  <si>
    <t>AQUA2PRO</t>
  </si>
  <si>
    <t>AQUA4ALT</t>
  </si>
  <si>
    <t>AQUA4MAX</t>
  </si>
  <si>
    <t>AQUA4PRO</t>
  </si>
  <si>
    <t>AQUA7ALT</t>
  </si>
  <si>
    <t>AQUA7MAX</t>
  </si>
  <si>
    <t>AQUA7PRO</t>
  </si>
  <si>
    <t>LBX1000e2111100111</t>
  </si>
  <si>
    <t>LBX</t>
  </si>
  <si>
    <t>U-Form, electrical cabinet in painted sheet steel, wiper</t>
  </si>
  <si>
    <t>LBX1000e2111100112</t>
  </si>
  <si>
    <t>U-Form, electrical cabinet in stainless steel, wiper</t>
  </si>
  <si>
    <t>LBX1000e2111100121</t>
  </si>
  <si>
    <t>U-Form, electrical cabinet in painted sheet steel, wiper, A/C</t>
  </si>
  <si>
    <t>LBX1000e2112100111</t>
  </si>
  <si>
    <t>U-Form, electrical cabinet in painted sheet steel</t>
  </si>
  <si>
    <t>LBX1000e2112100112</t>
  </si>
  <si>
    <t>U-Form, electrical cabinet in stainless steel</t>
  </si>
  <si>
    <t>LBX1000e2112100121</t>
  </si>
  <si>
    <t>U-Form, electrical cabinet in painted sheet steel, A/C</t>
  </si>
  <si>
    <t>LBX1000e2112200121</t>
  </si>
  <si>
    <t>Z-Form, electrical cabinet in painted sheet steel, A/C</t>
  </si>
  <si>
    <t>LBX1000e2121100111</t>
  </si>
  <si>
    <t>Z-Form, electrical cabinet in painted sheet steel, wiper</t>
  </si>
  <si>
    <t>LBX1000e2121100112</t>
  </si>
  <si>
    <t>Z-Form, electrical cabinet in stainless steel, wiper</t>
  </si>
  <si>
    <t>LBX1000e2121100121</t>
  </si>
  <si>
    <t>Z-Form, electrical cabinet in painted sheet steel, wiper, A/C</t>
  </si>
  <si>
    <t>LBX1000e2122100111</t>
  </si>
  <si>
    <t>Z-Form, electrical cabinet in painted sheet steel</t>
  </si>
  <si>
    <t>LBX1000e2122100112</t>
  </si>
  <si>
    <t>Z-Form, electrical cabinet in stainless steel</t>
  </si>
  <si>
    <t>LBX102111200111</t>
  </si>
  <si>
    <t>LBX102111200112</t>
  </si>
  <si>
    <t>LBX102112200111</t>
  </si>
  <si>
    <t>LBX102112200112</t>
  </si>
  <si>
    <t>LBX102121200111</t>
  </si>
  <si>
    <t>LBX102121200112</t>
  </si>
  <si>
    <t>LBX102122200111</t>
  </si>
  <si>
    <t>LBX102122200112</t>
  </si>
  <si>
    <t>LBX120e2111100111</t>
  </si>
  <si>
    <t>LBX120e2111100112</t>
  </si>
  <si>
    <t>LBX120e2111100121</t>
  </si>
  <si>
    <t>LBX120e2112100111</t>
  </si>
  <si>
    <t>LBX120e2112100112</t>
  </si>
  <si>
    <t>LBX120e2112100121</t>
  </si>
  <si>
    <t>LBX120e2112200121</t>
  </si>
  <si>
    <t>LBX120e2121100111</t>
  </si>
  <si>
    <t>LBX120e2121100112</t>
  </si>
  <si>
    <t>LBX120e2121100121</t>
  </si>
  <si>
    <t>LBX120e2122100111</t>
  </si>
  <si>
    <t>LBX120e2122100112</t>
  </si>
  <si>
    <t>LBX1500e2101100111</t>
  </si>
  <si>
    <t>L-Form, electrical cabinet in painted sheet steel, wiper</t>
  </si>
  <si>
    <t>LBX1500e2101100112</t>
  </si>
  <si>
    <t>L-Form, electrical cabinet in stainless steel, wiper</t>
  </si>
  <si>
    <t>LBX1500e2101100121</t>
  </si>
  <si>
    <t>L-Form, electrical cabinet in painted sheet steel, wiper, A/C</t>
  </si>
  <si>
    <t>LBX1500e2102100111</t>
  </si>
  <si>
    <t>L-Form, electrical cabinet in painted sheet steel</t>
  </si>
  <si>
    <t>LBX1500e2102100112</t>
  </si>
  <si>
    <t>L-Form, electrical cabinet in stainless steel</t>
  </si>
  <si>
    <t>LBX1500e2102100121</t>
  </si>
  <si>
    <t>L-Form, electrical cabinet in painted sheet steel, A/C</t>
  </si>
  <si>
    <t>LBX200e2111100111</t>
  </si>
  <si>
    <t>LBX200e2111100112</t>
  </si>
  <si>
    <t>LBX200e2111100121</t>
  </si>
  <si>
    <t>LBX200e2112100111</t>
  </si>
  <si>
    <t>LBX200e2112100112</t>
  </si>
  <si>
    <t>LBX200e2112100121</t>
  </si>
  <si>
    <t>LBX200e2112200121</t>
  </si>
  <si>
    <t>LBX200e2121100111</t>
  </si>
  <si>
    <t>LBX200e2121100112</t>
  </si>
  <si>
    <t>LBX200e2121100121</t>
  </si>
  <si>
    <t>LBX200e2122100111</t>
  </si>
  <si>
    <t>LBX200e2122100112</t>
  </si>
  <si>
    <t>LBX202111200111</t>
  </si>
  <si>
    <t>LBX202111200112</t>
  </si>
  <si>
    <t>LBX202112200111</t>
  </si>
  <si>
    <t>LBX202112200112</t>
  </si>
  <si>
    <t>LBX202121200111</t>
  </si>
  <si>
    <t>LBX202121200112</t>
  </si>
  <si>
    <t>LBX202122200111</t>
  </si>
  <si>
    <t>LBX202122200112</t>
  </si>
  <si>
    <t>LBX332111200111</t>
  </si>
  <si>
    <t>LBX332111200112</t>
  </si>
  <si>
    <t>LBX332112200111</t>
  </si>
  <si>
    <t>LBX332112200112</t>
  </si>
  <si>
    <t>LBX332121200111</t>
  </si>
  <si>
    <t>LBX332121200112</t>
  </si>
  <si>
    <t>LBX332122200111</t>
  </si>
  <si>
    <t>LBX332122200112</t>
  </si>
  <si>
    <t>LBX400e2111100111</t>
  </si>
  <si>
    <t>LBX400e2111100112</t>
  </si>
  <si>
    <t>LBX400e2111100121</t>
  </si>
  <si>
    <t>LBX400e2112100111</t>
  </si>
  <si>
    <t>LBX400e2112100112</t>
  </si>
  <si>
    <t>LBX400e2112100121</t>
  </si>
  <si>
    <t>LBX400e2112200121</t>
  </si>
  <si>
    <t>LBX400e2121100111</t>
  </si>
  <si>
    <t>LBX400e2121100112</t>
  </si>
  <si>
    <t>LBX400e2121100121</t>
  </si>
  <si>
    <t>LBX400e2122100111</t>
  </si>
  <si>
    <t>LBX400e2122100112</t>
  </si>
  <si>
    <t>LBX550e2111100111</t>
  </si>
  <si>
    <t>LBX550e2111100112</t>
  </si>
  <si>
    <t>LBX550e2111100121</t>
  </si>
  <si>
    <t>LBX550e2112100111</t>
  </si>
  <si>
    <t>LBX550e2112100112</t>
  </si>
  <si>
    <t>LBX550e2112100121</t>
  </si>
  <si>
    <t>LBX550e2112200121</t>
  </si>
  <si>
    <t>LBX550e2121100111</t>
  </si>
  <si>
    <t>LBX550e2121100112</t>
  </si>
  <si>
    <t>LBX550e2121100121</t>
  </si>
  <si>
    <t>LBX550e2122100111</t>
  </si>
  <si>
    <t>LBX550e2122100112</t>
  </si>
  <si>
    <t>LBX850e2101100111</t>
  </si>
  <si>
    <t>LBX850e2101100112</t>
  </si>
  <si>
    <t>LBX850e2101100121</t>
  </si>
  <si>
    <t>LBX850e2102100111</t>
  </si>
  <si>
    <t>LBX850e2102100112</t>
  </si>
  <si>
    <t>LBX850e2102100121</t>
  </si>
  <si>
    <t>LBX90e2111200111</t>
  </si>
  <si>
    <t>LBX90e2111200112</t>
  </si>
  <si>
    <t>LBX90e2111200121</t>
  </si>
  <si>
    <t>LBX90e2112200111</t>
  </si>
  <si>
    <t>LBX90e2112200112</t>
  </si>
  <si>
    <t>LBX90e2112200121</t>
  </si>
  <si>
    <t>LBX90e2121200111</t>
  </si>
  <si>
    <t>LBX90e2121200112</t>
  </si>
  <si>
    <t>LBX90e2121200121</t>
  </si>
  <si>
    <t>LBX90e2122200111</t>
  </si>
  <si>
    <t>LBX90e2122200112</t>
  </si>
  <si>
    <t>LBX90e2122200121</t>
  </si>
  <si>
    <t>RGD101</t>
  </si>
  <si>
    <t>Cleaning</t>
  </si>
  <si>
    <t>ASE, CE, 230V / 50Hz</t>
  </si>
  <si>
    <t>RGD105</t>
  </si>
  <si>
    <t>RGP00020</t>
  </si>
  <si>
    <t>C-unit, CE, 230V / 50Hz</t>
  </si>
  <si>
    <t>RGP00101</t>
  </si>
  <si>
    <t>RGP00202</t>
  </si>
  <si>
    <t>RGP0301</t>
  </si>
  <si>
    <t>RGP0501</t>
  </si>
  <si>
    <t>RGP1001</t>
  </si>
  <si>
    <t>SP02.1e0112200101</t>
  </si>
  <si>
    <t>Spektron e</t>
  </si>
  <si>
    <t>L-Form, CE, electrical cabinet in painted sheet steel, thread connection</t>
  </si>
  <si>
    <t>SP02.1e0112200102</t>
  </si>
  <si>
    <t>L-Form, CE, electrical cabinet in stainless steel, thread connections</t>
  </si>
  <si>
    <t>SP02.1e0112210101</t>
  </si>
  <si>
    <t>L-Form, CE, electrical cabinet in painted sheet steel, thread connection, VH lamp</t>
  </si>
  <si>
    <t>SP02.1e0112210102</t>
  </si>
  <si>
    <t>L-Form, CE, electrical cabinet in stainless steel, thread connection, VH lamp</t>
  </si>
  <si>
    <t>SP02.1e2112200101</t>
  </si>
  <si>
    <t>L-Form, CE, electrical cabinet in painted sheet steel, DN flange</t>
  </si>
  <si>
    <t>SP02.1e2112200102</t>
  </si>
  <si>
    <t>L-Form, CE, electrical cabinet in stainless steel, DN flange</t>
  </si>
  <si>
    <t>SP02.1e2112210101</t>
  </si>
  <si>
    <t>L-Form, CE, electrical cabinet in painted sheet steel, DN flange, VH lamp</t>
  </si>
  <si>
    <t>SP02.1e2112210102</t>
  </si>
  <si>
    <t>L-Form, CE, electrical cabinet in stainless steel, DN flange, VH lamp</t>
  </si>
  <si>
    <t>SP02I3122200102</t>
  </si>
  <si>
    <t>Spektron i</t>
  </si>
  <si>
    <t>L-Form,  aseptic flange with groove acc. DIN 11864-2 series A (1.4404)</t>
  </si>
  <si>
    <t>SP02I3122200103</t>
  </si>
  <si>
    <t>L-Form,  aseptic flange with groove acc. DIN 11864-2 series A (1.4404), C4 cabinet</t>
  </si>
  <si>
    <t>SP02I3122210102</t>
  </si>
  <si>
    <t>L-Form,  aseptic flange with groove acc. DIN 11864-2 series A (1.4404), VH</t>
  </si>
  <si>
    <t>SP02I3122210103</t>
  </si>
  <si>
    <t>L-Form,  aseptic flange with groove acc. DIN 11864-2 series A (1.4404), C4 cabinet, VH</t>
  </si>
  <si>
    <t>SP02I4122200102</t>
  </si>
  <si>
    <t>L-Form, Triclamps acc. DIN 32676 series A (1.4404)</t>
  </si>
  <si>
    <t>SP02I4122200103</t>
  </si>
  <si>
    <t>L-Form, Triclamps acc. DIN 32676 series A (1.4404), C4 cabinet</t>
  </si>
  <si>
    <t>SP02I4122210102</t>
  </si>
  <si>
    <t>L-Form, Triclamps acc. DIN 32676 series A (1.4404), VH</t>
  </si>
  <si>
    <t>SP02I4122210103</t>
  </si>
  <si>
    <t>L-Form, Triclamps acc. DIN 32676 series A (1.4404), C4 cabinet, VH</t>
  </si>
  <si>
    <t>SP05.1e0112200101</t>
  </si>
  <si>
    <t>SP05.1e0112200102</t>
  </si>
  <si>
    <t>SP05.1e0112210101</t>
  </si>
  <si>
    <t>SP05.1e0112210102</t>
  </si>
  <si>
    <t>SP05.1e2112200101</t>
  </si>
  <si>
    <t>SP05.1e2112200102</t>
  </si>
  <si>
    <t>SP05.1e2112210101</t>
  </si>
  <si>
    <t>SP05.1e2112210102</t>
  </si>
  <si>
    <t>SP05I3122200102</t>
  </si>
  <si>
    <t>SP05I3122200103</t>
  </si>
  <si>
    <t>SP05I3122210102</t>
  </si>
  <si>
    <t>SP05I3122210103</t>
  </si>
  <si>
    <t>SP05I4122200102</t>
  </si>
  <si>
    <t>SP05I4122200103</t>
  </si>
  <si>
    <t>SP05I4122210102</t>
  </si>
  <si>
    <t>SP05I4122210103</t>
  </si>
  <si>
    <t>SP10.1e0112200101</t>
  </si>
  <si>
    <t>SP10.1e0112200102</t>
  </si>
  <si>
    <t>SP10.1e0112210101</t>
  </si>
  <si>
    <t>SP10.1e0112210102</t>
  </si>
  <si>
    <t>SP10.1e2112200101</t>
  </si>
  <si>
    <t>SP10.1e2112200102</t>
  </si>
  <si>
    <t>SP10.1e2112210101</t>
  </si>
  <si>
    <t>SP10.1e2112210102</t>
  </si>
  <si>
    <t>SP10I3122200102</t>
  </si>
  <si>
    <t>SP10I3122200103</t>
  </si>
  <si>
    <t>SP10I3122210102</t>
  </si>
  <si>
    <t>SP10I3122210103</t>
  </si>
  <si>
    <t>SP10I4122200102</t>
  </si>
  <si>
    <t>SP10I4122200103</t>
  </si>
  <si>
    <t>SP10I4122210102</t>
  </si>
  <si>
    <t>SP10I4122210103</t>
  </si>
  <si>
    <t>SP15i3122100102</t>
  </si>
  <si>
    <t>SP15i4122100102</t>
  </si>
  <si>
    <t>SP180E1111100111</t>
  </si>
  <si>
    <t>L-Form, CE, electrical cabinet in painted sheet steel, ANSI flange, wiper</t>
  </si>
  <si>
    <t>SP180E1111100112</t>
  </si>
  <si>
    <t>L-Form, CE, electrical cabinet in stainless steel, ANSI flange, wiper</t>
  </si>
  <si>
    <t>SP180E1111100121</t>
  </si>
  <si>
    <t>L-Form, CE, electrical cabinet in painted sheet steel, ANSI flange, wiper, A/C</t>
  </si>
  <si>
    <t>SP180E1111100211</t>
  </si>
  <si>
    <t>L-Form,UL, electrical cabinet in painted sheet steel, ANSI flange, wiper</t>
  </si>
  <si>
    <t>SP180E1111100212</t>
  </si>
  <si>
    <t>L-Form, UL, electrical cabinet in stainless steel, ANSI flange, wiper</t>
  </si>
  <si>
    <t>SP180E1111100221</t>
  </si>
  <si>
    <t>L-Form, UL, electrical cabinet in painted sheet steel, ANSI flange, wiper, A/C</t>
  </si>
  <si>
    <t>SP180E1112100111</t>
  </si>
  <si>
    <t>L-Form, CE, electrical cabinet in painted sheet steel, ANSI flange</t>
  </si>
  <si>
    <t>SP180E1112100112</t>
  </si>
  <si>
    <t>L-Form, CE, electrical cabinet in stainless steel, ANSI flange</t>
  </si>
  <si>
    <t>SP180E1112100121</t>
  </si>
  <si>
    <t>L-Form, CE, electrical cabinet in painted sheet steel, ANSI flange, A/C</t>
  </si>
  <si>
    <t>SP180E1112100211</t>
  </si>
  <si>
    <t>L-Form, UL, electrical cabinet in painted sheet steel, ANSI flange</t>
  </si>
  <si>
    <t>SP180E1112100212</t>
  </si>
  <si>
    <t>L-Form, UL, electrical cabinet in stainless steel, ANSI flange</t>
  </si>
  <si>
    <t>SP180E1112100221</t>
  </si>
  <si>
    <t>L-Form,UL, electrical cabinet in painted sheet steel, ANSI flange, A/C</t>
  </si>
  <si>
    <t>SP180E2111100111</t>
  </si>
  <si>
    <t>L-Form, CE, electrical cabinet in painted sheet steel, DN flange, wiper</t>
  </si>
  <si>
    <t>SP180E2111100112</t>
  </si>
  <si>
    <t>L-Form, CE, electrical cabinet in stainless steel, DN flange, wiper</t>
  </si>
  <si>
    <t>SP180E2111100121</t>
  </si>
  <si>
    <t>L-Form, CE, electrical cabinet in painted sheet steel, DN flange, wiper, A/C</t>
  </si>
  <si>
    <t>SP180E2111100211</t>
  </si>
  <si>
    <t>L-Form, UL, electrical cabinet in painted sheet steel, DN flange, wiper</t>
  </si>
  <si>
    <t>SP180E2111100212</t>
  </si>
  <si>
    <t>L-Form, UL, electrical cabinet in stainless steel, DN flange, wiper</t>
  </si>
  <si>
    <t>SP180E2111100221</t>
  </si>
  <si>
    <t>L-Form, UL, electrical cabinet in painted sheet steel, DN flange, wiper, A/C</t>
  </si>
  <si>
    <t>SP180E2112100111</t>
  </si>
  <si>
    <t>SP180E2112100112</t>
  </si>
  <si>
    <t>SP180E2112100121</t>
  </si>
  <si>
    <t>L-Form, CE, electrical cabinet in painted sheet steel, DN flange, A/C</t>
  </si>
  <si>
    <t>SP180E2112100211</t>
  </si>
  <si>
    <t>L-Form, UL, electrical cabinet in painted sheet steel, DN flange</t>
  </si>
  <si>
    <t>SP180E2112100212</t>
  </si>
  <si>
    <t>L-Form, UL, electrical cabinet in stainless steel, DN flange</t>
  </si>
  <si>
    <t>SP180E2112100221</t>
  </si>
  <si>
    <t>L-Form, UL, electrical cabinet in painted sheet steel, DN flange, A/C</t>
  </si>
  <si>
    <t>SP2000E1111100111</t>
  </si>
  <si>
    <t>SP2000E1111100112</t>
  </si>
  <si>
    <t>SP2000E1111100121</t>
  </si>
  <si>
    <t>SP2000E1111100211</t>
  </si>
  <si>
    <t>SP2000E1111100212</t>
  </si>
  <si>
    <t>SP2000E1111100221</t>
  </si>
  <si>
    <t>SP2000E1112100111</t>
  </si>
  <si>
    <t>SP2000E1112100112</t>
  </si>
  <si>
    <t>SP2000E1112100121</t>
  </si>
  <si>
    <t>SP2000E1112100211</t>
  </si>
  <si>
    <t>SP2000E1112100212</t>
  </si>
  <si>
    <t>SP2000E1112100221</t>
  </si>
  <si>
    <t>SP2000E2111100111</t>
  </si>
  <si>
    <t>SP2000E2111100112</t>
  </si>
  <si>
    <t>SP2000E2111100121</t>
  </si>
  <si>
    <t>SP2000E2111100211</t>
  </si>
  <si>
    <t>SP2000E2111100212</t>
  </si>
  <si>
    <t>SP2000E2111100221</t>
  </si>
  <si>
    <t>SP2000E2112100111</t>
  </si>
  <si>
    <t>SP2000E2112100112</t>
  </si>
  <si>
    <t>SP2000E2112100121</t>
  </si>
  <si>
    <t>SP2000E2112100211</t>
  </si>
  <si>
    <t>SP2000E2112100212</t>
  </si>
  <si>
    <t>SP2000E2112100221</t>
  </si>
  <si>
    <t>SP200E1111200111</t>
  </si>
  <si>
    <t>wiper, ANSI</t>
  </si>
  <si>
    <t>SP200E1111200112</t>
  </si>
  <si>
    <t>wiper, st.st., ANSI</t>
  </si>
  <si>
    <t>SP200E1111200121</t>
  </si>
  <si>
    <t>AC, ANSI</t>
  </si>
  <si>
    <t>SP200E1111200122</t>
  </si>
  <si>
    <t>wiper, AC, st.st, ANSI</t>
  </si>
  <si>
    <t>SP200E1111200211</t>
  </si>
  <si>
    <t>wiper, UL</t>
  </si>
  <si>
    <t>SP200E1111200212</t>
  </si>
  <si>
    <t>wiper, st.st, UL</t>
  </si>
  <si>
    <t>SP200E1111200221</t>
  </si>
  <si>
    <t>wiper, AC, UL</t>
  </si>
  <si>
    <t>SP200E1112200111</t>
  </si>
  <si>
    <t>ANSI</t>
  </si>
  <si>
    <t>SP200E1112200112</t>
  </si>
  <si>
    <t>SP200E1112200121</t>
  </si>
  <si>
    <t>SP200E1112200122</t>
  </si>
  <si>
    <t>AC, st.st., ANSI</t>
  </si>
  <si>
    <t>SP200E1112200211</t>
  </si>
  <si>
    <t>UL</t>
  </si>
  <si>
    <t>SP200E1112200212</t>
  </si>
  <si>
    <t>st. st, UL</t>
  </si>
  <si>
    <t>SP200E1112200221</t>
  </si>
  <si>
    <t>AC, UL</t>
  </si>
  <si>
    <t>SP200E2111200111</t>
  </si>
  <si>
    <t>L-Form, CE, electrical cabinet in painted sheet steel, DIN flange, wiper</t>
  </si>
  <si>
    <t>SP200E2111200112</t>
  </si>
  <si>
    <t>L-Form, CE, electrical cabinet in stainless steel, DIN flange, wiper</t>
  </si>
  <si>
    <t>SP200E2111200121</t>
  </si>
  <si>
    <t>wiper, AC</t>
  </si>
  <si>
    <t>SP200E2111200122</t>
  </si>
  <si>
    <t>wiper, AC, st.st.</t>
  </si>
  <si>
    <t>SP200E2111200211</t>
  </si>
  <si>
    <t>SP200E2111200212</t>
  </si>
  <si>
    <t>SP200E2111200221</t>
  </si>
  <si>
    <t>SP200E2112200111</t>
  </si>
  <si>
    <t>L-Form, CE, electrical cabinet in painted sheet steel, DIN flange</t>
  </si>
  <si>
    <t>SP200E2112200112</t>
  </si>
  <si>
    <t>L-Form, CE, electrical cabinet in stainless steel, DIN flange</t>
  </si>
  <si>
    <t>SP200E2112200121</t>
  </si>
  <si>
    <t>AC</t>
  </si>
  <si>
    <t>SP200E2112200122</t>
  </si>
  <si>
    <t>SP200E2112200211</t>
  </si>
  <si>
    <t>SP200E2112200212</t>
  </si>
  <si>
    <t>SP200E2112200221</t>
  </si>
  <si>
    <t>SP22e1112200111</t>
  </si>
  <si>
    <t>Ansi</t>
  </si>
  <si>
    <t>SP22e1112200112</t>
  </si>
  <si>
    <t>Ansi, st.st.</t>
  </si>
  <si>
    <t>SP22e1112200121</t>
  </si>
  <si>
    <t>Ansi, AC</t>
  </si>
  <si>
    <t>SP22e1112200122</t>
  </si>
  <si>
    <t>Ansi, AC, st.st.</t>
  </si>
  <si>
    <t>SP22e1112200211</t>
  </si>
  <si>
    <t>CE</t>
  </si>
  <si>
    <t>SP22e1112200212</t>
  </si>
  <si>
    <t>CE, st.st.</t>
  </si>
  <si>
    <t>SP22e1112200221</t>
  </si>
  <si>
    <t>CE, AC</t>
  </si>
  <si>
    <t>SP22e2112200111</t>
  </si>
  <si>
    <t>U-Form, CE, electrical cabinet in painted sheet steel, DIN flange</t>
  </si>
  <si>
    <t>SP22e2112200112</t>
  </si>
  <si>
    <t>U-Form, CE, electrical cabinet in stainless steel, DIN flange</t>
  </si>
  <si>
    <t>SP22e2112200121</t>
  </si>
  <si>
    <t>mit AC</t>
  </si>
  <si>
    <t>SP22e2112200122</t>
  </si>
  <si>
    <t>mit AC, st.st.</t>
  </si>
  <si>
    <t>SP22e2112200211</t>
  </si>
  <si>
    <t>SP22e2112200212</t>
  </si>
  <si>
    <t>UL, st.st.</t>
  </si>
  <si>
    <t>SP22e2112200221</t>
  </si>
  <si>
    <t>UL, AC</t>
  </si>
  <si>
    <t>SP250E1111100111</t>
  </si>
  <si>
    <t>SP250E1111100112</t>
  </si>
  <si>
    <t>SP250E1111100121</t>
  </si>
  <si>
    <t>SP250E1111100211</t>
  </si>
  <si>
    <t>SP250E1111100212</t>
  </si>
  <si>
    <t>SP250E1111100221</t>
  </si>
  <si>
    <t>SP250E1112100111</t>
  </si>
  <si>
    <t>SP250E1112100112</t>
  </si>
  <si>
    <t>SP250E1112100121</t>
  </si>
  <si>
    <t>SP250E1112100211</t>
  </si>
  <si>
    <t>SP250E1112100212</t>
  </si>
  <si>
    <t>SP250E1112100221</t>
  </si>
  <si>
    <t>SP250E1211100111</t>
  </si>
  <si>
    <t>SP250E1211100112</t>
  </si>
  <si>
    <t>SP250E1211100121</t>
  </si>
  <si>
    <t>SP250E1211100211</t>
  </si>
  <si>
    <t>SP250E1211100212</t>
  </si>
  <si>
    <t>SP250E1211100221</t>
  </si>
  <si>
    <t>SP250E1212100111</t>
  </si>
  <si>
    <t>SP250E1212100112</t>
  </si>
  <si>
    <t>SP250E1212100121</t>
  </si>
  <si>
    <t>SP250E1212100211</t>
  </si>
  <si>
    <t>SP250E1212100212</t>
  </si>
  <si>
    <t>SP250E1212100221</t>
  </si>
  <si>
    <t>SP250E2111100111</t>
  </si>
  <si>
    <t>SP250E2111100112</t>
  </si>
  <si>
    <t>SP250E2111100121</t>
  </si>
  <si>
    <t>SP250E2111100211</t>
  </si>
  <si>
    <t>SP250E2111100212</t>
  </si>
  <si>
    <t>SP250E2111100221</t>
  </si>
  <si>
    <t>SP250E2112100111</t>
  </si>
  <si>
    <t>SP250E2112100112</t>
  </si>
  <si>
    <t>SP250E2112100121</t>
  </si>
  <si>
    <t>SP250E2112100211</t>
  </si>
  <si>
    <t>SP250E2112100212</t>
  </si>
  <si>
    <t>SP250E2112100221</t>
  </si>
  <si>
    <t>SP250E2211100111</t>
  </si>
  <si>
    <t>SP250E2211100112</t>
  </si>
  <si>
    <t>SP250E2211100121</t>
  </si>
  <si>
    <t>SP250E2211100211</t>
  </si>
  <si>
    <t>SP250E2211100212</t>
  </si>
  <si>
    <t>SP250E2211100221</t>
  </si>
  <si>
    <t>SP250E2212100111</t>
  </si>
  <si>
    <t>SP250E2212100112</t>
  </si>
  <si>
    <t>SP250E2212100121</t>
  </si>
  <si>
    <t>SP250E2212100211</t>
  </si>
  <si>
    <t>SP250E2212100212</t>
  </si>
  <si>
    <t>SP250E2212100221</t>
  </si>
  <si>
    <t>SP280E1111200111</t>
  </si>
  <si>
    <t>SP280E1111200112</t>
  </si>
  <si>
    <t>SP280E1111200121</t>
  </si>
  <si>
    <t>SP280E1111200122</t>
  </si>
  <si>
    <t>SP280E1111200211</t>
  </si>
  <si>
    <t>SP280E1111200212</t>
  </si>
  <si>
    <t>SP280E1111200221</t>
  </si>
  <si>
    <t>SP280E1112200111</t>
  </si>
  <si>
    <t>SP280E1112200112</t>
  </si>
  <si>
    <t>SP280E1112200121</t>
  </si>
  <si>
    <t>SP280E1112200122</t>
  </si>
  <si>
    <t>SP280E1112200211</t>
  </si>
  <si>
    <t>SP280E1112200212</t>
  </si>
  <si>
    <t>SP280E1112200221</t>
  </si>
  <si>
    <t>SP280E2111200111</t>
  </si>
  <si>
    <t>SP280E2111200112</t>
  </si>
  <si>
    <t>SP280E2111200121</t>
  </si>
  <si>
    <t>SP280E2111200122</t>
  </si>
  <si>
    <t>SP280E2111200211</t>
  </si>
  <si>
    <t>SP280E2111200212</t>
  </si>
  <si>
    <t>SP280E2111200221</t>
  </si>
  <si>
    <t>SP280E2112200111</t>
  </si>
  <si>
    <t>SP280E2112200112</t>
  </si>
  <si>
    <t>SP280E2112200121</t>
  </si>
  <si>
    <t>SP280E2112200122</t>
  </si>
  <si>
    <t>SP280E2112200211</t>
  </si>
  <si>
    <t>SP280E2112200212</t>
  </si>
  <si>
    <t>SP280E2112200221</t>
  </si>
  <si>
    <t>SP30i3122100102</t>
  </si>
  <si>
    <t>SP30i4122100102</t>
  </si>
  <si>
    <t>SP350E1111100111</t>
  </si>
  <si>
    <t>SP350E1111100112</t>
  </si>
  <si>
    <t>SP350E1111100121</t>
  </si>
  <si>
    <t>SP350E1111100211</t>
  </si>
  <si>
    <t>SP350E1111100212</t>
  </si>
  <si>
    <t>SP350E1111100221</t>
  </si>
  <si>
    <t>SP350E1112100111</t>
  </si>
  <si>
    <t>SP350E1112100112</t>
  </si>
  <si>
    <t>SP350E1112100121</t>
  </si>
  <si>
    <t>SP350E1112100211</t>
  </si>
  <si>
    <t>SP350E1112100212</t>
  </si>
  <si>
    <t>SP350E1112100221</t>
  </si>
  <si>
    <t>SP350E1211100111</t>
  </si>
  <si>
    <t>SP350E1211100112</t>
  </si>
  <si>
    <t>SP350E1211100121</t>
  </si>
  <si>
    <t>SP350E1211100211</t>
  </si>
  <si>
    <t>SP350E1211100212</t>
  </si>
  <si>
    <t>SP350E1211100221</t>
  </si>
  <si>
    <t>SP350E1212100111</t>
  </si>
  <si>
    <t>SP350E1212100112</t>
  </si>
  <si>
    <t>SP350E1212100121</t>
  </si>
  <si>
    <t>SP350E1212100211</t>
  </si>
  <si>
    <t>SP350E1212100212</t>
  </si>
  <si>
    <t>SP350E1212100221</t>
  </si>
  <si>
    <t>SP350E2111100111</t>
  </si>
  <si>
    <t>SP350E2111100112</t>
  </si>
  <si>
    <t>SP350E2111100121</t>
  </si>
  <si>
    <t>SP350E2111100211</t>
  </si>
  <si>
    <t>SP350E2111100212</t>
  </si>
  <si>
    <t>SP350E2111100221</t>
  </si>
  <si>
    <t>SP350E2112100111</t>
  </si>
  <si>
    <t>SP350E2112100112</t>
  </si>
  <si>
    <t>SP350E2112100121</t>
  </si>
  <si>
    <t>SP350E2112100211</t>
  </si>
  <si>
    <t>SP350E2112100212</t>
  </si>
  <si>
    <t>SP350E2112100221</t>
  </si>
  <si>
    <t>SP350E2211100111</t>
  </si>
  <si>
    <t>SP350E2211100112</t>
  </si>
  <si>
    <t>SP350E2211100121</t>
  </si>
  <si>
    <t>SP350E2211100211</t>
  </si>
  <si>
    <t>SP350E2211100212</t>
  </si>
  <si>
    <t>SP350E2211100221</t>
  </si>
  <si>
    <t>SP350E2212100111</t>
  </si>
  <si>
    <t>SP350E2212100112</t>
  </si>
  <si>
    <t>SP350E2212100121</t>
  </si>
  <si>
    <t>SP350E2212100211</t>
  </si>
  <si>
    <t>SP350E2212100212</t>
  </si>
  <si>
    <t>SP350E2212100221</t>
  </si>
  <si>
    <t>SP35E1112200111</t>
  </si>
  <si>
    <t>SP35E1112200112</t>
  </si>
  <si>
    <t>SP35E1112200121</t>
  </si>
  <si>
    <t>SP35E1112200122</t>
  </si>
  <si>
    <t>SP35E1112200211</t>
  </si>
  <si>
    <t>SP35E1112200212</t>
  </si>
  <si>
    <t>SP35E1112200221</t>
  </si>
  <si>
    <t>SP35E2112200111</t>
  </si>
  <si>
    <t>SP35E2112200112</t>
  </si>
  <si>
    <t>SP35E2112200121</t>
  </si>
  <si>
    <t>SP35E2112200122</t>
  </si>
  <si>
    <t>SP35E2112200211</t>
  </si>
  <si>
    <t>SP35E2112200212</t>
  </si>
  <si>
    <t>SP35E2112200221</t>
  </si>
  <si>
    <t>SP4000E1111100111</t>
  </si>
  <si>
    <t>SP4000E1111100112</t>
  </si>
  <si>
    <t>SP4000E1111100121</t>
  </si>
  <si>
    <t>SP4000E1111100211</t>
  </si>
  <si>
    <t>SP4000E1111100212</t>
  </si>
  <si>
    <t>SP4000E1111100221</t>
  </si>
  <si>
    <t>SP4000E1112100111</t>
  </si>
  <si>
    <t>SP4000E1112100112</t>
  </si>
  <si>
    <t>SP4000E1112100121</t>
  </si>
  <si>
    <t>SP4000E1112100211</t>
  </si>
  <si>
    <t>SP4000E1112100212</t>
  </si>
  <si>
    <t>SP4000E1112100221</t>
  </si>
  <si>
    <t>SP4000E2111100111</t>
  </si>
  <si>
    <t>SP4000E2111100112</t>
  </si>
  <si>
    <t>SP4000E2111100121</t>
  </si>
  <si>
    <t>SP4000E2111100211</t>
  </si>
  <si>
    <t>SP4000E2111100212</t>
  </si>
  <si>
    <t>SP4000E2111100221</t>
  </si>
  <si>
    <t>SP4000E2112100111</t>
  </si>
  <si>
    <t>SP4000E2112100112</t>
  </si>
  <si>
    <t>SP4000E2112100121</t>
  </si>
  <si>
    <t>SP4000E2112100211</t>
  </si>
  <si>
    <t>SP4000E2112100212</t>
  </si>
  <si>
    <t>SP4000E2112100221</t>
  </si>
  <si>
    <t>SP400E1111200111</t>
  </si>
  <si>
    <t>SP400E1111200112</t>
  </si>
  <si>
    <t>SP400E1111200121</t>
  </si>
  <si>
    <t>wiper, ANSI, AC</t>
  </si>
  <si>
    <t>SP400E1111200122</t>
  </si>
  <si>
    <t>SP400E1111200211</t>
  </si>
  <si>
    <t>SP400E1111200212</t>
  </si>
  <si>
    <t>SP400E1111200221</t>
  </si>
  <si>
    <t>SP400E1112200111</t>
  </si>
  <si>
    <t>SP400E1112200112</t>
  </si>
  <si>
    <t>SP400E1112200121</t>
  </si>
  <si>
    <t>SP400E1112200122</t>
  </si>
  <si>
    <t>SP400E1112200211</t>
  </si>
  <si>
    <t>SP400E1112200212</t>
  </si>
  <si>
    <t>SP400E1112200221</t>
  </si>
  <si>
    <t>SP400E2111200111</t>
  </si>
  <si>
    <t>wiper</t>
  </si>
  <si>
    <t>SP400E2111200112</t>
  </si>
  <si>
    <t>SP400E2111200121</t>
  </si>
  <si>
    <t>SP400E2111200122</t>
  </si>
  <si>
    <t>SP400E2111200211</t>
  </si>
  <si>
    <t>SP400E2111200212</t>
  </si>
  <si>
    <t>SP400E2111200221</t>
  </si>
  <si>
    <t>SP400E2112200111</t>
  </si>
  <si>
    <t>SP400E2112200112</t>
  </si>
  <si>
    <t>SP400E2112200121</t>
  </si>
  <si>
    <t>SP400E2112200122</t>
  </si>
  <si>
    <t>SP400E2112200211</t>
  </si>
  <si>
    <t>SP400E2112200212</t>
  </si>
  <si>
    <t>SP400E2112200221</t>
  </si>
  <si>
    <t>SP50i3122100102</t>
  </si>
  <si>
    <t>SP50i4122100102</t>
  </si>
  <si>
    <t>SP650E1111100111</t>
  </si>
  <si>
    <t>SP650E1111100112</t>
  </si>
  <si>
    <t>SP650E1111100121</t>
  </si>
  <si>
    <t>SP650E1111100211</t>
  </si>
  <si>
    <t>SP650E1111100212</t>
  </si>
  <si>
    <t>SP650E1111100221</t>
  </si>
  <si>
    <t>SP650E1112100111</t>
  </si>
  <si>
    <t>SP650E1112100112</t>
  </si>
  <si>
    <t>SP650E1112100121</t>
  </si>
  <si>
    <t>SP650E1112100211</t>
  </si>
  <si>
    <t>SP650E1112100212</t>
  </si>
  <si>
    <t>SP650E1112100221</t>
  </si>
  <si>
    <t>SP650E1211100111</t>
  </si>
  <si>
    <t>SP650E1211100112</t>
  </si>
  <si>
    <t>SP650E1211100121</t>
  </si>
  <si>
    <t>SP650E1211100211</t>
  </si>
  <si>
    <t>SP650E1211100212</t>
  </si>
  <si>
    <t>SP650E1211100221</t>
  </si>
  <si>
    <t>SP650E1212100111</t>
  </si>
  <si>
    <t>SP650E1212100112</t>
  </si>
  <si>
    <t>SP650E1212100121</t>
  </si>
  <si>
    <t>SP650E1212100211</t>
  </si>
  <si>
    <t>SP650E1212100212</t>
  </si>
  <si>
    <t>SP650E1212100221</t>
  </si>
  <si>
    <t>SP650E2111100111</t>
  </si>
  <si>
    <t>SP650E2111100112</t>
  </si>
  <si>
    <t>SP650E2111100121</t>
  </si>
  <si>
    <t>SP650E2111100211</t>
  </si>
  <si>
    <t>SP650E2111100212</t>
  </si>
  <si>
    <t>SP650E2111100221</t>
  </si>
  <si>
    <t>SP650E2112100111</t>
  </si>
  <si>
    <t>SP650E2112100112</t>
  </si>
  <si>
    <t>SP650E2112100121</t>
  </si>
  <si>
    <t>SP650E2112100211</t>
  </si>
  <si>
    <t>SP650E2112100212</t>
  </si>
  <si>
    <t>SP650E2112100221</t>
  </si>
  <si>
    <t>SP650E2211100111</t>
  </si>
  <si>
    <t>SP650E2211100112</t>
  </si>
  <si>
    <t>SP650E2211100121</t>
  </si>
  <si>
    <t>SP650E2211100211</t>
  </si>
  <si>
    <t>SP650E2211100212</t>
  </si>
  <si>
    <t>SP650E2211100221</t>
  </si>
  <si>
    <t>SP650E2212100111</t>
  </si>
  <si>
    <t>SP650E2212100112</t>
  </si>
  <si>
    <t>SP650E2212100121</t>
  </si>
  <si>
    <t>SP650E2212100211</t>
  </si>
  <si>
    <t>SP650E2212100212</t>
  </si>
  <si>
    <t>SP650E2212100221</t>
  </si>
  <si>
    <t>SP900E1111100111</t>
  </si>
  <si>
    <t>SP900E1111100112</t>
  </si>
  <si>
    <t>SP900E1111100121</t>
  </si>
  <si>
    <t>SP900E1111100211</t>
  </si>
  <si>
    <t>SP900E1111100212</t>
  </si>
  <si>
    <t>SP900E1111100221</t>
  </si>
  <si>
    <t>SP900E1112100111</t>
  </si>
  <si>
    <t>SP900E1112100112</t>
  </si>
  <si>
    <t>SP900E1112100121</t>
  </si>
  <si>
    <t>SP900E1112100211</t>
  </si>
  <si>
    <t>SP900E1112100212</t>
  </si>
  <si>
    <t>SP900E1112100221</t>
  </si>
  <si>
    <t>SP900E1211100111</t>
  </si>
  <si>
    <t>SP900E1211100112</t>
  </si>
  <si>
    <t>SP900E1211100121</t>
  </si>
  <si>
    <t>SP900E1211100211</t>
  </si>
  <si>
    <t>SP900E1211100212</t>
  </si>
  <si>
    <t>SP900E1211100221</t>
  </si>
  <si>
    <t>SP900E1212100111</t>
  </si>
  <si>
    <t>SP900E1212100112</t>
  </si>
  <si>
    <t>SP900E1212100121</t>
  </si>
  <si>
    <t>SP900E1212100211</t>
  </si>
  <si>
    <t>SP900E1212100212</t>
  </si>
  <si>
    <t>SP900E1212100221</t>
  </si>
  <si>
    <t>SP900E2111100111</t>
  </si>
  <si>
    <t>SP900E2111100112</t>
  </si>
  <si>
    <t>SP900E2111100121</t>
  </si>
  <si>
    <t>SP900E2111100211</t>
  </si>
  <si>
    <t>SP900E2111100212</t>
  </si>
  <si>
    <t>SP900E2111100221</t>
  </si>
  <si>
    <t>SP900E2112100111</t>
  </si>
  <si>
    <t>SP900E2112100112</t>
  </si>
  <si>
    <t>SP900E2112100121</t>
  </si>
  <si>
    <t>SP900E2112100211</t>
  </si>
  <si>
    <t>SP900E2112100212</t>
  </si>
  <si>
    <t>SP900E2112100221</t>
  </si>
  <si>
    <t>SP900E2211100111</t>
  </si>
  <si>
    <t>SP900E2211100112</t>
  </si>
  <si>
    <t>SP900E2211100121</t>
  </si>
  <si>
    <t>SP900E2211100211</t>
  </si>
  <si>
    <t>SP900E2211100212</t>
  </si>
  <si>
    <t>SP900E2211100221</t>
  </si>
  <si>
    <t>SP900E2212100111</t>
  </si>
  <si>
    <t>SP900E2212100112</t>
  </si>
  <si>
    <t>SP900E2212100121</t>
  </si>
  <si>
    <t>SP900E2212100211</t>
  </si>
  <si>
    <t>SP900E2212100212</t>
  </si>
  <si>
    <t>SP900E2212100221</t>
  </si>
  <si>
    <t>SP90E1111100111</t>
  </si>
  <si>
    <t>SP90E1111100112</t>
  </si>
  <si>
    <t>SP90E1111100121</t>
  </si>
  <si>
    <t>SP90E1111100211</t>
  </si>
  <si>
    <t>SP90E1111100212</t>
  </si>
  <si>
    <t>SP90E1111100221</t>
  </si>
  <si>
    <t>SP90E1112100111</t>
  </si>
  <si>
    <t>SP90E1112100112</t>
  </si>
  <si>
    <t>SP90E1112100121</t>
  </si>
  <si>
    <t>SP90E1112100211</t>
  </si>
  <si>
    <t>SP90E1112100212</t>
  </si>
  <si>
    <t>SP90E1112100221</t>
  </si>
  <si>
    <t>SP90E2111100111</t>
  </si>
  <si>
    <t>SP90E2111100112</t>
  </si>
  <si>
    <t>SP90E2111100121</t>
  </si>
  <si>
    <t>SP90E2111100211</t>
  </si>
  <si>
    <t>SP90E2111100212</t>
  </si>
  <si>
    <t>SP90E2111100221</t>
  </si>
  <si>
    <t>SP90E2112100111</t>
  </si>
  <si>
    <t>SP90E2112100112</t>
  </si>
  <si>
    <t>SP90E2112100121</t>
  </si>
  <si>
    <t>SP90E2112100211</t>
  </si>
  <si>
    <t>SP90E2112100212</t>
  </si>
  <si>
    <t>SP90E2112100221</t>
  </si>
  <si>
    <t>SP90i3122100102</t>
  </si>
  <si>
    <t>SP90i4122100102</t>
  </si>
  <si>
    <t>SP95E1111200111</t>
  </si>
  <si>
    <t>SP95E1111200112</t>
  </si>
  <si>
    <t>SP95E1111200121</t>
  </si>
  <si>
    <t>AC, wiper, ANSI</t>
  </si>
  <si>
    <t>SP95E1111200122</t>
  </si>
  <si>
    <t>AC, wiper</t>
  </si>
  <si>
    <t>SP95E1111200211</t>
  </si>
  <si>
    <t>SP95E1111200212</t>
  </si>
  <si>
    <t>SP95E1111200221</t>
  </si>
  <si>
    <t>SP95E1112200111</t>
  </si>
  <si>
    <t>SP95E1112200112</t>
  </si>
  <si>
    <t>SP95E1112200122</t>
  </si>
  <si>
    <t>SP95E1112200211</t>
  </si>
  <si>
    <t>SP95E1112200212</t>
  </si>
  <si>
    <t>SP95E2111200111</t>
  </si>
  <si>
    <t>U-Form, CE, electrical cabinet in painted sheet steel, DIN flange, wiper</t>
  </si>
  <si>
    <t>SP95E2111200112</t>
  </si>
  <si>
    <t>U-Form, CE, electrical cabinet in stainless steel, DIN flange, wiper</t>
  </si>
  <si>
    <t>SP95E2111200121</t>
  </si>
  <si>
    <t>SP95E2111200122</t>
  </si>
  <si>
    <t>SP95E2111200211</t>
  </si>
  <si>
    <t>SP95E2111200212</t>
  </si>
  <si>
    <t>SP95E2111200221</t>
  </si>
  <si>
    <t>SP95E2112200111</t>
  </si>
  <si>
    <t>SP95E2112200112</t>
  </si>
  <si>
    <t>SP95E2112200121</t>
  </si>
  <si>
    <t>SP95E2112200122</t>
  </si>
  <si>
    <t>SP95E2112200211</t>
  </si>
  <si>
    <t>SP95E2112200212</t>
  </si>
  <si>
    <t>st, st</t>
  </si>
  <si>
    <t>SP95E2112200221</t>
  </si>
  <si>
    <t>SP660E1211100111</t>
  </si>
  <si>
    <t>SP660E1211100112</t>
  </si>
  <si>
    <t>SP660E1211100121</t>
  </si>
  <si>
    <t>SP660E1211100211</t>
  </si>
  <si>
    <t>SP660E1211100212</t>
  </si>
  <si>
    <t>SP660E1211100221</t>
  </si>
  <si>
    <t>SP660E1212100111</t>
  </si>
  <si>
    <t>SP660E1212100112</t>
  </si>
  <si>
    <t>SP660E1212100121</t>
  </si>
  <si>
    <t>SP660E1212100211</t>
  </si>
  <si>
    <t>SP660E1212100212</t>
  </si>
  <si>
    <t>SP660E1212100221</t>
  </si>
  <si>
    <t>SP660E2211100111</t>
  </si>
  <si>
    <t>SP660E2211100112</t>
  </si>
  <si>
    <t>SP660E2211100121</t>
  </si>
  <si>
    <t>SP660E2211100211</t>
  </si>
  <si>
    <t>SP660E2211100212</t>
  </si>
  <si>
    <t>SP660E2211100221</t>
  </si>
  <si>
    <t>SP660E2212100111</t>
  </si>
  <si>
    <t>SP660E2212100112</t>
  </si>
  <si>
    <t>SP660E2212100121</t>
  </si>
  <si>
    <t>SP660E2212100211</t>
  </si>
  <si>
    <t>SP660E2212100212</t>
  </si>
  <si>
    <t>SP660E2212100221</t>
  </si>
  <si>
    <t>SP680E1211100111</t>
  </si>
  <si>
    <t>SP680E1211100112</t>
  </si>
  <si>
    <t>SP680E1211100121</t>
  </si>
  <si>
    <t>SP680E1211100211</t>
  </si>
  <si>
    <t>SP680E1211100212</t>
  </si>
  <si>
    <t>SP680E1211100221</t>
  </si>
  <si>
    <t>SP680E1212100111</t>
  </si>
  <si>
    <t>SP680E1212100112</t>
  </si>
  <si>
    <t>SP680E1212100121</t>
  </si>
  <si>
    <t>SP680E1212100211</t>
  </si>
  <si>
    <t>SP680E1212100212</t>
  </si>
  <si>
    <t>SP680E1212100221</t>
  </si>
  <si>
    <t>SP680E2211100111</t>
  </si>
  <si>
    <t>SP680E2211100112</t>
  </si>
  <si>
    <t>SP680E2211100121</t>
  </si>
  <si>
    <t>SP680E2211100211</t>
  </si>
  <si>
    <t>SP680E2211100212</t>
  </si>
  <si>
    <t>SP680E2211100221</t>
  </si>
  <si>
    <t>SP680E2212100111</t>
  </si>
  <si>
    <t>SP680E2212100112</t>
  </si>
  <si>
    <t>SP680E2212100121</t>
  </si>
  <si>
    <t>SP680E2212100211</t>
  </si>
  <si>
    <t>SP680E2212100212</t>
  </si>
  <si>
    <t>SP680E2212100221</t>
  </si>
  <si>
    <t>SP2800E1111100111</t>
  </si>
  <si>
    <t>SP2800E1111100112</t>
  </si>
  <si>
    <t>SP2800E1111100121</t>
  </si>
  <si>
    <t>SP2800E1111100211</t>
  </si>
  <si>
    <t>SP2800E1111100212</t>
  </si>
  <si>
    <t>SP2800E1111100221</t>
  </si>
  <si>
    <t>SP2800E1112100111</t>
  </si>
  <si>
    <t>SP2800E1112100112</t>
  </si>
  <si>
    <t>SP2800E1112100121</t>
  </si>
  <si>
    <t>SP2800E1112100211</t>
  </si>
  <si>
    <t>SP2800E1112100212</t>
  </si>
  <si>
    <t>SP2800E1112100221</t>
  </si>
  <si>
    <t>SP2800E2111100111</t>
  </si>
  <si>
    <t>SP2800E2111100112</t>
  </si>
  <si>
    <t>SP2800E2111100121</t>
  </si>
  <si>
    <t>SP2800E2111100211</t>
  </si>
  <si>
    <t>SP2800E2111100212</t>
  </si>
  <si>
    <t>SP2800E2111100221</t>
  </si>
  <si>
    <t>SP2800E2112100111</t>
  </si>
  <si>
    <t>SP2800E2112100112</t>
  </si>
  <si>
    <t>SP2800E2112100121</t>
  </si>
  <si>
    <t>SP2800E2112100211</t>
  </si>
  <si>
    <t>SP2800E2112100212</t>
  </si>
  <si>
    <t>SP2800E2112100221</t>
  </si>
  <si>
    <t>SP4800E1111100111</t>
  </si>
  <si>
    <t>SP4800E1111100112</t>
  </si>
  <si>
    <t>SP4800E1111100121</t>
  </si>
  <si>
    <t>SP4800E1111100211</t>
  </si>
  <si>
    <t>SP4800E1111100212</t>
  </si>
  <si>
    <t>SP4800E1111100221</t>
  </si>
  <si>
    <t>SP4800E1112100111</t>
  </si>
  <si>
    <t>SP4800E1112100112</t>
  </si>
  <si>
    <t>SP4800E1112100121</t>
  </si>
  <si>
    <t>SP4800E1112100211</t>
  </si>
  <si>
    <t>SP4800E1112100212</t>
  </si>
  <si>
    <t>SP4800E1112100221</t>
  </si>
  <si>
    <t>SP4800E2111100111</t>
  </si>
  <si>
    <t>SP4800E2111100112</t>
  </si>
  <si>
    <t>SP4800E2111100121</t>
  </si>
  <si>
    <t>SP4800E2111100211</t>
  </si>
  <si>
    <t>SP4800E2111100212</t>
  </si>
  <si>
    <t>SP4800E2111100221</t>
  </si>
  <si>
    <t>SP4800E2112100111</t>
  </si>
  <si>
    <t>SP4800E2112100112</t>
  </si>
  <si>
    <t>SP4800E2112100121</t>
  </si>
  <si>
    <t>SP4800E2112100211</t>
  </si>
  <si>
    <t>SP4800E2112100212</t>
  </si>
  <si>
    <t>SP4800E2112100221</t>
  </si>
  <si>
    <t>SP6000E1111100111</t>
  </si>
  <si>
    <t>SP6000E1111100112</t>
  </si>
  <si>
    <t>SP6000E1111100121</t>
  </si>
  <si>
    <t>SP6000E1111100211</t>
  </si>
  <si>
    <t>SP6000E1111100212</t>
  </si>
  <si>
    <t>SP6000E1111100221</t>
  </si>
  <si>
    <t>SP6000E1112100111</t>
  </si>
  <si>
    <t>SP6000E1112100112</t>
  </si>
  <si>
    <t>SP6000E1112100121</t>
  </si>
  <si>
    <t>SP6000E1112100211</t>
  </si>
  <si>
    <t>SP6000E1112100212</t>
  </si>
  <si>
    <t>SP6000E1112100221</t>
  </si>
  <si>
    <t>SP6000E2111100111</t>
  </si>
  <si>
    <t>SP6000E2111100112</t>
  </si>
  <si>
    <t>SP6000E2111100121</t>
  </si>
  <si>
    <t>SP6000E2111100211</t>
  </si>
  <si>
    <t>SP6000E2111100212</t>
  </si>
  <si>
    <t>SP6000E2111100221</t>
  </si>
  <si>
    <t>SP6000E2112100111</t>
  </si>
  <si>
    <t>SP6000E2112100112</t>
  </si>
  <si>
    <t>SP6000E2112100121</t>
  </si>
  <si>
    <t>SP6000E2112100211</t>
  </si>
  <si>
    <t>SP6000E2112100212</t>
  </si>
  <si>
    <t>SP6000E2112100221</t>
  </si>
  <si>
    <t>PT60000</t>
  </si>
  <si>
    <t>Puretube</t>
  </si>
  <si>
    <t>Hygieneflansch analog DIN 11864-2 DN 125 Nut, 1 sensor</t>
  </si>
  <si>
    <t>PT80000</t>
  </si>
  <si>
    <t>PT100000</t>
  </si>
  <si>
    <t>PT60100</t>
  </si>
  <si>
    <t>Hygieneflansch analog DIN 11864-2 DN 125 Nut, 2 sensors</t>
  </si>
  <si>
    <t>PT80100</t>
  </si>
  <si>
    <t>Hygieneflansch analog DIN 11864-2 DN 125 Nut, 4 sensors</t>
  </si>
  <si>
    <t>PT100100</t>
  </si>
  <si>
    <t>PT60001</t>
  </si>
  <si>
    <t>Triclamp Flange acc. DIN32676, 1 sensor</t>
  </si>
  <si>
    <t>PT80001</t>
  </si>
  <si>
    <t>PT100001</t>
  </si>
  <si>
    <t>PT60101</t>
  </si>
  <si>
    <t>Triclamp Flange acc. DIN32676, 2 sensors</t>
  </si>
  <si>
    <t>PT80101</t>
  </si>
  <si>
    <t>Triclamp Flange acc. DIN32676, 4 sensors</t>
  </si>
  <si>
    <t>PT100101</t>
  </si>
  <si>
    <t>Modular4HC</t>
  </si>
  <si>
    <t>Modular8HC</t>
  </si>
  <si>
    <t>GSO 18-20</t>
  </si>
  <si>
    <t>GSO 18-30</t>
  </si>
  <si>
    <t>GSO 18-40</t>
  </si>
  <si>
    <t>GSO 18-50</t>
  </si>
  <si>
    <t>CODW3</t>
  </si>
  <si>
    <t>CODW10_08</t>
  </si>
  <si>
    <t>CODW15_08</t>
  </si>
  <si>
    <t>CODW20_08</t>
  </si>
  <si>
    <t>CODW30_08</t>
  </si>
  <si>
    <t>OCS1111212</t>
  </si>
  <si>
    <t>OCS Modular4HC SS</t>
  </si>
  <si>
    <t>OCS1.1 Modular4HC SS PSA</t>
  </si>
  <si>
    <t>OCS2111212</t>
  </si>
  <si>
    <t>OCS Modular8HC SS</t>
  </si>
  <si>
    <t>OCS1.1 Modular8HC SS PSA</t>
  </si>
  <si>
    <t>OCS2222212</t>
  </si>
  <si>
    <t>OCS Modular8HC SS w/tank</t>
  </si>
  <si>
    <t>OCS1.2 Modular8HC SS PSA w/Tank</t>
  </si>
  <si>
    <t>GSO 18-20E</t>
  </si>
  <si>
    <t>GSO 18-20 SS</t>
  </si>
  <si>
    <t xml:space="preserve">GSO 18-20 SS </t>
  </si>
  <si>
    <t>GSO 18-30E</t>
  </si>
  <si>
    <t>GSO 18-30 SS</t>
  </si>
  <si>
    <t xml:space="preserve">GSO 18-30  SS </t>
  </si>
  <si>
    <t>GSO 18-40E</t>
  </si>
  <si>
    <t>GSO 18-40 SS</t>
  </si>
  <si>
    <t xml:space="preserve">GSO 18-40  SS </t>
  </si>
  <si>
    <t>GSO 18-50E</t>
  </si>
  <si>
    <t>GSO 18-50 SS</t>
  </si>
  <si>
    <t xml:space="preserve">GSO 18-50  SS </t>
  </si>
  <si>
    <t>OCS3111213</t>
  </si>
  <si>
    <t>OCS GSO18-20 SS</t>
  </si>
  <si>
    <t>OCS1.1 GSO18-20 SS PSA</t>
  </si>
  <si>
    <t>OCS3222213</t>
  </si>
  <si>
    <t>OCS GSO18-20 SS w/Tank</t>
  </si>
  <si>
    <t>OCS1.2 GSO18-20 SS PSA w/Tank</t>
  </si>
  <si>
    <t>OCS3111121</t>
  </si>
  <si>
    <t>OCS GSO18-20 w/ORP</t>
  </si>
  <si>
    <t>OCS1.1 GSO18-20 SS O2 w/ORP</t>
  </si>
  <si>
    <t>OCS4311213</t>
  </si>
  <si>
    <t>OCS GSO18-30 SS</t>
  </si>
  <si>
    <t>OCS2.0 GSO18-30 SS PSA</t>
  </si>
  <si>
    <t>OCS4222211</t>
  </si>
  <si>
    <t>OCS GSO18-30 SS w/Tank</t>
  </si>
  <si>
    <t>OCS1.2 GSO18-30 SS O2 w/Tank</t>
  </si>
  <si>
    <t>OCS4111121</t>
  </si>
  <si>
    <t>OCS GSO18-30 w/ORP</t>
  </si>
  <si>
    <t>OCS1.1 GSO18-30 SS O2 w/ORP</t>
  </si>
  <si>
    <t>OCS5431211</t>
  </si>
  <si>
    <t xml:space="preserve">OCS GSO18-40 SS </t>
  </si>
  <si>
    <t xml:space="preserve">OCS3 GSO18-40 SS </t>
  </si>
  <si>
    <t>OCS5431111</t>
  </si>
  <si>
    <t>OCS GSO18-40</t>
  </si>
  <si>
    <t>OCS3 GSO18-40</t>
  </si>
  <si>
    <t>OCS6441111</t>
  </si>
  <si>
    <t>OCS GSO18-50</t>
  </si>
  <si>
    <t>OCS3 GSO18-50</t>
  </si>
  <si>
    <t>Nr.</t>
  </si>
  <si>
    <t>LBX120E2111100111</t>
  </si>
  <si>
    <t>LBX120E2112100111</t>
  </si>
  <si>
    <t>LBX120E2112100112</t>
  </si>
  <si>
    <t>LBX120E2121100111</t>
  </si>
  <si>
    <t>LBX120E2122100112</t>
  </si>
  <si>
    <t>LBX1500E2101100111</t>
  </si>
  <si>
    <t>LBX1500E2102100111</t>
  </si>
  <si>
    <t>LBX1500E2102100112</t>
  </si>
  <si>
    <t>LBX1500E2102100121</t>
  </si>
  <si>
    <t>LBX200E2111100111</t>
  </si>
  <si>
    <t>LBX200E2111100112</t>
  </si>
  <si>
    <t>LBX200E2112100111</t>
  </si>
  <si>
    <t>LBX200E2112100112</t>
  </si>
  <si>
    <t>LBX200E2121100111</t>
  </si>
  <si>
    <t>LBX200E2121100112</t>
  </si>
  <si>
    <t>LBX200E2121100121</t>
  </si>
  <si>
    <t>LBX200E2122100111</t>
  </si>
  <si>
    <t>LBX200E2122100112</t>
  </si>
  <si>
    <t>LBX400E2111100111</t>
  </si>
  <si>
    <t>LBX400E2111100112</t>
  </si>
  <si>
    <t>LBX400E2112100111</t>
  </si>
  <si>
    <t>LBX400E2112100112</t>
  </si>
  <si>
    <t>LBX400E2121100111</t>
  </si>
  <si>
    <t>LBX400E2121100112</t>
  </si>
  <si>
    <t>LBX400E2122100111</t>
  </si>
  <si>
    <t>LBX400E2122100112</t>
  </si>
  <si>
    <t>LBX550E2111100111</t>
  </si>
  <si>
    <t>LBX550E2111100112</t>
  </si>
  <si>
    <t>LBX550E2112100111</t>
  </si>
  <si>
    <t>LBX550E2112100112</t>
  </si>
  <si>
    <t>LBX550E2121100111</t>
  </si>
  <si>
    <t>LBX550E2121100112</t>
  </si>
  <si>
    <t>LBX550E2122100111</t>
  </si>
  <si>
    <t>LBX550E2122100112</t>
  </si>
  <si>
    <t>LBX850E2101100111</t>
  </si>
  <si>
    <t>LBX850E2101100112</t>
  </si>
  <si>
    <t>LBX850E2102100111</t>
  </si>
  <si>
    <t>LBX850E2102100112</t>
  </si>
  <si>
    <t>LBX90E2111200111</t>
  </si>
  <si>
    <t>LBX90E2111200112</t>
  </si>
  <si>
    <t>LBX90E2111200121</t>
  </si>
  <si>
    <t>LBX90E2112200111</t>
  </si>
  <si>
    <t>LBX90E2112200112</t>
  </si>
  <si>
    <t>LBX90E2121200111</t>
  </si>
  <si>
    <t>LBX90E2121200112</t>
  </si>
  <si>
    <t>LBX90E2122200111</t>
  </si>
  <si>
    <t>LBX90E2122200112</t>
  </si>
  <si>
    <t>SP22E2112200111</t>
  </si>
  <si>
    <t>TMO IV, 230V</t>
  </si>
  <si>
    <t>HFM Code</t>
  </si>
  <si>
    <t>Currency</t>
  </si>
  <si>
    <t>Discount Factor</t>
  </si>
  <si>
    <t>XylemWaterSolutions Australia / AUS</t>
  </si>
  <si>
    <t>AUD</t>
  </si>
  <si>
    <t>Xylem Canada Company / CDN</t>
  </si>
  <si>
    <t>CAD</t>
  </si>
  <si>
    <t>Xylem Water Solutions Denmark / DK</t>
  </si>
  <si>
    <t>DKK</t>
  </si>
  <si>
    <t>Xylem Water Solutions Austria / A</t>
  </si>
  <si>
    <t>3368</t>
  </si>
  <si>
    <t>69019</t>
  </si>
  <si>
    <t>EUR</t>
  </si>
  <si>
    <t>Xylem Water Solutions Belgium / B</t>
  </si>
  <si>
    <t>Xylem Water Solutions Deutschland / D</t>
  </si>
  <si>
    <t>Xylem Water Solutions Espana / E</t>
  </si>
  <si>
    <t>Xylem Water Solutions France / F</t>
  </si>
  <si>
    <t>Xylem Water Solutions India / IND</t>
  </si>
  <si>
    <t>Xylem Water Solutions Ireland / IE</t>
  </si>
  <si>
    <t>Xylem Water Solutions Italia / I</t>
  </si>
  <si>
    <t>Xylem Water Solutions Korea / ROK</t>
  </si>
  <si>
    <t>Xylem Water Solutions Portugal / P</t>
  </si>
  <si>
    <t>Xylem Water Solutions Suomi Oy / SF</t>
  </si>
  <si>
    <t>Xylem WaterSolutions Sweden AB / EEE</t>
  </si>
  <si>
    <t>XylemWaterSolutions Nederland / NL</t>
  </si>
  <si>
    <t>XylemWaterSolutions Singapore / SGP</t>
  </si>
  <si>
    <t>Anadolu Flygt Pompa / TR</t>
  </si>
  <si>
    <t>69120</t>
  </si>
  <si>
    <t>69112</t>
  </si>
  <si>
    <t>USD</t>
  </si>
  <si>
    <t>Xylem (Nanjing) Co. Ltd. / CN</t>
  </si>
  <si>
    <t>69057</t>
  </si>
  <si>
    <t>Xylem Water Solutions UK LTD. / GB</t>
  </si>
  <si>
    <t>69109</t>
  </si>
  <si>
    <t>GBP</t>
  </si>
  <si>
    <t>Xylem Water Solutions Magya- / H</t>
  </si>
  <si>
    <t>Xylem Water Solutions Norge AS / N</t>
  </si>
  <si>
    <t>NOK</t>
  </si>
  <si>
    <t>Xylem Water Solutions New / NZ</t>
  </si>
  <si>
    <t>NZD</t>
  </si>
  <si>
    <t>Xylem Water Solutions Polska / PL</t>
  </si>
  <si>
    <t>PLN</t>
  </si>
  <si>
    <t>Xylem WaterSolutions Sweden AB / S</t>
  </si>
  <si>
    <t>3657</t>
  </si>
  <si>
    <t>69073</t>
  </si>
  <si>
    <t>SEK</t>
  </si>
  <si>
    <t>Xylem Brasil Solucoes Para / BR</t>
  </si>
  <si>
    <t>Xylem Water Solutions Colombia / CO</t>
  </si>
  <si>
    <t>Xylem Water Solutions Malaysia / MAL</t>
  </si>
  <si>
    <t>Xylem Water Solutions Mexico / MEX</t>
  </si>
  <si>
    <t>3682</t>
  </si>
  <si>
    <t>Xylem Water Solutions Peru / PE</t>
  </si>
  <si>
    <t>Xylem WaterSolutions Argentina / RA</t>
  </si>
  <si>
    <t>3691</t>
  </si>
  <si>
    <t>Xylem WaterSolutions Dubai / UAE</t>
  </si>
  <si>
    <t>3387</t>
  </si>
  <si>
    <t>69082</t>
  </si>
  <si>
    <t>XylemWaterSolutions Chile S.A / RCH</t>
  </si>
  <si>
    <t>XylemWaterSolutions USA Inc. / LAR</t>
  </si>
  <si>
    <t>3559</t>
  </si>
  <si>
    <t>69087</t>
  </si>
  <si>
    <t>XylemWaterSolutions USA Inc. / USA</t>
  </si>
  <si>
    <t>3556</t>
  </si>
  <si>
    <t>69030</t>
  </si>
  <si>
    <t>Xylem Philippines / RP</t>
  </si>
  <si>
    <t>3396</t>
  </si>
  <si>
    <t>69116</t>
  </si>
  <si>
    <t>Xylem Analytics Japan / J</t>
  </si>
  <si>
    <t>3283</t>
  </si>
  <si>
    <t>Xylem (Hong Kong) Ltd / HK</t>
  </si>
  <si>
    <t>69104</t>
  </si>
  <si>
    <t>Xylem Water Solutions South Africa / ZA</t>
  </si>
  <si>
    <t>ZAR</t>
  </si>
  <si>
    <t>Xylem Water Solutions (Thailand) Co., Ltd. / THA</t>
  </si>
  <si>
    <t>3699</t>
  </si>
  <si>
    <t>69122</t>
  </si>
  <si>
    <t>THB</t>
  </si>
  <si>
    <t>Sensus Maroc / MA</t>
  </si>
  <si>
    <t>3454</t>
  </si>
  <si>
    <t>69127</t>
  </si>
  <si>
    <t>Xylem Egypt / EG</t>
  </si>
  <si>
    <t>3392</t>
  </si>
  <si>
    <t>69124</t>
  </si>
  <si>
    <t>Xylem Water Solutions Romania / RO</t>
  </si>
  <si>
    <t>3750</t>
  </si>
  <si>
    <t>69129</t>
  </si>
  <si>
    <t>RON</t>
  </si>
  <si>
    <t>PT.Xylem Water Solutions Indonesia / RI</t>
  </si>
  <si>
    <t>3705</t>
  </si>
  <si>
    <t>69123</t>
  </si>
  <si>
    <t>IDR</t>
  </si>
  <si>
    <t>Company / Country</t>
  </si>
  <si>
    <t>List Price</t>
  </si>
  <si>
    <t>Budget x-rate EUR/Local</t>
  </si>
  <si>
    <t>Budget x-rate Local/EUR</t>
  </si>
  <si>
    <t>Budget Rate 2025</t>
  </si>
  <si>
    <t>SPOT RATE</t>
  </si>
  <si>
    <t>Euro to Local</t>
  </si>
  <si>
    <t>Country</t>
  </si>
  <si>
    <t>$1.00 IN L.C.</t>
  </si>
  <si>
    <t>L.C. IN $</t>
  </si>
  <si>
    <t>Local to Euro</t>
  </si>
  <si>
    <t>Market</t>
  </si>
  <si>
    <t>U.S.A</t>
  </si>
  <si>
    <t>CZECH REP</t>
  </si>
  <si>
    <t>CZK</t>
  </si>
  <si>
    <t>DENMARK</t>
  </si>
  <si>
    <t>BULGARIA</t>
  </si>
  <si>
    <t>BGN</t>
  </si>
  <si>
    <t>HUNGARY</t>
  </si>
  <si>
    <t>HUF</t>
  </si>
  <si>
    <t>NORWAY</t>
  </si>
  <si>
    <t>POLAND</t>
  </si>
  <si>
    <t>SWEDEN</t>
  </si>
  <si>
    <t>SWITZERLAND</t>
  </si>
  <si>
    <t>CHF</t>
  </si>
  <si>
    <t>U.K.</t>
  </si>
  <si>
    <t>CANADA</t>
  </si>
  <si>
    <t>MEXICO</t>
  </si>
  <si>
    <t>MXN</t>
  </si>
  <si>
    <t>ARGENTINA</t>
  </si>
  <si>
    <t>ARS</t>
  </si>
  <si>
    <t>BRAZIL</t>
  </si>
  <si>
    <t>BRL</t>
  </si>
  <si>
    <t>CHILE</t>
  </si>
  <si>
    <t>CLP</t>
  </si>
  <si>
    <t>COLOMBIA</t>
  </si>
  <si>
    <t>COP</t>
  </si>
  <si>
    <t>COSTA RICA</t>
  </si>
  <si>
    <t>CRC</t>
  </si>
  <si>
    <t>DOMINICAN REPUBLIC</t>
  </si>
  <si>
    <t>DOP</t>
  </si>
  <si>
    <t>NETHERLAND ANTILLES</t>
  </si>
  <si>
    <t>ANG</t>
  </si>
  <si>
    <t>PERU</t>
  </si>
  <si>
    <t>PEN</t>
  </si>
  <si>
    <t>VENEZUELA</t>
  </si>
  <si>
    <t>VES</t>
  </si>
  <si>
    <t>AUSTRALIA</t>
  </si>
  <si>
    <t>CHINA</t>
  </si>
  <si>
    <t>CNY</t>
  </si>
  <si>
    <t>HONG KONG</t>
  </si>
  <si>
    <t>HKD</t>
  </si>
  <si>
    <t>INDIA</t>
  </si>
  <si>
    <t>INR</t>
  </si>
  <si>
    <t>INDONESIA</t>
  </si>
  <si>
    <t>JAPAN</t>
  </si>
  <si>
    <t>JPY</t>
  </si>
  <si>
    <t>MALAYSIA</t>
  </si>
  <si>
    <t>MYR</t>
  </si>
  <si>
    <t>NEW ZEALAND</t>
  </si>
  <si>
    <t>PHILIPPINES</t>
  </si>
  <si>
    <t>PHP</t>
  </si>
  <si>
    <t>RUSSIA</t>
  </si>
  <si>
    <t>RUB</t>
  </si>
  <si>
    <t>SINGAPORE</t>
  </si>
  <si>
    <t>SGD</t>
  </si>
  <si>
    <t>SOUTH KOREA</t>
  </si>
  <si>
    <t>KRW</t>
  </si>
  <si>
    <t>TAIWAN</t>
  </si>
  <si>
    <t>TWD</t>
  </si>
  <si>
    <t>THAILAND</t>
  </si>
  <si>
    <t>VIETNAM</t>
  </si>
  <si>
    <t>VND</t>
  </si>
  <si>
    <t>SOUTH AFRICA</t>
  </si>
  <si>
    <t>ISRAEL</t>
  </si>
  <si>
    <t>ILS</t>
  </si>
  <si>
    <t>TURKEY</t>
  </si>
  <si>
    <t>TRY</t>
  </si>
  <si>
    <t>KUWAIT</t>
  </si>
  <si>
    <t>KWD</t>
  </si>
  <si>
    <t>SAUDI ARABIA</t>
  </si>
  <si>
    <t>SAR</t>
  </si>
  <si>
    <t>UAE</t>
  </si>
  <si>
    <t>AED</t>
  </si>
  <si>
    <t>QATAR</t>
  </si>
  <si>
    <t>QAR</t>
  </si>
  <si>
    <t>OMAN</t>
  </si>
  <si>
    <t>OMR</t>
  </si>
  <si>
    <t>MOROCCO</t>
  </si>
  <si>
    <t>MAD</t>
  </si>
  <si>
    <t>AFGHANISTAN</t>
  </si>
  <si>
    <t>AFN</t>
  </si>
  <si>
    <t>GHANA</t>
  </si>
  <si>
    <t>GHS</t>
  </si>
  <si>
    <t>TANZANIA</t>
  </si>
  <si>
    <t>TZS</t>
  </si>
  <si>
    <t>ZAMBIA</t>
  </si>
  <si>
    <t>ZMW</t>
  </si>
  <si>
    <t>NIGERIA</t>
  </si>
  <si>
    <t>NGN</t>
  </si>
  <si>
    <t>EGYPT</t>
  </si>
  <si>
    <t>EGP</t>
  </si>
  <si>
    <t>BAHRAIN</t>
  </si>
  <si>
    <t>BHD</t>
  </si>
  <si>
    <t>KAZAKHSTAN</t>
  </si>
  <si>
    <t>KZT</t>
  </si>
  <si>
    <t>URUGUAY</t>
  </si>
  <si>
    <t>UYU</t>
  </si>
  <si>
    <t>West African CFA franc</t>
  </si>
  <si>
    <t>XOF</t>
  </si>
  <si>
    <t>CHILI</t>
  </si>
  <si>
    <t>CLF</t>
  </si>
  <si>
    <t>LEBANON</t>
  </si>
  <si>
    <t>LBP</t>
  </si>
  <si>
    <t>KENYA</t>
  </si>
  <si>
    <t>KES</t>
  </si>
  <si>
    <t>ALGERIA</t>
  </si>
  <si>
    <t>DZD</t>
  </si>
  <si>
    <t>ROMANIA</t>
  </si>
  <si>
    <t>BRUNEI</t>
  </si>
  <si>
    <t>BND</t>
  </si>
  <si>
    <t>ICELAND</t>
  </si>
  <si>
    <t>ISK</t>
  </si>
  <si>
    <t>MOZAMBIQUE</t>
  </si>
  <si>
    <t>MZN</t>
  </si>
  <si>
    <t>TUNISIA</t>
  </si>
  <si>
    <t>TND</t>
  </si>
  <si>
    <t>UKRAINE</t>
  </si>
  <si>
    <t>UAH</t>
  </si>
  <si>
    <t>PureTube</t>
  </si>
  <si>
    <t>UV Auxiliaries</t>
  </si>
  <si>
    <t>Modular, GSO, OCS</t>
  </si>
  <si>
    <t>Version</t>
  </si>
  <si>
    <t>1.0</t>
  </si>
  <si>
    <t>Valid until:</t>
  </si>
  <si>
    <t>Spektron industrial</t>
  </si>
  <si>
    <t xml:space="preserve">Xylem entity:  </t>
  </si>
  <si>
    <t>Partner name:</t>
  </si>
  <si>
    <t>Currency:</t>
  </si>
  <si>
    <t>Please choose your product series and click on the corresponding picture</t>
  </si>
  <si>
    <t xml:space="preserve">Version: </t>
  </si>
  <si>
    <t>Applied Discount Level</t>
  </si>
  <si>
    <t>Applicable  Discount</t>
  </si>
  <si>
    <t>Validation</t>
  </si>
  <si>
    <t>Flange</t>
  </si>
  <si>
    <t>Small/Large Flange</t>
  </si>
  <si>
    <t>Pressure Rating</t>
  </si>
  <si>
    <t>Surface Finishing</t>
  </si>
  <si>
    <t>Article Number</t>
  </si>
  <si>
    <t>ID Generator</t>
  </si>
  <si>
    <t>Total 
List Price</t>
  </si>
  <si>
    <t>Total 
Rec. Market Price</t>
  </si>
  <si>
    <t>Total 
Discounted Price</t>
  </si>
  <si>
    <t>UV System</t>
  </si>
  <si>
    <t>SS Cabinet</t>
  </si>
  <si>
    <t>Wiper</t>
  </si>
  <si>
    <t>Air Condition*</t>
  </si>
  <si>
    <t>Opti Detect</t>
  </si>
  <si>
    <t>ANSI Flange</t>
  </si>
  <si>
    <t>Cable Length</t>
  </si>
  <si>
    <t>Packaging</t>
  </si>
  <si>
    <t>Common ID</t>
  </si>
  <si>
    <t>please select</t>
  </si>
  <si>
    <t># units</t>
  </si>
  <si>
    <t>List Price / unit</t>
  </si>
  <si>
    <t>Rec Market Price / unit</t>
  </si>
  <si>
    <t>Discounted Price / unit</t>
  </si>
  <si>
    <t>List Price 
per unit</t>
  </si>
  <si>
    <t>Rec Market Price 
per unit</t>
  </si>
  <si>
    <t>Discounted Price 
per unit</t>
  </si>
  <si>
    <t>Price / unit</t>
  </si>
  <si>
    <t>Total</t>
  </si>
  <si>
    <t>Spektron 2.1e</t>
  </si>
  <si>
    <t>SP2.1e</t>
  </si>
  <si>
    <t>DIN</t>
  </si>
  <si>
    <t>Thread 1 1/2"</t>
  </si>
  <si>
    <t>16 bar</t>
  </si>
  <si>
    <t>3m</t>
  </si>
  <si>
    <t>Spektron 5.1e</t>
  </si>
  <si>
    <t>SP5.1e</t>
  </si>
  <si>
    <t>Thread 2"</t>
  </si>
  <si>
    <t>5m</t>
  </si>
  <si>
    <t>Spektron 10.1e</t>
  </si>
  <si>
    <t>SP10.1e</t>
  </si>
  <si>
    <t>Thread 2 1/2"</t>
  </si>
  <si>
    <t>15m</t>
  </si>
  <si>
    <t>Spektron 22e</t>
  </si>
  <si>
    <t>SP22e</t>
  </si>
  <si>
    <t>DN100</t>
  </si>
  <si>
    <t>Spektron 35e</t>
  </si>
  <si>
    <t>SP35e</t>
  </si>
  <si>
    <t>DIN/ UVDGM</t>
  </si>
  <si>
    <t>Spektron 95e</t>
  </si>
  <si>
    <t>SP95e</t>
  </si>
  <si>
    <t>DN125</t>
  </si>
  <si>
    <t>Spektron 200e</t>
  </si>
  <si>
    <t>SP200e</t>
  </si>
  <si>
    <t>DN200</t>
  </si>
  <si>
    <t>Spektron 280e</t>
  </si>
  <si>
    <t>SP280e</t>
  </si>
  <si>
    <t>DN250</t>
  </si>
  <si>
    <t>Spektron 400e</t>
  </si>
  <si>
    <t>SP400e</t>
  </si>
  <si>
    <t>DN300</t>
  </si>
  <si>
    <t>Spektron 650e</t>
  </si>
  <si>
    <t>SP650e</t>
  </si>
  <si>
    <t>UVDGM</t>
  </si>
  <si>
    <t>DN450</t>
  </si>
  <si>
    <t>10 bar</t>
  </si>
  <si>
    <t>Spektron 660e</t>
  </si>
  <si>
    <t>SP660e</t>
  </si>
  <si>
    <t>Spektron 680e</t>
  </si>
  <si>
    <t>SP680e</t>
  </si>
  <si>
    <t>Spektron 2000e</t>
  </si>
  <si>
    <t>SP2000e</t>
  </si>
  <si>
    <t>DN500</t>
  </si>
  <si>
    <t>Spektron 2800e</t>
  </si>
  <si>
    <t>SP2800e</t>
  </si>
  <si>
    <t>Spektron 4000e</t>
  </si>
  <si>
    <t>SP4000e</t>
  </si>
  <si>
    <t>DN700</t>
  </si>
  <si>
    <t>Spektron 4800e</t>
  </si>
  <si>
    <t>SP4800e</t>
  </si>
  <si>
    <t>Spektron 6000e</t>
  </si>
  <si>
    <t>SP6000e</t>
  </si>
  <si>
    <t>DN600</t>
  </si>
  <si>
    <r>
      <rPr>
        <b/>
        <sz val="12"/>
        <color rgb="FFFF0000"/>
        <rFont val="Aptos Narrow"/>
        <family val="2"/>
        <scheme val="minor"/>
      </rPr>
      <t>*Note:</t>
    </r>
    <r>
      <rPr>
        <b/>
        <sz val="12"/>
        <color theme="1"/>
        <rFont val="Aptos Narrow"/>
        <family val="2"/>
        <scheme val="minor"/>
      </rPr>
      <t xml:space="preserve"> Please note that A/C is not applicable in combination with SS cabinets</t>
    </r>
  </si>
  <si>
    <t>Form</t>
  </si>
  <si>
    <t>UV System incl. Wiper</t>
  </si>
  <si>
    <t>Air Condition</t>
  </si>
  <si>
    <t>LBX 90eW</t>
  </si>
  <si>
    <t>LBX90</t>
  </si>
  <si>
    <t>U</t>
  </si>
  <si>
    <t>DN150</t>
  </si>
  <si>
    <t>LBX 120eW</t>
  </si>
  <si>
    <t>LBX120</t>
  </si>
  <si>
    <t>LBX 200eW</t>
  </si>
  <si>
    <t>LBX200</t>
  </si>
  <si>
    <t>LBX 400eW</t>
  </si>
  <si>
    <t>LBX400</t>
  </si>
  <si>
    <t>LBX 550eW</t>
  </si>
  <si>
    <t>LBX550</t>
  </si>
  <si>
    <t>LBX 850eW</t>
  </si>
  <si>
    <t>LBX850</t>
  </si>
  <si>
    <t>L</t>
  </si>
  <si>
    <t>DN400</t>
  </si>
  <si>
    <t>LBX 1500eW</t>
  </si>
  <si>
    <t>LBX1500</t>
  </si>
  <si>
    <t>Mounting Position*</t>
  </si>
  <si>
    <t>Dummy</t>
  </si>
  <si>
    <t>Acton 27e</t>
  </si>
  <si>
    <t>AC27E</t>
  </si>
  <si>
    <t>Horizontally flange up</t>
  </si>
  <si>
    <t>Acton 160e</t>
  </si>
  <si>
    <t>AC160e</t>
  </si>
  <si>
    <t>Acton 260e</t>
  </si>
  <si>
    <t>AC260e</t>
  </si>
  <si>
    <t>Acton 460e</t>
  </si>
  <si>
    <t>AC460e</t>
  </si>
  <si>
    <t>Acton 660e</t>
  </si>
  <si>
    <t>AC660e</t>
  </si>
  <si>
    <t>DN 350</t>
  </si>
  <si>
    <t>*other positions are available as ETO  - please contact inside sales support</t>
  </si>
  <si>
    <t>Large Stainless Steel Cabinet</t>
  </si>
  <si>
    <t>Please select</t>
  </si>
  <si>
    <t>Total List Price</t>
  </si>
  <si>
    <t>Total Rec. Market Price</t>
  </si>
  <si>
    <t>Spektron 2i</t>
  </si>
  <si>
    <t>SP2i</t>
  </si>
  <si>
    <t>Hygienic DIN11864-2</t>
  </si>
  <si>
    <t>Spektron 5i</t>
  </si>
  <si>
    <t>SP5i</t>
  </si>
  <si>
    <t>Spektron 10i</t>
  </si>
  <si>
    <t>SP10i</t>
  </si>
  <si>
    <t>Spektron 15i</t>
  </si>
  <si>
    <t>SP15i</t>
  </si>
  <si>
    <t>Spektron 30i</t>
  </si>
  <si>
    <t>SP30i</t>
  </si>
  <si>
    <t>Spektron 50i</t>
  </si>
  <si>
    <t>SP50i</t>
  </si>
  <si>
    <t>Spektron 90i</t>
  </si>
  <si>
    <t>SP90i</t>
  </si>
  <si>
    <t>UV System - 1 Sensor</t>
  </si>
  <si>
    <t>one sensor per lamp</t>
  </si>
  <si>
    <t>DUMMY</t>
  </si>
  <si>
    <t>no</t>
  </si>
  <si>
    <t>PureTube 60</t>
  </si>
  <si>
    <t>PT60</t>
  </si>
  <si>
    <t>PureTube 80</t>
  </si>
  <si>
    <t>PT80</t>
  </si>
  <si>
    <t>PureTube 100</t>
  </si>
  <si>
    <t>PT100</t>
  </si>
  <si>
    <t>Article Number
UV-System</t>
  </si>
  <si>
    <t>Article Number 
Power Cord</t>
  </si>
  <si>
    <t>Display language</t>
  </si>
  <si>
    <t>Power Cord</t>
  </si>
  <si>
    <t>Aquada 1 Altima</t>
  </si>
  <si>
    <t>Aquada 1 Proxima</t>
  </si>
  <si>
    <t>Aquada 1 Maxima</t>
  </si>
  <si>
    <t>CH</t>
  </si>
  <si>
    <t>Aquada 2 Altima</t>
  </si>
  <si>
    <t>Aquada 2 Proxima</t>
  </si>
  <si>
    <t>Aquada 2 Maxima</t>
  </si>
  <si>
    <t>Aquada 4 Altima</t>
  </si>
  <si>
    <t>Aquada 4 Proxima</t>
  </si>
  <si>
    <t>Aquada 4 Maxima</t>
  </si>
  <si>
    <t>Aquada 7 Altima</t>
  </si>
  <si>
    <t>Aquada 7 Proxima</t>
  </si>
  <si>
    <t>Aquada 7 Maxima</t>
  </si>
  <si>
    <t>Aquada 10 Altima</t>
  </si>
  <si>
    <t>Aquada 10 Proxima</t>
  </si>
  <si>
    <t>Aquada 10 Maxima</t>
  </si>
  <si>
    <t>Type</t>
  </si>
  <si>
    <t>Aquada 1</t>
  </si>
  <si>
    <t>Aquada 7</t>
  </si>
  <si>
    <t>Aquada 10</t>
  </si>
  <si>
    <t>Potential free contact box</t>
  </si>
  <si>
    <t>Accessories UV-System</t>
  </si>
  <si>
    <t>OptiDetect</t>
  </si>
  <si>
    <t>all UV Systems</t>
  </si>
  <si>
    <t>OptiDose</t>
  </si>
  <si>
    <t>not necessary</t>
  </si>
  <si>
    <t>Profinet</t>
  </si>
  <si>
    <t>Profibus DP</t>
  </si>
  <si>
    <t>Ethernet IP</t>
  </si>
  <si>
    <t>Modbus TCP</t>
  </si>
  <si>
    <t>TMO IV, 24V</t>
  </si>
  <si>
    <t>Uverifier 2</t>
  </si>
  <si>
    <t>all LP UV Systems</t>
  </si>
  <si>
    <t xml:space="preserve">C20 </t>
  </si>
  <si>
    <t>C120</t>
  </si>
  <si>
    <t>C220</t>
  </si>
  <si>
    <t>C300</t>
  </si>
  <si>
    <t>C500</t>
  </si>
  <si>
    <t>C1000</t>
  </si>
  <si>
    <t>ASE1430</t>
  </si>
  <si>
    <t>ASE2350</t>
  </si>
  <si>
    <t>Model</t>
  </si>
  <si>
    <t>Spektron 90e</t>
  </si>
  <si>
    <t>Spektron 180e</t>
  </si>
  <si>
    <t>Spektron 250e</t>
  </si>
  <si>
    <t>Spektron 350e</t>
  </si>
  <si>
    <t>LBX 10</t>
  </si>
  <si>
    <t>LBX 20</t>
  </si>
  <si>
    <t>LBX 33</t>
  </si>
  <si>
    <t>Spalte1</t>
  </si>
  <si>
    <t>Ozone System</t>
  </si>
  <si>
    <t>Price EURO</t>
  </si>
  <si>
    <t>Cabinet size</t>
  </si>
  <si>
    <t>SS adder Price EURO</t>
  </si>
  <si>
    <t>Air Condition adder</t>
  </si>
  <si>
    <t>Wiper 
lamp qty.</t>
  </si>
  <si>
    <t>Opti Detect
lamp qty.</t>
  </si>
  <si>
    <t>additional Sensors</t>
  </si>
  <si>
    <t>Flange type</t>
  </si>
  <si>
    <t>C1</t>
  </si>
  <si>
    <t>N/A</t>
  </si>
  <si>
    <t>Small</t>
  </si>
  <si>
    <t>C4</t>
  </si>
  <si>
    <t>C4_C12</t>
  </si>
  <si>
    <t>C12</t>
  </si>
  <si>
    <t>Large</t>
  </si>
  <si>
    <t>C48</t>
  </si>
  <si>
    <t>C60</t>
  </si>
  <si>
    <t>tbc</t>
  </si>
  <si>
    <t>Triclamp</t>
  </si>
  <si>
    <t>Standard design   1 = no, 2 = yes</t>
  </si>
  <si>
    <t>Umschalten drop down auf standard = no, wenn auf S3 Specs eingetragen sind</t>
  </si>
  <si>
    <t>DN/ANSI 1; small/large 2; Surface 3; Wiper 4; Pressure 5;OptiDetect 6;7:0; CE/UL8; Cooling 9; Cabinet 10,</t>
  </si>
  <si>
    <t>No</t>
  </si>
  <si>
    <t>Model Specific:</t>
  </si>
  <si>
    <t>Sp02.1</t>
  </si>
  <si>
    <t>Yes</t>
  </si>
  <si>
    <t>Sp5.1</t>
  </si>
  <si>
    <t>from order spec</t>
  </si>
  <si>
    <t>Display 1</t>
  </si>
  <si>
    <t>SP02.1e0112200xx1</t>
  </si>
  <si>
    <t>Sp10.1</t>
  </si>
  <si>
    <t>Vessel size selection</t>
  </si>
  <si>
    <t>Article number</t>
  </si>
  <si>
    <t>value</t>
  </si>
  <si>
    <t>Add. value adj.</t>
  </si>
  <si>
    <t>order code number</t>
  </si>
  <si>
    <t>Text code</t>
  </si>
  <si>
    <t>Display 2</t>
  </si>
  <si>
    <t>SP02.1e 0 1 1 2 2 0 0 x x 1</t>
  </si>
  <si>
    <t>SP22</t>
  </si>
  <si>
    <t>SP35</t>
  </si>
  <si>
    <t>Spektron 02.1e</t>
  </si>
  <si>
    <t>SP02.1e</t>
  </si>
  <si>
    <t>n/a</t>
  </si>
  <si>
    <t>Sp90</t>
  </si>
  <si>
    <t>Spektron 05.1e</t>
  </si>
  <si>
    <t>SP05.1e</t>
  </si>
  <si>
    <t>SP95</t>
  </si>
  <si>
    <t>Sp180</t>
  </si>
  <si>
    <t>SP200</t>
  </si>
  <si>
    <t>Sp250</t>
  </si>
  <si>
    <t>SP90e</t>
  </si>
  <si>
    <t>SP280</t>
  </si>
  <si>
    <t>Sp350</t>
  </si>
  <si>
    <t>SP180e</t>
  </si>
  <si>
    <t>SP400</t>
  </si>
  <si>
    <t>SP650</t>
  </si>
  <si>
    <t>Large Flange</t>
  </si>
  <si>
    <t>SP250e</t>
  </si>
  <si>
    <t>SP660</t>
  </si>
  <si>
    <t>SP680</t>
  </si>
  <si>
    <t>SP350e</t>
  </si>
  <si>
    <t>SP2000</t>
  </si>
  <si>
    <t>SP2800</t>
  </si>
  <si>
    <t>SP4000</t>
  </si>
  <si>
    <t>SP4800</t>
  </si>
  <si>
    <t>SP6000</t>
  </si>
  <si>
    <t>Flange type selection</t>
  </si>
  <si>
    <t>Sp2.1</t>
  </si>
  <si>
    <t>thread (0)</t>
  </si>
  <si>
    <t>ANSI (1)</t>
  </si>
  <si>
    <t>DN (2)</t>
  </si>
  <si>
    <t>SP10.1</t>
  </si>
  <si>
    <t>All Other:</t>
  </si>
  <si>
    <t>Ansi (1)</t>
  </si>
  <si>
    <t>Flange size selection for all</t>
  </si>
  <si>
    <t>NEU Disinfection method</t>
  </si>
  <si>
    <t>Standard (1)</t>
  </si>
  <si>
    <t>DVGW (nur 660 2800 4800)</t>
  </si>
  <si>
    <t>Large (2)</t>
  </si>
  <si>
    <t>UVDGM / PSS</t>
  </si>
  <si>
    <t>surface finish</t>
  </si>
  <si>
    <t>glass bead shot blast (1)</t>
  </si>
  <si>
    <t>elektropolish outside (2)</t>
  </si>
  <si>
    <t>not used yet!</t>
  </si>
  <si>
    <t>wipers</t>
  </si>
  <si>
    <t>yes (1)</t>
  </si>
  <si>
    <t>no (2)</t>
  </si>
  <si>
    <t>pressure rating</t>
  </si>
  <si>
    <t>16 bar (2)</t>
  </si>
  <si>
    <t>Sizing method</t>
  </si>
  <si>
    <t>PSS</t>
  </si>
  <si>
    <t>DVGW</t>
  </si>
  <si>
    <t>ONORM</t>
  </si>
  <si>
    <t>NWRI</t>
  </si>
  <si>
    <t>Vessel addition (multiple, independent options)</t>
  </si>
  <si>
    <t>&gt;45°C Water operation</t>
  </si>
  <si>
    <t>VH- Lamp on date 21.06.2017 only available for Sp02e-10e</t>
  </si>
  <si>
    <t>VH- lamp VLR 30available from June 2020 on</t>
  </si>
  <si>
    <t>Optidetect (1=nein)</t>
  </si>
  <si>
    <t>electrical standard selection</t>
  </si>
  <si>
    <t>CE (1)</t>
  </si>
  <si>
    <t>x</t>
  </si>
  <si>
    <t>UL (2)</t>
  </si>
  <si>
    <t>air conditioning</t>
  </si>
  <si>
    <t>Passive (0)</t>
  </si>
  <si>
    <t>No (fan,1)</t>
  </si>
  <si>
    <t>Yes (2)</t>
  </si>
  <si>
    <t>Material</t>
  </si>
  <si>
    <t>Painted (1)</t>
  </si>
  <si>
    <t>Stainless steel (2)</t>
  </si>
  <si>
    <t>LBX:</t>
  </si>
  <si>
    <t>LBX*Number*Flange*1*Shape*Wiper*Pressure*OptiDetect*CE/UL*AC*Cabinet</t>
  </si>
  <si>
    <t>LBX10</t>
  </si>
  <si>
    <t>LBX20</t>
  </si>
  <si>
    <t>LBX33</t>
  </si>
  <si>
    <t>LBX 90</t>
  </si>
  <si>
    <t>LBX90e</t>
  </si>
  <si>
    <t>LBX 120</t>
  </si>
  <si>
    <t>LBX120e</t>
  </si>
  <si>
    <t>LBX 200</t>
  </si>
  <si>
    <t>LBX200e</t>
  </si>
  <si>
    <t>LBX 400</t>
  </si>
  <si>
    <t>LBX400e</t>
  </si>
  <si>
    <t>LBX 550</t>
  </si>
  <si>
    <t>LBX550e</t>
  </si>
  <si>
    <t>LBX 850</t>
  </si>
  <si>
    <t>LBX850e</t>
  </si>
  <si>
    <t>LBX 1000</t>
  </si>
  <si>
    <t>LBX1000</t>
  </si>
  <si>
    <t>LBX1000e</t>
  </si>
  <si>
    <t>LBX 1500</t>
  </si>
  <si>
    <t>LBX1500e</t>
  </si>
  <si>
    <t>Vessel*Flange*Material*Wiper*Pressure*Mounting*0*CE*Cooling*Stainless*</t>
  </si>
  <si>
    <t>Spektron Industrial</t>
  </si>
  <si>
    <t>SP02i</t>
  </si>
  <si>
    <t>SP05i</t>
  </si>
  <si>
    <t>Sensors</t>
  </si>
  <si>
    <t>Flanges</t>
  </si>
  <si>
    <t>CID</t>
  </si>
  <si>
    <t>AQUA1ALT0AUS</t>
  </si>
  <si>
    <t>D</t>
  </si>
  <si>
    <t>AUS</t>
  </si>
  <si>
    <t>EU</t>
  </si>
  <si>
    <t>European*</t>
  </si>
  <si>
    <t>AQUA1ALT0CH</t>
  </si>
  <si>
    <t>E</t>
  </si>
  <si>
    <t>GB</t>
  </si>
  <si>
    <t>English</t>
  </si>
  <si>
    <t>AQUA1ALT0EU</t>
  </si>
  <si>
    <t>F</t>
  </si>
  <si>
    <t>I</t>
  </si>
  <si>
    <t>Italian</t>
  </si>
  <si>
    <t>AQUA1ALT0GB</t>
  </si>
  <si>
    <t>Australian</t>
  </si>
  <si>
    <t>AQUA1ALT0I</t>
  </si>
  <si>
    <t>Swiss</t>
  </si>
  <si>
    <t>AQUA2ALT0AUS</t>
  </si>
  <si>
    <t>Aquada 2</t>
  </si>
  <si>
    <t>*D/F/E/P/PL/BE/NL/IS/AT/LU/SE/FI/H/BG/TR/GR</t>
  </si>
  <si>
    <t>AQUA2ALT0CH</t>
  </si>
  <si>
    <t>AQUA2ALT0EU</t>
  </si>
  <si>
    <t>AQUA2ALT0GB</t>
  </si>
  <si>
    <t>AQUA2ALT0I</t>
  </si>
  <si>
    <t>AQUA4ALT0AUS</t>
  </si>
  <si>
    <t>Aquada 4</t>
  </si>
  <si>
    <t>AQUA4ALT0CH</t>
  </si>
  <si>
    <t>AQUA4ALT0EU</t>
  </si>
  <si>
    <t>AQUA4ALT0GB</t>
  </si>
  <si>
    <t>AQUA4ALT0I</t>
  </si>
  <si>
    <t>AQUA7ALT0AUS</t>
  </si>
  <si>
    <t>AQUA7ALT0CH</t>
  </si>
  <si>
    <t>AQUA7ALT0EU</t>
  </si>
  <si>
    <t>AQUA7ALT0GB</t>
  </si>
  <si>
    <t>AQUA7ALT0I</t>
  </si>
  <si>
    <t>AQUA10ALT0AUS</t>
  </si>
  <si>
    <t>AQUA10ALT0CH</t>
  </si>
  <si>
    <t>AQUA10ALT0EU</t>
  </si>
  <si>
    <t>AQUA10ALT0GB</t>
  </si>
  <si>
    <t>AQUA10ALT0I</t>
  </si>
  <si>
    <t>AQUA1PRODCH</t>
  </si>
  <si>
    <t>AQUA1PRODEU</t>
  </si>
  <si>
    <t>AQUA1PROEEU</t>
  </si>
  <si>
    <t>AQUA1PROFCH</t>
  </si>
  <si>
    <t>AQUA1PROFEU</t>
  </si>
  <si>
    <t>AQUA1PROGBAUS</t>
  </si>
  <si>
    <t>AQUA1PROGBEU</t>
  </si>
  <si>
    <t>AQUA1PROGBGB</t>
  </si>
  <si>
    <t>AQUA1PROICH</t>
  </si>
  <si>
    <t>AQUA1PROII</t>
  </si>
  <si>
    <t>AQUA1PROPEU</t>
  </si>
  <si>
    <t>AQUA2PRODCH</t>
  </si>
  <si>
    <t>AQUA2PRODEU</t>
  </si>
  <si>
    <t>AQUA2PROEEU</t>
  </si>
  <si>
    <t>AQUA2PROFCH</t>
  </si>
  <si>
    <t>AQUA2PROFEU</t>
  </si>
  <si>
    <t>AQUA2PROGBAUS</t>
  </si>
  <si>
    <t>AQUA2PROGBEU</t>
  </si>
  <si>
    <t>AQUA2PROGBGB</t>
  </si>
  <si>
    <t>AQUA2PROICH</t>
  </si>
  <si>
    <t>AQUA2PROII</t>
  </si>
  <si>
    <t>AQUA2PROPEU</t>
  </si>
  <si>
    <t>AQUA4PRODCH</t>
  </si>
  <si>
    <t>AQUA4PRODEU</t>
  </si>
  <si>
    <t>AQUA4PROEEU</t>
  </si>
  <si>
    <t>AQUA4PROFCH</t>
  </si>
  <si>
    <t>AQUA4PROFEU</t>
  </si>
  <si>
    <t>AQUA4PROGBAUS</t>
  </si>
  <si>
    <t>AQUA4PROGBEU</t>
  </si>
  <si>
    <t>AQUA4PROGBGB</t>
  </si>
  <si>
    <t>AQUA4PROICH</t>
  </si>
  <si>
    <t>AQUA4PROII</t>
  </si>
  <si>
    <t>AQUA4PROPEU</t>
  </si>
  <si>
    <t>AQUA7PRODCH</t>
  </si>
  <si>
    <t>AQUA7PRODEU</t>
  </si>
  <si>
    <t>AQUA7PROEEU</t>
  </si>
  <si>
    <t>AQUA7PROFCH</t>
  </si>
  <si>
    <t>AQUA7PROFEU</t>
  </si>
  <si>
    <t>AQUA7PROGBAUS</t>
  </si>
  <si>
    <t>AQUA7PROGBEU</t>
  </si>
  <si>
    <t>AQUA7PROGBGB</t>
  </si>
  <si>
    <t>AQUA7PROICH</t>
  </si>
  <si>
    <t>AQUA7PROII</t>
  </si>
  <si>
    <t>AQUA7PROPEU</t>
  </si>
  <si>
    <t>AQUA10PRODCH</t>
  </si>
  <si>
    <t>AQUA10PRODEU</t>
  </si>
  <si>
    <t>AQUA10PROEEU</t>
  </si>
  <si>
    <t>AQUA10PROFCH</t>
  </si>
  <si>
    <t>AQUA10PROFEU</t>
  </si>
  <si>
    <t>AQUA10PROGBAUS</t>
  </si>
  <si>
    <t>AQUA10PROGBEU</t>
  </si>
  <si>
    <t>AQUA10PROGBGB</t>
  </si>
  <si>
    <t>AQUA10PROICH</t>
  </si>
  <si>
    <t>AQUA10PROII</t>
  </si>
  <si>
    <t>AQUA10PROPEU</t>
  </si>
  <si>
    <t>AQUA1MAXDCH</t>
  </si>
  <si>
    <t>AQUA1MAXDEU</t>
  </si>
  <si>
    <t>AQUA1MAXEEU</t>
  </si>
  <si>
    <t>AQUA1MAXFCH</t>
  </si>
  <si>
    <t>AQUA1MAXFEU</t>
  </si>
  <si>
    <t>AQUA1MAXGBAUS</t>
  </si>
  <si>
    <t>AQUA1MAXGBEU</t>
  </si>
  <si>
    <t>AQUA1MAXGBGB</t>
  </si>
  <si>
    <t>AQUA1MAXICH</t>
  </si>
  <si>
    <t>AQUA1MAXII</t>
  </si>
  <si>
    <t>AQUA1MAXPEU</t>
  </si>
  <si>
    <t>AQUA2MAXDCH</t>
  </si>
  <si>
    <t>AQUA2MAXDEU</t>
  </si>
  <si>
    <t>AQUA2MAXEEU</t>
  </si>
  <si>
    <t>AQUA2MAXFCH</t>
  </si>
  <si>
    <t>AQUA2MAXFEU</t>
  </si>
  <si>
    <t>AQUA2MAXGBAUS</t>
  </si>
  <si>
    <t>AQUA2MAXGBEU</t>
  </si>
  <si>
    <t>AQUA2MAXGBGB</t>
  </si>
  <si>
    <t>AQUA2MAXICH</t>
  </si>
  <si>
    <t>AQUA2MAXII</t>
  </si>
  <si>
    <t>AQUA2MAXPEU</t>
  </si>
  <si>
    <t>AQUA4MAXDCH</t>
  </si>
  <si>
    <t>AQUA4MAXDEU</t>
  </si>
  <si>
    <t>AQUA4MAXEEU</t>
  </si>
  <si>
    <t>AQUA4MAXFCH</t>
  </si>
  <si>
    <t>AQUA4MAXFEU</t>
  </si>
  <si>
    <t>AQUA4MAXGBAUS</t>
  </si>
  <si>
    <t>AQUA4MAXGBEU</t>
  </si>
  <si>
    <t>AQUA4MAXGBGB</t>
  </si>
  <si>
    <t>AQUA4MAXICH</t>
  </si>
  <si>
    <t>AQUA4MAXII</t>
  </si>
  <si>
    <t>AQUA4MAXPEU</t>
  </si>
  <si>
    <t>AQUA7MAXDCH</t>
  </si>
  <si>
    <t>AQUA7MAXDEU</t>
  </si>
  <si>
    <t>AQUA7MAXEEU</t>
  </si>
  <si>
    <t>AQUA7MAXEGB</t>
  </si>
  <si>
    <t>AQUA7MAXFCH</t>
  </si>
  <si>
    <t>AQUA7MAXFEU</t>
  </si>
  <si>
    <t>AQUA7MAXGBAUS</t>
  </si>
  <si>
    <t>AQUA7MAXGBEU</t>
  </si>
  <si>
    <t>AQUA7MAXGBGB</t>
  </si>
  <si>
    <t>AQUA7MAXICH</t>
  </si>
  <si>
    <t>AQUA7MAXII</t>
  </si>
  <si>
    <t>AQUA7MAXPEU</t>
  </si>
  <si>
    <t>AQUA10MAXDCH</t>
  </si>
  <si>
    <t>AQUA10MAXDEU</t>
  </si>
  <si>
    <t>AQUA10MAXEEU</t>
  </si>
  <si>
    <t>AQUA10MAXFCH</t>
  </si>
  <si>
    <t>AQUA10MAXFEU</t>
  </si>
  <si>
    <t>AQUA10MAXGBAUS</t>
  </si>
  <si>
    <t>AQUA10MAXGBEU</t>
  </si>
  <si>
    <t>AQUA10MAXGBGB</t>
  </si>
  <si>
    <t>AQUA10MAXICH</t>
  </si>
  <si>
    <t>AQUA10MAXII</t>
  </si>
  <si>
    <t>AQUA10MAXPEU</t>
  </si>
  <si>
    <t/>
  </si>
  <si>
    <t>yes</t>
  </si>
  <si>
    <t xml:space="preserve">Drop Down: </t>
  </si>
  <si>
    <t>SP2.1</t>
  </si>
  <si>
    <t xml:space="preserve">DN 40 </t>
  </si>
  <si>
    <t>=WENN(K6='Drop Downs'!A89:A90;1600;0)</t>
  </si>
  <si>
    <t xml:space="preserve">DN 50 </t>
  </si>
  <si>
    <t>Sp 10.1</t>
  </si>
  <si>
    <t>DN 65</t>
  </si>
  <si>
    <t>Cooling Methode</t>
  </si>
  <si>
    <t>Passive</t>
  </si>
  <si>
    <t>SP2</t>
  </si>
  <si>
    <t>Fan</t>
  </si>
  <si>
    <t>SP5</t>
  </si>
  <si>
    <t>Air Condidtion</t>
  </si>
  <si>
    <t>SP10</t>
  </si>
  <si>
    <t>SP900e</t>
  </si>
  <si>
    <t>Reactor Shape</t>
  </si>
  <si>
    <t>Z</t>
  </si>
  <si>
    <t>Spektron Industiral</t>
  </si>
  <si>
    <t>TriClamp DIN32676</t>
  </si>
  <si>
    <t xml:space="preserve">Sensors </t>
  </si>
  <si>
    <t>SP22E2112200121</t>
  </si>
  <si>
    <t>SP22E2112200122</t>
  </si>
  <si>
    <t>SP22E1112200111</t>
  </si>
  <si>
    <t>SP22E1112200112</t>
  </si>
  <si>
    <t>SP22E1112200121</t>
  </si>
  <si>
    <t>SP22E1112200122</t>
  </si>
  <si>
    <t>C-ID</t>
  </si>
  <si>
    <t>SP02.1E0112200101</t>
  </si>
  <si>
    <t>UV-Anlage Spektron 2.1e 11/2" Gewindeanschluss</t>
  </si>
  <si>
    <t>SP02.1E0112200102</t>
  </si>
  <si>
    <t>UV-Anlage Spektron 2.1e 11/2" Gewindeanschluss, VA</t>
  </si>
  <si>
    <t>SP02.1E0112210101</t>
  </si>
  <si>
    <t>UV-Anlage Spektron 2.1e VH 1 1/2" Gewindeanschl.</t>
  </si>
  <si>
    <t>SP02.1E2112200101</t>
  </si>
  <si>
    <t>UV-Anlage Spektron 2.1e mit DN40- Flansch</t>
  </si>
  <si>
    <t>SP02.1E2112200102</t>
  </si>
  <si>
    <t>UV-Anlage Spektron 2.1e mit DN40- Flansch, VA</t>
  </si>
  <si>
    <t>SP02.1E2112210101</t>
  </si>
  <si>
    <t>UV-Anlage Spektron 2.1e DN 40 VH</t>
  </si>
  <si>
    <t>SP05.1E0112200101</t>
  </si>
  <si>
    <t>UV-Anlage Spektron 5.1e 2" Gewindeanschluss</t>
  </si>
  <si>
    <t>SP05.1E0112200102</t>
  </si>
  <si>
    <t>UV-Anlage Spektron 5.1e 2" Gewindeanschluss, VA</t>
  </si>
  <si>
    <t>SP05.1E0112210101</t>
  </si>
  <si>
    <t>UV-Anlage Spektron 5.1e VH 2" Gewindeanschl.</t>
  </si>
  <si>
    <t>SP05.1E2112200101</t>
  </si>
  <si>
    <t>UV-Anlage Spektron 5.1e mit DN50- Flansch</t>
  </si>
  <si>
    <t>SP05.1E2112200102</t>
  </si>
  <si>
    <t>UV-Anlage Spektron 5.1e mit DN50- Flansch, VA</t>
  </si>
  <si>
    <t>SP05.1E2112210101</t>
  </si>
  <si>
    <t>UV-Anlage Spektron 5.1e VH DN50 Flansch</t>
  </si>
  <si>
    <t>SP05.1E2112210102</t>
  </si>
  <si>
    <t>UV-Anlage Spektron 5.1e mit DN50- Flansch, VA, VH</t>
  </si>
  <si>
    <t>SP10.1E0112200101</t>
  </si>
  <si>
    <t>UV-Anlage  Spektron 10.1e 21/2" Gewindeanschluss</t>
  </si>
  <si>
    <t>SP10.1E0112200102</t>
  </si>
  <si>
    <t>UV-Anlage Spektron 10.e 21/2" Gewindeanschluss, VA</t>
  </si>
  <si>
    <t>SP10.1E0112210101</t>
  </si>
  <si>
    <t>UV-Anlage Spektron 10.1e VH 21/2" Gewindeanschl.</t>
  </si>
  <si>
    <t>SP10.1E2112200101</t>
  </si>
  <si>
    <t>UV-Anlage Spektron 10.1e mit DN65- Flansch</t>
  </si>
  <si>
    <t>SP10.1E2112200102</t>
  </si>
  <si>
    <t>UV-Anlage Spektron 10.1e mit DN65- Flansch, VA</t>
  </si>
  <si>
    <t>SP10.1E2112210101</t>
  </si>
  <si>
    <t>UV-Anlage Spektron 10.1e-VH mit DN65- Flansch</t>
  </si>
  <si>
    <t>UV-Anlage Spektron 22e</t>
  </si>
  <si>
    <t>SP22E2112200112</t>
  </si>
  <si>
    <t>UV-Anlage Spektron 35e</t>
  </si>
  <si>
    <t>UV-Anlage Spektron 95e-EW</t>
  </si>
  <si>
    <t>UV-Anlage Spektron 95e</t>
  </si>
  <si>
    <t>UV-Anlage Spektron 280e-EW</t>
  </si>
  <si>
    <t>UV-Anlage Spektron 280e</t>
  </si>
  <si>
    <t>LBX1000E2111100111</t>
  </si>
  <si>
    <t>UV-Anlage LBX1000e-EW</t>
  </si>
  <si>
    <t>LBX1000E2111100112</t>
  </si>
  <si>
    <t>LBX1000E2112100111</t>
  </si>
  <si>
    <t>UV-Anlage UV-Anlage LBX1000e-L</t>
  </si>
  <si>
    <t>LBX1000E2112100112</t>
  </si>
  <si>
    <t>UV-Anlage LBX1000e</t>
  </si>
  <si>
    <t>LBX1000E2121100111</t>
  </si>
  <si>
    <t>UV-Anlage LBX1000e-Z-EW</t>
  </si>
  <si>
    <t>LBX1000E2121100112</t>
  </si>
  <si>
    <t>LBX1000E2122100111</t>
  </si>
  <si>
    <t>UV-Anlage LBX1000e-Z</t>
  </si>
  <si>
    <t>LBX1000E2122100112</t>
  </si>
  <si>
    <t>UV-Anlage LBX10-EW</t>
  </si>
  <si>
    <t>UV-Anlage LBX10-L</t>
  </si>
  <si>
    <t>UV-Anlage  LBX10</t>
  </si>
  <si>
    <t>UV-Anlage LBX10-Z-EW</t>
  </si>
  <si>
    <t>UV-Anlage LBX10-Z</t>
  </si>
  <si>
    <t>UV-Anlage LBX120e-EW</t>
  </si>
  <si>
    <t>LBX120E2111100112</t>
  </si>
  <si>
    <t>UV-Anlage LBX120e-L</t>
  </si>
  <si>
    <t>UV-Anlage LBX120e</t>
  </si>
  <si>
    <t>UV-Anlage LBX120e-Z-EW</t>
  </si>
  <si>
    <t>LBX120E2121100112</t>
  </si>
  <si>
    <t>UV-Anlage  LBX120e-Z-EW</t>
  </si>
  <si>
    <t>LBX120E2122100111</t>
  </si>
  <si>
    <t>UV-Anlage LBX120e-Z</t>
  </si>
  <si>
    <t>LBX1500E1101100111</t>
  </si>
  <si>
    <t>UV-Anlage LBX1500e EWL ANSI CE</t>
  </si>
  <si>
    <t>LBX1500E1101100211</t>
  </si>
  <si>
    <t>UV-Anlage LBX1500e-EWL 20" ANSI</t>
  </si>
  <si>
    <t>LBX1500E1101100222</t>
  </si>
  <si>
    <t>UV-Anlage LBX1500e-EWE 20" ANSI</t>
  </si>
  <si>
    <t>LBX1500E1102100211</t>
  </si>
  <si>
    <t>UV-Anlage LBX1500e-L 20" ANSI</t>
  </si>
  <si>
    <t>LBX1500E1102100222</t>
  </si>
  <si>
    <t>UV-Anlage LBX1500e-EWL DN500</t>
  </si>
  <si>
    <t xml:space="preserve">UV-Anlage LBX1500e-L </t>
  </si>
  <si>
    <t>UV-Anlage LBX1500e-E DN500</t>
  </si>
  <si>
    <t>UV-Anlage LBX1500e-L DN500</t>
  </si>
  <si>
    <t>LBX1500E211100111</t>
  </si>
  <si>
    <t>UV-Anlage LBX1500e, EW</t>
  </si>
  <si>
    <t>UV-Anlage LBX200e-EW</t>
  </si>
  <si>
    <t>LBX200E2111100211</t>
  </si>
  <si>
    <t>UV-Anlage LBX200e EWL UL</t>
  </si>
  <si>
    <t>UV-Anlage LBX200e-L</t>
  </si>
  <si>
    <t>UV-Anlage LBX200e</t>
  </si>
  <si>
    <t>UV-Anlage LBX200e-Z-EW</t>
  </si>
  <si>
    <t>UV-Anlage UV-Anlage LBX200e-Z-EWL AC</t>
  </si>
  <si>
    <t>UV-Anlage LBX200e-Z</t>
  </si>
  <si>
    <t>UV-Anlage LBX20-EW</t>
  </si>
  <si>
    <t>UV-Anlage LBX20-L</t>
  </si>
  <si>
    <t>UV-Anlage LBX20</t>
  </si>
  <si>
    <t>UV-Anlage LBX20-Z-EW</t>
  </si>
  <si>
    <t>UV-Anlage LBX20-EW-Z</t>
  </si>
  <si>
    <t>UV-Anlage LBX20-Z</t>
  </si>
  <si>
    <t>LBX32112100111</t>
  </si>
  <si>
    <t>UV-Anlage LBX3-L</t>
  </si>
  <si>
    <t>LBX32112100112</t>
  </si>
  <si>
    <t>UV-Anlage LBX3</t>
  </si>
  <si>
    <t>LBX32122100111</t>
  </si>
  <si>
    <t>UV-Anlage LBX3-Z</t>
  </si>
  <si>
    <t>LBX32122100112</t>
  </si>
  <si>
    <t>UV-Anlage LBX33-EW</t>
  </si>
  <si>
    <t>UV-Anlage LBX33-U</t>
  </si>
  <si>
    <t>UV-Anlage LBX33</t>
  </si>
  <si>
    <t>UV-Anlage LBX33-Z-EW</t>
  </si>
  <si>
    <t>UV-Anlage LBX33-Z</t>
  </si>
  <si>
    <t>LBX400E1111100111</t>
  </si>
  <si>
    <t>UV-Anlage LBX400e EWL ANSI</t>
  </si>
  <si>
    <t>UV-Anlage LBX400e-EW</t>
  </si>
  <si>
    <t>UV-Anlage UV-Anlage LBX400e-EW</t>
  </si>
  <si>
    <t>UV-Anlage LBX400e-L</t>
  </si>
  <si>
    <t>UV-Anlage LBX400e</t>
  </si>
  <si>
    <t>UV-Anlage LBX400e-Z-EW</t>
  </si>
  <si>
    <t>UV-Anlage LBX400e-Z</t>
  </si>
  <si>
    <t>LBX502111200111</t>
  </si>
  <si>
    <t>UV-Anlage LBX50-EWL</t>
  </si>
  <si>
    <t>LBX502111200112</t>
  </si>
  <si>
    <t>UV-Anlage LBX50-EW</t>
  </si>
  <si>
    <t>LBX502112200111</t>
  </si>
  <si>
    <t>UV-Anlage LBX50-L</t>
  </si>
  <si>
    <t>LBX502112200112</t>
  </si>
  <si>
    <t>UV-Anlage LBX50</t>
  </si>
  <si>
    <t>LBX502121200111</t>
  </si>
  <si>
    <t>UV-Anlage LBX50-Z-EW</t>
  </si>
  <si>
    <t>LBX502121200112</t>
  </si>
  <si>
    <t>LBX502122200111</t>
  </si>
  <si>
    <t>UV-Anlage LBX50-Z</t>
  </si>
  <si>
    <t>LBX502122200112</t>
  </si>
  <si>
    <t>UV-Anlage LBX550e-EW</t>
  </si>
  <si>
    <t>UV-Anlage LBX550e-L</t>
  </si>
  <si>
    <t>UV-Anlage LBX550e</t>
  </si>
  <si>
    <t>UV-Anlage LBX550e-Z-EW</t>
  </si>
  <si>
    <t>UV-Anlage LBX550e-Z</t>
  </si>
  <si>
    <t>LBX750E2111100111</t>
  </si>
  <si>
    <t>UV-Anlage LBX750e-EW</t>
  </si>
  <si>
    <t>LBX750E2111100112</t>
  </si>
  <si>
    <t>LBX750E2112100111</t>
  </si>
  <si>
    <t>UV-Anlage LBX750e-L</t>
  </si>
  <si>
    <t>LBX750E2112100112</t>
  </si>
  <si>
    <t>UV-Anlage LBX750e</t>
  </si>
  <si>
    <t>LBX750E2121100111</t>
  </si>
  <si>
    <t>UV-Anlage LBX750e-Z-EW</t>
  </si>
  <si>
    <t>LBX750E2121100112</t>
  </si>
  <si>
    <t>LBX750E2122100111</t>
  </si>
  <si>
    <t>UV-Anlage LBX750e-Z</t>
  </si>
  <si>
    <t>LBX750E2122100112</t>
  </si>
  <si>
    <t>LBX850E1101100111</t>
  </si>
  <si>
    <t>UV-Anlage LBX850e EWL ANSI CE</t>
  </si>
  <si>
    <t>LBX850E1101100211</t>
  </si>
  <si>
    <t>UV-Anlage LBX850e-EWL 16" ANSI</t>
  </si>
  <si>
    <t>LBX850E1101100222</t>
  </si>
  <si>
    <t>UV-Anlage LBX850e-EWE 16" ANSI</t>
  </si>
  <si>
    <t>LBX850E1102100211</t>
  </si>
  <si>
    <t>UV-Anlage LBX850e-L 16" ANSI</t>
  </si>
  <si>
    <t>LBX850E1102100222</t>
  </si>
  <si>
    <t>UV-Anlage LBX850e-E 16" ANSI</t>
  </si>
  <si>
    <t>UV-Anlage LBX850e-EWL</t>
  </si>
  <si>
    <t>UV-Anlage LBX850e-EWE DN400</t>
  </si>
  <si>
    <t>UV-Anlage LBX850e-L DN400</t>
  </si>
  <si>
    <t>UV-Anlage  LBX850e-E DN400</t>
  </si>
  <si>
    <t>LBX90E1111200111</t>
  </si>
  <si>
    <t>UV-Anlage LBX90e EWL, ANSI</t>
  </si>
  <si>
    <t>LBX90E1111200211</t>
  </si>
  <si>
    <t>UV-Anlage LBX90e EWL UL</t>
  </si>
  <si>
    <t>UV-Anlage LBX90e-EW</t>
  </si>
  <si>
    <t>UV-Anlage LBX90e EWL AC</t>
  </si>
  <si>
    <t>UV-Anlage LBX90e-L</t>
  </si>
  <si>
    <t>UV-Anlage LBX90e</t>
  </si>
  <si>
    <t>UV-Anlage LBX90e-Z-EW</t>
  </si>
  <si>
    <t>UV-Anlage LBX90e-Z</t>
  </si>
  <si>
    <t>Nr</t>
  </si>
  <si>
    <t>Beschreibung</t>
  </si>
  <si>
    <t>Common Item No_</t>
  </si>
  <si>
    <t>UV Anlage Aquada 10 Altima</t>
  </si>
  <si>
    <t>UV Anlage Aquada 10 Maxima</t>
  </si>
  <si>
    <t>UV Anlage Aquada 10 Proxima</t>
  </si>
  <si>
    <t>UV Anlage Aquada 1 Altima</t>
  </si>
  <si>
    <t>UV Anlage Aquada 1 Maxima</t>
  </si>
  <si>
    <t>UV Anlage Aquada 1 Proxima</t>
  </si>
  <si>
    <t>UV Anlage Aquada 2 Altima</t>
  </si>
  <si>
    <t>UV Anlage Aquada 2 Maxima</t>
  </si>
  <si>
    <t>UV Anlage Aquada 2 Proxima</t>
  </si>
  <si>
    <t>UV Anlage Aquada 4 Altima</t>
  </si>
  <si>
    <t>UV Anlage Aquada 4 Maxima</t>
  </si>
  <si>
    <t>UV Anlage Aquada 4 Proxima</t>
  </si>
  <si>
    <t>UV Anlage Aquada 7 Altima</t>
  </si>
  <si>
    <t>UV Anlage Aquada 7 Maxima</t>
  </si>
  <si>
    <t>UV Anlage Aquada 7 Proxima</t>
  </si>
  <si>
    <t>all EcoTouch UV Systems</t>
  </si>
  <si>
    <t>all closed vessel UV</t>
  </si>
  <si>
    <t>Please order as part of UV-System</t>
  </si>
  <si>
    <t>Solenoid valve Aquada 1</t>
  </si>
  <si>
    <t>Solenoid valve Aquada 2 &amp; 4</t>
  </si>
  <si>
    <t>Solenoid valve Aquada 7</t>
  </si>
  <si>
    <t>Solenoid valve Aquada 10</t>
  </si>
  <si>
    <t>Xylem entity</t>
  </si>
  <si>
    <t>* Additional accessories and spare parts are availaible according to our After Market Price List.</t>
  </si>
  <si>
    <t>AC27e</t>
  </si>
  <si>
    <t>SP200e2112200111</t>
  </si>
  <si>
    <t>SP200e2111200111</t>
  </si>
  <si>
    <t>SP200e2111200112</t>
  </si>
  <si>
    <t>SP200e2112200112</t>
  </si>
  <si>
    <t>UV-Anlage Spektron 200e</t>
  </si>
  <si>
    <t>UV-Anlage Spektron 200e-EW</t>
  </si>
  <si>
    <t>not asssigend yet</t>
  </si>
  <si>
    <t>SC AKRO SRL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</si>
</sst>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\ [$€-407]_-;\-* #,##0\ [$€-407]_-;_-* &quot;-&quot;??\ [$€-407]_-;_-@_-"/>
    <numFmt numFmtId="165" formatCode="\A\-00000"/>
    <numFmt numFmtId="166" formatCode="#,##0.0"/>
    <numFmt numFmtId="167" formatCode="#,##0_ ;\-#,##0\ "/>
    <numFmt numFmtId="168" formatCode="#,##0.0000"/>
    <numFmt numFmtId="169" formatCode="0.0000000000"/>
    <numFmt numFmtId="170" formatCode="_-* #,##0\ _€_-;\-* #,##0\ _€_-;_-* &quot;-&quot;\ _€_-;_-@_-"/>
  </numFmts>
  <fonts count="3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rial"/>
      <family val="2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10"/>
      <color theme="1"/>
      <name val="Aptos Narrow"/>
      <family val="2"/>
      <scheme val="minor"/>
    </font>
    <font>
      <sz val="12"/>
      <color theme="1"/>
      <name val="Courier New"/>
      <family val="3"/>
    </font>
    <font>
      <sz val="10"/>
      <color rgb="FF000000"/>
      <name val="Arial"/>
      <family val="2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12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8"/>
      <color rgb="FF0085AD"/>
      <name val="Aptos Narrow"/>
      <family val="2"/>
      <scheme val="minor"/>
    </font>
    <font>
      <sz val="18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name val="Aptos Narrow"/>
      <family val="2"/>
    </font>
    <font>
      <sz val="18"/>
      <color rgb="FFFF0000"/>
      <name val="Aptos Narrow"/>
      <family val="2"/>
      <scheme val="minor"/>
    </font>
    <font>
      <strike/>
      <sz val="10"/>
      <name val="Arial"/>
      <family val="2"/>
    </font>
    <font>
      <b/>
      <sz val="10"/>
      <color theme="1"/>
      <name val="Arial"/>
      <family val="2"/>
    </font>
    <font>
      <sz val="11"/>
      <color rgb="FF000000"/>
      <name val="Consolas"/>
      <family val="3"/>
    </font>
    <font>
      <sz val="11"/>
      <color theme="0"/>
      <name val="Aptos Narrow"/>
      <family val="2"/>
      <scheme val="minor"/>
    </font>
    <font>
      <sz val="12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85AD"/>
        <bgColor indexed="64"/>
      </patternFill>
    </fill>
    <fill>
      <patternFill patternType="solid">
        <fgColor theme="0" tint="-0.14999847407452621"/>
        <bgColor indexed="64"/>
      </patternFill>
    </fill>
  </fills>
  <borders count="23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000000"/>
      </bottom>
      <diagonal/>
    </border>
  </borders>
  <cellStyleXfs count="5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18" fillId="0" borderId="0"/>
  </cellStyleXfs>
  <cellXfs count="1110">
    <xf numFmtId="0" fontId="0" fillId="0" borderId="0" xfId="0"/>
    <xf numFmtId="0" fontId="0" fillId="0" borderId="14" xfId="0" applyBorder="1" applyAlignment="1">
      <alignment horizontal="center"/>
    </xf>
    <xf numFmtId="0" fontId="2" fillId="0" borderId="28" xfId="0" applyFont="1" applyBorder="1"/>
    <xf numFmtId="0" fontId="2" fillId="0" borderId="33" xfId="0" applyFont="1" applyBorder="1"/>
    <xf numFmtId="0" fontId="1" fillId="0" borderId="25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" fillId="0" borderId="40" xfId="0" applyFont="1" applyBorder="1"/>
    <xf numFmtId="0" fontId="2" fillId="0" borderId="39" xfId="0" applyFont="1" applyBorder="1"/>
    <xf numFmtId="0" fontId="0" fillId="0" borderId="25" xfId="0" applyBorder="1"/>
    <xf numFmtId="0" fontId="0" fillId="0" borderId="0" xfId="0" applyAlignment="1">
      <alignment horizontal="center" vertical="center"/>
    </xf>
    <xf numFmtId="0" fontId="2" fillId="0" borderId="25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/>
    <xf numFmtId="0" fontId="0" fillId="0" borderId="27" xfId="0" applyBorder="1" applyAlignment="1">
      <alignment horizontal="center" vertical="center"/>
    </xf>
    <xf numFmtId="0" fontId="0" fillId="0" borderId="27" xfId="0" applyBorder="1"/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41" xfId="0" applyBorder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/>
    <xf numFmtId="0" fontId="2" fillId="0" borderId="0" xfId="0" applyFont="1"/>
    <xf numFmtId="0" fontId="0" fillId="4" borderId="0" xfId="0" applyFill="1" applyAlignment="1">
      <alignment horizontal="center" vertical="center"/>
    </xf>
    <xf numFmtId="0" fontId="5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6" fontId="0" fillId="0" borderId="0" xfId="0" applyNumberFormat="1"/>
    <xf numFmtId="0" fontId="0" fillId="0" borderId="44" xfId="0" applyBorder="1"/>
    <xf numFmtId="0" fontId="0" fillId="0" borderId="45" xfId="0" applyBorder="1"/>
    <xf numFmtId="0" fontId="0" fillId="0" borderId="3" xfId="0" applyBorder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/>
    <xf numFmtId="0" fontId="2" fillId="0" borderId="2" xfId="0" applyFont="1" applyBorder="1"/>
    <xf numFmtId="0" fontId="0" fillId="0" borderId="2" xfId="0" applyBorder="1"/>
    <xf numFmtId="1" fontId="0" fillId="0" borderId="0" xfId="0" applyNumberFormat="1"/>
    <xf numFmtId="0" fontId="0" fillId="0" borderId="0" xfId="0" applyAlignment="1">
      <alignment horizontal="center"/>
    </xf>
    <xf numFmtId="3" fontId="2" fillId="0" borderId="2" xfId="0" applyNumberFormat="1" applyFont="1" applyBorder="1" applyAlignment="1">
      <alignment horizontal="left"/>
    </xf>
    <xf numFmtId="3" fontId="0" fillId="0" borderId="0" xfId="0" applyNumberFormat="1"/>
    <xf numFmtId="1" fontId="2" fillId="7" borderId="2" xfId="0" applyNumberFormat="1" applyFont="1" applyFill="1" applyBorder="1" applyAlignment="1">
      <alignment horizontal="left"/>
    </xf>
    <xf numFmtId="0" fontId="1" fillId="0" borderId="0" xfId="0" applyFont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38" xfId="0" applyBorder="1"/>
    <xf numFmtId="0" fontId="0" fillId="0" borderId="37" xfId="0" applyBorder="1"/>
    <xf numFmtId="165" fontId="0" fillId="0" borderId="0" xfId="0" applyNumberFormat="1"/>
    <xf numFmtId="0" fontId="0" fillId="0" borderId="0" xfId="0" applyAlignment="1">
      <alignment horizontal="left"/>
    </xf>
    <xf numFmtId="165" fontId="0" fillId="2" borderId="0" xfId="0" applyNumberFormat="1" applyFill="1"/>
    <xf numFmtId="49" fontId="0" fillId="0" borderId="0" xfId="0" applyNumberFormat="1" applyAlignment="1">
      <alignment horizontal="center"/>
    </xf>
    <xf numFmtId="166" fontId="0" fillId="0" borderId="0" xfId="2" applyNumberFormat="1" applyFont="1"/>
    <xf numFmtId="0" fontId="2" fillId="2" borderId="0" xfId="0" applyFont="1" applyFill="1"/>
    <xf numFmtId="0" fontId="2" fillId="0" borderId="48" xfId="0" applyFont="1" applyBorder="1"/>
    <xf numFmtId="0" fontId="2" fillId="0" borderId="0" xfId="0" applyFont="1" applyAlignment="1">
      <alignment horizontal="center"/>
    </xf>
    <xf numFmtId="0" fontId="11" fillId="0" borderId="48" xfId="0" applyFont="1" applyBorder="1"/>
    <xf numFmtId="0" fontId="11" fillId="0" borderId="0" xfId="0" applyFont="1"/>
    <xf numFmtId="0" fontId="8" fillId="0" borderId="48" xfId="0" applyFont="1" applyBorder="1"/>
    <xf numFmtId="0" fontId="11" fillId="0" borderId="0" xfId="0" applyFont="1" applyAlignment="1">
      <alignment horizontal="center"/>
    </xf>
    <xf numFmtId="0" fontId="11" fillId="0" borderId="47" xfId="0" applyFont="1" applyBorder="1" applyAlignment="1">
      <alignment horizontal="center"/>
    </xf>
    <xf numFmtId="0" fontId="11" fillId="0" borderId="47" xfId="0" applyFont="1" applyBorder="1"/>
    <xf numFmtId="0" fontId="11" fillId="0" borderId="62" xfId="0" applyFont="1" applyBorder="1"/>
    <xf numFmtId="0" fontId="11" fillId="0" borderId="63" xfId="0" applyFont="1" applyBorder="1"/>
    <xf numFmtId="0" fontId="11" fillId="0" borderId="63" xfId="0" applyFont="1" applyBorder="1" applyAlignment="1">
      <alignment horizontal="center"/>
    </xf>
    <xf numFmtId="0" fontId="11" fillId="0" borderId="64" xfId="0" applyFont="1" applyBorder="1"/>
    <xf numFmtId="0" fontId="11" fillId="0" borderId="65" xfId="0" applyFont="1" applyBorder="1"/>
    <xf numFmtId="0" fontId="11" fillId="0" borderId="66" xfId="0" applyFont="1" applyBorder="1"/>
    <xf numFmtId="0" fontId="11" fillId="0" borderId="66" xfId="0" applyFont="1" applyBorder="1" applyAlignment="1">
      <alignment horizontal="center"/>
    </xf>
    <xf numFmtId="0" fontId="11" fillId="0" borderId="67" xfId="0" applyFont="1" applyBorder="1"/>
    <xf numFmtId="0" fontId="2" fillId="0" borderId="66" xfId="0" applyFont="1" applyBorder="1" applyAlignment="1">
      <alignment horizontal="center"/>
    </xf>
    <xf numFmtId="168" fontId="0" fillId="0" borderId="0" xfId="2" applyNumberFormat="1" applyFont="1"/>
    <xf numFmtId="0" fontId="0" fillId="4" borderId="25" xfId="0" applyFill="1" applyBorder="1"/>
    <xf numFmtId="169" fontId="0" fillId="4" borderId="27" xfId="0" applyNumberFormat="1" applyFill="1" applyBorder="1"/>
    <xf numFmtId="0" fontId="13" fillId="0" borderId="0" xfId="0" applyFont="1" applyAlignment="1">
      <alignment horizontal="left"/>
    </xf>
    <xf numFmtId="0" fontId="13" fillId="0" borderId="0" xfId="0" applyFont="1"/>
    <xf numFmtId="0" fontId="0" fillId="11" borderId="0" xfId="0" applyFill="1"/>
    <xf numFmtId="0" fontId="1" fillId="12" borderId="39" xfId="0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71" xfId="0" applyBorder="1"/>
    <xf numFmtId="0" fontId="0" fillId="0" borderId="71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0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1" xfId="0" applyBorder="1" applyAlignment="1">
      <alignment horizontal="center"/>
    </xf>
    <xf numFmtId="4" fontId="14" fillId="11" borderId="0" xfId="0" applyNumberFormat="1" applyFont="1" applyFill="1"/>
    <xf numFmtId="0" fontId="1" fillId="0" borderId="38" xfId="0" applyFont="1" applyBorder="1" applyAlignment="1">
      <alignment horizontal="center" vertical="center"/>
    </xf>
    <xf numFmtId="0" fontId="9" fillId="0" borderId="40" xfId="0" applyFont="1" applyBorder="1"/>
    <xf numFmtId="0" fontId="9" fillId="0" borderId="40" xfId="0" applyFont="1" applyBorder="1" applyAlignment="1">
      <alignment horizontal="center"/>
    </xf>
    <xf numFmtId="0" fontId="9" fillId="0" borderId="33" xfId="0" applyFont="1" applyBorder="1"/>
    <xf numFmtId="0" fontId="9" fillId="0" borderId="22" xfId="0" applyFont="1" applyBorder="1"/>
    <xf numFmtId="0" fontId="0" fillId="0" borderId="74" xfId="0" applyBorder="1"/>
    <xf numFmtId="0" fontId="9" fillId="0" borderId="10" xfId="0" applyFont="1" applyBorder="1"/>
    <xf numFmtId="0" fontId="2" fillId="0" borderId="18" xfId="0" applyFont="1" applyBorder="1" applyAlignment="1">
      <alignment horizontal="center"/>
    </xf>
    <xf numFmtId="0" fontId="1" fillId="10" borderId="42" xfId="0" applyFont="1" applyFill="1" applyBorder="1" applyAlignment="1">
      <alignment horizontal="center" vertical="center"/>
    </xf>
    <xf numFmtId="0" fontId="1" fillId="8" borderId="42" xfId="0" applyFont="1" applyFill="1" applyBorder="1" applyAlignment="1">
      <alignment horizontal="center" vertical="center"/>
    </xf>
    <xf numFmtId="3" fontId="0" fillId="0" borderId="6" xfId="0" applyNumberFormat="1" applyBorder="1" applyAlignment="1">
      <alignment horizontal="center"/>
    </xf>
    <xf numFmtId="0" fontId="1" fillId="4" borderId="42" xfId="0" applyFont="1" applyFill="1" applyBorder="1" applyAlignment="1">
      <alignment horizontal="center" vertical="center"/>
    </xf>
    <xf numFmtId="0" fontId="9" fillId="0" borderId="79" xfId="0" applyFont="1" applyBorder="1"/>
    <xf numFmtId="0" fontId="9" fillId="0" borderId="80" xfId="0" applyFont="1" applyBorder="1"/>
    <xf numFmtId="0" fontId="1" fillId="0" borderId="2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9" fillId="0" borderId="96" xfId="0" applyFont="1" applyBorder="1"/>
    <xf numFmtId="0" fontId="9" fillId="0" borderId="28" xfId="0" applyFont="1" applyBorder="1"/>
    <xf numFmtId="0" fontId="9" fillId="0" borderId="39" xfId="0" applyFont="1" applyBorder="1"/>
    <xf numFmtId="3" fontId="2" fillId="0" borderId="17" xfId="0" applyNumberFormat="1" applyFont="1" applyBorder="1" applyAlignment="1">
      <alignment horizontal="left"/>
    </xf>
    <xf numFmtId="3" fontId="2" fillId="0" borderId="20" xfId="0" applyNumberFormat="1" applyFont="1" applyBorder="1" applyAlignment="1">
      <alignment horizontal="left"/>
    </xf>
    <xf numFmtId="0" fontId="0" fillId="0" borderId="47" xfId="0" applyBorder="1"/>
    <xf numFmtId="1" fontId="0" fillId="0" borderId="43" xfId="0" applyNumberFormat="1" applyBorder="1"/>
    <xf numFmtId="0" fontId="0" fillId="0" borderId="13" xfId="0" applyBorder="1"/>
    <xf numFmtId="1" fontId="0" fillId="0" borderId="56" xfId="0" applyNumberFormat="1" applyBorder="1"/>
    <xf numFmtId="0" fontId="0" fillId="0" borderId="97" xfId="0" applyBorder="1"/>
    <xf numFmtId="1" fontId="0" fillId="0" borderId="41" xfId="0" applyNumberFormat="1" applyBorder="1"/>
    <xf numFmtId="0" fontId="0" fillId="0" borderId="98" xfId="0" applyBorder="1"/>
    <xf numFmtId="1" fontId="0" fillId="0" borderId="99" xfId="0" applyNumberFormat="1" applyBorder="1"/>
    <xf numFmtId="3" fontId="15" fillId="0" borderId="2" xfId="0" applyNumberFormat="1" applyFont="1" applyBorder="1" applyAlignment="1" applyProtection="1">
      <alignment horizontal="center"/>
      <protection hidden="1"/>
    </xf>
    <xf numFmtId="0" fontId="9" fillId="0" borderId="2" xfId="0" applyFont="1" applyBorder="1"/>
    <xf numFmtId="3" fontId="0" fillId="0" borderId="2" xfId="0" applyNumberFormat="1" applyBorder="1" applyAlignment="1">
      <alignment horizontal="center"/>
    </xf>
    <xf numFmtId="3" fontId="2" fillId="0" borderId="8" xfId="0" applyNumberFormat="1" applyFont="1" applyBorder="1" applyAlignment="1">
      <alignment horizontal="left"/>
    </xf>
    <xf numFmtId="3" fontId="2" fillId="0" borderId="3" xfId="0" applyNumberFormat="1" applyFont="1" applyBorder="1" applyAlignment="1">
      <alignment horizontal="left"/>
    </xf>
    <xf numFmtId="0" fontId="0" fillId="0" borderId="51" xfId="0" applyBorder="1"/>
    <xf numFmtId="3" fontId="15" fillId="0" borderId="44" xfId="0" applyNumberFormat="1" applyFont="1" applyBorder="1" applyAlignment="1" applyProtection="1">
      <alignment horizontal="center"/>
      <protection hidden="1"/>
    </xf>
    <xf numFmtId="3" fontId="0" fillId="0" borderId="44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0" fontId="9" fillId="0" borderId="5" xfId="0" applyFont="1" applyBorder="1"/>
    <xf numFmtId="0" fontId="9" fillId="0" borderId="8" xfId="0" applyFont="1" applyBorder="1"/>
    <xf numFmtId="0" fontId="10" fillId="19" borderId="17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14" fontId="0" fillId="0" borderId="41" xfId="0" applyNumberFormat="1" applyBorder="1" applyAlignment="1">
      <alignment horizontal="center"/>
    </xf>
    <xf numFmtId="0" fontId="22" fillId="19" borderId="0" xfId="0" applyFont="1" applyFill="1"/>
    <xf numFmtId="49" fontId="10" fillId="19" borderId="0" xfId="0" applyNumberFormat="1" applyFont="1" applyFill="1" applyAlignment="1">
      <alignment horizontal="center"/>
    </xf>
    <xf numFmtId="0" fontId="10" fillId="19" borderId="0" xfId="0" applyFont="1" applyFill="1"/>
    <xf numFmtId="166" fontId="10" fillId="19" borderId="0" xfId="2" applyNumberFormat="1" applyFont="1" applyFill="1"/>
    <xf numFmtId="168" fontId="10" fillId="19" borderId="0" xfId="2" applyNumberFormat="1" applyFont="1" applyFill="1"/>
    <xf numFmtId="0" fontId="22" fillId="19" borderId="0" xfId="0" applyFont="1" applyFill="1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6" borderId="31" xfId="0" applyFont="1" applyFill="1" applyBorder="1" applyAlignment="1">
      <alignment horizontal="center" wrapText="1"/>
    </xf>
    <xf numFmtId="0" fontId="1" fillId="6" borderId="99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3" fontId="0" fillId="6" borderId="0" xfId="0" applyNumberFormat="1" applyFill="1"/>
    <xf numFmtId="0" fontId="16" fillId="2" borderId="26" xfId="0" applyFont="1" applyFill="1" applyBorder="1" applyAlignment="1">
      <alignment horizontal="center"/>
    </xf>
    <xf numFmtId="0" fontId="16" fillId="0" borderId="104" xfId="0" applyFont="1" applyBorder="1" applyAlignment="1">
      <alignment horizontal="center"/>
    </xf>
    <xf numFmtId="1" fontId="0" fillId="6" borderId="0" xfId="0" applyNumberFormat="1" applyFill="1"/>
    <xf numFmtId="0" fontId="9" fillId="0" borderId="32" xfId="0" applyFont="1" applyBorder="1"/>
    <xf numFmtId="0" fontId="9" fillId="0" borderId="28" xfId="0" applyFont="1" applyBorder="1" applyAlignment="1">
      <alignment horizontal="center"/>
    </xf>
    <xf numFmtId="0" fontId="15" fillId="0" borderId="110" xfId="0" applyFont="1" applyBorder="1"/>
    <xf numFmtId="0" fontId="15" fillId="0" borderId="111" xfId="0" applyFont="1" applyBorder="1"/>
    <xf numFmtId="0" fontId="15" fillId="0" borderId="112" xfId="0" applyFont="1" applyBorder="1"/>
    <xf numFmtId="0" fontId="1" fillId="6" borderId="0" xfId="0" applyFont="1" applyFill="1"/>
    <xf numFmtId="0" fontId="2" fillId="6" borderId="0" xfId="0" applyFont="1" applyFill="1"/>
    <xf numFmtId="0" fontId="0" fillId="0" borderId="2" xfId="0" applyBorder="1" applyAlignment="1">
      <alignment horizontal="center"/>
    </xf>
    <xf numFmtId="0" fontId="9" fillId="0" borderId="53" xfId="0" applyFont="1" applyBorder="1"/>
    <xf numFmtId="0" fontId="9" fillId="0" borderId="12" xfId="0" applyFont="1" applyBorder="1"/>
    <xf numFmtId="167" fontId="1" fillId="6" borderId="22" xfId="0" applyNumberFormat="1" applyFont="1" applyFill="1" applyBorder="1" applyAlignment="1">
      <alignment horizontal="center"/>
    </xf>
    <xf numFmtId="0" fontId="0" fillId="6" borderId="58" xfId="0" applyFill="1" applyBorder="1"/>
    <xf numFmtId="0" fontId="0" fillId="6" borderId="107" xfId="0" applyFill="1" applyBorder="1"/>
    <xf numFmtId="0" fontId="0" fillId="6" borderId="98" xfId="0" applyFill="1" applyBorder="1"/>
    <xf numFmtId="0" fontId="0" fillId="6" borderId="48" xfId="0" applyFill="1" applyBorder="1"/>
    <xf numFmtId="0" fontId="1" fillId="6" borderId="47" xfId="0" applyFont="1" applyFill="1" applyBorder="1"/>
    <xf numFmtId="14" fontId="1" fillId="6" borderId="47" xfId="0" applyNumberFormat="1" applyFont="1" applyFill="1" applyBorder="1" applyAlignment="1">
      <alignment horizontal="left"/>
    </xf>
    <xf numFmtId="0" fontId="0" fillId="6" borderId="47" xfId="0" applyFill="1" applyBorder="1"/>
    <xf numFmtId="0" fontId="0" fillId="6" borderId="101" xfId="0" applyFill="1" applyBorder="1"/>
    <xf numFmtId="0" fontId="0" fillId="6" borderId="18" xfId="0" applyFill="1" applyBorder="1"/>
    <xf numFmtId="0" fontId="0" fillId="6" borderId="13" xfId="0" applyFill="1" applyBorder="1"/>
    <xf numFmtId="0" fontId="2" fillId="0" borderId="32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9" fillId="0" borderId="0" xfId="0" applyFont="1"/>
    <xf numFmtId="0" fontId="10" fillId="10" borderId="100" xfId="0" applyFont="1" applyFill="1" applyBorder="1" applyAlignment="1">
      <alignment horizontal="center" vertical="center" wrapText="1"/>
    </xf>
    <xf numFmtId="3" fontId="0" fillId="0" borderId="116" xfId="0" applyNumberFormat="1" applyBorder="1" applyAlignment="1">
      <alignment horizontal="center"/>
    </xf>
    <xf numFmtId="0" fontId="21" fillId="6" borderId="0" xfId="0" applyFont="1" applyFill="1"/>
    <xf numFmtId="0" fontId="21" fillId="6" borderId="0" xfId="0" applyFont="1" applyFill="1" applyAlignment="1">
      <alignment horizontal="right"/>
    </xf>
    <xf numFmtId="0" fontId="21" fillId="6" borderId="0" xfId="0" applyFont="1" applyFill="1" applyAlignment="1">
      <alignment horizontal="left"/>
    </xf>
    <xf numFmtId="14" fontId="21" fillId="6" borderId="0" xfId="0" applyNumberFormat="1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8" xfId="0" applyFill="1" applyBorder="1" applyAlignment="1">
      <alignment horizontal="center"/>
    </xf>
    <xf numFmtId="0" fontId="1" fillId="0" borderId="100" xfId="0" applyFont="1" applyBorder="1" applyAlignment="1">
      <alignment horizontal="center" vertical="center"/>
    </xf>
    <xf numFmtId="0" fontId="0" fillId="0" borderId="91" xfId="0" applyBorder="1"/>
    <xf numFmtId="0" fontId="0" fillId="10" borderId="74" xfId="0" applyFill="1" applyBorder="1" applyAlignment="1">
      <alignment horizontal="center"/>
    </xf>
    <xf numFmtId="0" fontId="1" fillId="20" borderId="0" xfId="0" applyFont="1" applyFill="1"/>
    <xf numFmtId="0" fontId="0" fillId="20" borderId="0" xfId="0" applyFill="1"/>
    <xf numFmtId="3" fontId="0" fillId="0" borderId="75" xfId="0" applyNumberFormat="1" applyBorder="1" applyAlignment="1">
      <alignment horizontal="center"/>
    </xf>
    <xf numFmtId="3" fontId="0" fillId="0" borderId="119" xfId="0" applyNumberFormat="1" applyBorder="1" applyAlignment="1">
      <alignment horizontal="center"/>
    </xf>
    <xf numFmtId="3" fontId="0" fillId="0" borderId="120" xfId="0" applyNumberFormat="1" applyBorder="1" applyAlignment="1">
      <alignment horizontal="center"/>
    </xf>
    <xf numFmtId="0" fontId="0" fillId="0" borderId="5" xfId="0" applyBorder="1"/>
    <xf numFmtId="3" fontId="0" fillId="0" borderId="121" xfId="0" applyNumberFormat="1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122" xfId="0" applyBorder="1" applyAlignment="1">
      <alignment horizontal="center"/>
    </xf>
    <xf numFmtId="3" fontId="0" fillId="0" borderId="123" xfId="0" applyNumberFormat="1" applyBorder="1" applyAlignment="1">
      <alignment horizontal="center"/>
    </xf>
    <xf numFmtId="0" fontId="0" fillId="0" borderId="124" xfId="0" applyBorder="1" applyAlignment="1">
      <alignment horizontal="center"/>
    </xf>
    <xf numFmtId="3" fontId="0" fillId="0" borderId="125" xfId="0" applyNumberFormat="1" applyBorder="1" applyAlignment="1">
      <alignment horizont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3" fontId="0" fillId="0" borderId="128" xfId="0" applyNumberFormat="1" applyBorder="1" applyAlignment="1">
      <alignment horizontal="center"/>
    </xf>
    <xf numFmtId="0" fontId="0" fillId="13" borderId="122" xfId="0" applyFill="1" applyBorder="1" applyAlignment="1">
      <alignment horizontal="center"/>
    </xf>
    <xf numFmtId="3" fontId="0" fillId="0" borderId="129" xfId="0" applyNumberFormat="1" applyBorder="1" applyAlignment="1">
      <alignment horizontal="center"/>
    </xf>
    <xf numFmtId="0" fontId="0" fillId="13" borderId="124" xfId="0" applyFill="1" applyBorder="1" applyAlignment="1">
      <alignment horizontal="center"/>
    </xf>
    <xf numFmtId="0" fontId="0" fillId="13" borderId="127" xfId="0" applyFill="1" applyBorder="1" applyAlignment="1">
      <alignment horizontal="center"/>
    </xf>
    <xf numFmtId="3" fontId="0" fillId="0" borderId="88" xfId="0" applyNumberFormat="1" applyBorder="1" applyAlignment="1">
      <alignment horizontal="center"/>
    </xf>
    <xf numFmtId="3" fontId="0" fillId="0" borderId="89" xfId="0" applyNumberFormat="1" applyBorder="1" applyAlignment="1">
      <alignment horizontal="center"/>
    </xf>
    <xf numFmtId="3" fontId="0" fillId="0" borderId="92" xfId="0" applyNumberFormat="1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24" xfId="0" applyBorder="1"/>
    <xf numFmtId="3" fontId="0" fillId="0" borderId="122" xfId="0" applyNumberFormat="1" applyBorder="1" applyAlignment="1">
      <alignment horizontal="center"/>
    </xf>
    <xf numFmtId="3" fontId="0" fillId="0" borderId="124" xfId="0" applyNumberFormat="1" applyBorder="1" applyAlignment="1">
      <alignment horizontal="center"/>
    </xf>
    <xf numFmtId="3" fontId="0" fillId="0" borderId="127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32" xfId="0" applyBorder="1" applyAlignment="1">
      <alignment horizontal="center"/>
    </xf>
    <xf numFmtId="0" fontId="15" fillId="0" borderId="133" xfId="0" applyFont="1" applyBorder="1"/>
    <xf numFmtId="0" fontId="0" fillId="0" borderId="134" xfId="0" applyBorder="1" applyAlignment="1">
      <alignment horizontal="center"/>
    </xf>
    <xf numFmtId="0" fontId="0" fillId="0" borderId="136" xfId="0" applyBorder="1" applyAlignment="1">
      <alignment horizontal="center"/>
    </xf>
    <xf numFmtId="0" fontId="26" fillId="6" borderId="0" xfId="0" applyFont="1" applyFill="1"/>
    <xf numFmtId="0" fontId="27" fillId="6" borderId="0" xfId="0" applyFont="1" applyFill="1"/>
    <xf numFmtId="3" fontId="0" fillId="0" borderId="21" xfId="0" applyNumberFormat="1" applyBorder="1" applyAlignment="1">
      <alignment horizontal="center"/>
    </xf>
    <xf numFmtId="0" fontId="0" fillId="20" borderId="14" xfId="0" applyFill="1" applyBorder="1" applyAlignment="1" applyProtection="1">
      <alignment horizontal="center"/>
      <protection locked="0"/>
    </xf>
    <xf numFmtId="0" fontId="1" fillId="6" borderId="95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20" fillId="0" borderId="31" xfId="0" applyFont="1" applyBorder="1"/>
    <xf numFmtId="0" fontId="20" fillId="0" borderId="23" xfId="0" applyFont="1" applyBorder="1"/>
    <xf numFmtId="0" fontId="20" fillId="0" borderId="57" xfId="0" applyFont="1" applyBorder="1" applyAlignment="1">
      <alignment horizontal="left"/>
    </xf>
    <xf numFmtId="0" fontId="22" fillId="19" borderId="25" xfId="0" applyFont="1" applyFill="1" applyBorder="1" applyAlignment="1">
      <alignment vertical="center" wrapText="1"/>
    </xf>
    <xf numFmtId="0" fontId="22" fillId="19" borderId="27" xfId="0" applyFont="1" applyFill="1" applyBorder="1" applyAlignment="1">
      <alignment vertical="center" wrapText="1"/>
    </xf>
    <xf numFmtId="0" fontId="22" fillId="19" borderId="17" xfId="0" applyFont="1" applyFill="1" applyBorder="1" applyAlignment="1">
      <alignment horizontal="center"/>
    </xf>
    <xf numFmtId="0" fontId="1" fillId="6" borderId="55" xfId="0" applyFont="1" applyFill="1" applyBorder="1" applyAlignment="1">
      <alignment horizontal="center" wrapText="1"/>
    </xf>
    <xf numFmtId="0" fontId="1" fillId="6" borderId="31" xfId="0" applyFont="1" applyFill="1" applyBorder="1" applyAlignment="1">
      <alignment horizontal="center" vertical="center" wrapText="1"/>
    </xf>
    <xf numFmtId="0" fontId="1" fillId="6" borderId="55" xfId="0" applyFont="1" applyFill="1" applyBorder="1" applyAlignment="1">
      <alignment horizontal="center" vertical="center" wrapText="1"/>
    </xf>
    <xf numFmtId="0" fontId="0" fillId="20" borderId="16" xfId="0" applyFill="1" applyBorder="1" applyAlignment="1" applyProtection="1">
      <alignment horizontal="center"/>
      <protection locked="0"/>
    </xf>
    <xf numFmtId="0" fontId="0" fillId="0" borderId="6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1" fillId="6" borderId="6" xfId="0" applyFont="1" applyFill="1" applyBorder="1" applyAlignment="1">
      <alignment horizontal="center" vertical="center" wrapText="1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3" fontId="0" fillId="0" borderId="9" xfId="0" applyNumberFormat="1" applyBorder="1" applyAlignment="1">
      <alignment horizontal="center"/>
    </xf>
    <xf numFmtId="0" fontId="0" fillId="0" borderId="108" xfId="0" applyBorder="1" applyAlignment="1">
      <alignment horizontal="center" vertical="center" wrapText="1"/>
    </xf>
    <xf numFmtId="0" fontId="0" fillId="0" borderId="109" xfId="0" applyBorder="1" applyAlignment="1">
      <alignment horizontal="center" vertical="center" wrapText="1"/>
    </xf>
    <xf numFmtId="0" fontId="0" fillId="0" borderId="106" xfId="0" applyBorder="1" applyAlignment="1">
      <alignment horizontal="center" vertical="center" wrapText="1"/>
    </xf>
    <xf numFmtId="0" fontId="0" fillId="20" borderId="7" xfId="0" applyFill="1" applyBorder="1" applyAlignment="1" applyProtection="1">
      <alignment horizontal="center"/>
      <protection locked="0"/>
    </xf>
    <xf numFmtId="0" fontId="2" fillId="10" borderId="18" xfId="0" applyFont="1" applyFill="1" applyBorder="1" applyAlignment="1">
      <alignment horizontal="center"/>
    </xf>
    <xf numFmtId="0" fontId="1" fillId="6" borderId="70" xfId="0" applyFont="1" applyFill="1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9" fillId="20" borderId="31" xfId="0" applyFont="1" applyFill="1" applyBorder="1" applyProtection="1">
      <protection locked="0"/>
    </xf>
    <xf numFmtId="0" fontId="25" fillId="0" borderId="28" xfId="0" applyFont="1" applyBorder="1" applyProtection="1">
      <protection locked="0"/>
    </xf>
    <xf numFmtId="0" fontId="9" fillId="20" borderId="57" xfId="0" applyFont="1" applyFill="1" applyBorder="1" applyProtection="1">
      <protection locked="0"/>
    </xf>
    <xf numFmtId="0" fontId="25" fillId="0" borderId="40" xfId="0" applyFont="1" applyBorder="1" applyProtection="1">
      <protection locked="0"/>
    </xf>
    <xf numFmtId="0" fontId="9" fillId="20" borderId="23" xfId="0" applyFont="1" applyFill="1" applyBorder="1" applyProtection="1">
      <protection locked="0"/>
    </xf>
    <xf numFmtId="0" fontId="25" fillId="0" borderId="39" xfId="0" applyFont="1" applyBorder="1" applyProtection="1">
      <protection locked="0"/>
    </xf>
    <xf numFmtId="0" fontId="1" fillId="6" borderId="0" xfId="0" applyFont="1" applyFill="1" applyAlignment="1">
      <alignment horizontal="center" vertical="center"/>
    </xf>
    <xf numFmtId="0" fontId="0" fillId="20" borderId="11" xfId="0" applyFill="1" applyBorder="1" applyAlignment="1">
      <alignment horizontal="center"/>
    </xf>
    <xf numFmtId="0" fontId="0" fillId="0" borderId="68" xfId="0" applyBorder="1" applyAlignment="1">
      <alignment horizontal="center" vertical="center"/>
    </xf>
    <xf numFmtId="3" fontId="9" fillId="0" borderId="3" xfId="0" applyNumberFormat="1" applyFont="1" applyBorder="1" applyAlignment="1">
      <alignment horizontal="center"/>
    </xf>
    <xf numFmtId="3" fontId="9" fillId="0" borderId="15" xfId="0" applyNumberFormat="1" applyFont="1" applyBorder="1" applyAlignment="1">
      <alignment horizontal="center"/>
    </xf>
    <xf numFmtId="0" fontId="9" fillId="20" borderId="28" xfId="0" applyFont="1" applyFill="1" applyBorder="1" applyAlignment="1" applyProtection="1">
      <alignment horizontal="center"/>
      <protection locked="0"/>
    </xf>
    <xf numFmtId="0" fontId="9" fillId="20" borderId="16" xfId="0" applyFont="1" applyFill="1" applyBorder="1" applyAlignment="1" applyProtection="1">
      <alignment horizontal="center"/>
      <protection locked="0"/>
    </xf>
    <xf numFmtId="3" fontId="9" fillId="6" borderId="54" xfId="0" applyNumberFormat="1" applyFont="1" applyFill="1" applyBorder="1" applyAlignment="1">
      <alignment horizontal="left"/>
    </xf>
    <xf numFmtId="49" fontId="0" fillId="2" borderId="0" xfId="0" applyNumberFormat="1" applyFill="1" applyAlignment="1">
      <alignment horizontal="center"/>
    </xf>
    <xf numFmtId="168" fontId="0" fillId="2" borderId="0" xfId="2" applyNumberFormat="1" applyFont="1" applyFill="1"/>
    <xf numFmtId="0" fontId="15" fillId="0" borderId="140" xfId="0" applyFont="1" applyBorder="1"/>
    <xf numFmtId="0" fontId="1" fillId="13" borderId="25" xfId="0" applyFont="1" applyFill="1" applyBorder="1" applyAlignment="1">
      <alignment wrapText="1"/>
    </xf>
    <xf numFmtId="3" fontId="1" fillId="13" borderId="38" xfId="0" applyNumberFormat="1" applyFont="1" applyFill="1" applyBorder="1" applyAlignment="1">
      <alignment horizontal="center" wrapText="1"/>
    </xf>
    <xf numFmtId="0" fontId="1" fillId="8" borderId="93" xfId="0" applyFont="1" applyFill="1" applyBorder="1" applyAlignment="1">
      <alignment horizontal="center" wrapText="1"/>
    </xf>
    <xf numFmtId="3" fontId="1" fillId="8" borderId="94" xfId="0" applyNumberFormat="1" applyFont="1" applyFill="1" applyBorder="1" applyAlignment="1">
      <alignment wrapText="1"/>
    </xf>
    <xf numFmtId="0" fontId="1" fillId="9" borderId="93" xfId="0" applyFont="1" applyFill="1" applyBorder="1" applyAlignment="1">
      <alignment horizontal="center" wrapText="1"/>
    </xf>
    <xf numFmtId="3" fontId="1" fillId="9" borderId="94" xfId="0" applyNumberFormat="1" applyFont="1" applyFill="1" applyBorder="1" applyAlignment="1">
      <alignment wrapText="1"/>
    </xf>
    <xf numFmtId="0" fontId="1" fillId="14" borderId="93" xfId="0" applyFont="1" applyFill="1" applyBorder="1" applyAlignment="1">
      <alignment horizontal="center" wrapText="1"/>
    </xf>
    <xf numFmtId="3" fontId="1" fillId="14" borderId="94" xfId="0" applyNumberFormat="1" applyFont="1" applyFill="1" applyBorder="1" applyAlignment="1">
      <alignment wrapText="1"/>
    </xf>
    <xf numFmtId="0" fontId="1" fillId="15" borderId="76" xfId="0" applyFont="1" applyFill="1" applyBorder="1" applyAlignment="1">
      <alignment horizontal="center" wrapText="1"/>
    </xf>
    <xf numFmtId="3" fontId="1" fillId="15" borderId="141" xfId="0" applyNumberFormat="1" applyFont="1" applyFill="1" applyBorder="1" applyAlignment="1">
      <alignment wrapText="1"/>
    </xf>
    <xf numFmtId="0" fontId="1" fillId="16" borderId="93" xfId="0" applyFont="1" applyFill="1" applyBorder="1" applyAlignment="1">
      <alignment horizontal="center" wrapText="1"/>
    </xf>
    <xf numFmtId="3" fontId="1" fillId="16" borderId="94" xfId="0" applyNumberFormat="1" applyFont="1" applyFill="1" applyBorder="1" applyAlignment="1">
      <alignment wrapText="1"/>
    </xf>
    <xf numFmtId="0" fontId="1" fillId="10" borderId="93" xfId="0" applyFont="1" applyFill="1" applyBorder="1" applyAlignment="1">
      <alignment horizontal="center" wrapText="1"/>
    </xf>
    <xf numFmtId="3" fontId="1" fillId="10" borderId="94" xfId="0" applyNumberFormat="1" applyFont="1" applyFill="1" applyBorder="1" applyAlignment="1">
      <alignment wrapText="1"/>
    </xf>
    <xf numFmtId="0" fontId="1" fillId="17" borderId="0" xfId="0" applyFont="1" applyFill="1" applyAlignment="1">
      <alignment wrapText="1"/>
    </xf>
    <xf numFmtId="0" fontId="1" fillId="2" borderId="142" xfId="0" applyFont="1" applyFill="1" applyBorder="1" applyAlignment="1">
      <alignment horizontal="center" wrapText="1"/>
    </xf>
    <xf numFmtId="3" fontId="1" fillId="2" borderId="142" xfId="0" applyNumberFormat="1" applyFont="1" applyFill="1" applyBorder="1" applyAlignment="1">
      <alignment wrapText="1"/>
    </xf>
    <xf numFmtId="0" fontId="0" fillId="0" borderId="131" xfId="0" applyBorder="1" applyAlignment="1">
      <alignment horizontal="center"/>
    </xf>
    <xf numFmtId="3" fontId="0" fillId="0" borderId="143" xfId="0" applyNumberFormat="1" applyBorder="1" applyAlignment="1">
      <alignment horizontal="center"/>
    </xf>
    <xf numFmtId="0" fontId="0" fillId="0" borderId="6" xfId="0" applyBorder="1"/>
    <xf numFmtId="3" fontId="0" fillId="0" borderId="144" xfId="0" applyNumberFormat="1" applyBorder="1" applyAlignment="1">
      <alignment horizontal="center"/>
    </xf>
    <xf numFmtId="0" fontId="0" fillId="13" borderId="130" xfId="0" applyFill="1" applyBorder="1" applyAlignment="1">
      <alignment horizontal="center"/>
    </xf>
    <xf numFmtId="3" fontId="0" fillId="0" borderId="145" xfId="0" applyNumberFormat="1" applyBorder="1" applyAlignment="1">
      <alignment horizontal="center"/>
    </xf>
    <xf numFmtId="3" fontId="0" fillId="0" borderId="146" xfId="0" applyNumberFormat="1" applyBorder="1" applyAlignment="1">
      <alignment horizontal="center"/>
    </xf>
    <xf numFmtId="0" fontId="0" fillId="0" borderId="147" xfId="0" applyBorder="1" applyAlignment="1">
      <alignment horizontal="center"/>
    </xf>
    <xf numFmtId="0" fontId="0" fillId="0" borderId="146" xfId="0" applyBorder="1" applyAlignment="1">
      <alignment horizontal="center"/>
    </xf>
    <xf numFmtId="3" fontId="0" fillId="0" borderId="141" xfId="0" applyNumberFormat="1" applyBorder="1" applyAlignment="1">
      <alignment horizontal="center"/>
    </xf>
    <xf numFmtId="0" fontId="0" fillId="0" borderId="148" xfId="0" applyBorder="1"/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3" fontId="15" fillId="0" borderId="149" xfId="0" applyNumberFormat="1" applyFont="1" applyBorder="1" applyAlignment="1" applyProtection="1">
      <alignment horizontal="center"/>
      <protection hidden="1"/>
    </xf>
    <xf numFmtId="3" fontId="15" fillId="0" borderId="150" xfId="0" applyNumberFormat="1" applyFont="1" applyBorder="1" applyAlignment="1" applyProtection="1">
      <alignment horizontal="center"/>
      <protection hidden="1"/>
    </xf>
    <xf numFmtId="3" fontId="0" fillId="13" borderId="123" xfId="0" applyNumberFormat="1" applyFill="1" applyBorder="1" applyAlignment="1">
      <alignment horizontal="center"/>
    </xf>
    <xf numFmtId="3" fontId="0" fillId="13" borderId="125" xfId="0" applyNumberFormat="1" applyFill="1" applyBorder="1" applyAlignment="1">
      <alignment horizontal="center"/>
    </xf>
    <xf numFmtId="3" fontId="0" fillId="13" borderId="128" xfId="0" applyNumberFormat="1" applyFill="1" applyBorder="1" applyAlignment="1">
      <alignment horizontal="center"/>
    </xf>
    <xf numFmtId="0" fontId="16" fillId="0" borderId="21" xfId="0" applyFont="1" applyBorder="1" applyAlignment="1">
      <alignment vertical="center" wrapText="1"/>
    </xf>
    <xf numFmtId="3" fontId="0" fillId="0" borderId="71" xfId="0" applyNumberFormat="1" applyBorder="1"/>
    <xf numFmtId="0" fontId="9" fillId="0" borderId="152" xfId="0" applyFont="1" applyBorder="1"/>
    <xf numFmtId="3" fontId="0" fillId="0" borderId="153" xfId="0" applyNumberFormat="1" applyBorder="1"/>
    <xf numFmtId="0" fontId="0" fillId="0" borderId="153" xfId="0" applyBorder="1"/>
    <xf numFmtId="0" fontId="9" fillId="0" borderId="154" xfId="0" applyFont="1" applyBorder="1"/>
    <xf numFmtId="0" fontId="0" fillId="0" borderId="155" xfId="0" applyBorder="1"/>
    <xf numFmtId="0" fontId="9" fillId="0" borderId="156" xfId="0" applyFont="1" applyBorder="1"/>
    <xf numFmtId="3" fontId="0" fillId="0" borderId="157" xfId="0" applyNumberFormat="1" applyBorder="1"/>
    <xf numFmtId="0" fontId="0" fillId="0" borderId="157" xfId="0" applyBorder="1"/>
    <xf numFmtId="0" fontId="0" fillId="0" borderId="158" xfId="0" applyBorder="1"/>
    <xf numFmtId="3" fontId="0" fillId="0" borderId="148" xfId="0" applyNumberFormat="1" applyBorder="1"/>
    <xf numFmtId="0" fontId="9" fillId="0" borderId="159" xfId="0" applyFont="1" applyBorder="1"/>
    <xf numFmtId="0" fontId="0" fillId="0" borderId="160" xfId="0" applyBorder="1"/>
    <xf numFmtId="9" fontId="1" fillId="0" borderId="0" xfId="2" applyFont="1" applyFill="1" applyBorder="1" applyAlignment="1">
      <alignment horizontal="center"/>
    </xf>
    <xf numFmtId="0" fontId="1" fillId="0" borderId="71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142" xfId="0" applyBorder="1" applyAlignment="1">
      <alignment horizontal="center" vertical="center" wrapText="1"/>
    </xf>
    <xf numFmtId="0" fontId="0" fillId="0" borderId="163" xfId="0" applyBorder="1" applyAlignment="1">
      <alignment horizontal="left" vertical="center"/>
    </xf>
    <xf numFmtId="0" fontId="9" fillId="0" borderId="13" xfId="0" applyFont="1" applyBorder="1"/>
    <xf numFmtId="0" fontId="9" fillId="0" borderId="3" xfId="0" applyFont="1" applyBorder="1"/>
    <xf numFmtId="0" fontId="0" fillId="20" borderId="3" xfId="0" applyFill="1" applyBorder="1" applyAlignment="1">
      <alignment horizontal="center"/>
    </xf>
    <xf numFmtId="0" fontId="0" fillId="20" borderId="101" xfId="0" applyFill="1" applyBorder="1" applyAlignment="1">
      <alignment horizontal="center"/>
    </xf>
    <xf numFmtId="0" fontId="1" fillId="0" borderId="86" xfId="0" applyFont="1" applyBorder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/>
    </xf>
    <xf numFmtId="0" fontId="0" fillId="0" borderId="148" xfId="0" applyBorder="1" applyAlignment="1">
      <alignment horizontal="center" vertical="center"/>
    </xf>
    <xf numFmtId="0" fontId="1" fillId="0" borderId="148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 wrapText="1"/>
    </xf>
    <xf numFmtId="0" fontId="1" fillId="0" borderId="142" xfId="0" applyFont="1" applyBorder="1" applyAlignment="1">
      <alignment horizontal="center" vertical="center"/>
    </xf>
    <xf numFmtId="0" fontId="1" fillId="0" borderId="142" xfId="0" applyFont="1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153" xfId="0" applyBorder="1" applyAlignment="1">
      <alignment horizontal="center" vertical="center" wrapText="1"/>
    </xf>
    <xf numFmtId="3" fontId="9" fillId="0" borderId="165" xfId="0" applyNumberFormat="1" applyFont="1" applyBorder="1" applyAlignment="1">
      <alignment horizontal="center"/>
    </xf>
    <xf numFmtId="0" fontId="1" fillId="0" borderId="170" xfId="0" applyFont="1" applyBorder="1" applyAlignment="1">
      <alignment horizontal="center" vertical="center"/>
    </xf>
    <xf numFmtId="0" fontId="1" fillId="0" borderId="141" xfId="0" applyFont="1" applyBorder="1" applyAlignment="1">
      <alignment horizontal="center" vertical="center"/>
    </xf>
    <xf numFmtId="167" fontId="1" fillId="6" borderId="77" xfId="0" applyNumberFormat="1" applyFont="1" applyFill="1" applyBorder="1" applyAlignment="1">
      <alignment horizontal="center"/>
    </xf>
    <xf numFmtId="0" fontId="30" fillId="0" borderId="31" xfId="0" applyFont="1" applyBorder="1"/>
    <xf numFmtId="0" fontId="30" fillId="0" borderId="28" xfId="0" applyFont="1" applyBorder="1"/>
    <xf numFmtId="0" fontId="30" fillId="0" borderId="30" xfId="0" applyFont="1" applyBorder="1" applyAlignment="1">
      <alignment horizontal="center"/>
    </xf>
    <xf numFmtId="0" fontId="30" fillId="20" borderId="31" xfId="0" applyFont="1" applyFill="1" applyBorder="1" applyProtection="1">
      <protection locked="0"/>
    </xf>
    <xf numFmtId="0" fontId="30" fillId="0" borderId="57" xfId="0" applyFont="1" applyBorder="1"/>
    <xf numFmtId="0" fontId="30" fillId="0" borderId="40" xfId="0" applyFont="1" applyBorder="1"/>
    <xf numFmtId="0" fontId="30" fillId="0" borderId="11" xfId="0" applyFont="1" applyBorder="1" applyAlignment="1">
      <alignment horizontal="center"/>
    </xf>
    <xf numFmtId="0" fontId="30" fillId="20" borderId="22" xfId="0" applyFont="1" applyFill="1" applyBorder="1" applyProtection="1">
      <protection locked="0"/>
    </xf>
    <xf numFmtId="0" fontId="30" fillId="0" borderId="23" xfId="0" applyFont="1" applyBorder="1"/>
    <xf numFmtId="0" fontId="30" fillId="0" borderId="39" xfId="0" applyFont="1" applyBorder="1"/>
    <xf numFmtId="0" fontId="30" fillId="0" borderId="24" xfId="0" applyFont="1" applyBorder="1" applyAlignment="1">
      <alignment horizontal="center"/>
    </xf>
    <xf numFmtId="0" fontId="30" fillId="20" borderId="37" xfId="0" applyFont="1" applyFill="1" applyBorder="1" applyProtection="1">
      <protection locked="0"/>
    </xf>
    <xf numFmtId="0" fontId="0" fillId="20" borderId="171" xfId="0" applyFill="1" applyBorder="1" applyAlignment="1">
      <alignment horizontal="center"/>
    </xf>
    <xf numFmtId="1" fontId="0" fillId="0" borderId="169" xfId="0" applyNumberFormat="1" applyBorder="1" applyAlignment="1">
      <alignment horizontal="center" vertical="center" wrapText="1"/>
    </xf>
    <xf numFmtId="0" fontId="9" fillId="0" borderId="77" xfId="0" applyFont="1" applyBorder="1" applyAlignment="1">
      <alignment horizontal="center"/>
    </xf>
    <xf numFmtId="0" fontId="0" fillId="0" borderId="4" xfId="0" applyBorder="1"/>
    <xf numFmtId="0" fontId="0" fillId="0" borderId="16" xfId="0" applyBorder="1"/>
    <xf numFmtId="0" fontId="9" fillId="0" borderId="137" xfId="0" applyFont="1" applyBorder="1"/>
    <xf numFmtId="0" fontId="0" fillId="0" borderId="174" xfId="0" applyBorder="1"/>
    <xf numFmtId="0" fontId="9" fillId="0" borderId="72" xfId="0" applyFont="1" applyBorder="1" applyAlignment="1">
      <alignment horizontal="center"/>
    </xf>
    <xf numFmtId="0" fontId="9" fillId="0" borderId="51" xfId="0" applyFont="1" applyBorder="1"/>
    <xf numFmtId="0" fontId="9" fillId="0" borderId="42" xfId="0" applyFont="1" applyBorder="1" applyAlignment="1">
      <alignment horizontal="center"/>
    </xf>
    <xf numFmtId="0" fontId="0" fillId="20" borderId="49" xfId="0" applyFill="1" applyBorder="1" applyAlignment="1" applyProtection="1">
      <alignment horizontal="center"/>
      <protection locked="0"/>
    </xf>
    <xf numFmtId="167" fontId="1" fillId="6" borderId="51" xfId="0" applyNumberFormat="1" applyFont="1" applyFill="1" applyBorder="1" applyAlignment="1">
      <alignment horizontal="center"/>
    </xf>
    <xf numFmtId="0" fontId="0" fillId="0" borderId="85" xfId="0" applyBorder="1"/>
    <xf numFmtId="3" fontId="2" fillId="0" borderId="0" xfId="0" applyNumberFormat="1" applyFont="1" applyAlignment="1" applyProtection="1">
      <alignment horizontal="center"/>
      <protection hidden="1"/>
    </xf>
    <xf numFmtId="0" fontId="9" fillId="0" borderId="181" xfId="0" applyFont="1" applyBorder="1"/>
    <xf numFmtId="3" fontId="0" fillId="0" borderId="142" xfId="0" applyNumberFormat="1" applyBorder="1"/>
    <xf numFmtId="0" fontId="0" fillId="0" borderId="142" xfId="0" applyBorder="1"/>
    <xf numFmtId="0" fontId="0" fillId="0" borderId="164" xfId="0" applyBorder="1"/>
    <xf numFmtId="3" fontId="0" fillId="0" borderId="2" xfId="0" applyNumberFormat="1" applyBorder="1"/>
    <xf numFmtId="3" fontId="0" fillId="0" borderId="5" xfId="0" applyNumberFormat="1" applyBorder="1"/>
    <xf numFmtId="3" fontId="0" fillId="0" borderId="8" xfId="0" applyNumberFormat="1" applyBorder="1"/>
    <xf numFmtId="3" fontId="0" fillId="0" borderId="149" xfId="0" applyNumberFormat="1" applyBorder="1" applyAlignment="1">
      <alignment horizontal="center"/>
    </xf>
    <xf numFmtId="0" fontId="0" fillId="0" borderId="150" xfId="0" applyBorder="1" applyAlignment="1">
      <alignment horizontal="center"/>
    </xf>
    <xf numFmtId="0" fontId="0" fillId="0" borderId="151" xfId="0" applyBorder="1" applyAlignment="1">
      <alignment horizontal="center"/>
    </xf>
    <xf numFmtId="3" fontId="0" fillId="0" borderId="182" xfId="0" applyNumberFormat="1" applyBorder="1" applyAlignment="1">
      <alignment horizontal="center"/>
    </xf>
    <xf numFmtId="3" fontId="0" fillId="0" borderId="150" xfId="0" applyNumberFormat="1" applyBorder="1" applyAlignment="1">
      <alignment horizontal="center"/>
    </xf>
    <xf numFmtId="3" fontId="0" fillId="0" borderId="151" xfId="0" applyNumberFormat="1" applyBorder="1" applyAlignment="1">
      <alignment horizontal="center"/>
    </xf>
    <xf numFmtId="3" fontId="0" fillId="0" borderId="183" xfId="0" applyNumberFormat="1" applyBorder="1" applyAlignment="1">
      <alignment horizontal="center"/>
    </xf>
    <xf numFmtId="3" fontId="15" fillId="0" borderId="184" xfId="0" applyNumberFormat="1" applyFont="1" applyBorder="1" applyAlignment="1" applyProtection="1">
      <alignment horizontal="center"/>
      <protection hidden="1"/>
    </xf>
    <xf numFmtId="3" fontId="0" fillId="0" borderId="44" xfId="0" applyNumberFormat="1" applyBorder="1"/>
    <xf numFmtId="0" fontId="0" fillId="0" borderId="50" xfId="0" applyBorder="1"/>
    <xf numFmtId="0" fontId="0" fillId="0" borderId="49" xfId="0" applyBorder="1"/>
    <xf numFmtId="0" fontId="0" fillId="0" borderId="25" xfId="0" applyBorder="1" applyAlignment="1">
      <alignment horizontal="left" vertical="center"/>
    </xf>
    <xf numFmtId="0" fontId="0" fillId="0" borderId="111" xfId="0" applyBorder="1" applyAlignment="1">
      <alignment horizontal="left" vertical="center"/>
    </xf>
    <xf numFmtId="0" fontId="0" fillId="0" borderId="111" xfId="0" applyBorder="1" applyAlignment="1">
      <alignment vertical="center" wrapText="1"/>
    </xf>
    <xf numFmtId="0" fontId="1" fillId="0" borderId="21" xfId="0" applyFont="1" applyBorder="1" applyAlignment="1">
      <alignment horizontal="center" vertical="center"/>
    </xf>
    <xf numFmtId="0" fontId="32" fillId="2" borderId="0" xfId="0" applyFont="1" applyFill="1"/>
    <xf numFmtId="3" fontId="0" fillId="0" borderId="148" xfId="0" applyNumberFormat="1" applyBorder="1" applyAlignment="1">
      <alignment horizontal="center"/>
    </xf>
    <xf numFmtId="3" fontId="0" fillId="0" borderId="71" xfId="0" applyNumberFormat="1" applyBorder="1" applyAlignment="1">
      <alignment horizontal="center"/>
    </xf>
    <xf numFmtId="3" fontId="0" fillId="0" borderId="157" xfId="0" applyNumberFormat="1" applyBorder="1" applyAlignment="1">
      <alignment horizontal="center"/>
    </xf>
    <xf numFmtId="3" fontId="0" fillId="0" borderId="142" xfId="0" applyNumberFormat="1" applyBorder="1" applyAlignment="1">
      <alignment horizontal="center"/>
    </xf>
    <xf numFmtId="0" fontId="1" fillId="6" borderId="38" xfId="0" applyFont="1" applyFill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 vertical="center" wrapText="1"/>
    </xf>
    <xf numFmtId="0" fontId="0" fillId="0" borderId="24" xfId="0" applyBorder="1"/>
    <xf numFmtId="3" fontId="0" fillId="0" borderId="46" xfId="0" applyNumberFormat="1" applyBorder="1" applyAlignment="1">
      <alignment horizontal="center"/>
    </xf>
    <xf numFmtId="0" fontId="0" fillId="0" borderId="123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28" xfId="0" applyBorder="1" applyAlignment="1">
      <alignment horizontal="center"/>
    </xf>
    <xf numFmtId="0" fontId="4" fillId="0" borderId="111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3" fontId="15" fillId="0" borderId="182" xfId="0" applyNumberFormat="1" applyFont="1" applyBorder="1" applyAlignment="1" applyProtection="1">
      <alignment horizontal="center"/>
      <protection hidden="1"/>
    </xf>
    <xf numFmtId="0" fontId="20" fillId="6" borderId="0" xfId="0" applyFont="1" applyFill="1"/>
    <xf numFmtId="0" fontId="15" fillId="0" borderId="152" xfId="0" applyFont="1" applyBorder="1"/>
    <xf numFmtId="3" fontId="15" fillId="0" borderId="185" xfId="0" applyNumberFormat="1" applyFont="1" applyBorder="1" applyAlignment="1" applyProtection="1">
      <alignment horizontal="center"/>
      <protection hidden="1"/>
    </xf>
    <xf numFmtId="0" fontId="0" fillId="0" borderId="186" xfId="0" applyBorder="1" applyAlignment="1">
      <alignment horizontal="center"/>
    </xf>
    <xf numFmtId="3" fontId="0" fillId="0" borderId="187" xfId="0" applyNumberFormat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118" xfId="0" applyBorder="1"/>
    <xf numFmtId="0" fontId="0" fillId="0" borderId="189" xfId="0" applyBorder="1" applyAlignment="1">
      <alignment horizontal="center"/>
    </xf>
    <xf numFmtId="3" fontId="0" fillId="0" borderId="190" xfId="0" applyNumberFormat="1" applyBorder="1" applyAlignment="1">
      <alignment horizontal="center"/>
    </xf>
    <xf numFmtId="0" fontId="0" fillId="0" borderId="172" xfId="0" applyBorder="1"/>
    <xf numFmtId="0" fontId="0" fillId="0" borderId="191" xfId="0" applyBorder="1"/>
    <xf numFmtId="0" fontId="15" fillId="0" borderId="154" xfId="0" applyFont="1" applyBorder="1"/>
    <xf numFmtId="0" fontId="0" fillId="0" borderId="166" xfId="0" applyBorder="1"/>
    <xf numFmtId="0" fontId="15" fillId="0" borderId="156" xfId="0" applyFont="1" applyBorder="1"/>
    <xf numFmtId="3" fontId="15" fillId="0" borderId="183" xfId="0" applyNumberFormat="1" applyFont="1" applyBorder="1" applyAlignment="1" applyProtection="1">
      <alignment horizontal="center"/>
      <protection hidden="1"/>
    </xf>
    <xf numFmtId="0" fontId="0" fillId="0" borderId="192" xfId="0" applyBorder="1" applyAlignment="1">
      <alignment horizontal="center"/>
    </xf>
    <xf numFmtId="3" fontId="0" fillId="0" borderId="193" xfId="0" applyNumberFormat="1" applyBorder="1" applyAlignment="1">
      <alignment horizontal="center"/>
    </xf>
    <xf numFmtId="0" fontId="0" fillId="0" borderId="194" xfId="0" applyBorder="1" applyAlignment="1">
      <alignment horizontal="center"/>
    </xf>
    <xf numFmtId="0" fontId="0" fillId="0" borderId="73" xfId="0" applyBorder="1"/>
    <xf numFmtId="0" fontId="0" fillId="0" borderId="195" xfId="0" applyBorder="1" applyAlignment="1">
      <alignment horizontal="center"/>
    </xf>
    <xf numFmtId="3" fontId="0" fillId="0" borderId="196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0" fontId="0" fillId="0" borderId="140" xfId="0" applyBorder="1" applyAlignment="1">
      <alignment horizontal="center"/>
    </xf>
    <xf numFmtId="0" fontId="0" fillId="0" borderId="197" xfId="0" applyBorder="1" applyAlignment="1">
      <alignment horizontal="center"/>
    </xf>
    <xf numFmtId="3" fontId="0" fillId="0" borderId="197" xfId="0" applyNumberFormat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15" xfId="0" applyBorder="1"/>
    <xf numFmtId="0" fontId="16" fillId="2" borderId="38" xfId="0" applyFont="1" applyFill="1" applyBorder="1" applyAlignment="1">
      <alignment horizontal="center"/>
    </xf>
    <xf numFmtId="0" fontId="16" fillId="0" borderId="95" xfId="0" applyFont="1" applyBorder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9" fillId="20" borderId="32" xfId="0" applyFont="1" applyFill="1" applyBorder="1" applyAlignment="1" applyProtection="1">
      <alignment horizontal="center"/>
      <protection locked="0"/>
    </xf>
    <xf numFmtId="0" fontId="9" fillId="0" borderId="161" xfId="0" applyFont="1" applyBorder="1"/>
    <xf numFmtId="0" fontId="9" fillId="20" borderId="18" xfId="0" applyFont="1" applyFill="1" applyBorder="1" applyAlignment="1" applyProtection="1">
      <alignment horizontal="center"/>
      <protection locked="0"/>
    </xf>
    <xf numFmtId="0" fontId="3" fillId="20" borderId="16" xfId="0" applyFont="1" applyFill="1" applyBorder="1" applyAlignment="1" applyProtection="1">
      <alignment horizontal="center"/>
      <protection locked="0"/>
    </xf>
    <xf numFmtId="0" fontId="9" fillId="0" borderId="18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3" fillId="20" borderId="7" xfId="0" applyFont="1" applyFill="1" applyBorder="1" applyAlignment="1" applyProtection="1">
      <alignment horizontal="center"/>
      <protection locked="0"/>
    </xf>
    <xf numFmtId="0" fontId="1" fillId="6" borderId="28" xfId="0" applyFont="1" applyFill="1" applyBorder="1" applyAlignment="1">
      <alignment horizontal="center" vertical="center" wrapText="1"/>
    </xf>
    <xf numFmtId="0" fontId="9" fillId="0" borderId="78" xfId="0" applyFont="1" applyBorder="1" applyAlignment="1">
      <alignment horizontal="center"/>
    </xf>
    <xf numFmtId="0" fontId="3" fillId="0" borderId="123" xfId="0" applyFont="1" applyBorder="1"/>
    <xf numFmtId="0" fontId="3" fillId="0" borderId="87" xfId="0" applyFont="1" applyBorder="1"/>
    <xf numFmtId="0" fontId="25" fillId="0" borderId="32" xfId="0" applyFont="1" applyBorder="1" applyAlignment="1">
      <alignment horizontal="center"/>
    </xf>
    <xf numFmtId="0" fontId="9" fillId="0" borderId="57" xfId="0" applyFont="1" applyBorder="1"/>
    <xf numFmtId="0" fontId="9" fillId="0" borderId="1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3" fillId="0" borderId="125" xfId="0" applyFont="1" applyBorder="1"/>
    <xf numFmtId="0" fontId="3" fillId="0" borderId="74" xfId="0" applyFont="1" applyBorder="1"/>
    <xf numFmtId="0" fontId="25" fillId="0" borderId="18" xfId="0" applyFont="1" applyBorder="1" applyAlignment="1">
      <alignment horizontal="center"/>
    </xf>
    <xf numFmtId="0" fontId="9" fillId="0" borderId="23" xfId="0" applyFont="1" applyBorder="1"/>
    <xf numFmtId="0" fontId="9" fillId="0" borderId="9" xfId="0" applyFont="1" applyBorder="1" applyAlignment="1">
      <alignment horizontal="center"/>
    </xf>
    <xf numFmtId="0" fontId="9" fillId="0" borderId="70" xfId="0" applyFont="1" applyBorder="1" applyAlignment="1">
      <alignment horizontal="center"/>
    </xf>
    <xf numFmtId="0" fontId="3" fillId="0" borderId="128" xfId="0" applyFont="1" applyBorder="1"/>
    <xf numFmtId="0" fontId="3" fillId="0" borderId="91" xfId="0" applyFont="1" applyBorder="1"/>
    <xf numFmtId="0" fontId="25" fillId="0" borderId="21" xfId="0" applyFont="1" applyBorder="1" applyAlignment="1">
      <alignment horizontal="center"/>
    </xf>
    <xf numFmtId="3" fontId="15" fillId="0" borderId="82" xfId="0" applyNumberFormat="1" applyFont="1" applyBorder="1" applyAlignment="1" applyProtection="1">
      <alignment horizontal="center"/>
      <protection hidden="1"/>
    </xf>
    <xf numFmtId="0" fontId="1" fillId="6" borderId="51" xfId="0" applyFont="1" applyFill="1" applyBorder="1" applyAlignment="1">
      <alignment horizontal="center" vertical="center"/>
    </xf>
    <xf numFmtId="0" fontId="0" fillId="20" borderId="0" xfId="0" applyFill="1" applyAlignment="1">
      <alignment horizontal="center"/>
    </xf>
    <xf numFmtId="3" fontId="9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left"/>
    </xf>
    <xf numFmtId="167" fontId="1" fillId="6" borderId="0" xfId="0" applyNumberFormat="1" applyFont="1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/>
    <xf numFmtId="0" fontId="0" fillId="0" borderId="181" xfId="0" applyBorder="1" applyAlignment="1">
      <alignment horizontal="left" vertical="center"/>
    </xf>
    <xf numFmtId="0" fontId="1" fillId="0" borderId="200" xfId="0" applyFont="1" applyBorder="1" applyAlignment="1">
      <alignment horizontal="center" vertical="center"/>
    </xf>
    <xf numFmtId="0" fontId="1" fillId="0" borderId="200" xfId="0" applyFont="1" applyBorder="1" applyAlignment="1">
      <alignment horizontal="center" vertical="center" wrapText="1"/>
    </xf>
    <xf numFmtId="0" fontId="0" fillId="0" borderId="200" xfId="0" applyBorder="1" applyAlignment="1">
      <alignment horizontal="center" vertical="center"/>
    </xf>
    <xf numFmtId="0" fontId="0" fillId="20" borderId="201" xfId="0" applyFill="1" applyBorder="1" applyAlignment="1" applyProtection="1">
      <alignment horizontal="center"/>
      <protection locked="0"/>
    </xf>
    <xf numFmtId="3" fontId="9" fillId="0" borderId="45" xfId="0" applyNumberFormat="1" applyFont="1" applyBorder="1" applyAlignment="1">
      <alignment horizontal="center"/>
    </xf>
    <xf numFmtId="3" fontId="9" fillId="0" borderId="202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3" fontId="9" fillId="0" borderId="46" xfId="0" applyNumberFormat="1" applyFont="1" applyBorder="1" applyAlignment="1">
      <alignment horizontal="center"/>
    </xf>
    <xf numFmtId="167" fontId="1" fillId="6" borderId="203" xfId="0" applyNumberFormat="1" applyFont="1" applyFill="1" applyBorder="1" applyAlignment="1">
      <alignment horizontal="center"/>
    </xf>
    <xf numFmtId="0" fontId="0" fillId="0" borderId="122" xfId="0" applyBorder="1" applyAlignment="1">
      <alignment vertical="center" wrapText="1"/>
    </xf>
    <xf numFmtId="0" fontId="0" fillId="0" borderId="124" xfId="0" applyBorder="1" applyAlignment="1">
      <alignment vertical="center" wrapText="1"/>
    </xf>
    <xf numFmtId="0" fontId="9" fillId="0" borderId="130" xfId="0" applyFont="1" applyBorder="1"/>
    <xf numFmtId="0" fontId="9" fillId="0" borderId="124" xfId="0" applyFont="1" applyBorder="1"/>
    <xf numFmtId="0" fontId="9" fillId="0" borderId="18" xfId="0" applyFont="1" applyBorder="1"/>
    <xf numFmtId="0" fontId="9" fillId="0" borderId="104" xfId="0" applyFont="1" applyBorder="1"/>
    <xf numFmtId="0" fontId="9" fillId="0" borderId="10" xfId="0" applyFont="1" applyBorder="1" applyAlignment="1">
      <alignment horizontal="center"/>
    </xf>
    <xf numFmtId="0" fontId="9" fillId="0" borderId="208" xfId="0" applyFont="1" applyBorder="1"/>
    <xf numFmtId="0" fontId="0" fillId="0" borderId="76" xfId="0" applyBorder="1"/>
    <xf numFmtId="0" fontId="9" fillId="0" borderId="210" xfId="0" applyFont="1" applyBorder="1"/>
    <xf numFmtId="0" fontId="9" fillId="0" borderId="37" xfId="0" applyFont="1" applyBorder="1"/>
    <xf numFmtId="0" fontId="9" fillId="0" borderId="198" xfId="0" applyFont="1" applyBorder="1"/>
    <xf numFmtId="0" fontId="1" fillId="0" borderId="25" xfId="0" applyFont="1" applyBorder="1" applyAlignment="1">
      <alignment vertical="center"/>
    </xf>
    <xf numFmtId="0" fontId="10" fillId="10" borderId="38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0" fillId="20" borderId="4" xfId="0" applyFill="1" applyBorder="1" applyAlignment="1" applyProtection="1">
      <alignment horizontal="center"/>
      <protection locked="0"/>
    </xf>
    <xf numFmtId="0" fontId="0" fillId="0" borderId="47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" fillId="0" borderId="98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9" fillId="0" borderId="31" xfId="0" applyFont="1" applyBorder="1"/>
    <xf numFmtId="0" fontId="9" fillId="0" borderId="29" xfId="0" applyFont="1" applyBorder="1"/>
    <xf numFmtId="0" fontId="9" fillId="0" borderId="6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3" fillId="20" borderId="4" xfId="0" applyFont="1" applyFill="1" applyBorder="1" applyAlignment="1" applyProtection="1">
      <alignment horizontal="center"/>
      <protection locked="0"/>
    </xf>
    <xf numFmtId="0" fontId="9" fillId="0" borderId="213" xfId="0" applyFont="1" applyBorder="1" applyAlignment="1">
      <alignment horizontal="center"/>
    </xf>
    <xf numFmtId="0" fontId="9" fillId="0" borderId="214" xfId="0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9" fillId="0" borderId="215" xfId="0" applyFont="1" applyBorder="1" applyAlignment="1">
      <alignment horizontal="center"/>
    </xf>
    <xf numFmtId="0" fontId="9" fillId="0" borderId="199" xfId="0" applyFont="1" applyBorder="1" applyAlignment="1">
      <alignment horizontal="center"/>
    </xf>
    <xf numFmtId="0" fontId="9" fillId="0" borderId="204" xfId="0" applyFont="1" applyBorder="1"/>
    <xf numFmtId="0" fontId="9" fillId="0" borderId="216" xfId="0" applyFont="1" applyBorder="1"/>
    <xf numFmtId="0" fontId="10" fillId="19" borderId="21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8" borderId="0" xfId="0" applyFill="1"/>
    <xf numFmtId="0" fontId="7" fillId="8" borderId="37" xfId="0" applyFont="1" applyFill="1" applyBorder="1" applyAlignment="1">
      <alignment vertical="center"/>
    </xf>
    <xf numFmtId="0" fontId="9" fillId="6" borderId="0" xfId="0" applyFont="1" applyFill="1"/>
    <xf numFmtId="0" fontId="9" fillId="6" borderId="0" xfId="0" applyFont="1" applyFill="1" applyAlignment="1" applyProtection="1">
      <alignment horizontal="center"/>
      <protection locked="0"/>
    </xf>
    <xf numFmtId="3" fontId="9" fillId="6" borderId="0" xfId="0" applyNumberFormat="1" applyFont="1" applyFill="1" applyAlignment="1">
      <alignment horizontal="center"/>
    </xf>
    <xf numFmtId="3" fontId="9" fillId="6" borderId="0" xfId="0" applyNumberFormat="1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164" fontId="0" fillId="6" borderId="0" xfId="0" applyNumberFormat="1" applyFill="1" applyAlignment="1">
      <alignment horizontal="center"/>
    </xf>
    <xf numFmtId="1" fontId="9" fillId="6" borderId="0" xfId="0" applyNumberFormat="1" applyFont="1" applyFill="1" applyAlignment="1">
      <alignment horizontal="left"/>
    </xf>
    <xf numFmtId="0" fontId="33" fillId="6" borderId="0" xfId="0" applyFont="1" applyFill="1" applyAlignment="1">
      <alignment vertical="center"/>
    </xf>
    <xf numFmtId="0" fontId="7" fillId="6" borderId="0" xfId="0" applyFont="1" applyFill="1" applyAlignment="1">
      <alignment horizontal="right" vertical="center"/>
    </xf>
    <xf numFmtId="0" fontId="9" fillId="0" borderId="124" xfId="0" applyFont="1" applyBorder="1" applyAlignment="1">
      <alignment vertical="center" wrapText="1"/>
    </xf>
    <xf numFmtId="0" fontId="1" fillId="6" borderId="37" xfId="0" applyFont="1" applyFill="1" applyBorder="1" applyAlignment="1">
      <alignment horizontal="center"/>
    </xf>
    <xf numFmtId="0" fontId="1" fillId="6" borderId="41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16" fillId="0" borderId="218" xfId="0" applyFont="1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7" fillId="8" borderId="100" xfId="0" applyFont="1" applyFill="1" applyBorder="1" applyAlignment="1">
      <alignment vertical="center"/>
    </xf>
    <xf numFmtId="0" fontId="7" fillId="8" borderId="100" xfId="0" applyFont="1" applyFill="1" applyBorder="1" applyAlignment="1">
      <alignment horizontal="center" vertical="center"/>
    </xf>
    <xf numFmtId="0" fontId="22" fillId="19" borderId="38" xfId="0" applyFont="1" applyFill="1" applyBorder="1" applyAlignment="1">
      <alignment horizontal="center" vertical="center" wrapText="1"/>
    </xf>
    <xf numFmtId="0" fontId="0" fillId="0" borderId="219" xfId="0" applyBorder="1"/>
    <xf numFmtId="0" fontId="0" fillId="0" borderId="203" xfId="0" applyBorder="1"/>
    <xf numFmtId="0" fontId="0" fillId="0" borderId="220" xfId="0" applyBorder="1"/>
    <xf numFmtId="0" fontId="0" fillId="0" borderId="42" xfId="0" applyBorder="1" applyAlignment="1">
      <alignment horizontal="center" vertical="center"/>
    </xf>
    <xf numFmtId="0" fontId="16" fillId="2" borderId="26" xfId="0" applyFont="1" applyFill="1" applyBorder="1" applyAlignment="1">
      <alignment horizontal="center" wrapText="1"/>
    </xf>
    <xf numFmtId="0" fontId="0" fillId="0" borderId="140" xfId="0" applyBorder="1" applyAlignment="1">
      <alignment vertical="center" wrapText="1"/>
    </xf>
    <xf numFmtId="0" fontId="9" fillId="0" borderId="126" xfId="0" applyFont="1" applyBorder="1"/>
    <xf numFmtId="0" fontId="9" fillId="0" borderId="98" xfId="0" applyFont="1" applyBorder="1"/>
    <xf numFmtId="0" fontId="9" fillId="0" borderId="44" xfId="0" applyFont="1" applyBorder="1"/>
    <xf numFmtId="0" fontId="0" fillId="20" borderId="44" xfId="0" applyFill="1" applyBorder="1" applyAlignment="1">
      <alignment horizontal="center"/>
    </xf>
    <xf numFmtId="0" fontId="0" fillId="20" borderId="58" xfId="0" applyFill="1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9" fillId="0" borderId="160" xfId="0" applyFont="1" applyBorder="1" applyAlignment="1">
      <alignment horizontal="center"/>
    </xf>
    <xf numFmtId="0" fontId="9" fillId="0" borderId="155" xfId="0" applyFont="1" applyBorder="1" applyAlignment="1">
      <alignment horizontal="center"/>
    </xf>
    <xf numFmtId="0" fontId="9" fillId="0" borderId="164" xfId="0" applyFont="1" applyBorder="1" applyAlignment="1">
      <alignment horizontal="center"/>
    </xf>
    <xf numFmtId="0" fontId="0" fillId="0" borderId="4" xfId="0" applyBorder="1" applyAlignment="1">
      <alignment vertical="center" wrapText="1"/>
    </xf>
    <xf numFmtId="3" fontId="0" fillId="0" borderId="59" xfId="0" applyNumberFormat="1" applyBorder="1" applyAlignment="1">
      <alignment horizontal="center"/>
    </xf>
    <xf numFmtId="0" fontId="0" fillId="0" borderId="16" xfId="0" applyBorder="1" applyAlignment="1">
      <alignment vertical="center" wrapText="1"/>
    </xf>
    <xf numFmtId="0" fontId="0" fillId="0" borderId="7" xfId="0" applyBorder="1"/>
    <xf numFmtId="0" fontId="9" fillId="0" borderId="4" xfId="0" applyFont="1" applyBorder="1"/>
    <xf numFmtId="0" fontId="0" fillId="20" borderId="5" xfId="0" applyFill="1" applyBorder="1" applyAlignment="1">
      <alignment horizontal="center"/>
    </xf>
    <xf numFmtId="0" fontId="9" fillId="0" borderId="16" xfId="0" applyFont="1" applyBorder="1"/>
    <xf numFmtId="0" fontId="9" fillId="0" borderId="7" xfId="0" applyFont="1" applyBorder="1"/>
    <xf numFmtId="0" fontId="1" fillId="0" borderId="51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0" fillId="2" borderId="2" xfId="0" applyFill="1" applyBorder="1"/>
    <xf numFmtId="1" fontId="0" fillId="2" borderId="2" xfId="0" applyNumberFormat="1" applyFill="1" applyBorder="1"/>
    <xf numFmtId="0" fontId="20" fillId="0" borderId="22" xfId="0" applyFont="1" applyBorder="1"/>
    <xf numFmtId="0" fontId="3" fillId="0" borderId="52" xfId="0" applyFont="1" applyBorder="1" applyAlignment="1">
      <alignment horizontal="center" vertical="center"/>
    </xf>
    <xf numFmtId="0" fontId="3" fillId="0" borderId="108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20" borderId="28" xfId="0" applyFont="1" applyFill="1" applyBorder="1" applyAlignment="1" applyProtection="1">
      <alignment horizontal="center"/>
      <protection locked="0"/>
    </xf>
    <xf numFmtId="0" fontId="3" fillId="20" borderId="40" xfId="0" applyFont="1" applyFill="1" applyBorder="1" applyAlignment="1" applyProtection="1">
      <alignment horizontal="center"/>
      <protection locked="0"/>
    </xf>
    <xf numFmtId="0" fontId="3" fillId="20" borderId="39" xfId="0" applyFont="1" applyFill="1" applyBorder="1" applyAlignment="1" applyProtection="1">
      <alignment horizontal="center"/>
      <protection locked="0"/>
    </xf>
    <xf numFmtId="0" fontId="3" fillId="0" borderId="19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2" borderId="25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9" fillId="20" borderId="4" xfId="0" applyFont="1" applyFill="1" applyBorder="1" applyAlignment="1" applyProtection="1">
      <alignment horizontal="center"/>
      <protection locked="0"/>
    </xf>
    <xf numFmtId="0" fontId="9" fillId="20" borderId="7" xfId="0" applyFont="1" applyFill="1" applyBorder="1" applyAlignment="1" applyProtection="1">
      <alignment horizontal="center"/>
      <protection locked="0"/>
    </xf>
    <xf numFmtId="0" fontId="0" fillId="0" borderId="120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20" borderId="232" xfId="0" applyFill="1" applyBorder="1" applyAlignment="1" applyProtection="1">
      <alignment horizontal="center"/>
      <protection locked="0"/>
    </xf>
    <xf numFmtId="0" fontId="0" fillId="20" borderId="30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1" fillId="6" borderId="37" xfId="0" applyFont="1" applyFill="1" applyBorder="1" applyAlignment="1">
      <alignment horizontal="center" vertical="center"/>
    </xf>
    <xf numFmtId="0" fontId="16" fillId="0" borderId="37" xfId="0" applyFont="1" applyBorder="1" applyAlignment="1">
      <alignment horizontal="center"/>
    </xf>
    <xf numFmtId="0" fontId="16" fillId="6" borderId="31" xfId="0" applyFont="1" applyFill="1" applyBorder="1" applyAlignment="1">
      <alignment horizontal="center"/>
    </xf>
    <xf numFmtId="0" fontId="2" fillId="0" borderId="2" xfId="1" applyBorder="1" applyAlignment="1">
      <alignment horizontal="left"/>
    </xf>
    <xf numFmtId="0" fontId="7" fillId="0" borderId="2" xfId="0" applyFont="1" applyBorder="1"/>
    <xf numFmtId="1" fontId="7" fillId="0" borderId="2" xfId="0" applyNumberFormat="1" applyFont="1" applyBorder="1"/>
    <xf numFmtId="1" fontId="2" fillId="0" borderId="2" xfId="0" applyNumberFormat="1" applyFont="1" applyBorder="1"/>
    <xf numFmtId="3" fontId="2" fillId="0" borderId="2" xfId="0" applyNumberFormat="1" applyFont="1" applyBorder="1" applyAlignment="1" applyProtection="1">
      <alignment horizontal="left"/>
      <protection hidden="1"/>
    </xf>
    <xf numFmtId="1" fontId="2" fillId="0" borderId="2" xfId="0" applyNumberFormat="1" applyFont="1" applyBorder="1" applyProtection="1">
      <protection hidden="1"/>
    </xf>
    <xf numFmtId="1" fontId="2" fillId="0" borderId="2" xfId="0" applyNumberFormat="1" applyFont="1" applyBorder="1" applyAlignment="1">
      <alignment horizontal="left"/>
    </xf>
    <xf numFmtId="3" fontId="2" fillId="0" borderId="2" xfId="0" applyNumberFormat="1" applyFont="1" applyBorder="1"/>
    <xf numFmtId="1" fontId="2" fillId="0" borderId="2" xfId="1" applyNumberFormat="1" applyBorder="1"/>
    <xf numFmtId="0" fontId="0" fillId="0" borderId="43" xfId="0" applyBorder="1" applyAlignment="1">
      <alignment horizontal="center" vertical="center" wrapText="1"/>
    </xf>
    <xf numFmtId="0" fontId="0" fillId="4" borderId="19" xfId="0" applyFill="1" applyBorder="1"/>
    <xf numFmtId="169" fontId="0" fillId="4" borderId="20" xfId="0" applyNumberFormat="1" applyFill="1" applyBorder="1"/>
    <xf numFmtId="3" fontId="0" fillId="0" borderId="90" xfId="0" applyNumberFormat="1" applyBorder="1" applyAlignment="1">
      <alignment horizontal="center"/>
    </xf>
    <xf numFmtId="0" fontId="3" fillId="0" borderId="5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/>
    </xf>
    <xf numFmtId="0" fontId="3" fillId="0" borderId="109" xfId="0" applyFont="1" applyBorder="1" applyAlignment="1">
      <alignment horizontal="center" vertical="center"/>
    </xf>
    <xf numFmtId="0" fontId="0" fillId="20" borderId="33" xfId="0" applyFill="1" applyBorder="1" applyAlignment="1" applyProtection="1">
      <alignment horizontal="center"/>
      <protection locked="0"/>
    </xf>
    <xf numFmtId="0" fontId="0" fillId="20" borderId="10" xfId="0" applyFill="1" applyBorder="1" applyAlignment="1" applyProtection="1">
      <alignment horizontal="center"/>
      <protection locked="0"/>
    </xf>
    <xf numFmtId="0" fontId="0" fillId="20" borderId="110" xfId="0" applyFill="1" applyBorder="1" applyAlignment="1" applyProtection="1">
      <alignment horizontal="center"/>
      <protection locked="0"/>
    </xf>
    <xf numFmtId="0" fontId="0" fillId="20" borderId="111" xfId="0" applyFill="1" applyBorder="1" applyAlignment="1" applyProtection="1">
      <alignment horizontal="center"/>
      <protection locked="0"/>
    </xf>
    <xf numFmtId="0" fontId="0" fillId="20" borderId="40" xfId="0" applyFill="1" applyBorder="1" applyAlignment="1" applyProtection="1">
      <alignment horizontal="center"/>
      <protection locked="0"/>
    </xf>
    <xf numFmtId="0" fontId="0" fillId="0" borderId="59" xfId="0" applyBorder="1" applyAlignment="1">
      <alignment horizontal="center" vertical="center"/>
    </xf>
    <xf numFmtId="0" fontId="0" fillId="0" borderId="69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1" fillId="6" borderId="54" xfId="0" applyFont="1" applyFill="1" applyBorder="1" applyAlignment="1" applyProtection="1">
      <alignment horizontal="center"/>
      <protection hidden="1"/>
    </xf>
    <xf numFmtId="3" fontId="3" fillId="0" borderId="5" xfId="0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Alignment="1" applyProtection="1">
      <alignment horizontal="center"/>
      <protection hidden="1"/>
    </xf>
    <xf numFmtId="3" fontId="9" fillId="0" borderId="6" xfId="0" applyNumberFormat="1" applyFont="1" applyBorder="1" applyAlignment="1" applyProtection="1">
      <alignment horizontal="center"/>
      <protection hidden="1"/>
    </xf>
    <xf numFmtId="0" fontId="3" fillId="20" borderId="4" xfId="0" applyFont="1" applyFill="1" applyBorder="1" applyAlignment="1" applyProtection="1">
      <alignment horizontal="center"/>
      <protection locked="0" hidden="1"/>
    </xf>
    <xf numFmtId="3" fontId="3" fillId="0" borderId="6" xfId="0" applyNumberFormat="1" applyFont="1" applyBorder="1" applyAlignment="1" applyProtection="1">
      <alignment horizontal="center"/>
      <protection hidden="1"/>
    </xf>
    <xf numFmtId="0" fontId="3" fillId="6" borderId="4" xfId="0" applyFont="1" applyFill="1" applyBorder="1" applyAlignment="1" applyProtection="1">
      <alignment horizontal="center"/>
      <protection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6" borderId="4" xfId="0" applyFont="1" applyFill="1" applyBorder="1" applyAlignment="1" applyProtection="1">
      <alignment horizontal="center"/>
      <protection hidden="1"/>
    </xf>
    <xf numFmtId="0" fontId="3" fillId="20" borderId="29" xfId="0" applyFont="1" applyFill="1" applyBorder="1" applyAlignment="1" applyProtection="1">
      <alignment horizontal="center"/>
      <protection hidden="1"/>
    </xf>
    <xf numFmtId="170" fontId="3" fillId="0" borderId="6" xfId="0" applyNumberFormat="1" applyFont="1" applyBorder="1" applyAlignment="1" applyProtection="1">
      <alignment horizontal="center"/>
      <protection hidden="1"/>
    </xf>
    <xf numFmtId="3" fontId="9" fillId="0" borderId="55" xfId="0" applyNumberFormat="1" applyFont="1" applyBorder="1" applyAlignment="1" applyProtection="1">
      <alignment horizontal="center"/>
      <protection hidden="1"/>
    </xf>
    <xf numFmtId="0" fontId="3" fillId="20" borderId="4" xfId="0" applyFont="1" applyFill="1" applyBorder="1" applyAlignment="1" applyProtection="1">
      <alignment horizontal="center"/>
      <protection hidden="1"/>
    </xf>
    <xf numFmtId="0" fontId="3" fillId="10" borderId="4" xfId="0" applyFont="1" applyFill="1" applyBorder="1" applyAlignment="1" applyProtection="1">
      <alignment horizontal="center"/>
      <protection hidden="1"/>
    </xf>
    <xf numFmtId="164" fontId="3" fillId="10" borderId="5" xfId="0" applyNumberFormat="1" applyFont="1" applyFill="1" applyBorder="1" applyAlignment="1" applyProtection="1">
      <alignment horizontal="center"/>
      <protection hidden="1"/>
    </xf>
    <xf numFmtId="1" fontId="3" fillId="10" borderId="5" xfId="0" applyNumberFormat="1" applyFont="1" applyFill="1" applyBorder="1" applyAlignment="1" applyProtection="1">
      <alignment horizontal="center"/>
      <protection hidden="1"/>
    </xf>
    <xf numFmtId="1" fontId="9" fillId="10" borderId="32" xfId="0" applyNumberFormat="1" applyFont="1" applyFill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center"/>
      <protection hidden="1"/>
    </xf>
    <xf numFmtId="170" fontId="3" fillId="0" borderId="5" xfId="0" applyNumberFormat="1" applyFont="1" applyBorder="1" applyAlignment="1" applyProtection="1">
      <alignment horizontal="center"/>
      <protection hidden="1"/>
    </xf>
    <xf numFmtId="3" fontId="9" fillId="6" borderId="55" xfId="0" applyNumberFormat="1" applyFont="1" applyFill="1" applyBorder="1" applyAlignment="1" applyProtection="1">
      <alignment horizontal="left"/>
      <protection hidden="1"/>
    </xf>
    <xf numFmtId="1" fontId="9" fillId="6" borderId="57" xfId="0" applyNumberFormat="1" applyFont="1" applyFill="1" applyBorder="1" applyAlignment="1" applyProtection="1">
      <alignment horizontal="left"/>
      <protection hidden="1"/>
    </xf>
    <xf numFmtId="167" fontId="1" fillId="6" borderId="31" xfId="0" applyNumberFormat="1" applyFont="1" applyFill="1" applyBorder="1" applyAlignment="1" applyProtection="1">
      <alignment horizontal="center"/>
      <protection hidden="1"/>
    </xf>
    <xf numFmtId="3" fontId="3" fillId="0" borderId="2" xfId="0" applyNumberFormat="1" applyFont="1" applyBorder="1" applyAlignment="1" applyProtection="1">
      <alignment horizontal="center"/>
      <protection hidden="1"/>
    </xf>
    <xf numFmtId="3" fontId="9" fillId="0" borderId="2" xfId="0" applyNumberFormat="1" applyFont="1" applyBorder="1" applyAlignment="1" applyProtection="1">
      <alignment horizontal="center"/>
      <protection hidden="1"/>
    </xf>
    <xf numFmtId="3" fontId="9" fillId="0" borderId="1" xfId="0" applyNumberFormat="1" applyFont="1" applyBorder="1" applyAlignment="1" applyProtection="1">
      <alignment horizontal="center"/>
      <protection hidden="1"/>
    </xf>
    <xf numFmtId="0" fontId="3" fillId="20" borderId="16" xfId="0" applyFont="1" applyFill="1" applyBorder="1" applyAlignment="1" applyProtection="1">
      <alignment horizontal="center"/>
      <protection locked="0" hidden="1"/>
    </xf>
    <xf numFmtId="3" fontId="3" fillId="0" borderId="1" xfId="0" applyNumberFormat="1" applyFont="1" applyBorder="1" applyAlignment="1" applyProtection="1">
      <alignment horizontal="center"/>
      <protection hidden="1"/>
    </xf>
    <xf numFmtId="0" fontId="3" fillId="6" borderId="16" xfId="0" applyFont="1" applyFill="1" applyBorder="1" applyAlignment="1" applyProtection="1">
      <alignment horizontal="center"/>
      <protection hidden="1"/>
    </xf>
    <xf numFmtId="3" fontId="0" fillId="0" borderId="3" xfId="0" applyNumberFormat="1" applyBorder="1" applyAlignment="1" applyProtection="1">
      <alignment horizontal="center"/>
      <protection hidden="1"/>
    </xf>
    <xf numFmtId="3" fontId="0" fillId="0" borderId="2" xfId="0" applyNumberFormat="1" applyBorder="1" applyAlignment="1" applyProtection="1">
      <alignment horizontal="center"/>
      <protection hidden="1"/>
    </xf>
    <xf numFmtId="0" fontId="3" fillId="20" borderId="13" xfId="0" applyFont="1" applyFill="1" applyBorder="1" applyAlignment="1" applyProtection="1">
      <alignment horizontal="center"/>
      <protection hidden="1"/>
    </xf>
    <xf numFmtId="170" fontId="3" fillId="0" borderId="15" xfId="0" applyNumberFormat="1" applyFont="1" applyBorder="1" applyAlignment="1" applyProtection="1">
      <alignment horizontal="center"/>
      <protection hidden="1"/>
    </xf>
    <xf numFmtId="3" fontId="9" fillId="0" borderId="56" xfId="0" applyNumberFormat="1" applyFont="1" applyBorder="1" applyAlignment="1" applyProtection="1">
      <alignment horizontal="center"/>
      <protection hidden="1"/>
    </xf>
    <xf numFmtId="0" fontId="3" fillId="20" borderId="14" xfId="0" applyFont="1" applyFill="1" applyBorder="1" applyAlignment="1" applyProtection="1">
      <alignment horizontal="center"/>
      <protection hidden="1"/>
    </xf>
    <xf numFmtId="0" fontId="3" fillId="10" borderId="16" xfId="0" applyFont="1" applyFill="1" applyBorder="1" applyAlignment="1" applyProtection="1">
      <alignment horizontal="center"/>
      <protection hidden="1"/>
    </xf>
    <xf numFmtId="164" fontId="3" fillId="10" borderId="2" xfId="0" applyNumberFormat="1" applyFont="1" applyFill="1" applyBorder="1" applyAlignment="1" applyProtection="1">
      <alignment horizontal="center"/>
      <protection hidden="1"/>
    </xf>
    <xf numFmtId="1" fontId="3" fillId="10" borderId="2" xfId="0" applyNumberFormat="1" applyFont="1" applyFill="1" applyBorder="1" applyAlignment="1" applyProtection="1">
      <alignment horizontal="center"/>
      <protection hidden="1"/>
    </xf>
    <xf numFmtId="1" fontId="9" fillId="10" borderId="18" xfId="0" applyNumberFormat="1" applyFont="1" applyFill="1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center"/>
      <protection hidden="1"/>
    </xf>
    <xf numFmtId="170" fontId="3" fillId="0" borderId="2" xfId="0" applyNumberFormat="1" applyFont="1" applyBorder="1" applyAlignment="1" applyProtection="1">
      <alignment horizontal="center"/>
      <protection hidden="1"/>
    </xf>
    <xf numFmtId="3" fontId="9" fillId="6" borderId="54" xfId="0" applyNumberFormat="1" applyFont="1" applyFill="1" applyBorder="1" applyAlignment="1" applyProtection="1">
      <alignment horizontal="left"/>
      <protection hidden="1"/>
    </xf>
    <xf numFmtId="167" fontId="1" fillId="6" borderId="22" xfId="0" applyNumberFormat="1" applyFont="1" applyFill="1" applyBorder="1" applyAlignment="1" applyProtection="1">
      <alignment horizontal="center"/>
      <protection hidden="1"/>
    </xf>
    <xf numFmtId="0" fontId="3" fillId="20" borderId="53" xfId="0" applyFont="1" applyFill="1" applyBorder="1" applyAlignment="1" applyProtection="1">
      <alignment horizontal="center"/>
      <protection hidden="1"/>
    </xf>
    <xf numFmtId="170" fontId="3" fillId="0" borderId="1" xfId="0" applyNumberFormat="1" applyFont="1" applyBorder="1" applyAlignment="1" applyProtection="1">
      <alignment horizontal="center"/>
      <protection hidden="1"/>
    </xf>
    <xf numFmtId="3" fontId="9" fillId="0" borderId="54" xfId="0" applyNumberFormat="1" applyFont="1" applyBorder="1" applyAlignment="1" applyProtection="1">
      <alignment horizontal="center"/>
      <protection hidden="1"/>
    </xf>
    <xf numFmtId="0" fontId="3" fillId="20" borderId="16" xfId="0" applyFont="1" applyFill="1" applyBorder="1" applyAlignment="1" applyProtection="1">
      <alignment horizontal="center"/>
      <protection hidden="1"/>
    </xf>
    <xf numFmtId="1" fontId="9" fillId="10" borderId="102" xfId="0" applyNumberFormat="1" applyFont="1" applyFill="1" applyBorder="1" applyAlignment="1" applyProtection="1">
      <alignment horizontal="center"/>
      <protection hidden="1"/>
    </xf>
    <xf numFmtId="3" fontId="3" fillId="0" borderId="8" xfId="0" applyNumberFormat="1" applyFont="1" applyBorder="1" applyAlignment="1" applyProtection="1">
      <alignment horizontal="center"/>
      <protection hidden="1"/>
    </xf>
    <xf numFmtId="3" fontId="9" fillId="0" borderId="8" xfId="0" applyNumberFormat="1" applyFont="1" applyBorder="1" applyAlignment="1" applyProtection="1">
      <alignment horizontal="center"/>
      <protection hidden="1"/>
    </xf>
    <xf numFmtId="3" fontId="9" fillId="0" borderId="9" xfId="0" applyNumberFormat="1" applyFont="1" applyBorder="1" applyAlignment="1" applyProtection="1">
      <alignment horizontal="center"/>
      <protection hidden="1"/>
    </xf>
    <xf numFmtId="0" fontId="3" fillId="20" borderId="7" xfId="0" applyFont="1" applyFill="1" applyBorder="1" applyAlignment="1" applyProtection="1">
      <alignment horizontal="center"/>
      <protection locked="0" hidden="1"/>
    </xf>
    <xf numFmtId="3" fontId="3" fillId="0" borderId="9" xfId="0" applyNumberFormat="1" applyFont="1" applyBorder="1" applyAlignment="1" applyProtection="1">
      <alignment horizontal="center"/>
      <protection hidden="1"/>
    </xf>
    <xf numFmtId="3" fontId="0" fillId="0" borderId="8" xfId="0" applyNumberFormat="1" applyBorder="1" applyAlignment="1" applyProtection="1">
      <alignment horizontal="center"/>
      <protection hidden="1"/>
    </xf>
    <xf numFmtId="0" fontId="3" fillId="20" borderId="97" xfId="0" applyFont="1" applyFill="1" applyBorder="1" applyAlignment="1" applyProtection="1">
      <alignment horizontal="center"/>
      <protection hidden="1"/>
    </xf>
    <xf numFmtId="170" fontId="3" fillId="0" borderId="35" xfId="0" applyNumberFormat="1" applyFont="1" applyBorder="1" applyAlignment="1" applyProtection="1">
      <alignment horizontal="center"/>
      <protection hidden="1"/>
    </xf>
    <xf numFmtId="0" fontId="3" fillId="20" borderId="34" xfId="0" applyFont="1" applyFill="1" applyBorder="1" applyAlignment="1" applyProtection="1">
      <alignment horizontal="center"/>
      <protection hidden="1"/>
    </xf>
    <xf numFmtId="0" fontId="3" fillId="10" borderId="34" xfId="0" applyFont="1" applyFill="1" applyBorder="1" applyAlignment="1" applyProtection="1">
      <alignment horizontal="center"/>
      <protection hidden="1"/>
    </xf>
    <xf numFmtId="164" fontId="3" fillId="10" borderId="36" xfId="0" applyNumberFormat="1" applyFont="1" applyFill="1" applyBorder="1" applyAlignment="1" applyProtection="1">
      <alignment horizontal="center"/>
      <protection hidden="1"/>
    </xf>
    <xf numFmtId="1" fontId="3" fillId="10" borderId="36" xfId="0" applyNumberFormat="1" applyFont="1" applyFill="1" applyBorder="1" applyAlignment="1" applyProtection="1">
      <alignment horizontal="center"/>
      <protection hidden="1"/>
    </xf>
    <xf numFmtId="1" fontId="3" fillId="10" borderId="105" xfId="0" applyNumberFormat="1" applyFont="1" applyFill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/>
      <protection hidden="1"/>
    </xf>
    <xf numFmtId="170" fontId="3" fillId="0" borderId="8" xfId="0" applyNumberFormat="1" applyFont="1" applyBorder="1" applyAlignment="1" applyProtection="1">
      <alignment horizontal="center"/>
      <protection hidden="1"/>
    </xf>
    <xf numFmtId="3" fontId="9" fillId="6" borderId="70" xfId="0" applyNumberFormat="1" applyFont="1" applyFill="1" applyBorder="1" applyAlignment="1" applyProtection="1">
      <alignment horizontal="left"/>
      <protection hidden="1"/>
    </xf>
    <xf numFmtId="1" fontId="9" fillId="6" borderId="23" xfId="0" applyNumberFormat="1" applyFont="1" applyFill="1" applyBorder="1" applyAlignment="1" applyProtection="1">
      <alignment horizontal="left"/>
      <protection hidden="1"/>
    </xf>
    <xf numFmtId="167" fontId="1" fillId="6" borderId="37" xfId="0" applyNumberFormat="1" applyFont="1" applyFill="1" applyBorder="1" applyAlignment="1" applyProtection="1">
      <alignment horizontal="center"/>
      <protection hidden="1"/>
    </xf>
    <xf numFmtId="167" fontId="3" fillId="0" borderId="4" xfId="0" applyNumberFormat="1" applyFont="1" applyBorder="1" applyAlignment="1" applyProtection="1">
      <alignment horizontal="center"/>
      <protection hidden="1"/>
    </xf>
    <xf numFmtId="167" fontId="3" fillId="0" borderId="5" xfId="0" applyNumberFormat="1" applyFont="1" applyBorder="1" applyAlignment="1" applyProtection="1">
      <alignment horizontal="center"/>
      <protection hidden="1"/>
    </xf>
    <xf numFmtId="167" fontId="3" fillId="0" borderId="6" xfId="0" applyNumberFormat="1" applyFont="1" applyBorder="1" applyAlignment="1" applyProtection="1">
      <alignment horizontal="center"/>
      <protection hidden="1"/>
    </xf>
    <xf numFmtId="0" fontId="3" fillId="20" borderId="29" xfId="0" applyFont="1" applyFill="1" applyBorder="1" applyAlignment="1" applyProtection="1">
      <alignment horizontal="center"/>
      <protection locked="0" hidden="1"/>
    </xf>
    <xf numFmtId="167" fontId="3" fillId="0" borderId="30" xfId="0" applyNumberFormat="1" applyFont="1" applyBorder="1" applyAlignment="1" applyProtection="1">
      <alignment horizontal="center"/>
      <protection hidden="1"/>
    </xf>
    <xf numFmtId="1" fontId="3" fillId="10" borderId="6" xfId="0" applyNumberFormat="1" applyFont="1" applyFill="1" applyBorder="1" applyAlignment="1" applyProtection="1">
      <alignment horizontal="center"/>
      <protection hidden="1"/>
    </xf>
    <xf numFmtId="1" fontId="9" fillId="10" borderId="28" xfId="0" applyNumberFormat="1" applyFont="1" applyFill="1" applyBorder="1" applyAlignment="1" applyProtection="1">
      <alignment horizontal="center"/>
      <protection hidden="1"/>
    </xf>
    <xf numFmtId="3" fontId="9" fillId="0" borderId="55" xfId="0" applyNumberFormat="1" applyFont="1" applyBorder="1" applyAlignment="1" applyProtection="1">
      <alignment horizontal="left"/>
      <protection hidden="1"/>
    </xf>
    <xf numFmtId="1" fontId="25" fillId="0" borderId="32" xfId="0" applyNumberFormat="1" applyFont="1" applyBorder="1" applyAlignment="1" applyProtection="1">
      <alignment horizontal="left"/>
      <protection hidden="1"/>
    </xf>
    <xf numFmtId="167" fontId="1" fillId="6" borderId="28" xfId="0" applyNumberFormat="1" applyFont="1" applyFill="1" applyBorder="1" applyAlignment="1" applyProtection="1">
      <alignment horizontal="center"/>
      <protection hidden="1"/>
    </xf>
    <xf numFmtId="167" fontId="3" fillId="0" borderId="16" xfId="0" applyNumberFormat="1" applyFont="1" applyBorder="1" applyAlignment="1" applyProtection="1">
      <alignment horizontal="center"/>
      <protection hidden="1"/>
    </xf>
    <xf numFmtId="167" fontId="3" fillId="0" borderId="2" xfId="0" applyNumberFormat="1" applyFont="1" applyBorder="1" applyAlignment="1" applyProtection="1">
      <alignment horizontal="center"/>
      <protection hidden="1"/>
    </xf>
    <xf numFmtId="167" fontId="3" fillId="0" borderId="1" xfId="0" applyNumberFormat="1" applyFont="1" applyBorder="1" applyAlignment="1" applyProtection="1">
      <alignment horizontal="center"/>
      <protection hidden="1"/>
    </xf>
    <xf numFmtId="167" fontId="3" fillId="0" borderId="3" xfId="0" applyNumberFormat="1" applyFont="1" applyBorder="1" applyAlignment="1" applyProtection="1">
      <alignment horizontal="center"/>
      <protection hidden="1"/>
    </xf>
    <xf numFmtId="0" fontId="3" fillId="20" borderId="13" xfId="0" applyFont="1" applyFill="1" applyBorder="1" applyAlignment="1" applyProtection="1">
      <alignment horizontal="center"/>
      <protection locked="0" hidden="1"/>
    </xf>
    <xf numFmtId="167" fontId="3" fillId="0" borderId="15" xfId="0" applyNumberFormat="1" applyFont="1" applyBorder="1" applyAlignment="1" applyProtection="1">
      <alignment horizontal="center"/>
      <protection hidden="1"/>
    </xf>
    <xf numFmtId="167" fontId="3" fillId="0" borderId="101" xfId="0" applyNumberFormat="1" applyFont="1" applyBorder="1" applyAlignment="1" applyProtection="1">
      <alignment horizontal="center"/>
      <protection hidden="1"/>
    </xf>
    <xf numFmtId="1" fontId="3" fillId="10" borderId="15" xfId="0" applyNumberFormat="1" applyFont="1" applyFill="1" applyBorder="1" applyAlignment="1" applyProtection="1">
      <alignment horizontal="center"/>
      <protection hidden="1"/>
    </xf>
    <xf numFmtId="1" fontId="9" fillId="10" borderId="40" xfId="0" applyNumberFormat="1" applyFont="1" applyFill="1" applyBorder="1" applyAlignment="1" applyProtection="1">
      <alignment horizontal="center"/>
      <protection hidden="1"/>
    </xf>
    <xf numFmtId="3" fontId="9" fillId="0" borderId="54" xfId="0" applyNumberFormat="1" applyFont="1" applyBorder="1" applyAlignment="1" applyProtection="1">
      <alignment horizontal="left"/>
      <protection hidden="1"/>
    </xf>
    <xf numFmtId="1" fontId="25" fillId="0" borderId="102" xfId="0" applyNumberFormat="1" applyFont="1" applyBorder="1" applyAlignment="1" applyProtection="1">
      <alignment horizontal="left"/>
      <protection hidden="1"/>
    </xf>
    <xf numFmtId="167" fontId="1" fillId="6" borderId="33" xfId="0" applyNumberFormat="1" applyFont="1" applyFill="1" applyBorder="1" applyAlignment="1" applyProtection="1">
      <alignment horizontal="center"/>
      <protection hidden="1"/>
    </xf>
    <xf numFmtId="167" fontId="1" fillId="6" borderId="57" xfId="0" applyNumberFormat="1" applyFont="1" applyFill="1" applyBorder="1" applyAlignment="1" applyProtection="1">
      <alignment horizontal="center"/>
      <protection hidden="1"/>
    </xf>
    <xf numFmtId="167" fontId="3" fillId="0" borderId="7" xfId="0" applyNumberFormat="1" applyFont="1" applyBorder="1" applyAlignment="1" applyProtection="1">
      <alignment horizontal="center"/>
      <protection hidden="1"/>
    </xf>
    <xf numFmtId="167" fontId="3" fillId="0" borderId="8" xfId="0" applyNumberFormat="1" applyFont="1" applyBorder="1" applyAlignment="1" applyProtection="1">
      <alignment horizontal="center"/>
      <protection hidden="1"/>
    </xf>
    <xf numFmtId="167" fontId="3" fillId="0" borderId="9" xfId="0" applyNumberFormat="1" applyFont="1" applyBorder="1" applyAlignment="1" applyProtection="1">
      <alignment horizontal="center"/>
      <protection hidden="1"/>
    </xf>
    <xf numFmtId="167" fontId="3" fillId="0" borderId="36" xfId="0" applyNumberFormat="1" applyFont="1" applyBorder="1" applyAlignment="1" applyProtection="1">
      <alignment horizontal="center"/>
      <protection hidden="1"/>
    </xf>
    <xf numFmtId="0" fontId="3" fillId="20" borderId="97" xfId="0" applyFont="1" applyFill="1" applyBorder="1" applyAlignment="1" applyProtection="1">
      <alignment horizontal="center"/>
      <protection locked="0" hidden="1"/>
    </xf>
    <xf numFmtId="167" fontId="3" fillId="0" borderId="35" xfId="0" applyNumberFormat="1" applyFont="1" applyBorder="1" applyAlignment="1" applyProtection="1">
      <alignment horizontal="center"/>
      <protection hidden="1"/>
    </xf>
    <xf numFmtId="167" fontId="3" fillId="0" borderId="105" xfId="0" applyNumberFormat="1" applyFont="1" applyBorder="1" applyAlignment="1" applyProtection="1">
      <alignment horizontal="center"/>
      <protection hidden="1"/>
    </xf>
    <xf numFmtId="0" fontId="3" fillId="10" borderId="7" xfId="0" applyFont="1" applyFill="1" applyBorder="1" applyAlignment="1" applyProtection="1">
      <alignment horizontal="center"/>
      <protection hidden="1"/>
    </xf>
    <xf numFmtId="164" fontId="3" fillId="10" borderId="8" xfId="0" applyNumberFormat="1" applyFont="1" applyFill="1" applyBorder="1" applyAlignment="1" applyProtection="1">
      <alignment horizontal="center"/>
      <protection hidden="1"/>
    </xf>
    <xf numFmtId="1" fontId="3" fillId="10" borderId="35" xfId="0" applyNumberFormat="1" applyFont="1" applyFill="1" applyBorder="1" applyAlignment="1" applyProtection="1">
      <alignment horizontal="center"/>
      <protection hidden="1"/>
    </xf>
    <xf numFmtId="1" fontId="9" fillId="10" borderId="39" xfId="0" applyNumberFormat="1" applyFont="1" applyFill="1" applyBorder="1" applyAlignment="1" applyProtection="1">
      <alignment horizontal="center"/>
      <protection hidden="1"/>
    </xf>
    <xf numFmtId="3" fontId="9" fillId="0" borderId="70" xfId="0" applyNumberFormat="1" applyFont="1" applyBorder="1" applyAlignment="1" applyProtection="1">
      <alignment horizontal="left"/>
      <protection hidden="1"/>
    </xf>
    <xf numFmtId="1" fontId="25" fillId="0" borderId="104" xfId="0" applyNumberFormat="1" applyFont="1" applyBorder="1" applyAlignment="1" applyProtection="1">
      <alignment horizontal="left"/>
      <protection hidden="1"/>
    </xf>
    <xf numFmtId="167" fontId="1" fillId="6" borderId="10" xfId="0" applyNumberFormat="1" applyFont="1" applyFill="1" applyBorder="1" applyAlignment="1" applyProtection="1">
      <alignment horizontal="center"/>
      <protection hidden="1"/>
    </xf>
    <xf numFmtId="167" fontId="1" fillId="6" borderId="23" xfId="0" applyNumberFormat="1" applyFont="1" applyFill="1" applyBorder="1" applyAlignment="1" applyProtection="1">
      <alignment horizontal="center"/>
      <protection hidden="1"/>
    </xf>
    <xf numFmtId="1" fontId="3" fillId="20" borderId="4" xfId="0" applyNumberFormat="1" applyFont="1" applyFill="1" applyBorder="1" applyAlignment="1" applyProtection="1">
      <alignment horizontal="center"/>
      <protection locked="0" hidden="1"/>
    </xf>
    <xf numFmtId="1" fontId="3" fillId="20" borderId="29" xfId="0" applyNumberFormat="1" applyFont="1" applyFill="1" applyBorder="1" applyAlignment="1" applyProtection="1">
      <alignment horizontal="center"/>
      <protection hidden="1"/>
    </xf>
    <xf numFmtId="1" fontId="3" fillId="20" borderId="4" xfId="0" applyNumberFormat="1" applyFont="1" applyFill="1" applyBorder="1" applyAlignment="1" applyProtection="1">
      <alignment horizontal="center"/>
      <protection hidden="1"/>
    </xf>
    <xf numFmtId="1" fontId="3" fillId="0" borderId="4" xfId="0" applyNumberFormat="1" applyFont="1" applyBorder="1" applyAlignment="1" applyProtection="1">
      <alignment horizontal="center"/>
      <protection hidden="1"/>
    </xf>
    <xf numFmtId="1" fontId="3" fillId="10" borderId="4" xfId="0" applyNumberFormat="1" applyFont="1" applyFill="1" applyBorder="1" applyAlignment="1" applyProtection="1">
      <alignment horizontal="center"/>
      <protection hidden="1"/>
    </xf>
    <xf numFmtId="1" fontId="3" fillId="10" borderId="30" xfId="0" applyNumberFormat="1" applyFont="1" applyFill="1" applyBorder="1" applyAlignment="1" applyProtection="1">
      <alignment horizontal="center"/>
      <protection hidden="1"/>
    </xf>
    <xf numFmtId="3" fontId="25" fillId="0" borderId="32" xfId="0" applyNumberFormat="1" applyFont="1" applyBorder="1" applyAlignment="1" applyProtection="1">
      <alignment horizontal="left"/>
      <protection hidden="1"/>
    </xf>
    <xf numFmtId="1" fontId="25" fillId="0" borderId="31" xfId="0" applyNumberFormat="1" applyFont="1" applyBorder="1" applyAlignment="1" applyProtection="1">
      <alignment horizontal="left"/>
      <protection hidden="1"/>
    </xf>
    <xf numFmtId="167" fontId="1" fillId="6" borderId="55" xfId="0" applyNumberFormat="1" applyFont="1" applyFill="1" applyBorder="1" applyAlignment="1" applyProtection="1">
      <alignment horizontal="center"/>
      <protection hidden="1"/>
    </xf>
    <xf numFmtId="1" fontId="3" fillId="20" borderId="16" xfId="0" applyNumberFormat="1" applyFont="1" applyFill="1" applyBorder="1" applyAlignment="1" applyProtection="1">
      <alignment horizontal="center"/>
      <protection locked="0" hidden="1"/>
    </xf>
    <xf numFmtId="1" fontId="3" fillId="20" borderId="13" xfId="0" applyNumberFormat="1" applyFont="1" applyFill="1" applyBorder="1" applyAlignment="1" applyProtection="1">
      <alignment horizontal="center"/>
      <protection hidden="1"/>
    </xf>
    <xf numFmtId="3" fontId="3" fillId="0" borderId="15" xfId="0" applyNumberFormat="1" applyFont="1" applyBorder="1" applyAlignment="1" applyProtection="1">
      <alignment horizontal="center"/>
      <protection hidden="1"/>
    </xf>
    <xf numFmtId="1" fontId="3" fillId="20" borderId="14" xfId="0" applyNumberFormat="1" applyFont="1" applyFill="1" applyBorder="1" applyAlignment="1" applyProtection="1">
      <alignment horizontal="center"/>
      <protection hidden="1"/>
    </xf>
    <xf numFmtId="1" fontId="3" fillId="0" borderId="14" xfId="0" applyNumberFormat="1" applyFont="1" applyBorder="1" applyAlignment="1" applyProtection="1">
      <alignment horizontal="center"/>
      <protection hidden="1"/>
    </xf>
    <xf numFmtId="1" fontId="3" fillId="10" borderId="16" xfId="0" applyNumberFormat="1" applyFont="1" applyFill="1" applyBorder="1" applyAlignment="1" applyProtection="1">
      <alignment horizontal="center"/>
      <protection hidden="1"/>
    </xf>
    <xf numFmtId="1" fontId="3" fillId="10" borderId="11" xfId="0" applyNumberFormat="1" applyFont="1" applyFill="1" applyBorder="1" applyAlignment="1" applyProtection="1">
      <alignment horizontal="center"/>
      <protection hidden="1"/>
    </xf>
    <xf numFmtId="1" fontId="3" fillId="0" borderId="16" xfId="0" applyNumberFormat="1" applyFont="1" applyBorder="1" applyAlignment="1" applyProtection="1">
      <alignment horizontal="center"/>
      <protection hidden="1"/>
    </xf>
    <xf numFmtId="3" fontId="25" fillId="0" borderId="102" xfId="0" applyNumberFormat="1" applyFont="1" applyBorder="1" applyAlignment="1" applyProtection="1">
      <alignment horizontal="left"/>
      <protection hidden="1"/>
    </xf>
    <xf numFmtId="1" fontId="25" fillId="0" borderId="57" xfId="0" applyNumberFormat="1" applyFont="1" applyBorder="1" applyAlignment="1" applyProtection="1">
      <alignment horizontal="left"/>
      <protection hidden="1"/>
    </xf>
    <xf numFmtId="167" fontId="1" fillId="6" borderId="54" xfId="0" applyNumberFormat="1" applyFont="1" applyFill="1" applyBorder="1" applyAlignment="1" applyProtection="1">
      <alignment horizontal="center"/>
      <protection hidden="1"/>
    </xf>
    <xf numFmtId="1" fontId="3" fillId="20" borderId="7" xfId="0" applyNumberFormat="1" applyFont="1" applyFill="1" applyBorder="1" applyAlignment="1" applyProtection="1">
      <alignment horizontal="center"/>
      <protection locked="0" hidden="1"/>
    </xf>
    <xf numFmtId="1" fontId="3" fillId="20" borderId="97" xfId="0" applyNumberFormat="1" applyFont="1" applyFill="1" applyBorder="1" applyAlignment="1" applyProtection="1">
      <alignment horizontal="center"/>
      <protection hidden="1"/>
    </xf>
    <xf numFmtId="3" fontId="3" fillId="0" borderId="35" xfId="0" applyNumberFormat="1" applyFont="1" applyBorder="1" applyAlignment="1" applyProtection="1">
      <alignment horizontal="center"/>
      <protection hidden="1"/>
    </xf>
    <xf numFmtId="1" fontId="3" fillId="20" borderId="34" xfId="0" applyNumberFormat="1" applyFont="1" applyFill="1" applyBorder="1" applyAlignment="1" applyProtection="1">
      <alignment horizontal="center"/>
      <protection hidden="1"/>
    </xf>
    <xf numFmtId="1" fontId="3" fillId="0" borderId="34" xfId="0" applyNumberFormat="1" applyFont="1" applyBorder="1" applyAlignment="1" applyProtection="1">
      <alignment horizontal="center"/>
      <protection hidden="1"/>
    </xf>
    <xf numFmtId="1" fontId="3" fillId="10" borderId="7" xfId="0" applyNumberFormat="1" applyFont="1" applyFill="1" applyBorder="1" applyAlignment="1" applyProtection="1">
      <alignment horizontal="center"/>
      <protection hidden="1"/>
    </xf>
    <xf numFmtId="1" fontId="3" fillId="10" borderId="8" xfId="0" applyNumberFormat="1" applyFont="1" applyFill="1" applyBorder="1" applyAlignment="1" applyProtection="1">
      <alignment horizontal="center"/>
      <protection hidden="1"/>
    </xf>
    <xf numFmtId="1" fontId="3" fillId="10" borderId="24" xfId="0" applyNumberFormat="1" applyFont="1" applyFill="1" applyBorder="1" applyAlignment="1" applyProtection="1">
      <alignment horizontal="center"/>
      <protection hidden="1"/>
    </xf>
    <xf numFmtId="1" fontId="3" fillId="0" borderId="7" xfId="0" applyNumberFormat="1" applyFont="1" applyBorder="1" applyAlignment="1" applyProtection="1">
      <alignment horizontal="center"/>
      <protection hidden="1"/>
    </xf>
    <xf numFmtId="3" fontId="25" fillId="0" borderId="104" xfId="0" applyNumberFormat="1" applyFont="1" applyBorder="1" applyAlignment="1" applyProtection="1">
      <alignment horizontal="left"/>
      <protection hidden="1"/>
    </xf>
    <xf numFmtId="1" fontId="25" fillId="0" borderId="23" xfId="0" applyNumberFormat="1" applyFont="1" applyBorder="1" applyAlignment="1" applyProtection="1">
      <alignment horizontal="left"/>
      <protection hidden="1"/>
    </xf>
    <xf numFmtId="167" fontId="1" fillId="6" borderId="70" xfId="0" applyNumberFormat="1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 applyProtection="1">
      <alignment horizontal="center"/>
      <protection hidden="1"/>
    </xf>
    <xf numFmtId="3" fontId="0" fillId="0" borderId="6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3" fontId="0" fillId="0" borderId="32" xfId="0" applyNumberFormat="1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20" borderId="4" xfId="0" applyFill="1" applyBorder="1" applyAlignment="1" applyProtection="1">
      <alignment horizontal="center"/>
      <protection hidden="1"/>
    </xf>
    <xf numFmtId="1" fontId="0" fillId="10" borderId="4" xfId="0" applyNumberFormat="1" applyFill="1" applyBorder="1" applyAlignment="1" applyProtection="1">
      <alignment horizontal="center"/>
      <protection hidden="1"/>
    </xf>
    <xf numFmtId="3" fontId="0" fillId="10" borderId="6" xfId="0" applyNumberFormat="1" applyFill="1" applyBorder="1" applyAlignment="1" applyProtection="1">
      <alignment horizontal="center"/>
      <protection hidden="1"/>
    </xf>
    <xf numFmtId="3" fontId="0" fillId="10" borderId="30" xfId="0" applyNumberFormat="1" applyFill="1" applyBorder="1" applyAlignment="1" applyProtection="1">
      <alignment horizontal="center"/>
      <protection hidden="1"/>
    </xf>
    <xf numFmtId="1" fontId="0" fillId="0" borderId="4" xfId="0" applyNumberFormat="1" applyBorder="1" applyAlignment="1" applyProtection="1">
      <alignment horizontal="center"/>
      <protection hidden="1"/>
    </xf>
    <xf numFmtId="3" fontId="0" fillId="6" borderId="31" xfId="0" applyNumberFormat="1" applyFill="1" applyBorder="1" applyAlignment="1" applyProtection="1">
      <alignment horizontal="left"/>
      <protection hidden="1"/>
    </xf>
    <xf numFmtId="1" fontId="2" fillId="0" borderId="31" xfId="0" applyNumberFormat="1" applyFont="1" applyBorder="1" applyAlignment="1" applyProtection="1">
      <alignment horizontal="left"/>
      <protection hidden="1"/>
    </xf>
    <xf numFmtId="3" fontId="0" fillId="0" borderId="1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3" fontId="0" fillId="0" borderId="15" xfId="0" applyNumberFormat="1" applyBorder="1" applyAlignment="1" applyProtection="1">
      <alignment horizontal="center"/>
      <protection hidden="1"/>
    </xf>
    <xf numFmtId="3" fontId="0" fillId="0" borderId="18" xfId="0" applyNumberFormat="1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20" borderId="14" xfId="0" applyFill="1" applyBorder="1" applyAlignment="1" applyProtection="1">
      <alignment horizontal="center"/>
      <protection hidden="1"/>
    </xf>
    <xf numFmtId="0" fontId="0" fillId="20" borderId="18" xfId="0" applyFill="1" applyBorder="1" applyAlignment="1" applyProtection="1">
      <alignment horizontal="center"/>
      <protection hidden="1"/>
    </xf>
    <xf numFmtId="1" fontId="0" fillId="10" borderId="14" xfId="0" applyNumberFormat="1" applyFill="1" applyBorder="1" applyAlignment="1" applyProtection="1">
      <alignment horizontal="center"/>
      <protection hidden="1"/>
    </xf>
    <xf numFmtId="3" fontId="0" fillId="10" borderId="15" xfId="0" applyNumberFormat="1" applyFill="1" applyBorder="1" applyAlignment="1" applyProtection="1">
      <alignment horizontal="center"/>
      <protection hidden="1"/>
    </xf>
    <xf numFmtId="3" fontId="0" fillId="10" borderId="101" xfId="0" applyNumberFormat="1" applyFill="1" applyBorder="1" applyAlignment="1" applyProtection="1">
      <alignment horizontal="center"/>
      <protection hidden="1"/>
    </xf>
    <xf numFmtId="1" fontId="0" fillId="0" borderId="16" xfId="0" applyNumberFormat="1" applyBorder="1" applyAlignment="1" applyProtection="1">
      <alignment horizontal="center"/>
      <protection hidden="1"/>
    </xf>
    <xf numFmtId="3" fontId="0" fillId="6" borderId="57" xfId="0" applyNumberFormat="1" applyFill="1" applyBorder="1" applyAlignment="1" applyProtection="1">
      <alignment horizontal="left"/>
      <protection hidden="1"/>
    </xf>
    <xf numFmtId="1" fontId="2" fillId="0" borderId="57" xfId="0" applyNumberFormat="1" applyFont="1" applyBorder="1" applyAlignment="1" applyProtection="1">
      <alignment horizontal="left"/>
      <protection hidden="1"/>
    </xf>
    <xf numFmtId="3" fontId="0" fillId="10" borderId="1" xfId="0" applyNumberFormat="1" applyFill="1" applyBorder="1" applyAlignment="1" applyProtection="1">
      <alignment horizontal="center"/>
      <protection hidden="1"/>
    </xf>
    <xf numFmtId="3" fontId="0" fillId="0" borderId="9" xfId="0" applyNumberFormat="1" applyBorder="1" applyAlignment="1" applyProtection="1">
      <alignment horizontal="center"/>
      <protection hidden="1"/>
    </xf>
    <xf numFmtId="0" fontId="0" fillId="0" borderId="97" xfId="0" applyBorder="1" applyAlignment="1" applyProtection="1">
      <alignment horizontal="center"/>
      <protection hidden="1"/>
    </xf>
    <xf numFmtId="3" fontId="0" fillId="0" borderId="35" xfId="0" applyNumberFormat="1" applyBorder="1" applyAlignment="1" applyProtection="1">
      <alignment horizontal="center"/>
      <protection hidden="1"/>
    </xf>
    <xf numFmtId="3" fontId="0" fillId="0" borderId="21" xfId="0" applyNumberFormat="1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20" borderId="34" xfId="0" applyFill="1" applyBorder="1" applyAlignment="1" applyProtection="1">
      <alignment horizontal="center"/>
      <protection hidden="1"/>
    </xf>
    <xf numFmtId="0" fontId="0" fillId="20" borderId="21" xfId="0" applyFill="1" applyBorder="1" applyAlignment="1" applyProtection="1">
      <alignment horizontal="center"/>
      <protection hidden="1"/>
    </xf>
    <xf numFmtId="1" fontId="0" fillId="10" borderId="34" xfId="0" applyNumberFormat="1" applyFill="1" applyBorder="1" applyAlignment="1" applyProtection="1">
      <alignment horizontal="center"/>
      <protection hidden="1"/>
    </xf>
    <xf numFmtId="3" fontId="0" fillId="10" borderId="35" xfId="0" applyNumberFormat="1" applyFill="1" applyBorder="1" applyAlignment="1" applyProtection="1">
      <alignment horizontal="center"/>
      <protection hidden="1"/>
    </xf>
    <xf numFmtId="3" fontId="0" fillId="10" borderId="105" xfId="0" applyNumberFormat="1" applyFill="1" applyBorder="1" applyAlignment="1" applyProtection="1">
      <alignment horizontal="center"/>
      <protection hidden="1"/>
    </xf>
    <xf numFmtId="1" fontId="0" fillId="0" borderId="7" xfId="0" applyNumberFormat="1" applyBorder="1" applyAlignment="1" applyProtection="1">
      <alignment horizontal="center"/>
      <protection hidden="1"/>
    </xf>
    <xf numFmtId="3" fontId="0" fillId="6" borderId="23" xfId="0" applyNumberFormat="1" applyFill="1" applyBorder="1" applyAlignment="1" applyProtection="1">
      <alignment horizontal="left"/>
      <protection hidden="1"/>
    </xf>
    <xf numFmtId="1" fontId="2" fillId="0" borderId="23" xfId="0" applyNumberFormat="1" applyFont="1" applyBorder="1" applyAlignment="1" applyProtection="1">
      <alignment horizontal="left"/>
      <protection hidden="1"/>
    </xf>
    <xf numFmtId="0" fontId="0" fillId="20" borderId="28" xfId="0" applyFill="1" applyBorder="1" applyAlignment="1" applyProtection="1">
      <alignment horizontal="center"/>
      <protection locked="0" hidden="1"/>
    </xf>
    <xf numFmtId="3" fontId="0" fillId="0" borderId="4" xfId="0" applyNumberFormat="1" applyBorder="1" applyAlignment="1" applyProtection="1">
      <alignment horizontal="center"/>
      <protection hidden="1"/>
    </xf>
    <xf numFmtId="164" fontId="0" fillId="0" borderId="32" xfId="0" applyNumberFormat="1" applyBorder="1" applyAlignment="1" applyProtection="1">
      <alignment horizontal="center"/>
      <protection hidden="1"/>
    </xf>
    <xf numFmtId="3" fontId="0" fillId="0" borderId="28" xfId="0" applyNumberFormat="1" applyBorder="1" applyAlignment="1" applyProtection="1">
      <alignment horizontal="center"/>
      <protection hidden="1"/>
    </xf>
    <xf numFmtId="3" fontId="25" fillId="0" borderId="38" xfId="0" applyNumberFormat="1" applyFont="1" applyBorder="1" applyAlignment="1" applyProtection="1">
      <alignment horizontal="left"/>
      <protection hidden="1"/>
    </xf>
    <xf numFmtId="1" fontId="25" fillId="0" borderId="26" xfId="0" applyNumberFormat="1" applyFont="1" applyBorder="1" applyAlignment="1" applyProtection="1">
      <alignment horizontal="left"/>
      <protection hidden="1"/>
    </xf>
    <xf numFmtId="0" fontId="0" fillId="20" borderId="33" xfId="0" applyFill="1" applyBorder="1" applyAlignment="1" applyProtection="1">
      <alignment horizontal="center"/>
      <protection locked="0" hidden="1"/>
    </xf>
    <xf numFmtId="3" fontId="0" fillId="0" borderId="16" xfId="0" applyNumberFormat="1" applyBorder="1" applyAlignment="1" applyProtection="1">
      <alignment horizontal="center"/>
      <protection hidden="1"/>
    </xf>
    <xf numFmtId="164" fontId="0" fillId="0" borderId="102" xfId="0" applyNumberFormat="1" applyBorder="1" applyAlignment="1" applyProtection="1">
      <alignment horizontal="center"/>
      <protection hidden="1"/>
    </xf>
    <xf numFmtId="3" fontId="0" fillId="0" borderId="33" xfId="0" applyNumberFormat="1" applyBorder="1" applyAlignment="1" applyProtection="1">
      <alignment horizontal="center"/>
      <protection hidden="1"/>
    </xf>
    <xf numFmtId="3" fontId="0" fillId="0" borderId="102" xfId="0" applyNumberFormat="1" applyBorder="1" applyAlignment="1" applyProtection="1">
      <alignment horizontal="center"/>
      <protection hidden="1"/>
    </xf>
    <xf numFmtId="3" fontId="25" fillId="6" borderId="57" xfId="0" applyNumberFormat="1" applyFont="1" applyFill="1" applyBorder="1" applyAlignment="1" applyProtection="1">
      <alignment horizontal="left"/>
      <protection hidden="1"/>
    </xf>
    <xf numFmtId="0" fontId="0" fillId="20" borderId="10" xfId="0" applyFill="1" applyBorder="1" applyAlignment="1" applyProtection="1">
      <alignment horizontal="center"/>
      <protection locked="0" hidden="1"/>
    </xf>
    <xf numFmtId="3" fontId="0" fillId="0" borderId="7" xfId="0" applyNumberFormat="1" applyBorder="1" applyAlignment="1" applyProtection="1">
      <alignment horizontal="center"/>
      <protection hidden="1"/>
    </xf>
    <xf numFmtId="164" fontId="0" fillId="0" borderId="104" xfId="0" applyNumberFormat="1" applyBorder="1" applyAlignment="1" applyProtection="1">
      <alignment horizontal="center"/>
      <protection hidden="1"/>
    </xf>
    <xf numFmtId="3" fontId="25" fillId="6" borderId="37" xfId="0" applyNumberFormat="1" applyFont="1" applyFill="1" applyBorder="1" applyAlignment="1" applyProtection="1">
      <alignment horizontal="left"/>
      <protection hidden="1"/>
    </xf>
    <xf numFmtId="1" fontId="25" fillId="0" borderId="21" xfId="0" applyNumberFormat="1" applyFont="1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center"/>
      <protection hidden="1"/>
    </xf>
    <xf numFmtId="3" fontId="9" fillId="20" borderId="31" xfId="0" applyNumberFormat="1" applyFont="1" applyFill="1" applyBorder="1" applyAlignment="1" applyProtection="1">
      <alignment horizontal="center" vertical="center"/>
      <protection locked="0" hidden="1"/>
    </xf>
    <xf numFmtId="3" fontId="9" fillId="20" borderId="55" xfId="0" applyNumberFormat="1" applyFont="1" applyFill="1" applyBorder="1" applyAlignment="1" applyProtection="1">
      <alignment horizontal="center" vertical="center"/>
      <protection locked="0" hidden="1"/>
    </xf>
    <xf numFmtId="0" fontId="9" fillId="20" borderId="4" xfId="0" applyFont="1" applyFill="1" applyBorder="1" applyAlignment="1" applyProtection="1">
      <alignment horizontal="center" vertical="center"/>
      <protection locked="0" hidden="1"/>
    </xf>
    <xf numFmtId="3" fontId="9" fillId="0" borderId="30" xfId="0" applyNumberFormat="1" applyFont="1" applyBorder="1" applyAlignment="1" applyProtection="1">
      <alignment horizontal="center"/>
      <protection hidden="1"/>
    </xf>
    <xf numFmtId="3" fontId="9" fillId="0" borderId="226" xfId="0" applyNumberFormat="1" applyFont="1" applyBorder="1" applyAlignment="1" applyProtection="1">
      <alignment horizontal="center"/>
      <protection hidden="1"/>
    </xf>
    <xf numFmtId="0" fontId="9" fillId="0" borderId="18" xfId="0" applyFont="1" applyBorder="1" applyProtection="1">
      <protection hidden="1"/>
    </xf>
    <xf numFmtId="1" fontId="9" fillId="0" borderId="221" xfId="0" applyNumberFormat="1" applyFont="1" applyBorder="1" applyAlignment="1" applyProtection="1">
      <alignment horizontal="left"/>
      <protection hidden="1"/>
    </xf>
    <xf numFmtId="0" fontId="9" fillId="0" borderId="223" xfId="0" applyFont="1" applyBorder="1" applyAlignment="1" applyProtection="1">
      <alignment horizontal="center" vertical="center"/>
      <protection hidden="1"/>
    </xf>
    <xf numFmtId="1" fontId="9" fillId="0" borderId="225" xfId="0" applyNumberFormat="1" applyFont="1" applyBorder="1" applyAlignment="1" applyProtection="1">
      <alignment horizontal="left"/>
      <protection hidden="1"/>
    </xf>
    <xf numFmtId="167" fontId="1" fillId="6" borderId="226" xfId="0" applyNumberFormat="1" applyFont="1" applyFill="1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3" fontId="9" fillId="20" borderId="57" xfId="0" applyNumberFormat="1" applyFont="1" applyFill="1" applyBorder="1" applyAlignment="1" applyProtection="1">
      <alignment horizontal="center" vertical="center"/>
      <protection locked="0" hidden="1"/>
    </xf>
    <xf numFmtId="3" fontId="9" fillId="20" borderId="56" xfId="0" applyNumberFormat="1" applyFont="1" applyFill="1" applyBorder="1" applyAlignment="1" applyProtection="1">
      <alignment horizontal="center" vertical="center"/>
      <protection locked="0" hidden="1"/>
    </xf>
    <xf numFmtId="0" fontId="9" fillId="20" borderId="14" xfId="0" applyFont="1" applyFill="1" applyBorder="1" applyAlignment="1" applyProtection="1">
      <alignment horizontal="center" vertical="center"/>
      <protection locked="0" hidden="1"/>
    </xf>
    <xf numFmtId="164" fontId="0" fillId="0" borderId="18" xfId="0" applyNumberFormat="1" applyBorder="1" applyAlignment="1" applyProtection="1">
      <alignment horizontal="center"/>
      <protection hidden="1"/>
    </xf>
    <xf numFmtId="3" fontId="9" fillId="0" borderId="11" xfId="0" applyNumberFormat="1" applyFont="1" applyBorder="1" applyAlignment="1" applyProtection="1">
      <alignment horizontal="center"/>
      <protection hidden="1"/>
    </xf>
    <xf numFmtId="3" fontId="9" fillId="0" borderId="162" xfId="0" applyNumberFormat="1" applyFont="1" applyBorder="1" applyAlignment="1" applyProtection="1">
      <alignment horizontal="center"/>
      <protection hidden="1"/>
    </xf>
    <xf numFmtId="1" fontId="9" fillId="0" borderId="161" xfId="0" applyNumberFormat="1" applyFont="1" applyBorder="1" applyAlignment="1" applyProtection="1">
      <alignment horizontal="left"/>
      <protection hidden="1"/>
    </xf>
    <xf numFmtId="167" fontId="1" fillId="6" borderId="56" xfId="0" applyNumberFormat="1" applyFont="1" applyFill="1" applyBorder="1" applyAlignment="1" applyProtection="1">
      <alignment horizontal="center"/>
      <protection hidden="1"/>
    </xf>
    <xf numFmtId="0" fontId="9" fillId="0" borderId="79" xfId="0" applyFont="1" applyBorder="1" applyAlignment="1" applyProtection="1">
      <alignment horizontal="center" vertical="center"/>
      <protection hidden="1"/>
    </xf>
    <xf numFmtId="1" fontId="9" fillId="0" borderId="78" xfId="0" applyNumberFormat="1" applyFont="1" applyBorder="1" applyAlignment="1" applyProtection="1">
      <alignment horizontal="left"/>
      <protection hidden="1"/>
    </xf>
    <xf numFmtId="167" fontId="1" fillId="6" borderId="77" xfId="0" applyNumberFormat="1" applyFont="1" applyFill="1" applyBorder="1" applyAlignment="1" applyProtection="1">
      <alignment horizontal="center"/>
      <protection hidden="1"/>
    </xf>
    <xf numFmtId="0" fontId="9" fillId="0" borderId="208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/>
      <protection hidden="1"/>
    </xf>
    <xf numFmtId="3" fontId="9" fillId="20" borderId="23" xfId="0" applyNumberFormat="1" applyFont="1" applyFill="1" applyBorder="1" applyAlignment="1" applyProtection="1">
      <alignment horizontal="center" vertical="center"/>
      <protection locked="0" hidden="1"/>
    </xf>
    <xf numFmtId="3" fontId="9" fillId="20" borderId="41" xfId="0" applyNumberFormat="1" applyFont="1" applyFill="1" applyBorder="1" applyAlignment="1" applyProtection="1">
      <alignment horizontal="center" vertical="center"/>
      <protection locked="0" hidden="1"/>
    </xf>
    <xf numFmtId="0" fontId="9" fillId="20" borderId="34" xfId="0" applyFont="1" applyFill="1" applyBorder="1" applyAlignment="1" applyProtection="1">
      <alignment horizontal="center" vertical="center"/>
      <protection locked="0" hidden="1"/>
    </xf>
    <xf numFmtId="3" fontId="9" fillId="0" borderId="41" xfId="0" applyNumberFormat="1" applyFont="1" applyBorder="1" applyAlignment="1" applyProtection="1">
      <alignment horizontal="center"/>
      <protection hidden="1"/>
    </xf>
    <xf numFmtId="164" fontId="0" fillId="0" borderId="21" xfId="0" applyNumberFormat="1" applyBorder="1" applyAlignment="1" applyProtection="1">
      <alignment horizontal="center"/>
      <protection hidden="1"/>
    </xf>
    <xf numFmtId="3" fontId="9" fillId="0" borderId="24" xfId="0" applyNumberFormat="1" applyFont="1" applyBorder="1" applyAlignment="1" applyProtection="1">
      <alignment horizontal="center"/>
      <protection hidden="1"/>
    </xf>
    <xf numFmtId="3" fontId="9" fillId="0" borderId="227" xfId="0" applyNumberFormat="1" applyFont="1" applyBorder="1" applyAlignment="1" applyProtection="1">
      <alignment horizontal="center"/>
      <protection hidden="1"/>
    </xf>
    <xf numFmtId="0" fontId="9" fillId="0" borderId="21" xfId="0" applyFont="1" applyBorder="1" applyProtection="1">
      <protection hidden="1"/>
    </xf>
    <xf numFmtId="1" fontId="9" fillId="0" borderId="222" xfId="0" applyNumberFormat="1" applyFont="1" applyBorder="1" applyAlignment="1" applyProtection="1">
      <alignment horizontal="left"/>
      <protection hidden="1"/>
    </xf>
    <xf numFmtId="167" fontId="1" fillId="6" borderId="41" xfId="0" applyNumberFormat="1" applyFont="1" applyFill="1" applyBorder="1" applyAlignment="1" applyProtection="1">
      <alignment horizontal="center"/>
      <protection hidden="1"/>
    </xf>
    <xf numFmtId="0" fontId="9" fillId="0" borderId="224" xfId="0" applyFont="1" applyBorder="1" applyAlignment="1" applyProtection="1">
      <alignment horizontal="center" vertical="center"/>
      <protection hidden="1"/>
    </xf>
    <xf numFmtId="1" fontId="9" fillId="0" borderId="224" xfId="0" applyNumberFormat="1" applyFont="1" applyBorder="1" applyAlignment="1" applyProtection="1">
      <alignment horizontal="left"/>
      <protection hidden="1"/>
    </xf>
    <xf numFmtId="167" fontId="1" fillId="6" borderId="220" xfId="0" applyNumberFormat="1" applyFont="1" applyFill="1" applyBorder="1" applyAlignment="1" applyProtection="1">
      <alignment horizontal="center"/>
      <protection hidden="1"/>
    </xf>
    <xf numFmtId="0" fontId="0" fillId="20" borderId="14" xfId="0" applyFill="1" applyBorder="1" applyAlignment="1" applyProtection="1">
      <alignment horizontal="center"/>
      <protection locked="0" hidden="1"/>
    </xf>
    <xf numFmtId="3" fontId="9" fillId="0" borderId="3" xfId="0" applyNumberFormat="1" applyFont="1" applyBorder="1" applyAlignment="1" applyProtection="1">
      <alignment horizontal="center"/>
      <protection hidden="1"/>
    </xf>
    <xf numFmtId="3" fontId="9" fillId="0" borderId="101" xfId="0" applyNumberFormat="1" applyFont="1" applyBorder="1" applyAlignment="1" applyProtection="1">
      <alignment horizontal="center"/>
      <protection hidden="1"/>
    </xf>
    <xf numFmtId="3" fontId="0" fillId="0" borderId="101" xfId="0" applyNumberFormat="1" applyBorder="1" applyAlignment="1" applyProtection="1">
      <alignment horizontal="center"/>
      <protection hidden="1"/>
    </xf>
    <xf numFmtId="0" fontId="0" fillId="20" borderId="29" xfId="0" applyFill="1" applyBorder="1" applyAlignment="1" applyProtection="1">
      <alignment horizontal="center"/>
      <protection hidden="1"/>
    </xf>
    <xf numFmtId="170" fontId="0" fillId="0" borderId="6" xfId="0" applyNumberFormat="1" applyBorder="1" applyAlignment="1" applyProtection="1">
      <alignment horizontal="center"/>
      <protection hidden="1"/>
    </xf>
    <xf numFmtId="0" fontId="0" fillId="10" borderId="4" xfId="0" applyFill="1" applyBorder="1" applyAlignment="1" applyProtection="1">
      <alignment horizontal="center"/>
      <protection hidden="1"/>
    </xf>
    <xf numFmtId="164" fontId="0" fillId="10" borderId="5" xfId="0" applyNumberFormat="1" applyFill="1" applyBorder="1" applyAlignment="1" applyProtection="1">
      <alignment horizontal="center"/>
      <protection hidden="1"/>
    </xf>
    <xf numFmtId="1" fontId="0" fillId="10" borderId="5" xfId="0" applyNumberFormat="1" applyFill="1" applyBorder="1" applyAlignment="1" applyProtection="1">
      <alignment horizontal="center"/>
      <protection hidden="1"/>
    </xf>
    <xf numFmtId="170" fontId="0" fillId="0" borderId="5" xfId="0" applyNumberFormat="1" applyBorder="1" applyAlignment="1" applyProtection="1">
      <alignment horizontal="center"/>
      <protection hidden="1"/>
    </xf>
    <xf numFmtId="3" fontId="9" fillId="6" borderId="32" xfId="0" applyNumberFormat="1" applyFont="1" applyFill="1" applyBorder="1" applyAlignment="1" applyProtection="1">
      <alignment horizontal="left"/>
      <protection hidden="1"/>
    </xf>
    <xf numFmtId="1" fontId="2" fillId="6" borderId="31" xfId="0" applyNumberFormat="1" applyFont="1" applyFill="1" applyBorder="1" applyAlignment="1" applyProtection="1">
      <alignment horizontal="left"/>
      <protection hidden="1"/>
    </xf>
    <xf numFmtId="0" fontId="0" fillId="20" borderId="7" xfId="0" applyFill="1" applyBorder="1" applyAlignment="1" applyProtection="1">
      <alignment horizontal="center"/>
      <protection locked="0" hidden="1"/>
    </xf>
    <xf numFmtId="3" fontId="0" fillId="0" borderId="24" xfId="0" applyNumberFormat="1" applyBorder="1" applyAlignment="1" applyProtection="1">
      <alignment horizontal="center"/>
      <protection hidden="1"/>
    </xf>
    <xf numFmtId="0" fontId="0" fillId="20" borderId="12" xfId="0" applyFill="1" applyBorder="1" applyAlignment="1" applyProtection="1">
      <alignment horizontal="center"/>
      <protection hidden="1"/>
    </xf>
    <xf numFmtId="170" fontId="0" fillId="0" borderId="9" xfId="0" applyNumberFormat="1" applyBorder="1" applyAlignment="1" applyProtection="1">
      <alignment horizontal="center"/>
      <protection hidden="1"/>
    </xf>
    <xf numFmtId="3" fontId="9" fillId="0" borderId="70" xfId="0" applyNumberFormat="1" applyFont="1" applyBorder="1" applyAlignment="1" applyProtection="1">
      <alignment horizontal="center"/>
      <protection hidden="1"/>
    </xf>
    <xf numFmtId="0" fontId="0" fillId="20" borderId="7" xfId="0" applyFill="1" applyBorder="1" applyAlignment="1" applyProtection="1">
      <alignment horizontal="center"/>
      <protection hidden="1"/>
    </xf>
    <xf numFmtId="0" fontId="0" fillId="10" borderId="7" xfId="0" applyFill="1" applyBorder="1" applyAlignment="1" applyProtection="1">
      <alignment horizontal="center"/>
      <protection hidden="1"/>
    </xf>
    <xf numFmtId="164" fontId="0" fillId="10" borderId="8" xfId="0" applyNumberFormat="1" applyFill="1" applyBorder="1" applyAlignment="1" applyProtection="1">
      <alignment horizontal="center"/>
      <protection hidden="1"/>
    </xf>
    <xf numFmtId="1" fontId="0" fillId="10" borderId="8" xfId="0" applyNumberFormat="1" applyFill="1" applyBorder="1" applyAlignment="1" applyProtection="1">
      <alignment horizontal="center"/>
      <protection hidden="1"/>
    </xf>
    <xf numFmtId="1" fontId="9" fillId="10" borderId="104" xfId="0" applyNumberFormat="1" applyFont="1" applyFill="1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170" fontId="0" fillId="0" borderId="8" xfId="0" applyNumberFormat="1" applyBorder="1" applyAlignment="1" applyProtection="1">
      <alignment horizontal="center"/>
      <protection hidden="1"/>
    </xf>
    <xf numFmtId="3" fontId="9" fillId="6" borderId="104" xfId="0" applyNumberFormat="1" applyFont="1" applyFill="1" applyBorder="1" applyAlignment="1" applyProtection="1">
      <alignment horizontal="left"/>
      <protection hidden="1"/>
    </xf>
    <xf numFmtId="1" fontId="2" fillId="6" borderId="23" xfId="0" applyNumberFormat="1" applyFont="1" applyFill="1" applyBorder="1" applyAlignment="1" applyProtection="1">
      <alignment horizontal="left"/>
      <protection hidden="1"/>
    </xf>
    <xf numFmtId="3" fontId="0" fillId="0" borderId="44" xfId="0" applyNumberFormat="1" applyBorder="1" applyAlignment="1" applyProtection="1">
      <alignment horizontal="center"/>
      <protection hidden="1"/>
    </xf>
    <xf numFmtId="0" fontId="0" fillId="20" borderId="13" xfId="0" applyFill="1" applyBorder="1" applyAlignment="1" applyProtection="1">
      <alignment horizontal="center"/>
      <protection hidden="1"/>
    </xf>
    <xf numFmtId="170" fontId="0" fillId="0" borderId="15" xfId="0" applyNumberFormat="1" applyBorder="1" applyAlignment="1" applyProtection="1">
      <alignment horizontal="center"/>
      <protection hidden="1"/>
    </xf>
    <xf numFmtId="0" fontId="0" fillId="10" borderId="14" xfId="0" applyFill="1" applyBorder="1" applyAlignment="1" applyProtection="1">
      <alignment horizontal="center"/>
      <protection hidden="1"/>
    </xf>
    <xf numFmtId="164" fontId="0" fillId="10" borderId="3" xfId="0" applyNumberFormat="1" applyFill="1" applyBorder="1" applyAlignment="1" applyProtection="1">
      <alignment horizontal="center"/>
      <protection hidden="1"/>
    </xf>
    <xf numFmtId="1" fontId="0" fillId="10" borderId="3" xfId="0" applyNumberFormat="1" applyFill="1" applyBorder="1" applyAlignment="1" applyProtection="1">
      <alignment horizontal="center"/>
      <protection hidden="1"/>
    </xf>
    <xf numFmtId="3" fontId="9" fillId="6" borderId="18" xfId="0" applyNumberFormat="1" applyFont="1" applyFill="1" applyBorder="1" applyAlignment="1" applyProtection="1">
      <alignment horizontal="left"/>
      <protection hidden="1"/>
    </xf>
    <xf numFmtId="167" fontId="1" fillId="6" borderId="173" xfId="0" applyNumberFormat="1" applyFont="1" applyFill="1" applyBorder="1" applyAlignment="1" applyProtection="1">
      <alignment horizontal="center"/>
      <protection hidden="1"/>
    </xf>
    <xf numFmtId="0" fontId="0" fillId="20" borderId="16" xfId="0" applyFill="1" applyBorder="1" applyAlignment="1" applyProtection="1">
      <alignment horizontal="center"/>
      <protection locked="0" hidden="1"/>
    </xf>
    <xf numFmtId="3" fontId="0" fillId="0" borderId="11" xfId="0" applyNumberFormat="1" applyBorder="1" applyAlignment="1" applyProtection="1">
      <alignment horizontal="center"/>
      <protection hidden="1"/>
    </xf>
    <xf numFmtId="0" fontId="0" fillId="10" borderId="16" xfId="0" applyFill="1" applyBorder="1" applyAlignment="1" applyProtection="1">
      <alignment horizontal="center"/>
      <protection hidden="1"/>
    </xf>
    <xf numFmtId="164" fontId="0" fillId="10" borderId="2" xfId="0" applyNumberFormat="1" applyFill="1" applyBorder="1" applyAlignment="1" applyProtection="1">
      <alignment horizontal="center"/>
      <protection hidden="1"/>
    </xf>
    <xf numFmtId="1" fontId="0" fillId="10" borderId="2" xfId="0" applyNumberFormat="1" applyFill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170" fontId="0" fillId="0" borderId="2" xfId="0" applyNumberFormat="1" applyBorder="1" applyAlignment="1" applyProtection="1">
      <alignment horizontal="center"/>
      <protection hidden="1"/>
    </xf>
    <xf numFmtId="3" fontId="9" fillId="6" borderId="102" xfId="0" applyNumberFormat="1" applyFont="1" applyFill="1" applyBorder="1" applyAlignment="1" applyProtection="1">
      <alignment horizontal="left"/>
      <protection hidden="1"/>
    </xf>
    <xf numFmtId="1" fontId="2" fillId="6" borderId="57" xfId="0" applyNumberFormat="1" applyFont="1" applyFill="1" applyBorder="1" applyAlignment="1" applyProtection="1">
      <alignment horizontal="left"/>
      <protection hidden="1"/>
    </xf>
    <xf numFmtId="0" fontId="0" fillId="20" borderId="49" xfId="0" applyFill="1" applyBorder="1" applyAlignment="1" applyProtection="1">
      <alignment horizontal="center"/>
      <protection locked="0" hidden="1"/>
    </xf>
    <xf numFmtId="3" fontId="9" fillId="0" borderId="44" xfId="0" applyNumberFormat="1" applyFont="1" applyBorder="1" applyAlignment="1" applyProtection="1">
      <alignment horizontal="center"/>
      <protection hidden="1"/>
    </xf>
    <xf numFmtId="3" fontId="9" fillId="0" borderId="58" xfId="0" applyNumberFormat="1" applyFont="1" applyBorder="1" applyAlignment="1" applyProtection="1">
      <alignment horizontal="center"/>
      <protection hidden="1"/>
    </xf>
    <xf numFmtId="3" fontId="0" fillId="0" borderId="58" xfId="0" applyNumberFormat="1" applyBorder="1" applyAlignment="1" applyProtection="1">
      <alignment horizontal="center"/>
      <protection hidden="1"/>
    </xf>
    <xf numFmtId="3" fontId="0" fillId="0" borderId="50" xfId="0" applyNumberFormat="1" applyBorder="1" applyAlignment="1" applyProtection="1">
      <alignment horizontal="center"/>
      <protection hidden="1"/>
    </xf>
    <xf numFmtId="0" fontId="0" fillId="20" borderId="47" xfId="0" applyFill="1" applyBorder="1" applyAlignment="1" applyProtection="1">
      <alignment horizontal="center"/>
      <protection hidden="1"/>
    </xf>
    <xf numFmtId="170" fontId="0" fillId="0" borderId="46" xfId="0" applyNumberFormat="1" applyBorder="1" applyAlignment="1" applyProtection="1">
      <alignment horizontal="center"/>
      <protection hidden="1"/>
    </xf>
    <xf numFmtId="3" fontId="9" fillId="0" borderId="43" xfId="0" applyNumberFormat="1" applyFont="1" applyBorder="1" applyAlignment="1" applyProtection="1">
      <alignment horizontal="center"/>
      <protection hidden="1"/>
    </xf>
    <xf numFmtId="0" fontId="0" fillId="20" borderId="103" xfId="0" applyFill="1" applyBorder="1" applyAlignment="1" applyProtection="1">
      <alignment horizontal="center"/>
      <protection hidden="1"/>
    </xf>
    <xf numFmtId="0" fontId="0" fillId="10" borderId="49" xfId="0" applyFill="1" applyBorder="1" applyAlignment="1" applyProtection="1">
      <alignment horizontal="center"/>
      <protection hidden="1"/>
    </xf>
    <xf numFmtId="164" fontId="0" fillId="10" borderId="44" xfId="0" applyNumberFormat="1" applyFill="1" applyBorder="1" applyAlignment="1" applyProtection="1">
      <alignment horizontal="center"/>
      <protection hidden="1"/>
    </xf>
    <xf numFmtId="1" fontId="0" fillId="10" borderId="44" xfId="0" applyNumberFormat="1" applyFill="1" applyBorder="1" applyAlignment="1" applyProtection="1">
      <alignment horizontal="center"/>
      <protection hidden="1"/>
    </xf>
    <xf numFmtId="1" fontId="9" fillId="10" borderId="0" xfId="0" applyNumberFormat="1" applyFont="1" applyFill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3" fontId="9" fillId="0" borderId="50" xfId="0" applyNumberFormat="1" applyFont="1" applyBorder="1" applyAlignment="1" applyProtection="1">
      <alignment horizontal="center"/>
      <protection hidden="1"/>
    </xf>
    <xf numFmtId="3" fontId="9" fillId="6" borderId="107" xfId="0" applyNumberFormat="1" applyFont="1" applyFill="1" applyBorder="1" applyAlignment="1" applyProtection="1">
      <alignment horizontal="left"/>
      <protection hidden="1"/>
    </xf>
    <xf numFmtId="167" fontId="1" fillId="6" borderId="43" xfId="0" applyNumberFormat="1" applyFont="1" applyFill="1" applyBorder="1" applyAlignment="1" applyProtection="1">
      <alignment horizontal="center"/>
      <protection hidden="1"/>
    </xf>
    <xf numFmtId="167" fontId="1" fillId="6" borderId="51" xfId="0" applyNumberFormat="1" applyFont="1" applyFill="1" applyBorder="1" applyAlignment="1" applyProtection="1">
      <alignment horizontal="center"/>
      <protection hidden="1"/>
    </xf>
    <xf numFmtId="167" fontId="1" fillId="6" borderId="209" xfId="0" applyNumberFormat="1" applyFont="1" applyFill="1" applyBorder="1" applyAlignment="1" applyProtection="1">
      <alignment horizontal="center"/>
      <protection hidden="1"/>
    </xf>
    <xf numFmtId="0" fontId="0" fillId="20" borderId="97" xfId="0" applyFill="1" applyBorder="1" applyAlignment="1" applyProtection="1">
      <alignment horizontal="center"/>
      <protection hidden="1"/>
    </xf>
    <xf numFmtId="170" fontId="0" fillId="0" borderId="35" xfId="0" applyNumberFormat="1" applyBorder="1" applyAlignment="1" applyProtection="1">
      <alignment horizontal="center"/>
      <protection hidden="1"/>
    </xf>
    <xf numFmtId="1" fontId="9" fillId="10" borderId="21" xfId="0" applyNumberFormat="1" applyFont="1" applyFill="1" applyBorder="1" applyAlignment="1" applyProtection="1">
      <alignment horizontal="center"/>
      <protection hidden="1"/>
    </xf>
    <xf numFmtId="167" fontId="1" fillId="6" borderId="211" xfId="0" applyNumberFormat="1" applyFont="1" applyFill="1" applyBorder="1" applyAlignment="1" applyProtection="1">
      <alignment horizontal="center"/>
      <protection hidden="1"/>
    </xf>
    <xf numFmtId="170" fontId="0" fillId="0" borderId="3" xfId="0" applyNumberFormat="1" applyBorder="1" applyAlignment="1" applyProtection="1">
      <alignment horizontal="center"/>
      <protection hidden="1"/>
    </xf>
    <xf numFmtId="3" fontId="9" fillId="0" borderId="15" xfId="0" applyNumberFormat="1" applyFont="1" applyBorder="1" applyAlignment="1" applyProtection="1">
      <alignment horizontal="center"/>
      <protection hidden="1"/>
    </xf>
    <xf numFmtId="1" fontId="2" fillId="6" borderId="3" xfId="0" applyNumberFormat="1" applyFont="1" applyFill="1" applyBorder="1" applyAlignment="1" applyProtection="1">
      <alignment horizontal="left"/>
      <protection hidden="1"/>
    </xf>
    <xf numFmtId="1" fontId="2" fillId="6" borderId="2" xfId="0" applyNumberFormat="1" applyFont="1" applyFill="1" applyBorder="1" applyAlignment="1" applyProtection="1">
      <alignment horizontal="left"/>
      <protection hidden="1"/>
    </xf>
    <xf numFmtId="0" fontId="0" fillId="20" borderId="175" xfId="0" applyFill="1" applyBorder="1" applyAlignment="1" applyProtection="1">
      <alignment horizontal="center"/>
      <protection locked="0" hidden="1"/>
    </xf>
    <xf numFmtId="3" fontId="0" fillId="0" borderId="167" xfId="0" applyNumberFormat="1" applyBorder="1" applyAlignment="1" applyProtection="1">
      <alignment horizontal="center"/>
      <protection hidden="1"/>
    </xf>
    <xf numFmtId="3" fontId="9" fillId="0" borderId="167" xfId="0" applyNumberFormat="1" applyFont="1" applyBorder="1" applyAlignment="1" applyProtection="1">
      <alignment horizontal="center"/>
      <protection hidden="1"/>
    </xf>
    <xf numFmtId="3" fontId="9" fillId="0" borderId="176" xfId="0" applyNumberFormat="1" applyFont="1" applyBorder="1" applyAlignment="1" applyProtection="1">
      <alignment horizontal="center"/>
      <protection hidden="1"/>
    </xf>
    <xf numFmtId="3" fontId="0" fillId="0" borderId="176" xfId="0" applyNumberFormat="1" applyBorder="1" applyAlignment="1" applyProtection="1">
      <alignment horizontal="center"/>
      <protection hidden="1"/>
    </xf>
    <xf numFmtId="3" fontId="0" fillId="0" borderId="177" xfId="0" applyNumberFormat="1" applyBorder="1" applyAlignment="1" applyProtection="1">
      <alignment horizontal="center"/>
      <protection hidden="1"/>
    </xf>
    <xf numFmtId="0" fontId="0" fillId="20" borderId="178" xfId="0" applyFill="1" applyBorder="1" applyAlignment="1" applyProtection="1">
      <alignment horizontal="center"/>
      <protection hidden="1"/>
    </xf>
    <xf numFmtId="170" fontId="0" fillId="0" borderId="82" xfId="0" applyNumberFormat="1" applyBorder="1" applyAlignment="1" applyProtection="1">
      <alignment horizontal="center"/>
      <protection hidden="1"/>
    </xf>
    <xf numFmtId="3" fontId="9" fillId="0" borderId="139" xfId="0" applyNumberFormat="1" applyFont="1" applyBorder="1" applyAlignment="1" applyProtection="1">
      <alignment horizontal="center"/>
      <protection hidden="1"/>
    </xf>
    <xf numFmtId="0" fontId="0" fillId="20" borderId="81" xfId="0" applyFill="1" applyBorder="1" applyAlignment="1" applyProtection="1">
      <alignment horizontal="center"/>
      <protection hidden="1"/>
    </xf>
    <xf numFmtId="0" fontId="0" fillId="10" borderId="175" xfId="0" applyFill="1" applyBorder="1" applyAlignment="1" applyProtection="1">
      <alignment horizontal="center"/>
      <protection hidden="1"/>
    </xf>
    <xf numFmtId="164" fontId="0" fillId="10" borderId="167" xfId="0" applyNumberFormat="1" applyFill="1" applyBorder="1" applyAlignment="1" applyProtection="1">
      <alignment horizontal="center"/>
      <protection hidden="1"/>
    </xf>
    <xf numFmtId="1" fontId="0" fillId="10" borderId="167" xfId="0" applyNumberFormat="1" applyFill="1" applyBorder="1" applyAlignment="1" applyProtection="1">
      <alignment horizontal="center"/>
      <protection hidden="1"/>
    </xf>
    <xf numFmtId="1" fontId="9" fillId="10" borderId="73" xfId="0" applyNumberFormat="1" applyFont="1" applyFill="1" applyBorder="1" applyAlignment="1" applyProtection="1">
      <alignment horizontal="center"/>
      <protection hidden="1"/>
    </xf>
    <xf numFmtId="170" fontId="0" fillId="0" borderId="44" xfId="0" applyNumberFormat="1" applyBorder="1" applyAlignment="1" applyProtection="1">
      <alignment horizontal="center"/>
      <protection hidden="1"/>
    </xf>
    <xf numFmtId="3" fontId="9" fillId="6" borderId="236" xfId="0" applyNumberFormat="1" applyFont="1" applyFill="1" applyBorder="1" applyAlignment="1" applyProtection="1">
      <alignment horizontal="left"/>
      <protection hidden="1"/>
    </xf>
    <xf numFmtId="1" fontId="2" fillId="6" borderId="44" xfId="0" applyNumberFormat="1" applyFont="1" applyFill="1" applyBorder="1" applyAlignment="1" applyProtection="1">
      <alignment horizontal="left"/>
      <protection hidden="1"/>
    </xf>
    <xf numFmtId="167" fontId="1" fillId="6" borderId="139" xfId="0" applyNumberFormat="1" applyFont="1" applyFill="1" applyBorder="1" applyAlignment="1" applyProtection="1">
      <alignment horizontal="center"/>
      <protection hidden="1"/>
    </xf>
    <xf numFmtId="167" fontId="1" fillId="6" borderId="137" xfId="0" applyNumberFormat="1" applyFont="1" applyFill="1" applyBorder="1" applyAlignment="1" applyProtection="1">
      <alignment horizontal="center"/>
      <protection hidden="1"/>
    </xf>
    <xf numFmtId="167" fontId="1" fillId="6" borderId="179" xfId="0" applyNumberFormat="1" applyFont="1" applyFill="1" applyBorder="1" applyAlignment="1" applyProtection="1">
      <alignment horizontal="center"/>
      <protection hidden="1"/>
    </xf>
    <xf numFmtId="0" fontId="0" fillId="0" borderId="143" xfId="0" applyBorder="1" applyAlignment="1" applyProtection="1">
      <alignment horizontal="center" vertical="center" wrapText="1"/>
      <protection hidden="1"/>
    </xf>
    <xf numFmtId="0" fontId="0" fillId="0" borderId="86" xfId="0" applyBorder="1" applyAlignment="1" applyProtection="1">
      <alignment horizontal="center" vertical="center" wrapText="1"/>
      <protection hidden="1"/>
    </xf>
    <xf numFmtId="0" fontId="0" fillId="0" borderId="87" xfId="0" applyBorder="1" applyAlignment="1" applyProtection="1">
      <alignment horizontal="center" vertical="center"/>
      <protection hidden="1"/>
    </xf>
    <xf numFmtId="0" fontId="0" fillId="0" borderId="86" xfId="0" applyBorder="1" applyAlignment="1" applyProtection="1">
      <alignment horizontal="center" vertical="center"/>
      <protection hidden="1"/>
    </xf>
    <xf numFmtId="1" fontId="0" fillId="0" borderId="204" xfId="0" applyNumberFormat="1" applyBorder="1" applyAlignment="1" applyProtection="1">
      <alignment horizontal="center" vertical="center" wrapText="1"/>
      <protection hidden="1"/>
    </xf>
    <xf numFmtId="1" fontId="0" fillId="0" borderId="86" xfId="0" applyNumberFormat="1" applyBorder="1" applyAlignment="1" applyProtection="1">
      <alignment horizontal="left" vertical="center"/>
      <protection hidden="1"/>
    </xf>
    <xf numFmtId="0" fontId="1" fillId="0" borderId="120" xfId="0" applyFont="1" applyBorder="1" applyAlignment="1" applyProtection="1">
      <alignment horizontal="center" vertical="center"/>
      <protection hidden="1"/>
    </xf>
    <xf numFmtId="167" fontId="1" fillId="6" borderId="205" xfId="0" applyNumberFormat="1" applyFont="1" applyFill="1" applyBorder="1" applyAlignment="1" applyProtection="1">
      <alignment horizontal="center"/>
      <protection hidden="1"/>
    </xf>
    <xf numFmtId="0" fontId="0" fillId="0" borderId="116" xfId="0" applyBorder="1" applyAlignment="1" applyProtection="1">
      <alignment horizontal="center" vertical="center" wrapText="1"/>
      <protection hidden="1"/>
    </xf>
    <xf numFmtId="0" fontId="0" fillId="0" borderId="71" xfId="0" applyBorder="1" applyAlignment="1" applyProtection="1">
      <alignment horizontal="center" vertical="center" wrapText="1"/>
      <protection hidden="1"/>
    </xf>
    <xf numFmtId="0" fontId="0" fillId="0" borderId="74" xfId="0" applyBorder="1" applyAlignment="1" applyProtection="1">
      <alignment horizontal="center" vertical="center"/>
      <protection hidden="1"/>
    </xf>
    <xf numFmtId="0" fontId="0" fillId="0" borderId="71" xfId="0" applyBorder="1" applyAlignment="1" applyProtection="1">
      <alignment horizontal="center" vertical="center"/>
      <protection hidden="1"/>
    </xf>
    <xf numFmtId="1" fontId="0" fillId="0" borderId="161" xfId="0" applyNumberFormat="1" applyBorder="1" applyAlignment="1" applyProtection="1">
      <alignment horizontal="center" vertical="center" wrapText="1"/>
      <protection hidden="1"/>
    </xf>
    <xf numFmtId="1" fontId="0" fillId="0" borderId="71" xfId="0" applyNumberFormat="1" applyBorder="1" applyAlignment="1" applyProtection="1">
      <alignment horizontal="left" vertical="center"/>
      <protection hidden="1"/>
    </xf>
    <xf numFmtId="0" fontId="1" fillId="0" borderId="75" xfId="0" applyFont="1" applyBorder="1" applyAlignment="1" applyProtection="1">
      <alignment horizontal="center" vertical="center"/>
      <protection hidden="1"/>
    </xf>
    <xf numFmtId="167" fontId="1" fillId="6" borderId="206" xfId="0" applyNumberFormat="1" applyFont="1" applyFill="1" applyBorder="1" applyAlignment="1" applyProtection="1">
      <alignment horizontal="center"/>
      <protection hidden="1"/>
    </xf>
    <xf numFmtId="0" fontId="0" fillId="0" borderId="197" xfId="0" applyBorder="1" applyAlignment="1" applyProtection="1">
      <alignment horizontal="center" vertical="center" wrapText="1"/>
      <protection hidden="1"/>
    </xf>
    <xf numFmtId="0" fontId="0" fillId="0" borderId="142" xfId="0" applyBorder="1" applyAlignment="1" applyProtection="1">
      <alignment horizontal="center" vertical="center" wrapText="1"/>
      <protection hidden="1"/>
    </xf>
    <xf numFmtId="0" fontId="0" fillId="0" borderId="76" xfId="0" applyBorder="1" applyAlignment="1" applyProtection="1">
      <alignment horizontal="center" vertical="center"/>
      <protection hidden="1"/>
    </xf>
    <xf numFmtId="0" fontId="0" fillId="0" borderId="142" xfId="0" applyBorder="1" applyAlignment="1" applyProtection="1">
      <alignment horizontal="center" vertical="center"/>
      <protection hidden="1"/>
    </xf>
    <xf numFmtId="1" fontId="0" fillId="0" borderId="217" xfId="0" applyNumberFormat="1" applyBorder="1" applyAlignment="1" applyProtection="1">
      <alignment horizontal="center" vertical="center" wrapText="1"/>
      <protection hidden="1"/>
    </xf>
    <xf numFmtId="1" fontId="0" fillId="0" borderId="76" xfId="0" applyNumberFormat="1" applyBorder="1" applyAlignment="1" applyProtection="1">
      <alignment horizontal="left" vertical="center"/>
      <protection hidden="1"/>
    </xf>
    <xf numFmtId="0" fontId="1" fillId="0" borderId="141" xfId="0" applyFont="1" applyBorder="1" applyAlignment="1" applyProtection="1">
      <alignment horizontal="center" vertical="center"/>
      <protection hidden="1"/>
    </xf>
    <xf numFmtId="1" fontId="0" fillId="0" borderId="212" xfId="0" applyNumberFormat="1" applyBorder="1" applyAlignment="1" applyProtection="1">
      <alignment horizontal="center" vertical="center" wrapText="1"/>
      <protection hidden="1"/>
    </xf>
    <xf numFmtId="1" fontId="0" fillId="0" borderId="74" xfId="0" applyNumberFormat="1" applyBorder="1" applyAlignment="1" applyProtection="1">
      <alignment horizontal="left" vertical="center"/>
      <protection hidden="1"/>
    </xf>
    <xf numFmtId="3" fontId="9" fillId="0" borderId="18" xfId="0" applyNumberFormat="1" applyFont="1" applyBorder="1" applyAlignment="1" applyProtection="1">
      <alignment horizontal="center"/>
      <protection hidden="1"/>
    </xf>
    <xf numFmtId="164" fontId="0" fillId="0" borderId="13" xfId="0" applyNumberFormat="1" applyBorder="1" applyAlignment="1" applyProtection="1">
      <alignment horizontal="center"/>
      <protection hidden="1"/>
    </xf>
    <xf numFmtId="164" fontId="0" fillId="0" borderId="3" xfId="0" applyNumberFormat="1" applyBorder="1" applyAlignment="1" applyProtection="1">
      <alignment horizontal="center"/>
      <protection hidden="1"/>
    </xf>
    <xf numFmtId="164" fontId="0" fillId="0" borderId="101" xfId="0" applyNumberFormat="1" applyBorder="1" applyAlignment="1" applyProtection="1">
      <alignment horizontal="center"/>
      <protection hidden="1"/>
    </xf>
    <xf numFmtId="0" fontId="9" fillId="0" borderId="77" xfId="0" applyFont="1" applyBorder="1" applyAlignment="1" applyProtection="1">
      <alignment horizontal="center"/>
      <protection hidden="1"/>
    </xf>
    <xf numFmtId="1" fontId="2" fillId="0" borderId="18" xfId="0" applyNumberFormat="1" applyFont="1" applyBorder="1" applyAlignment="1" applyProtection="1">
      <alignment horizontal="left"/>
      <protection hidden="1"/>
    </xf>
    <xf numFmtId="167" fontId="1" fillId="6" borderId="18" xfId="0" applyNumberFormat="1" applyFont="1" applyFill="1" applyBorder="1" applyAlignment="1" applyProtection="1">
      <alignment horizontal="center"/>
      <protection hidden="1"/>
    </xf>
    <xf numFmtId="3" fontId="9" fillId="0" borderId="102" xfId="0" applyNumberFormat="1" applyFont="1" applyBorder="1" applyAlignment="1" applyProtection="1">
      <alignment horizontal="center"/>
      <protection hidden="1"/>
    </xf>
    <xf numFmtId="164" fontId="0" fillId="0" borderId="53" xfId="0" applyNumberFormat="1" applyBorder="1" applyAlignment="1" applyProtection="1">
      <alignment horizontal="center"/>
      <protection hidden="1"/>
    </xf>
    <xf numFmtId="164" fontId="0" fillId="0" borderId="2" xfId="0" applyNumberFormat="1" applyBorder="1" applyAlignment="1" applyProtection="1">
      <alignment horizontal="center"/>
      <protection hidden="1"/>
    </xf>
    <xf numFmtId="164" fontId="0" fillId="0" borderId="11" xfId="0" applyNumberFormat="1" applyBorder="1" applyAlignment="1" applyProtection="1">
      <alignment horizontal="center"/>
      <protection hidden="1"/>
    </xf>
    <xf numFmtId="0" fontId="9" fillId="0" borderId="162" xfId="0" applyFont="1" applyBorder="1" applyAlignment="1" applyProtection="1">
      <alignment horizontal="center"/>
      <protection hidden="1"/>
    </xf>
    <xf numFmtId="1" fontId="2" fillId="0" borderId="102" xfId="0" applyNumberFormat="1" applyFont="1" applyBorder="1" applyAlignment="1" applyProtection="1">
      <alignment horizontal="left"/>
      <protection hidden="1"/>
    </xf>
    <xf numFmtId="167" fontId="1" fillId="6" borderId="102" xfId="0" applyNumberFormat="1" applyFont="1" applyFill="1" applyBorder="1" applyAlignment="1" applyProtection="1">
      <alignment horizontal="center"/>
      <protection hidden="1"/>
    </xf>
    <xf numFmtId="167" fontId="1" fillId="6" borderId="207" xfId="0" applyNumberFormat="1" applyFont="1" applyFill="1" applyBorder="1" applyAlignment="1" applyProtection="1">
      <alignment horizontal="center"/>
      <protection hidden="1"/>
    </xf>
    <xf numFmtId="3" fontId="9" fillId="0" borderId="104" xfId="0" applyNumberFormat="1" applyFont="1" applyBorder="1" applyAlignment="1" applyProtection="1">
      <alignment horizontal="center"/>
      <protection hidden="1"/>
    </xf>
    <xf numFmtId="164" fontId="0" fillId="0" borderId="98" xfId="0" applyNumberFormat="1" applyBorder="1" applyAlignment="1" applyProtection="1">
      <alignment horizontal="center"/>
      <protection hidden="1"/>
    </xf>
    <xf numFmtId="164" fontId="0" fillId="0" borderId="44" xfId="0" applyNumberFormat="1" applyBorder="1" applyAlignment="1" applyProtection="1">
      <alignment horizontal="center"/>
      <protection hidden="1"/>
    </xf>
    <xf numFmtId="164" fontId="0" fillId="0" borderId="58" xfId="0" applyNumberFormat="1" applyBorder="1" applyAlignment="1" applyProtection="1">
      <alignment horizontal="center"/>
      <protection hidden="1"/>
    </xf>
    <xf numFmtId="0" fontId="9" fillId="0" borderId="228" xfId="0" applyFont="1" applyBorder="1" applyAlignment="1" applyProtection="1">
      <alignment horizontal="center"/>
      <protection hidden="1"/>
    </xf>
    <xf numFmtId="1" fontId="2" fillId="0" borderId="107" xfId="0" applyNumberFormat="1" applyFont="1" applyBorder="1" applyAlignment="1" applyProtection="1">
      <alignment horizontal="left"/>
      <protection hidden="1"/>
    </xf>
    <xf numFmtId="167" fontId="1" fillId="6" borderId="95" xfId="0" applyNumberFormat="1" applyFont="1" applyFill="1" applyBorder="1" applyAlignment="1" applyProtection="1">
      <alignment horizontal="center"/>
      <protection hidden="1"/>
    </xf>
    <xf numFmtId="167" fontId="1" fillId="6" borderId="107" xfId="0" applyNumberFormat="1" applyFont="1" applyFill="1" applyBorder="1" applyAlignment="1" applyProtection="1">
      <alignment horizontal="center"/>
      <protection hidden="1"/>
    </xf>
    <xf numFmtId="167" fontId="1" fillId="6" borderId="229" xfId="0" applyNumberFormat="1" applyFont="1" applyFill="1" applyBorder="1" applyAlignment="1" applyProtection="1">
      <alignment horizontal="center"/>
      <protection hidden="1"/>
    </xf>
    <xf numFmtId="164" fontId="0" fillId="0" borderId="29" xfId="0" applyNumberFormat="1" applyBorder="1" applyAlignment="1" applyProtection="1">
      <alignment horizontal="center"/>
      <protection hidden="1"/>
    </xf>
    <xf numFmtId="164" fontId="0" fillId="0" borderId="5" xfId="0" applyNumberFormat="1" applyBorder="1" applyAlignment="1" applyProtection="1">
      <alignment horizontal="center"/>
      <protection hidden="1"/>
    </xf>
    <xf numFmtId="164" fontId="0" fillId="0" borderId="30" xfId="0" applyNumberFormat="1" applyBorder="1" applyAlignment="1" applyProtection="1">
      <alignment horizontal="center"/>
      <protection hidden="1"/>
    </xf>
    <xf numFmtId="0" fontId="9" fillId="0" borderId="31" xfId="0" applyFont="1" applyBorder="1" applyAlignment="1" applyProtection="1">
      <alignment horizontal="center"/>
      <protection hidden="1"/>
    </xf>
    <xf numFmtId="167" fontId="1" fillId="6" borderId="29" xfId="0" applyNumberFormat="1" applyFont="1" applyFill="1" applyBorder="1" applyAlignment="1" applyProtection="1">
      <alignment horizontal="center"/>
      <protection hidden="1"/>
    </xf>
    <xf numFmtId="167" fontId="1" fillId="6" borderId="6" xfId="0" applyNumberFormat="1" applyFont="1" applyFill="1" applyBorder="1" applyAlignment="1" applyProtection="1">
      <alignment horizontal="center"/>
      <protection hidden="1"/>
    </xf>
    <xf numFmtId="0" fontId="9" fillId="0" borderId="57" xfId="0" applyFont="1" applyBorder="1" applyAlignment="1" applyProtection="1">
      <alignment horizontal="center"/>
      <protection hidden="1"/>
    </xf>
    <xf numFmtId="167" fontId="1" fillId="6" borderId="53" xfId="0" applyNumberFormat="1" applyFont="1" applyFill="1" applyBorder="1" applyAlignment="1" applyProtection="1">
      <alignment horizontal="center"/>
      <protection hidden="1"/>
    </xf>
    <xf numFmtId="167" fontId="1" fillId="6" borderId="1" xfId="0" applyNumberFormat="1" applyFont="1" applyFill="1" applyBorder="1" applyAlignment="1" applyProtection="1">
      <alignment horizontal="center"/>
      <protection hidden="1"/>
    </xf>
    <xf numFmtId="164" fontId="0" fillId="0" borderId="12" xfId="0" applyNumberFormat="1" applyBorder="1" applyAlignment="1" applyProtection="1">
      <alignment horizontal="center"/>
      <protection hidden="1"/>
    </xf>
    <xf numFmtId="164" fontId="0" fillId="0" borderId="8" xfId="0" applyNumberFormat="1" applyBorder="1" applyAlignment="1" applyProtection="1">
      <alignment horizontal="center"/>
      <protection hidden="1"/>
    </xf>
    <xf numFmtId="164" fontId="0" fillId="0" borderId="24" xfId="0" applyNumberFormat="1" applyBorder="1" applyAlignment="1" applyProtection="1">
      <alignment horizontal="center"/>
      <protection hidden="1"/>
    </xf>
    <xf numFmtId="0" fontId="9" fillId="0" borderId="23" xfId="0" applyFont="1" applyBorder="1" applyAlignment="1" applyProtection="1">
      <alignment horizontal="center"/>
      <protection hidden="1"/>
    </xf>
    <xf numFmtId="167" fontId="1" fillId="6" borderId="12" xfId="0" applyNumberFormat="1" applyFont="1" applyFill="1" applyBorder="1" applyAlignment="1" applyProtection="1">
      <alignment horizontal="center"/>
      <protection hidden="1"/>
    </xf>
    <xf numFmtId="167" fontId="1" fillId="6" borderId="9" xfId="0" applyNumberFormat="1" applyFont="1" applyFill="1" applyBorder="1" applyAlignment="1" applyProtection="1">
      <alignment horizontal="center"/>
      <protection hidden="1"/>
    </xf>
    <xf numFmtId="0" fontId="35" fillId="6" borderId="0" xfId="0" applyFont="1" applyFill="1"/>
    <xf numFmtId="0" fontId="36" fillId="6" borderId="0" xfId="0" applyFont="1" applyFill="1"/>
    <xf numFmtId="0" fontId="9" fillId="6" borderId="0" xfId="0" applyFont="1" applyFill="1" applyAlignment="1">
      <alignment horizontal="center"/>
    </xf>
    <xf numFmtId="9" fontId="9" fillId="6" borderId="0" xfId="0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0" fontId="28" fillId="19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left"/>
    </xf>
    <xf numFmtId="0" fontId="12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1" fillId="0" borderId="138" xfId="0" applyFont="1" applyBorder="1" applyAlignment="1">
      <alignment horizontal="center" vertical="center"/>
    </xf>
    <xf numFmtId="0" fontId="1" fillId="0" borderId="180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6" borderId="38" xfId="0" applyFont="1" applyFill="1" applyBorder="1" applyAlignment="1">
      <alignment horizontal="center" vertical="center"/>
    </xf>
    <xf numFmtId="0" fontId="1" fillId="6" borderId="51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0" fillId="19" borderId="25" xfId="0" applyFont="1" applyFill="1" applyBorder="1" applyAlignment="1">
      <alignment horizontal="center"/>
    </xf>
    <xf numFmtId="0" fontId="10" fillId="19" borderId="26" xfId="0" applyFont="1" applyFill="1" applyBorder="1" applyAlignment="1">
      <alignment horizontal="center"/>
    </xf>
    <xf numFmtId="0" fontId="10" fillId="19" borderId="27" xfId="0" applyFont="1" applyFill="1" applyBorder="1" applyAlignment="1">
      <alignment horizontal="center"/>
    </xf>
    <xf numFmtId="0" fontId="10" fillId="19" borderId="138" xfId="0" applyFont="1" applyFill="1" applyBorder="1" applyAlignment="1">
      <alignment horizontal="center"/>
    </xf>
    <xf numFmtId="0" fontId="10" fillId="19" borderId="118" xfId="0" applyFont="1" applyFill="1" applyBorder="1" applyAlignment="1">
      <alignment horizontal="center"/>
    </xf>
    <xf numFmtId="0" fontId="10" fillId="19" borderId="19" xfId="0" applyFont="1" applyFill="1" applyBorder="1" applyAlignment="1">
      <alignment horizontal="center"/>
    </xf>
    <xf numFmtId="0" fontId="10" fillId="19" borderId="17" xfId="0" applyFont="1" applyFill="1" applyBorder="1" applyAlignment="1">
      <alignment horizontal="center"/>
    </xf>
    <xf numFmtId="0" fontId="10" fillId="19" borderId="20" xfId="0" applyFont="1" applyFill="1" applyBorder="1" applyAlignment="1">
      <alignment horizontal="center"/>
    </xf>
    <xf numFmtId="0" fontId="23" fillId="6" borderId="25" xfId="0" applyFont="1" applyFill="1" applyBorder="1" applyAlignment="1">
      <alignment horizontal="center" vertical="center"/>
    </xf>
    <xf numFmtId="0" fontId="23" fillId="6" borderId="26" xfId="0" applyFont="1" applyFill="1" applyBorder="1" applyAlignment="1">
      <alignment horizontal="center" vertical="center"/>
    </xf>
    <xf numFmtId="0" fontId="23" fillId="6" borderId="27" xfId="0" applyFont="1" applyFill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6" fillId="0" borderId="118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9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0" fillId="19" borderId="117" xfId="0" applyFont="1" applyFill="1" applyBorder="1" applyAlignment="1">
      <alignment horizontal="center"/>
    </xf>
    <xf numFmtId="0" fontId="10" fillId="19" borderId="42" xfId="0" applyFont="1" applyFill="1" applyBorder="1" applyAlignment="1">
      <alignment horizontal="center"/>
    </xf>
    <xf numFmtId="0" fontId="10" fillId="19" borderId="0" xfId="0" applyFont="1" applyFill="1" applyAlignment="1">
      <alignment horizontal="center"/>
    </xf>
    <xf numFmtId="0" fontId="10" fillId="19" borderId="43" xfId="0" applyFont="1" applyFill="1" applyBorder="1" applyAlignment="1">
      <alignment horizontal="center"/>
    </xf>
    <xf numFmtId="0" fontId="10" fillId="19" borderId="39" xfId="0" applyFont="1" applyFill="1" applyBorder="1" applyAlignment="1">
      <alignment horizontal="center"/>
    </xf>
    <xf numFmtId="0" fontId="10" fillId="19" borderId="21" xfId="0" applyFont="1" applyFill="1" applyBorder="1" applyAlignment="1">
      <alignment horizontal="center"/>
    </xf>
    <xf numFmtId="0" fontId="10" fillId="19" borderId="41" xfId="0" applyFont="1" applyFill="1" applyBorder="1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0" fillId="19" borderId="233" xfId="0" applyFont="1" applyFill="1" applyBorder="1" applyAlignment="1">
      <alignment horizontal="center"/>
    </xf>
    <xf numFmtId="0" fontId="10" fillId="19" borderId="234" xfId="0" applyFont="1" applyFill="1" applyBorder="1" applyAlignment="1">
      <alignment horizontal="center"/>
    </xf>
    <xf numFmtId="0" fontId="10" fillId="19" borderId="235" xfId="0" applyFont="1" applyFill="1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23" fillId="6" borderId="19" xfId="0" applyFont="1" applyFill="1" applyBorder="1" applyAlignment="1">
      <alignment horizontal="center" vertical="center"/>
    </xf>
    <xf numFmtId="0" fontId="23" fillId="6" borderId="17" xfId="0" applyFont="1" applyFill="1" applyBorder="1" applyAlignment="1">
      <alignment horizontal="center" vertical="center"/>
    </xf>
    <xf numFmtId="0" fontId="10" fillId="19" borderId="83" xfId="0" applyFont="1" applyFill="1" applyBorder="1" applyAlignment="1">
      <alignment horizontal="center"/>
    </xf>
    <xf numFmtId="0" fontId="10" fillId="19" borderId="84" xfId="0" applyFont="1" applyFill="1" applyBorder="1" applyAlignment="1">
      <alignment horizontal="center"/>
    </xf>
    <xf numFmtId="0" fontId="23" fillId="6" borderId="83" xfId="0" applyFont="1" applyFill="1" applyBorder="1" applyAlignment="1">
      <alignment horizontal="center" vertical="center"/>
    </xf>
    <xf numFmtId="0" fontId="23" fillId="6" borderId="84" xfId="0" applyFont="1" applyFill="1" applyBorder="1" applyAlignment="1">
      <alignment horizontal="center" vertical="center"/>
    </xf>
    <xf numFmtId="0" fontId="23" fillId="6" borderId="118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6" fillId="0" borderId="38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6" fillId="0" borderId="219" xfId="0" applyFont="1" applyBorder="1" applyAlignment="1">
      <alignment horizontal="center" vertical="center" wrapText="1"/>
    </xf>
    <xf numFmtId="0" fontId="16" fillId="0" borderId="203" xfId="0" applyFont="1" applyBorder="1" applyAlignment="1">
      <alignment horizontal="center" vertical="center"/>
    </xf>
    <xf numFmtId="0" fontId="16" fillId="0" borderId="220" xfId="0" applyFont="1" applyBorder="1" applyAlignment="1">
      <alignment horizontal="center" vertical="center"/>
    </xf>
    <xf numFmtId="0" fontId="10" fillId="10" borderId="26" xfId="0" applyFont="1" applyFill="1" applyBorder="1" applyAlignment="1">
      <alignment horizontal="center" vertical="center" wrapText="1"/>
    </xf>
    <xf numFmtId="0" fontId="22" fillId="19" borderId="25" xfId="0" applyFont="1" applyFill="1" applyBorder="1" applyAlignment="1">
      <alignment horizontal="center" vertical="center" wrapText="1"/>
    </xf>
    <xf numFmtId="0" fontId="22" fillId="19" borderId="26" xfId="0" applyFont="1" applyFill="1" applyBorder="1" applyAlignment="1">
      <alignment horizontal="center" vertical="center" wrapText="1"/>
    </xf>
    <xf numFmtId="0" fontId="22" fillId="19" borderId="27" xfId="0" applyFont="1" applyFill="1" applyBorder="1" applyAlignment="1">
      <alignment horizontal="center" vertical="center" wrapText="1"/>
    </xf>
    <xf numFmtId="0" fontId="22" fillId="19" borderId="138" xfId="0" applyFont="1" applyFill="1" applyBorder="1" applyAlignment="1">
      <alignment horizontal="center" vertical="center"/>
    </xf>
    <xf numFmtId="0" fontId="22" fillId="19" borderId="118" xfId="0" applyFont="1" applyFill="1" applyBorder="1" applyAlignment="1">
      <alignment horizontal="center" vertical="center"/>
    </xf>
    <xf numFmtId="0" fontId="22" fillId="19" borderId="117" xfId="0" applyFont="1" applyFill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3" fillId="6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5">
    <cellStyle name="Normal" xfId="0" builtinId="0"/>
    <cellStyle name="Percent" xfId="2" builtinId="5"/>
    <cellStyle name="Standard 2" xfId="4" xr:uid="{F620C8A5-FDB0-44EF-A1C4-C8FE74273B43}"/>
    <cellStyle name="Standard 2 2" xfId="1" xr:uid="{9EA6F3C1-C535-40D2-825F-C1BCF659F474}"/>
    <cellStyle name="Standard 3" xfId="3" xr:uid="{FEDE75AD-F43B-42A8-879B-976B8CFB9157}"/>
  </cellStyles>
  <dxfs count="4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FFFF"/>
      <color rgb="FF0000FF"/>
      <color rgb="FF0085AD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UV Auxiliaries'!A1"/><Relationship Id="rId13" Type="http://schemas.openxmlformats.org/officeDocument/2006/relationships/image" Target="../media/image6.png"/><Relationship Id="rId3" Type="http://schemas.openxmlformats.org/officeDocument/2006/relationships/hyperlink" Target="#PureTube!A1"/><Relationship Id="rId7" Type="http://schemas.microsoft.com/office/2007/relationships/hdphoto" Target="../media/hdphoto1.wdp"/><Relationship Id="rId12" Type="http://schemas.openxmlformats.org/officeDocument/2006/relationships/hyperlink" Target="#Aquada!A1"/><Relationship Id="rId17" Type="http://schemas.openxmlformats.org/officeDocument/2006/relationships/image" Target="../media/image8.jpg"/><Relationship Id="rId2" Type="http://schemas.openxmlformats.org/officeDocument/2006/relationships/image" Target="../media/image1.jpg"/><Relationship Id="rId16" Type="http://schemas.openxmlformats.org/officeDocument/2006/relationships/hyperlink" Target="#'Modular, GSO, OCS'!A1"/><Relationship Id="rId1" Type="http://schemas.openxmlformats.org/officeDocument/2006/relationships/hyperlink" Target="#'Spektron industrial'!A1"/><Relationship Id="rId6" Type="http://schemas.openxmlformats.org/officeDocument/2006/relationships/image" Target="../media/image3.png"/><Relationship Id="rId11" Type="http://schemas.openxmlformats.org/officeDocument/2006/relationships/image" Target="../media/image5.jpeg"/><Relationship Id="rId5" Type="http://schemas.openxmlformats.org/officeDocument/2006/relationships/hyperlink" Target="#'Spektron e'!A1"/><Relationship Id="rId15" Type="http://schemas.openxmlformats.org/officeDocument/2006/relationships/image" Target="../media/image7.jpeg"/><Relationship Id="rId10" Type="http://schemas.openxmlformats.org/officeDocument/2006/relationships/hyperlink" Target="#Acton!A1"/><Relationship Id="rId4" Type="http://schemas.openxmlformats.org/officeDocument/2006/relationships/image" Target="../media/image2.png"/><Relationship Id="rId9" Type="http://schemas.openxmlformats.org/officeDocument/2006/relationships/image" Target="../media/image4.png"/><Relationship Id="rId14" Type="http://schemas.openxmlformats.org/officeDocument/2006/relationships/hyperlink" Target="#LBX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</xdr:row>
      <xdr:rowOff>161925</xdr:rowOff>
    </xdr:from>
    <xdr:ext cx="184731" cy="26456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B161336-FB65-4E6E-CE55-308024310D0F}"/>
            </a:ext>
          </a:extLst>
        </xdr:cNvPr>
        <xdr:cNvSpPr txBox="1"/>
      </xdr:nvSpPr>
      <xdr:spPr>
        <a:xfrm>
          <a:off x="952500" y="733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20</xdr:col>
      <xdr:colOff>161925</xdr:colOff>
      <xdr:row>20</xdr:row>
      <xdr:rowOff>28575</xdr:rowOff>
    </xdr:from>
    <xdr:ext cx="184731" cy="264560"/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D6A62450-C468-0EEA-855B-B47954585543}"/>
            </a:ext>
          </a:extLst>
        </xdr:cNvPr>
        <xdr:cNvSpPr txBox="1"/>
      </xdr:nvSpPr>
      <xdr:spPr>
        <a:xfrm>
          <a:off x="10982325" y="4029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2</xdr:col>
      <xdr:colOff>214312</xdr:colOff>
      <xdr:row>25</xdr:row>
      <xdr:rowOff>35717</xdr:rowOff>
    </xdr:from>
    <xdr:to>
      <xdr:col>5</xdr:col>
      <xdr:colOff>285662</xdr:colOff>
      <xdr:row>33</xdr:row>
      <xdr:rowOff>104775</xdr:rowOff>
    </xdr:to>
    <xdr:grpSp>
      <xdr:nvGrpSpPr>
        <xdr:cNvPr id="90" name="Gruppieren 89">
          <a:extLst>
            <a:ext uri="{FF2B5EF4-FFF2-40B4-BE49-F238E27FC236}">
              <a16:creationId xmlns:a16="http://schemas.microsoft.com/office/drawing/2014/main" id="{2BC07262-7A5A-BA8E-AE0A-8F07A1D2905A}"/>
            </a:ext>
          </a:extLst>
        </xdr:cNvPr>
        <xdr:cNvGrpSpPr/>
      </xdr:nvGrpSpPr>
      <xdr:grpSpPr>
        <a:xfrm>
          <a:off x="1728286" y="4958638"/>
          <a:ext cx="1815929" cy="1593058"/>
          <a:chOff x="214312" y="5093492"/>
          <a:chExt cx="1814425" cy="1593058"/>
        </a:xfrm>
      </xdr:grpSpPr>
      <xdr:sp macro="" textlink="">
        <xdr:nvSpPr>
          <xdr:cNvPr id="19" name="Rechteck: diagonal liegende Ecken abgerundet 18">
            <a:extLst>
              <a:ext uri="{FF2B5EF4-FFF2-40B4-BE49-F238E27FC236}">
                <a16:creationId xmlns:a16="http://schemas.microsoft.com/office/drawing/2014/main" id="{7C2E8A98-9E5F-487A-A2F4-E3893D791C47}"/>
              </a:ext>
            </a:extLst>
          </xdr:cNvPr>
          <xdr:cNvSpPr/>
        </xdr:nvSpPr>
        <xdr:spPr>
          <a:xfrm>
            <a:off x="214312" y="6334123"/>
            <a:ext cx="1814425" cy="352427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1"/>
          <a:lstStyle/>
          <a:p>
            <a:pPr marL="0" indent="0" algn="l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Spektron industrial</a:t>
            </a:r>
          </a:p>
        </xdr:txBody>
      </xdr:sp>
      <xdr:sp macro="[0]!AbgerundetesRechteck9_Klicken" textlink="">
        <xdr:nvSpPr>
          <xdr:cNvPr id="45" name="Abgerundetes Rechteck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FC3DF4-40A8-4F29-B493-829A0D7FC7B4}"/>
              </a:ext>
            </a:extLst>
          </xdr:cNvPr>
          <xdr:cNvSpPr/>
        </xdr:nvSpPr>
        <xdr:spPr>
          <a:xfrm>
            <a:off x="240506" y="5093492"/>
            <a:ext cx="1759744" cy="1190625"/>
          </a:xfrm>
          <a:prstGeom prst="roundRect">
            <a:avLst/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>
            <a:solidFill>
              <a:srgbClr val="0085AD"/>
            </a:solidFill>
          </a:ln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</xdr:grpSp>
    <xdr:clientData/>
  </xdr:twoCellAnchor>
  <xdr:twoCellAnchor>
    <xdr:from>
      <xdr:col>5</xdr:col>
      <xdr:colOff>466725</xdr:colOff>
      <xdr:row>25</xdr:row>
      <xdr:rowOff>38101</xdr:rowOff>
    </xdr:from>
    <xdr:to>
      <xdr:col>9</xdr:col>
      <xdr:colOff>19050</xdr:colOff>
      <xdr:row>33</xdr:row>
      <xdr:rowOff>95249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503D9A25-0519-D492-7C19-D5007FAFC950}"/>
            </a:ext>
          </a:extLst>
        </xdr:cNvPr>
        <xdr:cNvGrpSpPr/>
      </xdr:nvGrpSpPr>
      <xdr:grpSpPr>
        <a:xfrm>
          <a:off x="3725278" y="4961022"/>
          <a:ext cx="1868404" cy="1581148"/>
          <a:chOff x="2209800" y="4838701"/>
          <a:chExt cx="1866900" cy="1581148"/>
        </a:xfrm>
      </xdr:grpSpPr>
      <xdr:sp macro="" textlink="">
        <xdr:nvSpPr>
          <xdr:cNvPr id="21" name="Rechteck: diagonal liegende Ecken abgerundet 20">
            <a:extLst>
              <a:ext uri="{FF2B5EF4-FFF2-40B4-BE49-F238E27FC236}">
                <a16:creationId xmlns:a16="http://schemas.microsoft.com/office/drawing/2014/main" id="{A0783515-D539-43A7-A3D3-02DED84DD466}"/>
              </a:ext>
            </a:extLst>
          </xdr:cNvPr>
          <xdr:cNvSpPr/>
        </xdr:nvSpPr>
        <xdr:spPr>
          <a:xfrm>
            <a:off x="2209800" y="6079318"/>
            <a:ext cx="1866900" cy="340531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PureTube</a:t>
            </a:r>
          </a:p>
        </xdr:txBody>
      </xdr:sp>
      <xdr:pic>
        <xdr:nvPicPr>
          <xdr:cNvPr id="49" name="Grafik 4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1E8FBF0-42CC-087C-C36C-F3CBE9BB0C0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b="788"/>
          <a:stretch>
            <a:fillRect/>
          </a:stretch>
        </xdr:blipFill>
        <xdr:spPr>
          <a:xfrm>
            <a:off x="2241583" y="4838701"/>
            <a:ext cx="1825592" cy="1200149"/>
          </a:xfrm>
          <a:prstGeom prst="roundRect">
            <a:avLst>
              <a:gd name="adj" fmla="val 16667"/>
            </a:avLst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 w="19050">
            <a:solidFill>
              <a:srgbClr val="0085AD"/>
            </a:solidFill>
          </a:ln>
          <a:effectLst/>
        </xdr:spPr>
      </xdr:pic>
    </xdr:grpSp>
    <xdr:clientData/>
  </xdr:twoCellAnchor>
  <xdr:twoCellAnchor>
    <xdr:from>
      <xdr:col>2</xdr:col>
      <xdr:colOff>161293</xdr:colOff>
      <xdr:row>15</xdr:row>
      <xdr:rowOff>102394</xdr:rowOff>
    </xdr:from>
    <xdr:to>
      <xdr:col>5</xdr:col>
      <xdr:colOff>285750</xdr:colOff>
      <xdr:row>23</xdr:row>
      <xdr:rowOff>171450</xdr:rowOff>
    </xdr:to>
    <xdr:grpSp>
      <xdr:nvGrpSpPr>
        <xdr:cNvPr id="86" name="Gruppieren 85">
          <a:extLst>
            <a:ext uri="{FF2B5EF4-FFF2-40B4-BE49-F238E27FC236}">
              <a16:creationId xmlns:a16="http://schemas.microsoft.com/office/drawing/2014/main" id="{D2CAC968-D607-BD4D-61D7-378ABC3AE5EB}"/>
            </a:ext>
          </a:extLst>
        </xdr:cNvPr>
        <xdr:cNvGrpSpPr/>
      </xdr:nvGrpSpPr>
      <xdr:grpSpPr>
        <a:xfrm>
          <a:off x="1675267" y="3120315"/>
          <a:ext cx="1869036" cy="1593056"/>
          <a:chOff x="161293" y="3255169"/>
          <a:chExt cx="1867532" cy="1593056"/>
        </a:xfrm>
      </xdr:grpSpPr>
      <xdr:sp macro="" textlink="">
        <xdr:nvSpPr>
          <xdr:cNvPr id="18" name="Rechteck: diagonal liegende Ecken abgerundet 17">
            <a:extLst>
              <a:ext uri="{FF2B5EF4-FFF2-40B4-BE49-F238E27FC236}">
                <a16:creationId xmlns:a16="http://schemas.microsoft.com/office/drawing/2014/main" id="{3E6A1322-656A-45C9-949A-625CB6F271DA}"/>
              </a:ext>
            </a:extLst>
          </xdr:cNvPr>
          <xdr:cNvSpPr/>
        </xdr:nvSpPr>
        <xdr:spPr>
          <a:xfrm>
            <a:off x="161293" y="4529137"/>
            <a:ext cx="1867532" cy="319088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Spektron e</a:t>
            </a:r>
          </a:p>
        </xdr:txBody>
      </xdr:sp>
      <xdr:pic>
        <xdr:nvPicPr>
          <xdr:cNvPr id="50" name="Grafik 49" descr="Ein Bild, das Maschine, Zylinder enthält.&#10;&#10;Automatisch generierte Beschreibu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604877D-3655-CC03-A796-DC90E28ADBC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foregroundMark x1="12760" y1="63697" x2="12760" y2="63697"/>
                        <a14:foregroundMark x1="13000" y1="64875" x2="13000" y2="64875"/>
                        <a14:foregroundMark x1="12760" y1="65028" x2="12760" y2="65028"/>
                        <a14:foregroundMark x1="12640" y1="64107" x2="12640" y2="64107"/>
                        <a14:foregroundMark x1="12760" y1="62929" x2="12760" y2="62929"/>
                        <a14:foregroundMark x1="12640" y1="63543" x2="12640" y2="63543"/>
                        <a14:foregroundMark x1="12520" y1="63236" x2="12520" y2="63236"/>
                        <a14:foregroundMark x1="12640" y1="62775" x2="12640" y2="62775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rcRect l="10657" t="14483" r="7285" b="16942"/>
          <a:stretch>
            <a:fillRect/>
          </a:stretch>
        </xdr:blipFill>
        <xdr:spPr bwMode="auto">
          <a:xfrm>
            <a:off x="172158" y="3255169"/>
            <a:ext cx="1837618" cy="1212056"/>
          </a:xfrm>
          <a:prstGeom prst="roundRect">
            <a:avLst>
              <a:gd name="adj" fmla="val 16667"/>
            </a:avLst>
          </a:prstGeom>
          <a:noFill/>
          <a:ln w="19050">
            <a:solidFill>
              <a:srgbClr val="0085AD"/>
            </a:solidFill>
            <a:miter lim="800000"/>
          </a:ln>
          <a:effectLst>
            <a:outerShdw blurRad="76200" dist="38100" dir="7800000" algn="tl" rotWithShape="0">
              <a:schemeClr val="bg1">
                <a:alpha val="41000"/>
              </a:scheme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53640926-AAD7-44D8-BBD7-CCE9431645EC}">
              <a14:shadowObscured xmlns:a14="http://schemas.microsoft.com/office/drawing/2010/main"/>
            </a:ext>
          </a:extLst>
        </xdr:spPr>
      </xdr:pic>
    </xdr:grpSp>
    <xdr:clientData/>
  </xdr:twoCellAnchor>
  <xdr:twoCellAnchor>
    <xdr:from>
      <xdr:col>12</xdr:col>
      <xdr:colOff>435888</xdr:colOff>
      <xdr:row>22</xdr:row>
      <xdr:rowOff>28574</xdr:rowOff>
    </xdr:from>
    <xdr:to>
      <xdr:col>15</xdr:col>
      <xdr:colOff>485775</xdr:colOff>
      <xdr:row>23</xdr:row>
      <xdr:rowOff>161925</xdr:rowOff>
    </xdr:to>
    <xdr:sp macro="" textlink="">
      <xdr:nvSpPr>
        <xdr:cNvPr id="22" name="Rechteck: diagonal liegende Ecken abgerundet 21">
          <a:extLst>
            <a:ext uri="{FF2B5EF4-FFF2-40B4-BE49-F238E27FC236}">
              <a16:creationId xmlns:a16="http://schemas.microsoft.com/office/drawing/2014/main" id="{2F736D1F-DFA1-4D3B-B9E5-8C8D9011B59B}"/>
            </a:ext>
          </a:extLst>
        </xdr:cNvPr>
        <xdr:cNvSpPr/>
      </xdr:nvSpPr>
      <xdr:spPr>
        <a:xfrm>
          <a:off x="9950862" y="4680785"/>
          <a:ext cx="1884702" cy="323851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de-DE" sz="1400">
              <a:solidFill>
                <a:schemeClr val="bg1"/>
              </a:solidFill>
            </a:rPr>
            <a:t>UV</a:t>
          </a:r>
          <a:r>
            <a:rPr lang="de-DE" sz="1400" baseline="0">
              <a:solidFill>
                <a:schemeClr val="bg1"/>
              </a:solidFill>
            </a:rPr>
            <a:t> </a:t>
          </a:r>
          <a:r>
            <a:rPr lang="de-DE" sz="1400">
              <a:solidFill>
                <a:schemeClr val="bg1"/>
              </a:solidFill>
            </a:rPr>
            <a:t>Auxiliaries</a:t>
          </a:r>
        </a:p>
      </xdr:txBody>
    </xdr:sp>
    <xdr:clientData/>
  </xdr:twoCellAnchor>
  <xdr:twoCellAnchor>
    <xdr:from>
      <xdr:col>12</xdr:col>
      <xdr:colOff>452522</xdr:colOff>
      <xdr:row>15</xdr:row>
      <xdr:rowOff>85725</xdr:rowOff>
    </xdr:from>
    <xdr:to>
      <xdr:col>15</xdr:col>
      <xdr:colOff>447553</xdr:colOff>
      <xdr:row>21</xdr:row>
      <xdr:rowOff>180974</xdr:rowOff>
    </xdr:to>
    <xdr:pic>
      <xdr:nvPicPr>
        <xdr:cNvPr id="57" name="Grafik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3A38DD1-C0A2-586F-6BE6-31DE3F0F0B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8419"/>
        <a:stretch>
          <a:fillRect/>
        </a:stretch>
      </xdr:blipFill>
      <xdr:spPr>
        <a:xfrm>
          <a:off x="9967496" y="3404436"/>
          <a:ext cx="1829846" cy="1238249"/>
        </a:xfrm>
        <a:prstGeom prst="roundRect">
          <a:avLst>
            <a:gd name="adj" fmla="val 16667"/>
          </a:avLst>
        </a:prstGeom>
        <a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5000" b="-5000"/>
          </a:stretch>
        </a:blipFill>
        <a:ln w="19050">
          <a:solidFill>
            <a:srgbClr val="0085AD"/>
          </a:solidFill>
          <a:miter lim="800000"/>
        </a:ln>
      </xdr:spPr>
    </xdr:pic>
    <xdr:clientData/>
  </xdr:twoCellAnchor>
  <xdr:twoCellAnchor>
    <xdr:from>
      <xdr:col>9</xdr:col>
      <xdr:colOff>255562</xdr:colOff>
      <xdr:row>15</xdr:row>
      <xdr:rowOff>104775</xdr:rowOff>
    </xdr:from>
    <xdr:to>
      <xdr:col>12</xdr:col>
      <xdr:colOff>238124</xdr:colOff>
      <xdr:row>23</xdr:row>
      <xdr:rowOff>171451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255E25A-85BC-702D-CB9C-C1D9499E3930}"/>
            </a:ext>
          </a:extLst>
        </xdr:cNvPr>
        <xdr:cNvGrpSpPr/>
      </xdr:nvGrpSpPr>
      <xdr:grpSpPr>
        <a:xfrm>
          <a:off x="5830194" y="3122696"/>
          <a:ext cx="1857483" cy="1590676"/>
          <a:chOff x="4313212" y="3000375"/>
          <a:chExt cx="1858987" cy="1590676"/>
        </a:xfrm>
      </xdr:grpSpPr>
      <xdr:sp macro="" textlink="">
        <xdr:nvSpPr>
          <xdr:cNvPr id="17" name="Rechteck: diagonal liegende Ecken abgerundet 16">
            <a:extLst>
              <a:ext uri="{FF2B5EF4-FFF2-40B4-BE49-F238E27FC236}">
                <a16:creationId xmlns:a16="http://schemas.microsoft.com/office/drawing/2014/main" id="{3D874A22-F508-4A44-8E9E-2E7020ACE96A}"/>
              </a:ext>
            </a:extLst>
          </xdr:cNvPr>
          <xdr:cNvSpPr/>
        </xdr:nvSpPr>
        <xdr:spPr>
          <a:xfrm>
            <a:off x="4313212" y="4267201"/>
            <a:ext cx="1858987" cy="323850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Acton</a:t>
            </a:r>
          </a:p>
        </xdr:txBody>
      </xdr:sp>
      <xdr:pic>
        <xdr:nvPicPr>
          <xdr:cNvPr id="59" name="Grafik 5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9E17FF4-CB0F-658A-B05B-7A9F500C5F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3598" y="3000375"/>
            <a:ext cx="1800977" cy="1228725"/>
          </a:xfrm>
          <a:prstGeom prst="roundRect">
            <a:avLst>
              <a:gd name="adj" fmla="val 16667"/>
            </a:avLst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 w="19050">
            <a:solidFill>
              <a:srgbClr val="0085AD"/>
            </a:solidFill>
            <a:miter lim="800000"/>
          </a:ln>
        </xdr:spPr>
      </xdr:pic>
    </xdr:grpSp>
    <xdr:clientData/>
  </xdr:twoCellAnchor>
  <xdr:twoCellAnchor>
    <xdr:from>
      <xdr:col>1</xdr:col>
      <xdr:colOff>29578</xdr:colOff>
      <xdr:row>0</xdr:row>
      <xdr:rowOff>81475</xdr:rowOff>
    </xdr:from>
    <xdr:to>
      <xdr:col>20</xdr:col>
      <xdr:colOff>601579</xdr:colOff>
      <xdr:row>8</xdr:row>
      <xdr:rowOff>69564</xdr:rowOff>
    </xdr:to>
    <xdr:grpSp>
      <xdr:nvGrpSpPr>
        <xdr:cNvPr id="361" name="Gruppieren 39">
          <a:extLst>
            <a:ext uri="{FF2B5EF4-FFF2-40B4-BE49-F238E27FC236}">
              <a16:creationId xmlns:a16="http://schemas.microsoft.com/office/drawing/2014/main" id="{8CCD7CB8-9ECF-5C2A-284F-A273FF51FE71}"/>
            </a:ext>
          </a:extLst>
        </xdr:cNvPr>
        <xdr:cNvGrpSpPr/>
      </xdr:nvGrpSpPr>
      <xdr:grpSpPr>
        <a:xfrm>
          <a:off x="29578" y="81475"/>
          <a:ext cx="13084843" cy="1592300"/>
          <a:chOff x="8405812" y="4441032"/>
          <a:chExt cx="9451696" cy="1793634"/>
        </a:xfrm>
      </xdr:grpSpPr>
      <xdr:grpSp>
        <xdr:nvGrpSpPr>
          <xdr:cNvPr id="362" name="Group 43">
            <a:extLst>
              <a:ext uri="{FF2B5EF4-FFF2-40B4-BE49-F238E27FC236}">
                <a16:creationId xmlns:a16="http://schemas.microsoft.com/office/drawing/2014/main" id="{1A1193B4-D87C-F484-0FBB-5FD48E93DD20}"/>
              </a:ext>
            </a:extLst>
          </xdr:cNvPr>
          <xdr:cNvGrpSpPr/>
        </xdr:nvGrpSpPr>
        <xdr:grpSpPr>
          <a:xfrm>
            <a:off x="8405812" y="4441032"/>
            <a:ext cx="9451696" cy="1793634"/>
            <a:chOff x="0" y="-3"/>
            <a:chExt cx="10279210" cy="1950670"/>
          </a:xfrm>
        </xdr:grpSpPr>
        <xdr:sp macro="" textlink="">
          <xdr:nvSpPr>
            <xdr:cNvPr id="363" name="Freeform: Shape 8">
              <a:extLst>
                <a:ext uri="{FF2B5EF4-FFF2-40B4-BE49-F238E27FC236}">
                  <a16:creationId xmlns:a16="http://schemas.microsoft.com/office/drawing/2014/main" id="{F6489533-B45D-BF19-FB4C-EB28FA315081}"/>
                </a:ext>
              </a:extLst>
            </xdr:cNvPr>
            <xdr:cNvSpPr/>
          </xdr:nvSpPr>
          <xdr:spPr>
            <a:xfrm flipH="1" flipV="1">
              <a:off x="8022045" y="-1"/>
              <a:ext cx="2257165" cy="1950668"/>
            </a:xfrm>
            <a:custGeom>
              <a:avLst/>
              <a:gdLst>
                <a:gd name="connsiteX0" fmla="*/ 359398 w 5856800"/>
                <a:gd name="connsiteY0" fmla="*/ 5143500 h 5143500"/>
                <a:gd name="connsiteX1" fmla="*/ 0 w 5856800"/>
                <a:gd name="connsiteY1" fmla="*/ 5143500 h 5143500"/>
                <a:gd name="connsiteX2" fmla="*/ 148434 w 5856800"/>
                <a:gd name="connsiteY2" fmla="*/ 5134393 h 5143500"/>
                <a:gd name="connsiteX3" fmla="*/ 289794 w 5856800"/>
                <a:gd name="connsiteY3" fmla="*/ 5105140 h 5143500"/>
                <a:gd name="connsiteX4" fmla="*/ 322878 w 5856800"/>
                <a:gd name="connsiteY4" fmla="*/ 5094086 h 5143500"/>
                <a:gd name="connsiteX5" fmla="*/ 322878 w 5856800"/>
                <a:gd name="connsiteY5" fmla="*/ 5092551 h 5143500"/>
                <a:gd name="connsiteX6" fmla="*/ 383234 w 5856800"/>
                <a:gd name="connsiteY6" fmla="*/ 5071693 h 5143500"/>
                <a:gd name="connsiteX7" fmla="*/ 406157 w 5856800"/>
                <a:gd name="connsiteY7" fmla="*/ 5061935 h 5143500"/>
                <a:gd name="connsiteX8" fmla="*/ 467937 w 5856800"/>
                <a:gd name="connsiteY8" fmla="*/ 5031805 h 5143500"/>
                <a:gd name="connsiteX9" fmla="*/ 488599 w 5856800"/>
                <a:gd name="connsiteY9" fmla="*/ 5021050 h 5143500"/>
                <a:gd name="connsiteX10" fmla="*/ 570082 w 5856800"/>
                <a:gd name="connsiteY10" fmla="*/ 4971029 h 5143500"/>
                <a:gd name="connsiteX11" fmla="*/ 587316 w 5856800"/>
                <a:gd name="connsiteY11" fmla="*/ 4958743 h 5143500"/>
                <a:gd name="connsiteX12" fmla="*/ 653768 w 5856800"/>
                <a:gd name="connsiteY12" fmla="*/ 4909591 h 5143500"/>
                <a:gd name="connsiteX13" fmla="*/ 680671 w 5856800"/>
                <a:gd name="connsiteY13" fmla="*/ 4887883 h 5143500"/>
                <a:gd name="connsiteX14" fmla="*/ 743705 w 5856800"/>
                <a:gd name="connsiteY14" fmla="*/ 4833601 h 5143500"/>
                <a:gd name="connsiteX15" fmla="*/ 768007 w 5856800"/>
                <a:gd name="connsiteY15" fmla="*/ 4811794 h 5143500"/>
                <a:gd name="connsiteX16" fmla="*/ 856273 w 5856800"/>
                <a:gd name="connsiteY16" fmla="*/ 4725732 h 5143500"/>
                <a:gd name="connsiteX17" fmla="*/ 868734 w 5856800"/>
                <a:gd name="connsiteY17" fmla="*/ 4712495 h 5143500"/>
                <a:gd name="connsiteX18" fmla="*/ 949068 w 5856800"/>
                <a:gd name="connsiteY18" fmla="*/ 4625829 h 5143500"/>
                <a:gd name="connsiteX19" fmla="*/ 978927 w 5856800"/>
                <a:gd name="connsiteY19" fmla="*/ 4591935 h 5143500"/>
                <a:gd name="connsiteX20" fmla="*/ 1049874 w 5856800"/>
                <a:gd name="connsiteY20" fmla="*/ 4508859 h 5143500"/>
                <a:gd name="connsiteX21" fmla="*/ 1079694 w 5856800"/>
                <a:gd name="connsiteY21" fmla="*/ 4473047 h 5143500"/>
                <a:gd name="connsiteX22" fmla="*/ 1182707 w 5856800"/>
                <a:gd name="connsiteY22" fmla="*/ 4344210 h 5143500"/>
                <a:gd name="connsiteX23" fmla="*/ 2907589 w 5856800"/>
                <a:gd name="connsiteY23" fmla="*/ 2133696 h 5143500"/>
                <a:gd name="connsiteX24" fmla="*/ 3918000 w 5856800"/>
                <a:gd name="connsiteY24" fmla="*/ 777240 h 5143500"/>
                <a:gd name="connsiteX25" fmla="*/ 5497389 w 5856800"/>
                <a:gd name="connsiteY25" fmla="*/ 1 h 5143500"/>
                <a:gd name="connsiteX26" fmla="*/ 5733078 w 5856800"/>
                <a:gd name="connsiteY26" fmla="*/ 1 h 5143500"/>
                <a:gd name="connsiteX27" fmla="*/ 5733078 w 5856800"/>
                <a:gd name="connsiteY27" fmla="*/ 0 h 5143500"/>
                <a:gd name="connsiteX28" fmla="*/ 5856800 w 5856800"/>
                <a:gd name="connsiteY28" fmla="*/ 0 h 5143500"/>
                <a:gd name="connsiteX29" fmla="*/ 4674080 w 5856800"/>
                <a:gd name="connsiteY29" fmla="*/ 799291 h 5143500"/>
                <a:gd name="connsiteX30" fmla="*/ 2949198 w 5856800"/>
                <a:gd name="connsiteY30" fmla="*/ 3009805 h 5143500"/>
                <a:gd name="connsiteX31" fmla="*/ 1938786 w 5856800"/>
                <a:gd name="connsiteY31" fmla="*/ 4366261 h 5143500"/>
                <a:gd name="connsiteX32" fmla="*/ 359398 w 5856800"/>
                <a:gd name="connsiteY32" fmla="*/ 5143500 h 5143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</a:cxnLst>
              <a:rect l="l" t="t" r="r" b="b"/>
              <a:pathLst>
                <a:path w="5856800" h="5143500">
                  <a:moveTo>
                    <a:pt x="359398" y="5143500"/>
                  </a:moveTo>
                  <a:lnTo>
                    <a:pt x="0" y="5143500"/>
                  </a:lnTo>
                  <a:lnTo>
                    <a:pt x="148434" y="5134393"/>
                  </a:lnTo>
                  <a:cubicBezTo>
                    <a:pt x="196544" y="5128161"/>
                    <a:pt x="243471" y="5118571"/>
                    <a:pt x="289794" y="5105140"/>
                  </a:cubicBezTo>
                  <a:lnTo>
                    <a:pt x="322878" y="5094086"/>
                  </a:lnTo>
                  <a:lnTo>
                    <a:pt x="322878" y="5092551"/>
                  </a:lnTo>
                  <a:lnTo>
                    <a:pt x="383234" y="5071693"/>
                  </a:lnTo>
                  <a:lnTo>
                    <a:pt x="406157" y="5061935"/>
                  </a:lnTo>
                  <a:lnTo>
                    <a:pt x="467937" y="5031805"/>
                  </a:lnTo>
                  <a:lnTo>
                    <a:pt x="488599" y="5021050"/>
                  </a:lnTo>
                  <a:lnTo>
                    <a:pt x="570082" y="4971029"/>
                  </a:lnTo>
                  <a:lnTo>
                    <a:pt x="587316" y="4958743"/>
                  </a:lnTo>
                  <a:lnTo>
                    <a:pt x="653768" y="4909591"/>
                  </a:lnTo>
                  <a:lnTo>
                    <a:pt x="680671" y="4887883"/>
                  </a:lnTo>
                  <a:lnTo>
                    <a:pt x="743705" y="4833601"/>
                  </a:lnTo>
                  <a:lnTo>
                    <a:pt x="768007" y="4811794"/>
                  </a:lnTo>
                  <a:lnTo>
                    <a:pt x="856273" y="4725732"/>
                  </a:lnTo>
                  <a:lnTo>
                    <a:pt x="868734" y="4712495"/>
                  </a:lnTo>
                  <a:lnTo>
                    <a:pt x="949068" y="4625829"/>
                  </a:lnTo>
                  <a:lnTo>
                    <a:pt x="978927" y="4591935"/>
                  </a:lnTo>
                  <a:lnTo>
                    <a:pt x="1049874" y="4508859"/>
                  </a:lnTo>
                  <a:lnTo>
                    <a:pt x="1079694" y="4473047"/>
                  </a:lnTo>
                  <a:lnTo>
                    <a:pt x="1182707" y="4344210"/>
                  </a:lnTo>
                  <a:cubicBezTo>
                    <a:pt x="1182707" y="4344210"/>
                    <a:pt x="2907589" y="2133696"/>
                    <a:pt x="2907589" y="2133696"/>
                  </a:cubicBezTo>
                  <a:lnTo>
                    <a:pt x="3918000" y="777240"/>
                  </a:lnTo>
                  <a:cubicBezTo>
                    <a:pt x="4327576" y="224266"/>
                    <a:pt x="4807111" y="1"/>
                    <a:pt x="5497389" y="1"/>
                  </a:cubicBezTo>
                  <a:lnTo>
                    <a:pt x="5733078" y="1"/>
                  </a:lnTo>
                  <a:lnTo>
                    <a:pt x="5733078" y="0"/>
                  </a:lnTo>
                  <a:lnTo>
                    <a:pt x="5856800" y="0"/>
                  </a:lnTo>
                  <a:cubicBezTo>
                    <a:pt x="5448414" y="0"/>
                    <a:pt x="5152520" y="183976"/>
                    <a:pt x="4674080" y="799291"/>
                  </a:cubicBezTo>
                  <a:cubicBezTo>
                    <a:pt x="4674080" y="799291"/>
                    <a:pt x="2949198" y="3009805"/>
                    <a:pt x="2949198" y="3009805"/>
                  </a:cubicBezTo>
                  <a:lnTo>
                    <a:pt x="1938786" y="4366261"/>
                  </a:lnTo>
                  <a:cubicBezTo>
                    <a:pt x="1529210" y="4919234"/>
                    <a:pt x="1049674" y="5143500"/>
                    <a:pt x="359398" y="5143500"/>
                  </a:cubicBezTo>
                  <a:close/>
                </a:path>
              </a:pathLst>
            </a:custGeom>
            <a:gradFill>
              <a:gsLst>
                <a:gs pos="80000">
                  <a:srgbClr val="71DBFF"/>
                </a:gs>
                <a:gs pos="0">
                  <a:srgbClr val="62D800"/>
                </a:gs>
              </a:gsLst>
              <a:lin ang="18847718" scaled="1"/>
            </a:gradFill>
            <a:ln w="0" cap="flat">
              <a:noFill/>
              <a:prstDash val="solid"/>
              <a:miter/>
            </a:ln>
          </xdr:spPr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rgbClr val="000000"/>
                  </a:solidFill>
                  <a:latin typeface="Arial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364" name="Freeform 27">
              <a:extLst>
                <a:ext uri="{FF2B5EF4-FFF2-40B4-BE49-F238E27FC236}">
                  <a16:creationId xmlns:a16="http://schemas.microsoft.com/office/drawing/2014/main" id="{44318250-0F36-4C30-0344-CD730DD065EB}"/>
                </a:ext>
              </a:extLst>
            </xdr:cNvPr>
            <xdr:cNvSpPr/>
          </xdr:nvSpPr>
          <xdr:spPr>
            <a:xfrm>
              <a:off x="0" y="-3"/>
              <a:ext cx="10138612" cy="1950670"/>
            </a:xfrm>
            <a:custGeom>
              <a:avLst/>
              <a:gdLst>
                <a:gd name="connsiteX0" fmla="*/ 0 w 10138612"/>
                <a:gd name="connsiteY0" fmla="*/ 0 h 1950670"/>
                <a:gd name="connsiteX1" fmla="*/ 5471484 w 10138612"/>
                <a:gd name="connsiteY1" fmla="*/ 0 h 1950670"/>
                <a:gd name="connsiteX2" fmla="*/ 5471484 w 10138612"/>
                <a:gd name="connsiteY2" fmla="*/ 1 h 1950670"/>
                <a:gd name="connsiteX3" fmla="*/ 5885943 w 10138612"/>
                <a:gd name="connsiteY3" fmla="*/ 1 h 1950670"/>
                <a:gd name="connsiteX4" fmla="*/ 6018904 w 10138612"/>
                <a:gd name="connsiteY4" fmla="*/ 1 h 1950670"/>
                <a:gd name="connsiteX5" fmla="*/ 6045812 w 10138612"/>
                <a:gd name="connsiteY5" fmla="*/ 1 h 1950670"/>
                <a:gd name="connsiteX6" fmla="*/ 6216366 w 10138612"/>
                <a:gd name="connsiteY6" fmla="*/ 1 h 1950670"/>
                <a:gd name="connsiteX7" fmla="*/ 6384708 w 10138612"/>
                <a:gd name="connsiteY7" fmla="*/ 1 h 1950670"/>
                <a:gd name="connsiteX8" fmla="*/ 8432755 w 10138612"/>
                <a:gd name="connsiteY8" fmla="*/ 1 h 1950670"/>
                <a:gd name="connsiteX9" fmla="*/ 8432756 w 10138612"/>
                <a:gd name="connsiteY9" fmla="*/ 1 h 1950670"/>
                <a:gd name="connsiteX10" fmla="*/ 8791884 w 10138612"/>
                <a:gd name="connsiteY10" fmla="*/ 1 h 1950670"/>
                <a:gd name="connsiteX11" fmla="*/ 9224750 w 10138612"/>
                <a:gd name="connsiteY11" fmla="*/ 1 h 1950670"/>
                <a:gd name="connsiteX12" fmla="*/ 9224751 w 10138612"/>
                <a:gd name="connsiteY12" fmla="*/ 1 h 1950670"/>
                <a:gd name="connsiteX13" fmla="*/ 9656036 w 10138612"/>
                <a:gd name="connsiteY13" fmla="*/ 1 h 1950670"/>
                <a:gd name="connsiteX14" fmla="*/ 10138612 w 10138612"/>
                <a:gd name="connsiteY14" fmla="*/ 1 h 1950670"/>
                <a:gd name="connsiteX15" fmla="*/ 9682802 w 10138612"/>
                <a:gd name="connsiteY15" fmla="*/ 303132 h 1950670"/>
                <a:gd name="connsiteX16" fmla="*/ 9018045 w 10138612"/>
                <a:gd name="connsiteY16" fmla="*/ 1141468 h 1950670"/>
                <a:gd name="connsiteX17" fmla="*/ 8628640 w 10138612"/>
                <a:gd name="connsiteY17" fmla="*/ 1655902 h 1950670"/>
                <a:gd name="connsiteX18" fmla="*/ 8019956 w 10138612"/>
                <a:gd name="connsiteY18" fmla="*/ 1950669 h 1950670"/>
                <a:gd name="connsiteX19" fmla="*/ 7790049 w 10138612"/>
                <a:gd name="connsiteY19" fmla="*/ 1950669 h 1950670"/>
                <a:gd name="connsiteX20" fmla="*/ 7572982 w 10138612"/>
                <a:gd name="connsiteY20" fmla="*/ 1950669 h 1950670"/>
                <a:gd name="connsiteX21" fmla="*/ 7572982 w 10138612"/>
                <a:gd name="connsiteY21" fmla="*/ 1949163 h 1950670"/>
                <a:gd name="connsiteX22" fmla="*/ 7537378 w 10138612"/>
                <a:gd name="connsiteY22" fmla="*/ 1950669 h 1950670"/>
                <a:gd name="connsiteX23" fmla="*/ 7307473 w 10138612"/>
                <a:gd name="connsiteY23" fmla="*/ 1950669 h 1950670"/>
                <a:gd name="connsiteX24" fmla="*/ 7106095 w 10138612"/>
                <a:gd name="connsiteY24" fmla="*/ 1950669 h 1950670"/>
                <a:gd name="connsiteX25" fmla="*/ 7090405 w 10138612"/>
                <a:gd name="connsiteY25" fmla="*/ 1950669 h 1950670"/>
                <a:gd name="connsiteX26" fmla="*/ 6876188 w 10138612"/>
                <a:gd name="connsiteY26" fmla="*/ 1950669 h 1950670"/>
                <a:gd name="connsiteX27" fmla="*/ 6673227 w 10138612"/>
                <a:gd name="connsiteY27" fmla="*/ 1950669 h 1950670"/>
                <a:gd name="connsiteX28" fmla="*/ 6659120 w 10138612"/>
                <a:gd name="connsiteY28" fmla="*/ 1950669 h 1950670"/>
                <a:gd name="connsiteX29" fmla="*/ 6443321 w 10138612"/>
                <a:gd name="connsiteY29" fmla="*/ 1950669 h 1950670"/>
                <a:gd name="connsiteX30" fmla="*/ 6384708 w 10138612"/>
                <a:gd name="connsiteY30" fmla="*/ 1950669 h 1950670"/>
                <a:gd name="connsiteX31" fmla="*/ 6314099 w 10138612"/>
                <a:gd name="connsiteY31" fmla="*/ 1950669 h 1950670"/>
                <a:gd name="connsiteX32" fmla="*/ 6226253 w 10138612"/>
                <a:gd name="connsiteY32" fmla="*/ 1950669 h 1950670"/>
                <a:gd name="connsiteX33" fmla="*/ 6216366 w 10138612"/>
                <a:gd name="connsiteY33" fmla="*/ 1950669 h 1950670"/>
                <a:gd name="connsiteX34" fmla="*/ 6084193 w 10138612"/>
                <a:gd name="connsiteY34" fmla="*/ 1950669 h 1950670"/>
                <a:gd name="connsiteX35" fmla="*/ 6045812 w 10138612"/>
                <a:gd name="connsiteY35" fmla="*/ 1950669 h 1950670"/>
                <a:gd name="connsiteX36" fmla="*/ 6018904 w 10138612"/>
                <a:gd name="connsiteY36" fmla="*/ 1950669 h 1950670"/>
                <a:gd name="connsiteX37" fmla="*/ 5885943 w 10138612"/>
                <a:gd name="connsiteY37" fmla="*/ 1950669 h 1950670"/>
                <a:gd name="connsiteX38" fmla="*/ 5471484 w 10138612"/>
                <a:gd name="connsiteY38" fmla="*/ 1950669 h 1950670"/>
                <a:gd name="connsiteX39" fmla="*/ 5471484 w 10138612"/>
                <a:gd name="connsiteY39" fmla="*/ 1950670 h 1950670"/>
                <a:gd name="connsiteX40" fmla="*/ 5101016 w 10138612"/>
                <a:gd name="connsiteY40" fmla="*/ 1950670 h 1950670"/>
                <a:gd name="connsiteX41" fmla="*/ 5035325 w 10138612"/>
                <a:gd name="connsiteY41" fmla="*/ 1950670 h 1950670"/>
                <a:gd name="connsiteX42" fmla="*/ 4967444 w 10138612"/>
                <a:gd name="connsiteY42" fmla="*/ 1950670 h 1950670"/>
                <a:gd name="connsiteX43" fmla="*/ 0 w 10138612"/>
                <a:gd name="connsiteY43" fmla="*/ 1950670 h 19506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</a:cxnLst>
              <a:rect l="l" t="t" r="r" b="b"/>
              <a:pathLst>
                <a:path w="10138612" h="1950670">
                  <a:moveTo>
                    <a:pt x="0" y="0"/>
                  </a:moveTo>
                  <a:lnTo>
                    <a:pt x="5471484" y="0"/>
                  </a:lnTo>
                  <a:lnTo>
                    <a:pt x="5471484" y="1"/>
                  </a:lnTo>
                  <a:lnTo>
                    <a:pt x="5885943" y="1"/>
                  </a:lnTo>
                  <a:lnTo>
                    <a:pt x="6018904" y="1"/>
                  </a:lnTo>
                  <a:lnTo>
                    <a:pt x="6045812" y="1"/>
                  </a:lnTo>
                  <a:lnTo>
                    <a:pt x="6216366" y="1"/>
                  </a:lnTo>
                  <a:lnTo>
                    <a:pt x="6384708" y="1"/>
                  </a:lnTo>
                  <a:lnTo>
                    <a:pt x="8432755" y="1"/>
                  </a:lnTo>
                  <a:lnTo>
                    <a:pt x="8432756" y="1"/>
                  </a:lnTo>
                  <a:lnTo>
                    <a:pt x="8791884" y="1"/>
                  </a:lnTo>
                  <a:lnTo>
                    <a:pt x="9224750" y="1"/>
                  </a:lnTo>
                  <a:lnTo>
                    <a:pt x="9224751" y="1"/>
                  </a:lnTo>
                  <a:lnTo>
                    <a:pt x="9656036" y="1"/>
                  </a:lnTo>
                  <a:lnTo>
                    <a:pt x="10138612" y="1"/>
                  </a:lnTo>
                  <a:cubicBezTo>
                    <a:pt x="9981224" y="1"/>
                    <a:pt x="9867190" y="69773"/>
                    <a:pt x="9682802" y="303132"/>
                  </a:cubicBezTo>
                  <a:cubicBezTo>
                    <a:pt x="9682802" y="303132"/>
                    <a:pt x="9018045" y="1141468"/>
                    <a:pt x="9018045" y="1141468"/>
                  </a:cubicBezTo>
                  <a:lnTo>
                    <a:pt x="8628640" y="1655902"/>
                  </a:lnTo>
                  <a:cubicBezTo>
                    <a:pt x="8470793" y="1865617"/>
                    <a:pt x="8285983" y="1950669"/>
                    <a:pt x="8019956" y="1950669"/>
                  </a:cubicBezTo>
                  <a:lnTo>
                    <a:pt x="7790049" y="1950669"/>
                  </a:lnTo>
                  <a:lnTo>
                    <a:pt x="7572982" y="1950669"/>
                  </a:lnTo>
                  <a:lnTo>
                    <a:pt x="7572982" y="1949163"/>
                  </a:lnTo>
                  <a:lnTo>
                    <a:pt x="7537378" y="1950669"/>
                  </a:lnTo>
                  <a:lnTo>
                    <a:pt x="7307473" y="1950669"/>
                  </a:lnTo>
                  <a:lnTo>
                    <a:pt x="7106095" y="1950669"/>
                  </a:lnTo>
                  <a:lnTo>
                    <a:pt x="7090405" y="1950669"/>
                  </a:lnTo>
                  <a:lnTo>
                    <a:pt x="6876188" y="1950669"/>
                  </a:lnTo>
                  <a:lnTo>
                    <a:pt x="6673227" y="1950669"/>
                  </a:lnTo>
                  <a:lnTo>
                    <a:pt x="6659120" y="1950669"/>
                  </a:lnTo>
                  <a:lnTo>
                    <a:pt x="6443321" y="1950669"/>
                  </a:lnTo>
                  <a:lnTo>
                    <a:pt x="6384708" y="1950669"/>
                  </a:lnTo>
                  <a:lnTo>
                    <a:pt x="6314099" y="1950669"/>
                  </a:lnTo>
                  <a:lnTo>
                    <a:pt x="6226253" y="1950669"/>
                  </a:lnTo>
                  <a:lnTo>
                    <a:pt x="6216366" y="1950669"/>
                  </a:lnTo>
                  <a:lnTo>
                    <a:pt x="6084193" y="1950669"/>
                  </a:lnTo>
                  <a:lnTo>
                    <a:pt x="6045812" y="1950669"/>
                  </a:lnTo>
                  <a:lnTo>
                    <a:pt x="6018904" y="1950669"/>
                  </a:lnTo>
                  <a:lnTo>
                    <a:pt x="5885943" y="1950669"/>
                  </a:lnTo>
                  <a:lnTo>
                    <a:pt x="5471484" y="1950669"/>
                  </a:lnTo>
                  <a:lnTo>
                    <a:pt x="5471484" y="1950670"/>
                  </a:lnTo>
                  <a:lnTo>
                    <a:pt x="5101016" y="1950670"/>
                  </a:lnTo>
                  <a:lnTo>
                    <a:pt x="5035325" y="1950670"/>
                  </a:lnTo>
                  <a:lnTo>
                    <a:pt x="4967444" y="1950670"/>
                  </a:lnTo>
                  <a:lnTo>
                    <a:pt x="0" y="1950670"/>
                  </a:lnTo>
                  <a:close/>
                </a:path>
              </a:pathLst>
            </a:custGeom>
            <a:gradFill>
              <a:gsLst>
                <a:gs pos="0">
                  <a:srgbClr val="003E51"/>
                </a:gs>
                <a:gs pos="87000">
                  <a:srgbClr val="0085AD"/>
                </a:gs>
              </a:gsLst>
              <a:lin ang="10800000" scaled="1"/>
            </a:gradFill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tIns="0" bIns="0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Arial"/>
                </a:defRPr>
              </a:lvl9pPr>
            </a:lstStyle>
            <a:p>
              <a:pPr algn="ctr"/>
              <a:endParaRPr lang="en-US" sz="1400" b="1">
                <a:solidFill>
                  <a:sysClr val="window" lastClr="FFFFFF"/>
                </a:solidFill>
              </a:endParaRPr>
            </a:p>
          </xdr:txBody>
        </xdr:sp>
      </xdr:grpSp>
      <xdr:sp macro="" textlink="">
        <xdr:nvSpPr>
          <xdr:cNvPr id="365" name="TextBox 8">
            <a:extLst>
              <a:ext uri="{FF2B5EF4-FFF2-40B4-BE49-F238E27FC236}">
                <a16:creationId xmlns:a16="http://schemas.microsoft.com/office/drawing/2014/main" id="{6AA4876D-09F4-808A-0C69-0734D9DA7595}"/>
              </a:ext>
            </a:extLst>
          </xdr:cNvPr>
          <xdr:cNvSpPr txBox="1"/>
        </xdr:nvSpPr>
        <xdr:spPr>
          <a:xfrm>
            <a:off x="9503609" y="5140307"/>
            <a:ext cx="5981971" cy="598118"/>
          </a:xfrm>
          <a:prstGeom prst="rect">
            <a:avLst/>
          </a:prstGeom>
          <a:noFill/>
        </xdr:spPr>
        <xdr:txBody>
          <a:bodyPr wrap="square" lIns="0" tIns="0" rIns="0" bIns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000000"/>
                </a:solidFill>
                <a:latin typeface="Arial"/>
              </a:defRPr>
            </a:lvl9pPr>
          </a:lstStyle>
          <a:p>
            <a:pPr algn="l">
              <a:lnSpc>
                <a:spcPct val="80000"/>
              </a:lnSpc>
              <a:spcBef>
                <a:spcPts val="300"/>
              </a:spcBef>
            </a:pPr>
            <a:r>
              <a:rPr lang="en-US" sz="3600">
                <a:solidFill>
                  <a:sysClr val="window" lastClr="FFFFFF"/>
                </a:solidFill>
                <a:latin typeface="+mn-lt"/>
              </a:rPr>
              <a:t>2026 Price</a:t>
            </a:r>
            <a:r>
              <a:rPr lang="en-US" sz="3600" baseline="0">
                <a:solidFill>
                  <a:sysClr val="window" lastClr="FFFFFF"/>
                </a:solidFill>
                <a:latin typeface="+mn-lt"/>
              </a:rPr>
              <a:t>list</a:t>
            </a:r>
            <a:r>
              <a:rPr lang="en-US" sz="3600">
                <a:solidFill>
                  <a:sysClr val="window" lastClr="FFFFFF"/>
                </a:solidFill>
                <a:latin typeface="+mn-lt"/>
              </a:rPr>
              <a:t> - Standard</a:t>
            </a:r>
            <a:r>
              <a:rPr lang="en-US" sz="3600" baseline="0">
                <a:solidFill>
                  <a:sysClr val="window" lastClr="FFFFFF"/>
                </a:solidFill>
                <a:latin typeface="+mn-lt"/>
              </a:rPr>
              <a:t> Products WEDECO</a:t>
            </a:r>
            <a:endParaRPr lang="en-US" sz="3600">
              <a:solidFill>
                <a:sysClr val="window" lastClr="FFFFFF"/>
              </a:solidFill>
              <a:latin typeface="+mn-lt"/>
            </a:endParaRPr>
          </a:p>
        </xdr:txBody>
      </xdr:sp>
    </xdr:grpSp>
    <xdr:clientData/>
  </xdr:twoCellAnchor>
  <xdr:twoCellAnchor>
    <xdr:from>
      <xdr:col>9</xdr:col>
      <xdr:colOff>244692</xdr:colOff>
      <xdr:row>25</xdr:row>
      <xdr:rowOff>9024</xdr:rowOff>
    </xdr:from>
    <xdr:to>
      <xdr:col>12</xdr:col>
      <xdr:colOff>238124</xdr:colOff>
      <xdr:row>33</xdr:row>
      <xdr:rowOff>95250</xdr:rowOff>
    </xdr:to>
    <xdr:grpSp>
      <xdr:nvGrpSpPr>
        <xdr:cNvPr id="7" name="Gruppieren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81D8476-BD25-874E-80F3-CDD935978DC9}"/>
            </a:ext>
          </a:extLst>
        </xdr:cNvPr>
        <xdr:cNvGrpSpPr/>
      </xdr:nvGrpSpPr>
      <xdr:grpSpPr>
        <a:xfrm>
          <a:off x="5819324" y="4931945"/>
          <a:ext cx="1868353" cy="1610226"/>
          <a:chOff x="7884745" y="5232735"/>
          <a:chExt cx="1868353" cy="1610226"/>
        </a:xfrm>
      </xdr:grpSpPr>
      <xdr:sp macro="" textlink="">
        <xdr:nvSpPr>
          <xdr:cNvPr id="15" name="Rechteck: diagonal liegende Ecken abgerundet 14">
            <a:extLst>
              <a:ext uri="{FF2B5EF4-FFF2-40B4-BE49-F238E27FC236}">
                <a16:creationId xmlns:a16="http://schemas.microsoft.com/office/drawing/2014/main" id="{61C514FB-D142-35BA-84BA-CF3A2590171D}"/>
              </a:ext>
              <a:ext uri="{147F2762-F138-4A5C-976F-8EAC2B608ADB}">
                <a16:predDERef xmlns:a16="http://schemas.microsoft.com/office/drawing/2014/main" pred="{0C6541E1-2434-BD1C-CAD5-030FF784ABE8}"/>
              </a:ext>
            </a:extLst>
          </xdr:cNvPr>
          <xdr:cNvSpPr/>
        </xdr:nvSpPr>
        <xdr:spPr>
          <a:xfrm>
            <a:off x="7884745" y="6509585"/>
            <a:ext cx="1868353" cy="333376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Aquada</a:t>
            </a:r>
          </a:p>
        </xdr:txBody>
      </xdr:sp>
      <xdr:pic>
        <xdr:nvPicPr>
          <xdr:cNvPr id="83" name="Grafik 82">
            <a:extLst>
              <a:ext uri="{FF2B5EF4-FFF2-40B4-BE49-F238E27FC236}">
                <a16:creationId xmlns:a16="http://schemas.microsoft.com/office/drawing/2014/main" id="{0AF3B2A0-5DD5-61A7-F3CE-B12448373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97217" y="5232735"/>
            <a:ext cx="1836847" cy="1238249"/>
          </a:xfrm>
          <a:prstGeom prst="roundRect">
            <a:avLst>
              <a:gd name="adj" fmla="val 16667"/>
            </a:avLst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 w="19050">
            <a:solidFill>
              <a:srgbClr val="0085AD"/>
            </a:solidFill>
            <a:miter lim="800000"/>
          </a:ln>
        </xdr:spPr>
      </xdr:pic>
    </xdr:grpSp>
    <xdr:clientData/>
  </xdr:twoCellAnchor>
  <xdr:twoCellAnchor>
    <xdr:from>
      <xdr:col>5</xdr:col>
      <xdr:colOff>505108</xdr:colOff>
      <xdr:row>15</xdr:row>
      <xdr:rowOff>104776</xdr:rowOff>
    </xdr:from>
    <xdr:to>
      <xdr:col>9</xdr:col>
      <xdr:colOff>38100</xdr:colOff>
      <xdr:row>23</xdr:row>
      <xdr:rowOff>169069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A55D96CC-E0AD-FB04-3E3A-5D2CB57F5154}"/>
            </a:ext>
          </a:extLst>
        </xdr:cNvPr>
        <xdr:cNvGrpSpPr/>
      </xdr:nvGrpSpPr>
      <xdr:grpSpPr>
        <a:xfrm>
          <a:off x="3763661" y="3122697"/>
          <a:ext cx="1849071" cy="1588293"/>
          <a:chOff x="2248183" y="3000376"/>
          <a:chExt cx="1847567" cy="1588293"/>
        </a:xfrm>
      </xdr:grpSpPr>
      <xdr:sp macro="" textlink="">
        <xdr:nvSpPr>
          <xdr:cNvPr id="20" name="Rechteck: diagonal liegende Ecken abgerundet 19">
            <a:extLst>
              <a:ext uri="{FF2B5EF4-FFF2-40B4-BE49-F238E27FC236}">
                <a16:creationId xmlns:a16="http://schemas.microsoft.com/office/drawing/2014/main" id="{94CFFFF8-96A4-4E7A-AF5F-73B6978F16BE}"/>
              </a:ext>
            </a:extLst>
          </xdr:cNvPr>
          <xdr:cNvSpPr/>
        </xdr:nvSpPr>
        <xdr:spPr>
          <a:xfrm>
            <a:off x="2248183" y="4267201"/>
            <a:ext cx="1847567" cy="321468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LBX</a:t>
            </a:r>
          </a:p>
        </xdr:txBody>
      </xdr:sp>
      <xdr:pic>
        <xdr:nvPicPr>
          <xdr:cNvPr id="4" name="Grafik 3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8794749-E593-BD4F-3CEA-0BABFFE6656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57425" y="3000376"/>
            <a:ext cx="1828800" cy="1219200"/>
          </a:xfrm>
          <a:prstGeom prst="roundRect">
            <a:avLst>
              <a:gd name="adj" fmla="val 16667"/>
            </a:avLst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 w="19050">
            <a:solidFill>
              <a:srgbClr val="0085AD"/>
            </a:solidFill>
          </a:ln>
          <a:effectLst/>
        </xdr:spPr>
      </xdr:pic>
    </xdr:grpSp>
    <xdr:clientData/>
  </xdr:twoCellAnchor>
  <xdr:twoCellAnchor>
    <xdr:from>
      <xdr:col>12</xdr:col>
      <xdr:colOff>471237</xdr:colOff>
      <xdr:row>24</xdr:row>
      <xdr:rowOff>180474</xdr:rowOff>
    </xdr:from>
    <xdr:to>
      <xdr:col>15</xdr:col>
      <xdr:colOff>514805</xdr:colOff>
      <xdr:row>33</xdr:row>
      <xdr:rowOff>92746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7C46AA8-AF73-6374-0F6E-C7D23CF77256}"/>
            </a:ext>
          </a:extLst>
        </xdr:cNvPr>
        <xdr:cNvGrpSpPr/>
      </xdr:nvGrpSpPr>
      <xdr:grpSpPr>
        <a:xfrm>
          <a:off x="7920790" y="4912895"/>
          <a:ext cx="1908462" cy="1626772"/>
          <a:chOff x="9986211" y="5213685"/>
          <a:chExt cx="1878383" cy="1626772"/>
        </a:xfrm>
      </xdr:grpSpPr>
      <xdr:pic>
        <xdr:nvPicPr>
          <xdr:cNvPr id="3" name="Grafik 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CCA931DF-5034-4D4B-B243-CA0B1AE870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929" b="13929"/>
          <a:stretch/>
        </xdr:blipFill>
        <xdr:spPr>
          <a:xfrm>
            <a:off x="9986211" y="5213685"/>
            <a:ext cx="1854867" cy="1253289"/>
          </a:xfrm>
          <a:prstGeom prst="roundRect">
            <a:avLst>
              <a:gd name="adj" fmla="val 16667"/>
            </a:avLst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t="-5000" b="-5000"/>
            </a:stretch>
          </a:blipFill>
          <a:ln w="19050">
            <a:solidFill>
              <a:srgbClr val="0085AD"/>
            </a:solidFill>
            <a:miter lim="800000"/>
          </a:ln>
        </xdr:spPr>
      </xdr:pic>
      <xdr:sp macro="" textlink="">
        <xdr:nvSpPr>
          <xdr:cNvPr id="12" name="Rechteck: diagonal liegende Ecken abgerundet 11">
            <a:extLst>
              <a:ext uri="{FF2B5EF4-FFF2-40B4-BE49-F238E27FC236}">
                <a16:creationId xmlns:a16="http://schemas.microsoft.com/office/drawing/2014/main" id="{5B4DB13B-BF93-4DEB-B6C6-434F2CE176EC}"/>
              </a:ext>
              <a:ext uri="{147F2762-F138-4A5C-976F-8EAC2B608ADB}">
                <a16:predDERef xmlns:a16="http://schemas.microsoft.com/office/drawing/2014/main" pred="{0C6541E1-2434-BD1C-CAD5-030FF784ABE8}"/>
              </a:ext>
            </a:extLst>
          </xdr:cNvPr>
          <xdr:cNvSpPr/>
        </xdr:nvSpPr>
        <xdr:spPr>
          <a:xfrm>
            <a:off x="9996241" y="6507081"/>
            <a:ext cx="1868353" cy="333376"/>
          </a:xfrm>
          <a:prstGeom prst="round2DiagRect">
            <a:avLst/>
          </a:prstGeom>
          <a:solidFill>
            <a:srgbClr val="0085AD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003">
            <a:schemeClr val="lt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indent="0" algn="ctr"/>
            <a:r>
              <a:rPr lang="de-DE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Modular</a:t>
            </a:r>
            <a:r>
              <a:rPr lang="de-DE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/ GSO / OCS</a:t>
            </a:r>
            <a:endParaRPr lang="de-DE" sz="1400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102577</xdr:colOff>
      <xdr:row>18</xdr:row>
      <xdr:rowOff>58617</xdr:rowOff>
    </xdr:from>
    <xdr:to>
      <xdr:col>2</xdr:col>
      <xdr:colOff>36635</xdr:colOff>
      <xdr:row>19</xdr:row>
      <xdr:rowOff>175846</xdr:rowOff>
    </xdr:to>
    <xdr:sp macro="" textlink="">
      <xdr:nvSpPr>
        <xdr:cNvPr id="3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1C79D4-A0D5-45A2-A0F3-EEB19C7534BD}"/>
            </a:ext>
          </a:extLst>
        </xdr:cNvPr>
        <xdr:cNvSpPr/>
      </xdr:nvSpPr>
      <xdr:spPr>
        <a:xfrm>
          <a:off x="864577" y="3780694"/>
          <a:ext cx="1626577" cy="307729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200">
              <a:solidFill>
                <a:schemeClr val="bg1"/>
              </a:solidFill>
            </a:rPr>
            <a:t>Back</a:t>
          </a:r>
          <a:r>
            <a:rPr lang="de-DE" sz="12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22</xdr:row>
      <xdr:rowOff>152400</xdr:rowOff>
    </xdr:from>
    <xdr:to>
      <xdr:col>3</xdr:col>
      <xdr:colOff>76200</xdr:colOff>
      <xdr:row>24</xdr:row>
      <xdr:rowOff>133350</xdr:rowOff>
    </xdr:to>
    <xdr:sp macro="" textlink="">
      <xdr:nvSpPr>
        <xdr:cNvPr id="4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566875-0B49-4D97-8084-6C465839B554}"/>
            </a:ext>
          </a:extLst>
        </xdr:cNvPr>
        <xdr:cNvSpPr/>
      </xdr:nvSpPr>
      <xdr:spPr>
        <a:xfrm>
          <a:off x="66675" y="5105400"/>
          <a:ext cx="2543175" cy="361950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0</xdr:colOff>
      <xdr:row>0</xdr:row>
      <xdr:rowOff>17319</xdr:rowOff>
    </xdr:from>
    <xdr:to>
      <xdr:col>60</xdr:col>
      <xdr:colOff>0</xdr:colOff>
      <xdr:row>1</xdr:row>
      <xdr:rowOff>196561</xdr:rowOff>
    </xdr:to>
    <xdr:sp macro="" textlink="">
      <xdr:nvSpPr>
        <xdr:cNvPr id="16" name="Rectangle: Diagonal Corners Rounded 9">
          <a:extLst>
            <a:ext uri="{FF2B5EF4-FFF2-40B4-BE49-F238E27FC236}">
              <a16:creationId xmlns:a16="http://schemas.microsoft.com/office/drawing/2014/main" id="{2E747545-A454-481B-A0BD-807A0E664A50}"/>
            </a:ext>
          </a:extLst>
        </xdr:cNvPr>
        <xdr:cNvSpPr/>
      </xdr:nvSpPr>
      <xdr:spPr>
        <a:xfrm>
          <a:off x="0" y="17319"/>
          <a:ext cx="40311917" cy="486159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Spektron -</a:t>
          </a:r>
          <a:r>
            <a:rPr lang="de-DE" sz="2000" b="1" baseline="0"/>
            <a:t> CE Version</a:t>
          </a:r>
          <a:endParaRPr lang="de-DE" sz="2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13</xdr:row>
      <xdr:rowOff>9525</xdr:rowOff>
    </xdr:from>
    <xdr:to>
      <xdr:col>3</xdr:col>
      <xdr:colOff>466725</xdr:colOff>
      <xdr:row>14</xdr:row>
      <xdr:rowOff>155986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D1D324-459E-4B63-831B-3C5DF3E256F3}"/>
            </a:ext>
          </a:extLst>
        </xdr:cNvPr>
        <xdr:cNvSpPr/>
      </xdr:nvSpPr>
      <xdr:spPr>
        <a:xfrm>
          <a:off x="76200" y="3324225"/>
          <a:ext cx="2247900" cy="336961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38100</xdr:colOff>
      <xdr:row>0</xdr:row>
      <xdr:rowOff>1</xdr:rowOff>
    </xdr:from>
    <xdr:to>
      <xdr:col>59</xdr:col>
      <xdr:colOff>1085850</xdr:colOff>
      <xdr:row>1</xdr:row>
      <xdr:rowOff>158751</xdr:rowOff>
    </xdr:to>
    <xdr:sp macro="" textlink="">
      <xdr:nvSpPr>
        <xdr:cNvPr id="21" name="Rectangle: Diagonal Corners Rounded 9">
          <a:extLst>
            <a:ext uri="{FF2B5EF4-FFF2-40B4-BE49-F238E27FC236}">
              <a16:creationId xmlns:a16="http://schemas.microsoft.com/office/drawing/2014/main" id="{664517FF-CC85-4E89-8315-69C19AE592F0}"/>
            </a:ext>
          </a:extLst>
        </xdr:cNvPr>
        <xdr:cNvSpPr/>
      </xdr:nvSpPr>
      <xdr:spPr>
        <a:xfrm>
          <a:off x="38100" y="1"/>
          <a:ext cx="21012150" cy="406400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LBX- CE</a:t>
          </a:r>
          <a:r>
            <a:rPr lang="de-DE" sz="2000" b="1" baseline="0"/>
            <a:t> version</a:t>
          </a:r>
          <a:endParaRPr lang="de-DE" sz="2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12</xdr:row>
      <xdr:rowOff>104775</xdr:rowOff>
    </xdr:from>
    <xdr:to>
      <xdr:col>4</xdr:col>
      <xdr:colOff>428625</xdr:colOff>
      <xdr:row>14</xdr:row>
      <xdr:rowOff>95250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7E615E-BE69-47DF-95AA-EF37EA7A4DE8}"/>
            </a:ext>
          </a:extLst>
        </xdr:cNvPr>
        <xdr:cNvSpPr/>
      </xdr:nvSpPr>
      <xdr:spPr>
        <a:xfrm>
          <a:off x="38100" y="2828925"/>
          <a:ext cx="2314575" cy="371475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60</xdr:col>
      <xdr:colOff>0</xdr:colOff>
      <xdr:row>1</xdr:row>
      <xdr:rowOff>181841</xdr:rowOff>
    </xdr:to>
    <xdr:sp macro="" textlink="">
      <xdr:nvSpPr>
        <xdr:cNvPr id="20" name="Rectangle: Diagonal Corners Rounded 9">
          <a:extLst>
            <a:ext uri="{FF2B5EF4-FFF2-40B4-BE49-F238E27FC236}">
              <a16:creationId xmlns:a16="http://schemas.microsoft.com/office/drawing/2014/main" id="{75B227B7-AD66-43ED-8130-3AE89D475755}"/>
            </a:ext>
          </a:extLst>
        </xdr:cNvPr>
        <xdr:cNvSpPr/>
      </xdr:nvSpPr>
      <xdr:spPr>
        <a:xfrm>
          <a:off x="0" y="0"/>
          <a:ext cx="14235545" cy="372341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Acton - CE</a:t>
          </a:r>
          <a:r>
            <a:rPr lang="de-DE" sz="2000" b="1" baseline="0"/>
            <a:t> version</a:t>
          </a:r>
          <a:endParaRPr lang="de-DE" sz="2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13</xdr:row>
      <xdr:rowOff>9525</xdr:rowOff>
    </xdr:from>
    <xdr:to>
      <xdr:col>5</xdr:col>
      <xdr:colOff>266700</xdr:colOff>
      <xdr:row>15</xdr:row>
      <xdr:rowOff>19050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E15104-77D0-481B-B6C8-4257BADC569B}"/>
            </a:ext>
          </a:extLst>
        </xdr:cNvPr>
        <xdr:cNvSpPr/>
      </xdr:nvSpPr>
      <xdr:spPr>
        <a:xfrm>
          <a:off x="161924" y="2905125"/>
          <a:ext cx="2390776" cy="390525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14654</xdr:colOff>
      <xdr:row>0</xdr:row>
      <xdr:rowOff>0</xdr:rowOff>
    </xdr:from>
    <xdr:to>
      <xdr:col>56</xdr:col>
      <xdr:colOff>0</xdr:colOff>
      <xdr:row>1</xdr:row>
      <xdr:rowOff>181841</xdr:rowOff>
    </xdr:to>
    <xdr:sp macro="" textlink="">
      <xdr:nvSpPr>
        <xdr:cNvPr id="16" name="Rectangle: Diagonal Corners Rounded 9">
          <a:extLst>
            <a:ext uri="{FF2B5EF4-FFF2-40B4-BE49-F238E27FC236}">
              <a16:creationId xmlns:a16="http://schemas.microsoft.com/office/drawing/2014/main" id="{5A934C24-7986-4206-B264-15F6EA3E8F8A}"/>
            </a:ext>
          </a:extLst>
        </xdr:cNvPr>
        <xdr:cNvSpPr/>
      </xdr:nvSpPr>
      <xdr:spPr>
        <a:xfrm>
          <a:off x="14654" y="0"/>
          <a:ext cx="18035221" cy="372341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Spektron industrial - CE version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9</xdr:row>
      <xdr:rowOff>47625</xdr:rowOff>
    </xdr:from>
    <xdr:to>
      <xdr:col>7</xdr:col>
      <xdr:colOff>600074</xdr:colOff>
      <xdr:row>11</xdr:row>
      <xdr:rowOff>3586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019246-19AB-497D-A114-B4D1EE9D55E3}"/>
            </a:ext>
          </a:extLst>
        </xdr:cNvPr>
        <xdr:cNvSpPr/>
      </xdr:nvSpPr>
      <xdr:spPr>
        <a:xfrm>
          <a:off x="66674" y="1657350"/>
          <a:ext cx="2085975" cy="336961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48</xdr:col>
      <xdr:colOff>0</xdr:colOff>
      <xdr:row>1</xdr:row>
      <xdr:rowOff>181841</xdr:rowOff>
    </xdr:to>
    <xdr:sp macro="" textlink="">
      <xdr:nvSpPr>
        <xdr:cNvPr id="22" name="Rectangle: Diagonal Corners Rounded 9">
          <a:extLst>
            <a:ext uri="{FF2B5EF4-FFF2-40B4-BE49-F238E27FC236}">
              <a16:creationId xmlns:a16="http://schemas.microsoft.com/office/drawing/2014/main" id="{69FDA81A-1BBE-422E-8447-F274AFDC3846}"/>
            </a:ext>
          </a:extLst>
        </xdr:cNvPr>
        <xdr:cNvSpPr/>
      </xdr:nvSpPr>
      <xdr:spPr>
        <a:xfrm>
          <a:off x="0" y="0"/>
          <a:ext cx="11195538" cy="372341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PureTube - CE</a:t>
          </a:r>
          <a:r>
            <a:rPr lang="de-DE" sz="2000" b="1" baseline="0"/>
            <a:t> Version</a:t>
          </a:r>
          <a:endParaRPr lang="de-DE" sz="20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: Diagonal Corners Rounded 9">
          <a:extLst>
            <a:ext uri="{FF2B5EF4-FFF2-40B4-BE49-F238E27FC236}">
              <a16:creationId xmlns:a16="http://schemas.microsoft.com/office/drawing/2014/main" id="{ACEFBAF0-7436-8F12-762B-DF8D32FF6383}"/>
            </a:ext>
          </a:extLst>
        </xdr:cNvPr>
        <xdr:cNvSpPr/>
      </xdr:nvSpPr>
      <xdr:spPr>
        <a:xfrm>
          <a:off x="0" y="0"/>
          <a:ext cx="0" cy="0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marL="0" indent="0" algn="ctr"/>
          <a:r>
            <a:rPr lang="en-US" sz="2000" b="1">
              <a:latin typeface="+mn-lt"/>
              <a:ea typeface="+mn-lt"/>
              <a:cs typeface="+mn-lt"/>
            </a:rPr>
            <a:t>AQUADA - CE version</a:t>
          </a:r>
        </a:p>
      </xdr:txBody>
    </xdr:sp>
    <xdr:clientData/>
  </xdr:twoCellAnchor>
  <xdr:twoCellAnchor>
    <xdr:from>
      <xdr:col>0</xdr:col>
      <xdr:colOff>51955</xdr:colOff>
      <xdr:row>21</xdr:row>
      <xdr:rowOff>3385</xdr:rowOff>
    </xdr:from>
    <xdr:to>
      <xdr:col>8</xdr:col>
      <xdr:colOff>23092</xdr:colOff>
      <xdr:row>22</xdr:row>
      <xdr:rowOff>138545</xdr:rowOff>
    </xdr:to>
    <xdr:sp macro="" textlink="">
      <xdr:nvSpPr>
        <xdr:cNvPr id="5" name="Rechteck: diagonal liegende Ecken abgerunde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714030-3E12-479E-B405-24316E8E136C}"/>
            </a:ext>
            <a:ext uri="{147F2762-F138-4A5C-976F-8EAC2B608ADB}">
              <a16:predDERef xmlns:a16="http://schemas.microsoft.com/office/drawing/2014/main" pred="{ACEFBAF0-7436-8F12-762B-DF8D32FF6383}"/>
            </a:ext>
          </a:extLst>
        </xdr:cNvPr>
        <xdr:cNvSpPr/>
      </xdr:nvSpPr>
      <xdr:spPr>
        <a:xfrm>
          <a:off x="51955" y="4852476"/>
          <a:ext cx="2187864" cy="325660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47</xdr:col>
      <xdr:colOff>0</xdr:colOff>
      <xdr:row>2</xdr:row>
      <xdr:rowOff>0</xdr:rowOff>
    </xdr:to>
    <xdr:sp macro="" textlink="">
      <xdr:nvSpPr>
        <xdr:cNvPr id="7" name="Rectangle: Diagonal Corners Rounded 9">
          <a:extLst>
            <a:ext uri="{FF2B5EF4-FFF2-40B4-BE49-F238E27FC236}">
              <a16:creationId xmlns:a16="http://schemas.microsoft.com/office/drawing/2014/main" id="{E1356ACA-5005-4A6E-A20B-F6AABED1528C}"/>
            </a:ext>
          </a:extLst>
        </xdr:cNvPr>
        <xdr:cNvSpPr/>
      </xdr:nvSpPr>
      <xdr:spPr>
        <a:xfrm>
          <a:off x="0" y="9525"/>
          <a:ext cx="15154275" cy="419100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marL="0" indent="0" algn="ctr"/>
          <a:r>
            <a:rPr lang="en-US" sz="2000" b="1">
              <a:latin typeface="+mn-lt"/>
              <a:ea typeface="+mn-lt"/>
              <a:cs typeface="+mn-lt"/>
            </a:rPr>
            <a:t>AQUADA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128222</xdr:colOff>
      <xdr:row>30</xdr:row>
      <xdr:rowOff>9159</xdr:rowOff>
    </xdr:from>
    <xdr:to>
      <xdr:col>1</xdr:col>
      <xdr:colOff>866776</xdr:colOff>
      <xdr:row>31</xdr:row>
      <xdr:rowOff>153788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DC58B3-E0AD-48EA-9E89-AC92E25A5F2F}"/>
            </a:ext>
          </a:extLst>
        </xdr:cNvPr>
        <xdr:cNvSpPr/>
      </xdr:nvSpPr>
      <xdr:spPr>
        <a:xfrm>
          <a:off x="128222" y="5781309"/>
          <a:ext cx="2434004" cy="335129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48</xdr:col>
      <xdr:colOff>27476</xdr:colOff>
      <xdr:row>1</xdr:row>
      <xdr:rowOff>180009</xdr:rowOff>
    </xdr:to>
    <xdr:sp macro="" textlink="">
      <xdr:nvSpPr>
        <xdr:cNvPr id="3" name="Rectangle: Diagonal Corners Rounded 9">
          <a:extLst>
            <a:ext uri="{FF2B5EF4-FFF2-40B4-BE49-F238E27FC236}">
              <a16:creationId xmlns:a16="http://schemas.microsoft.com/office/drawing/2014/main" id="{CACC33BA-F1C7-40BB-B4D3-EDD428C77586}"/>
            </a:ext>
            <a:ext uri="{147F2762-F138-4A5C-976F-8EAC2B608ADB}">
              <a16:predDERef xmlns:a16="http://schemas.microsoft.com/office/drawing/2014/main" pred="{8DDC58B3-E0AD-48EA-9E89-AC92E25A5F2F}"/>
            </a:ext>
          </a:extLst>
        </xdr:cNvPr>
        <xdr:cNvSpPr/>
      </xdr:nvSpPr>
      <xdr:spPr>
        <a:xfrm>
          <a:off x="1" y="0"/>
          <a:ext cx="9259398" cy="372341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rgbClr val="000000"/>
              </a:solidFill>
              <a:latin typeface="Aptos Narrow" panose="020B0004020202020204" pitchFamily="34" charset="0"/>
            </a:rPr>
            <a:t>UV-Auxiliaries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32</xdr:row>
      <xdr:rowOff>161925</xdr:rowOff>
    </xdr:from>
    <xdr:to>
      <xdr:col>1</xdr:col>
      <xdr:colOff>952500</xdr:colOff>
      <xdr:row>34</xdr:row>
      <xdr:rowOff>114300</xdr:rowOff>
    </xdr:to>
    <xdr:sp macro="" textlink="">
      <xdr:nvSpPr>
        <xdr:cNvPr id="2" name="Rechteck: diagonal liegende Ecken abgerunde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F4DA58-C0DD-434A-9A76-C04EC0D86976}"/>
            </a:ext>
          </a:extLst>
        </xdr:cNvPr>
        <xdr:cNvSpPr/>
      </xdr:nvSpPr>
      <xdr:spPr>
        <a:xfrm>
          <a:off x="9525" y="5972175"/>
          <a:ext cx="2714625" cy="333375"/>
        </a:xfrm>
        <a:prstGeom prst="round2DiagRect">
          <a:avLst/>
        </a:prstGeom>
        <a:solidFill>
          <a:srgbClr val="0085AD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de-DE" sz="1400">
              <a:solidFill>
                <a:schemeClr val="bg1"/>
              </a:solidFill>
            </a:rPr>
            <a:t>Back</a:t>
          </a:r>
          <a:r>
            <a:rPr lang="de-DE" sz="1400" baseline="0">
              <a:solidFill>
                <a:schemeClr val="bg1"/>
              </a:solidFill>
            </a:rPr>
            <a:t> to Welcome Page</a:t>
          </a:r>
        </a:p>
        <a:p>
          <a:pPr algn="l"/>
          <a:r>
            <a:rPr lang="de-DE" sz="1400" baseline="0">
              <a:solidFill>
                <a:schemeClr val="bg1"/>
              </a:solidFill>
            </a:rPr>
            <a:t> </a:t>
          </a:r>
          <a:endParaRPr lang="de-DE" sz="1100"/>
        </a:p>
      </xdr:txBody>
    </xdr:sp>
    <xdr:clientData/>
  </xdr:twoCellAnchor>
  <xdr:twoCellAnchor>
    <xdr:from>
      <xdr:col>0</xdr:col>
      <xdr:colOff>0</xdr:colOff>
      <xdr:row>0</xdr:row>
      <xdr:rowOff>17319</xdr:rowOff>
    </xdr:from>
    <xdr:to>
      <xdr:col>60</xdr:col>
      <xdr:colOff>0</xdr:colOff>
      <xdr:row>1</xdr:row>
      <xdr:rowOff>196561</xdr:rowOff>
    </xdr:to>
    <xdr:sp macro="" textlink="">
      <xdr:nvSpPr>
        <xdr:cNvPr id="16" name="Rectangle: Diagonal Corners Rounded 9">
          <a:extLst>
            <a:ext uri="{FF2B5EF4-FFF2-40B4-BE49-F238E27FC236}">
              <a16:creationId xmlns:a16="http://schemas.microsoft.com/office/drawing/2014/main" id="{A25FD231-A8DE-401C-95BF-6E39AEBFC89F}"/>
            </a:ext>
          </a:extLst>
        </xdr:cNvPr>
        <xdr:cNvSpPr/>
      </xdr:nvSpPr>
      <xdr:spPr>
        <a:xfrm>
          <a:off x="0" y="17319"/>
          <a:ext cx="25755600" cy="484042"/>
        </a:xfrm>
        <a:prstGeom prst="round2DiagRect">
          <a:avLst>
            <a:gd name="adj1" fmla="val 27890"/>
            <a:gd name="adj2" fmla="val 0"/>
          </a:avLst>
        </a:prstGeom>
        <a:gradFill flip="none" rotWithShape="1">
          <a:gsLst>
            <a:gs pos="0">
              <a:srgbClr val="71DBFF"/>
            </a:gs>
            <a:gs pos="50000">
              <a:srgbClr val="69D982"/>
            </a:gs>
            <a:gs pos="100000">
              <a:srgbClr val="61D604"/>
            </a:gs>
          </a:gsLst>
          <a:lin ang="0" scaled="1"/>
          <a:tileRect/>
        </a:gradFill>
        <a:ln w="0" cap="flat">
          <a:noFill/>
          <a:prstDash val="solid"/>
          <a:miter/>
        </a:ln>
      </xdr:spPr>
      <xdr:txBody>
        <a:bodyPr wrap="square" rtlCol="0" anchor="ctr">
          <a:noAutofit/>
        </a:bodyPr>
        <a:lstStyle/>
        <a:p>
          <a:pPr algn="ctr"/>
          <a:r>
            <a:rPr lang="de-DE" sz="2000" b="1"/>
            <a:t>Modular, GSO</a:t>
          </a:r>
          <a:r>
            <a:rPr lang="de-DE" sz="2000" b="1" baseline="0"/>
            <a:t>, OCS - CE version</a:t>
          </a:r>
          <a:endParaRPr lang="de-DE" sz="2000" b="1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Meyer, Kirsten N - Xylem" id="{E451E90A-4C0E-44F3-9174-86731118C726}" userId="S::kirsten.meyer@xylem.com::ed2eccdc-5134-48d9-8864-cf904c70e17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DC7BC5-75F4-433E-955B-194B6A1977F6}" name="Tabelle57" displayName="Tabelle57" ref="B9:C17" totalsRowShown="0" headerRowDxfId="3" dataDxfId="2">
  <autoFilter ref="B9:C17" xr:uid="{14DC7BC5-75F4-433E-955B-194B6A1977F6}">
    <filterColumn colId="0" hiddenButton="1"/>
    <filterColumn colId="1" hiddenButton="1"/>
  </autoFilter>
  <tableColumns count="2">
    <tableColumn id="1" xr3:uid="{155C1B7A-98A8-42FE-8A03-211387F79742}" name="Series" dataDxfId="1"/>
    <tableColumn id="2" xr3:uid="{9E8AA111-A8A6-4C58-BC2A-015108555CD1}" name="Applicable  Discount" dataDxfId="0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C2F8F3-D7C0-492A-B46C-B32A2B66ACCB}" name="Tabelle14" displayName="Tabelle14" ref="A117:A120" totalsRowShown="0">
  <autoFilter ref="A117:A120" xr:uid="{56C2F8F3-D7C0-492A-B46C-B32A2B66ACCB}"/>
  <tableColumns count="1">
    <tableColumn id="1" xr3:uid="{4A9F97B3-43A2-42E0-8619-FBDB6C12D424}" name="Spalte1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5000" b="-5000"/>
          </a:stretch>
        </a:blipFill>
        <a:ln>
          <a:solidFill>
            <a:srgbClr val="0085AD"/>
          </a:solidFill>
        </a:ln>
      </a:spPr>
      <a:bodyPr/>
      <a:lstStyle/>
      <a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5" dT="2026-01-23T10:09:13.02" personId="{E451E90A-4C0E-44F3-9174-86731118C726}" id="{05E6A32D-BBB0-4A4B-B685-161CCF4B72D3}">
    <text>EU applies to all of the below countries: 
D/F/E/P/PL/BE/NL/IS/AT/LU/SE/FI/H/BG/TR/GR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CBE9-4F5F-4431-A8B8-DC3BE54C9E26}">
  <sheetPr codeName="Tabelle1">
    <tabColor rgb="FF92D050"/>
  </sheetPr>
  <dimension ref="A1:H939"/>
  <sheetViews>
    <sheetView topLeftCell="A81" workbookViewId="0">
      <selection activeCell="O230" sqref="O230"/>
    </sheetView>
  </sheetViews>
  <sheetFormatPr defaultColWidth="11.42578125" defaultRowHeight="15" x14ac:dyDescent="0.25"/>
  <cols>
    <col min="1" max="1" width="18.7109375" bestFit="1" customWidth="1"/>
    <col min="2" max="2" width="32" bestFit="1" customWidth="1"/>
    <col min="3" max="3" width="14.42578125" style="42" bestFit="1" customWidth="1"/>
    <col min="5" max="5" width="76.28515625" bestFit="1" customWidth="1"/>
  </cols>
  <sheetData>
    <row r="1" spans="1:5" ht="15.75" x14ac:dyDescent="0.25">
      <c r="A1" s="140" t="s">
        <v>0</v>
      </c>
      <c r="B1" s="140" t="s">
        <v>1</v>
      </c>
      <c r="C1" s="145" t="s">
        <v>2</v>
      </c>
      <c r="D1" s="140" t="s">
        <v>3</v>
      </c>
      <c r="E1" s="140" t="s">
        <v>4</v>
      </c>
    </row>
    <row r="2" spans="1:5" x14ac:dyDescent="0.25">
      <c r="A2" s="78" t="s">
        <v>5</v>
      </c>
      <c r="B2" t="s">
        <v>6</v>
      </c>
      <c r="C2" s="42">
        <v>190</v>
      </c>
      <c r="E2" t="s">
        <v>7</v>
      </c>
    </row>
    <row r="3" spans="1:5" x14ac:dyDescent="0.25">
      <c r="A3" s="78" t="s">
        <v>8</v>
      </c>
      <c r="B3" t="s">
        <v>6</v>
      </c>
      <c r="C3" s="42">
        <v>190</v>
      </c>
      <c r="E3" t="s">
        <v>9</v>
      </c>
    </row>
    <row r="4" spans="1:5" x14ac:dyDescent="0.25">
      <c r="A4" s="78" t="s">
        <v>10</v>
      </c>
      <c r="B4" t="s">
        <v>6</v>
      </c>
      <c r="C4" s="42">
        <v>290</v>
      </c>
      <c r="E4" t="s">
        <v>11</v>
      </c>
    </row>
    <row r="5" spans="1:5" x14ac:dyDescent="0.25">
      <c r="A5" s="78" t="s">
        <v>12</v>
      </c>
      <c r="B5" t="s">
        <v>6</v>
      </c>
      <c r="C5" s="42">
        <v>290</v>
      </c>
      <c r="E5" t="s">
        <v>13</v>
      </c>
    </row>
    <row r="6" spans="1:5" x14ac:dyDescent="0.25">
      <c r="A6" s="78" t="s">
        <v>14</v>
      </c>
      <c r="B6" t="s">
        <v>6</v>
      </c>
      <c r="C6" s="42">
        <v>190</v>
      </c>
      <c r="E6" t="s">
        <v>15</v>
      </c>
    </row>
    <row r="7" spans="1:5" x14ac:dyDescent="0.25">
      <c r="A7" s="78" t="s">
        <v>16</v>
      </c>
      <c r="B7" t="s">
        <v>6</v>
      </c>
      <c r="C7" s="42">
        <v>190</v>
      </c>
      <c r="E7" t="s">
        <v>17</v>
      </c>
    </row>
    <row r="8" spans="1:5" x14ac:dyDescent="0.25">
      <c r="A8" s="78" t="s">
        <v>18</v>
      </c>
      <c r="B8" t="s">
        <v>6</v>
      </c>
      <c r="C8" s="42">
        <v>290</v>
      </c>
      <c r="E8" t="s">
        <v>19</v>
      </c>
    </row>
    <row r="9" spans="1:5" x14ac:dyDescent="0.25">
      <c r="A9" s="78" t="s">
        <v>20</v>
      </c>
      <c r="B9" t="s">
        <v>6</v>
      </c>
      <c r="C9" s="42">
        <v>190</v>
      </c>
      <c r="E9" t="s">
        <v>21</v>
      </c>
    </row>
    <row r="10" spans="1:5" x14ac:dyDescent="0.25">
      <c r="A10" s="78" t="s">
        <v>22</v>
      </c>
      <c r="B10" t="s">
        <v>6</v>
      </c>
      <c r="C10" s="42">
        <v>190</v>
      </c>
      <c r="E10" t="s">
        <v>23</v>
      </c>
    </row>
    <row r="11" spans="1:5" x14ac:dyDescent="0.25">
      <c r="A11" s="78" t="s">
        <v>24</v>
      </c>
      <c r="B11" t="s">
        <v>6</v>
      </c>
      <c r="C11" s="42">
        <v>290</v>
      </c>
      <c r="E11" t="s">
        <v>25</v>
      </c>
    </row>
    <row r="12" spans="1:5" x14ac:dyDescent="0.25">
      <c r="A12" s="78" t="s">
        <v>26</v>
      </c>
      <c r="B12" t="s">
        <v>6</v>
      </c>
      <c r="C12" s="42">
        <v>290</v>
      </c>
      <c r="E12" t="s">
        <v>27</v>
      </c>
    </row>
    <row r="13" spans="1:5" x14ac:dyDescent="0.25">
      <c r="A13" s="78" t="s">
        <v>28</v>
      </c>
      <c r="B13" t="s">
        <v>6</v>
      </c>
      <c r="C13" s="42">
        <v>190</v>
      </c>
      <c r="E13" t="s">
        <v>29</v>
      </c>
    </row>
    <row r="14" spans="1:5" x14ac:dyDescent="0.25">
      <c r="A14" s="78" t="s">
        <v>30</v>
      </c>
      <c r="B14" t="s">
        <v>6</v>
      </c>
      <c r="C14" s="42">
        <v>190</v>
      </c>
      <c r="E14" t="s">
        <v>31</v>
      </c>
    </row>
    <row r="15" spans="1:5" x14ac:dyDescent="0.25">
      <c r="A15" s="78" t="s">
        <v>32</v>
      </c>
      <c r="B15" t="s">
        <v>6</v>
      </c>
      <c r="C15" s="42">
        <v>290</v>
      </c>
      <c r="E15" t="s">
        <v>33</v>
      </c>
    </row>
    <row r="16" spans="1:5" x14ac:dyDescent="0.25">
      <c r="A16" s="78" t="s">
        <v>34</v>
      </c>
      <c r="B16" t="s">
        <v>6</v>
      </c>
      <c r="C16" s="42">
        <v>190</v>
      </c>
      <c r="E16" t="s">
        <v>35</v>
      </c>
    </row>
    <row r="17" spans="1:5" x14ac:dyDescent="0.25">
      <c r="A17" s="78" t="s">
        <v>36</v>
      </c>
      <c r="B17" t="s">
        <v>6</v>
      </c>
      <c r="C17" s="42">
        <v>190</v>
      </c>
      <c r="E17" t="s">
        <v>37</v>
      </c>
    </row>
    <row r="18" spans="1:5" x14ac:dyDescent="0.25">
      <c r="A18" s="78" t="s">
        <v>38</v>
      </c>
      <c r="B18" t="s">
        <v>6</v>
      </c>
      <c r="C18" s="42">
        <v>290</v>
      </c>
      <c r="E18" t="s">
        <v>39</v>
      </c>
    </row>
    <row r="19" spans="1:5" x14ac:dyDescent="0.25">
      <c r="A19" s="78" t="s">
        <v>40</v>
      </c>
      <c r="B19" t="s">
        <v>6</v>
      </c>
      <c r="C19" s="42">
        <v>290</v>
      </c>
      <c r="E19" t="s">
        <v>41</v>
      </c>
    </row>
    <row r="20" spans="1:5" x14ac:dyDescent="0.25">
      <c r="A20" s="78" t="s">
        <v>42</v>
      </c>
      <c r="B20" t="s">
        <v>6</v>
      </c>
      <c r="C20" s="42">
        <v>190</v>
      </c>
      <c r="E20" t="s">
        <v>43</v>
      </c>
    </row>
    <row r="21" spans="1:5" x14ac:dyDescent="0.25">
      <c r="A21" s="78" t="s">
        <v>44</v>
      </c>
      <c r="B21" t="s">
        <v>6</v>
      </c>
      <c r="C21" s="42">
        <v>190</v>
      </c>
      <c r="E21" t="s">
        <v>45</v>
      </c>
    </row>
    <row r="22" spans="1:5" x14ac:dyDescent="0.25">
      <c r="A22" s="78" t="s">
        <v>46</v>
      </c>
      <c r="B22" t="s">
        <v>6</v>
      </c>
      <c r="C22" s="42">
        <v>290</v>
      </c>
      <c r="E22" t="s">
        <v>47</v>
      </c>
    </row>
    <row r="23" spans="1:5" x14ac:dyDescent="0.25">
      <c r="A23" s="78" t="s">
        <v>48</v>
      </c>
      <c r="B23" t="s">
        <v>6</v>
      </c>
      <c r="C23" s="42">
        <v>190</v>
      </c>
      <c r="E23" t="s">
        <v>49</v>
      </c>
    </row>
    <row r="24" spans="1:5" x14ac:dyDescent="0.25">
      <c r="A24" s="78" t="s">
        <v>50</v>
      </c>
      <c r="B24" t="s">
        <v>6</v>
      </c>
      <c r="C24" s="42">
        <v>190</v>
      </c>
      <c r="E24" t="s">
        <v>51</v>
      </c>
    </row>
    <row r="25" spans="1:5" x14ac:dyDescent="0.25">
      <c r="A25" s="78" t="s">
        <v>52</v>
      </c>
      <c r="B25" t="s">
        <v>6</v>
      </c>
      <c r="C25" s="42">
        <v>290</v>
      </c>
      <c r="E25" t="s">
        <v>53</v>
      </c>
    </row>
    <row r="26" spans="1:5" x14ac:dyDescent="0.25">
      <c r="A26" s="78" t="s">
        <v>54</v>
      </c>
      <c r="B26" t="s">
        <v>6</v>
      </c>
      <c r="C26" s="42">
        <v>290</v>
      </c>
      <c r="E26" t="s">
        <v>55</v>
      </c>
    </row>
    <row r="27" spans="1:5" x14ac:dyDescent="0.25">
      <c r="A27" s="78" t="s">
        <v>56</v>
      </c>
      <c r="B27" t="s">
        <v>6</v>
      </c>
      <c r="C27" s="42">
        <v>190</v>
      </c>
      <c r="E27" t="s">
        <v>57</v>
      </c>
    </row>
    <row r="28" spans="1:5" x14ac:dyDescent="0.25">
      <c r="A28" s="78" t="s">
        <v>58</v>
      </c>
      <c r="B28" t="s">
        <v>6</v>
      </c>
      <c r="C28" s="42">
        <v>190</v>
      </c>
      <c r="E28" t="s">
        <v>59</v>
      </c>
    </row>
    <row r="29" spans="1:5" x14ac:dyDescent="0.25">
      <c r="A29" s="78" t="s">
        <v>60</v>
      </c>
      <c r="B29" t="s">
        <v>6</v>
      </c>
      <c r="C29" s="42">
        <v>290</v>
      </c>
      <c r="E29" t="s">
        <v>61</v>
      </c>
    </row>
    <row r="30" spans="1:5" x14ac:dyDescent="0.25">
      <c r="A30" s="78" t="s">
        <v>62</v>
      </c>
      <c r="B30" t="s">
        <v>6</v>
      </c>
      <c r="C30" s="42">
        <v>190</v>
      </c>
      <c r="E30" t="s">
        <v>7</v>
      </c>
    </row>
    <row r="31" spans="1:5" x14ac:dyDescent="0.25">
      <c r="A31" s="78" t="s">
        <v>63</v>
      </c>
      <c r="B31" t="s">
        <v>6</v>
      </c>
      <c r="C31" s="42">
        <v>190</v>
      </c>
      <c r="E31" t="s">
        <v>9</v>
      </c>
    </row>
    <row r="32" spans="1:5" x14ac:dyDescent="0.25">
      <c r="A32" s="78" t="s">
        <v>64</v>
      </c>
      <c r="B32" t="s">
        <v>6</v>
      </c>
      <c r="C32" s="42">
        <v>290</v>
      </c>
      <c r="E32" t="s">
        <v>11</v>
      </c>
    </row>
    <row r="33" spans="1:8" x14ac:dyDescent="0.25">
      <c r="A33" s="78" t="s">
        <v>65</v>
      </c>
      <c r="B33" t="s">
        <v>6</v>
      </c>
      <c r="C33" s="42">
        <v>290</v>
      </c>
      <c r="E33" t="s">
        <v>13</v>
      </c>
    </row>
    <row r="34" spans="1:8" x14ac:dyDescent="0.25">
      <c r="A34" s="78" t="s">
        <v>66</v>
      </c>
      <c r="B34" t="s">
        <v>6</v>
      </c>
      <c r="C34" s="42">
        <v>190</v>
      </c>
      <c r="E34" t="s">
        <v>15</v>
      </c>
    </row>
    <row r="35" spans="1:8" x14ac:dyDescent="0.25">
      <c r="A35" s="78" t="s">
        <v>67</v>
      </c>
      <c r="B35" t="s">
        <v>6</v>
      </c>
      <c r="C35" s="42">
        <v>190</v>
      </c>
      <c r="E35" t="s">
        <v>17</v>
      </c>
    </row>
    <row r="36" spans="1:8" x14ac:dyDescent="0.25">
      <c r="A36" s="78" t="s">
        <v>68</v>
      </c>
      <c r="B36" t="s">
        <v>6</v>
      </c>
      <c r="C36" s="42">
        <v>290</v>
      </c>
      <c r="E36" t="s">
        <v>19</v>
      </c>
    </row>
    <row r="37" spans="1:8" x14ac:dyDescent="0.25">
      <c r="A37" s="78" t="s">
        <v>69</v>
      </c>
      <c r="B37" t="s">
        <v>6</v>
      </c>
      <c r="C37" s="42">
        <v>190</v>
      </c>
      <c r="E37" t="s">
        <v>21</v>
      </c>
    </row>
    <row r="38" spans="1:8" x14ac:dyDescent="0.25">
      <c r="A38" s="78" t="s">
        <v>70</v>
      </c>
      <c r="B38" t="s">
        <v>6</v>
      </c>
      <c r="C38" s="42">
        <v>190</v>
      </c>
      <c r="E38" t="s">
        <v>23</v>
      </c>
    </row>
    <row r="39" spans="1:8" x14ac:dyDescent="0.25">
      <c r="A39" s="78" t="s">
        <v>71</v>
      </c>
      <c r="B39" t="s">
        <v>6</v>
      </c>
      <c r="C39" s="42">
        <v>290</v>
      </c>
      <c r="E39" t="s">
        <v>25</v>
      </c>
    </row>
    <row r="40" spans="1:8" x14ac:dyDescent="0.25">
      <c r="A40" s="78" t="s">
        <v>72</v>
      </c>
      <c r="B40" t="s">
        <v>6</v>
      </c>
      <c r="C40" s="42">
        <v>290</v>
      </c>
      <c r="E40" t="s">
        <v>27</v>
      </c>
    </row>
    <row r="41" spans="1:8" x14ac:dyDescent="0.25">
      <c r="A41" s="78" t="s">
        <v>73</v>
      </c>
      <c r="B41" t="s">
        <v>6</v>
      </c>
      <c r="C41" s="42">
        <v>190</v>
      </c>
      <c r="E41" t="s">
        <v>29</v>
      </c>
    </row>
    <row r="42" spans="1:8" x14ac:dyDescent="0.25">
      <c r="A42" s="78" t="s">
        <v>74</v>
      </c>
      <c r="B42" t="s">
        <v>6</v>
      </c>
      <c r="C42" s="42">
        <v>190</v>
      </c>
      <c r="E42" t="s">
        <v>31</v>
      </c>
    </row>
    <row r="43" spans="1:8" x14ac:dyDescent="0.25">
      <c r="A43" s="78" t="s">
        <v>75</v>
      </c>
      <c r="B43" t="s">
        <v>6</v>
      </c>
      <c r="C43" s="42">
        <v>290</v>
      </c>
      <c r="E43" t="s">
        <v>33</v>
      </c>
    </row>
    <row r="44" spans="1:8" x14ac:dyDescent="0.25">
      <c r="A44" s="78" t="s">
        <v>76</v>
      </c>
      <c r="B44" t="s">
        <v>6</v>
      </c>
      <c r="C44" s="42">
        <v>190</v>
      </c>
      <c r="E44" t="s">
        <v>35</v>
      </c>
    </row>
    <row r="45" spans="1:8" x14ac:dyDescent="0.25">
      <c r="A45" s="78" t="s">
        <v>77</v>
      </c>
      <c r="B45" t="s">
        <v>6</v>
      </c>
      <c r="C45" s="42">
        <v>190</v>
      </c>
      <c r="E45" t="s">
        <v>37</v>
      </c>
      <c r="H45" t="s">
        <v>78</v>
      </c>
    </row>
    <row r="46" spans="1:8" x14ac:dyDescent="0.25">
      <c r="A46" s="78" t="s">
        <v>79</v>
      </c>
      <c r="B46" t="s">
        <v>6</v>
      </c>
      <c r="C46" s="42">
        <v>290</v>
      </c>
      <c r="E46" t="s">
        <v>39</v>
      </c>
    </row>
    <row r="47" spans="1:8" x14ac:dyDescent="0.25">
      <c r="A47" s="78" t="s">
        <v>80</v>
      </c>
      <c r="B47" t="s">
        <v>6</v>
      </c>
      <c r="C47" s="42">
        <v>290</v>
      </c>
      <c r="E47" t="s">
        <v>41</v>
      </c>
    </row>
    <row r="48" spans="1:8" x14ac:dyDescent="0.25">
      <c r="A48" s="78" t="s">
        <v>81</v>
      </c>
      <c r="B48" t="s">
        <v>6</v>
      </c>
      <c r="C48" s="42">
        <v>190</v>
      </c>
      <c r="E48" t="s">
        <v>43</v>
      </c>
    </row>
    <row r="49" spans="1:5" x14ac:dyDescent="0.25">
      <c r="A49" s="78" t="s">
        <v>82</v>
      </c>
      <c r="B49" t="s">
        <v>6</v>
      </c>
      <c r="C49" s="42">
        <v>190</v>
      </c>
      <c r="E49" t="s">
        <v>45</v>
      </c>
    </row>
    <row r="50" spans="1:5" x14ac:dyDescent="0.25">
      <c r="A50" s="78" t="s">
        <v>83</v>
      </c>
      <c r="B50" t="s">
        <v>6</v>
      </c>
      <c r="C50" s="42">
        <v>290</v>
      </c>
      <c r="E50" t="s">
        <v>47</v>
      </c>
    </row>
    <row r="51" spans="1:5" x14ac:dyDescent="0.25">
      <c r="A51" s="78" t="s">
        <v>84</v>
      </c>
      <c r="B51" t="s">
        <v>6</v>
      </c>
      <c r="C51" s="42">
        <v>190</v>
      </c>
      <c r="E51" t="s">
        <v>49</v>
      </c>
    </row>
    <row r="52" spans="1:5" x14ac:dyDescent="0.25">
      <c r="A52" s="78" t="s">
        <v>85</v>
      </c>
      <c r="B52" t="s">
        <v>6</v>
      </c>
      <c r="C52" s="42">
        <v>190</v>
      </c>
      <c r="E52" t="s">
        <v>51</v>
      </c>
    </row>
    <row r="53" spans="1:5" x14ac:dyDescent="0.25">
      <c r="A53" s="78" t="s">
        <v>86</v>
      </c>
      <c r="B53" t="s">
        <v>6</v>
      </c>
      <c r="C53" s="42">
        <v>290</v>
      </c>
      <c r="E53" t="s">
        <v>53</v>
      </c>
    </row>
    <row r="54" spans="1:5" x14ac:dyDescent="0.25">
      <c r="A54" s="78" t="s">
        <v>87</v>
      </c>
      <c r="B54" t="s">
        <v>6</v>
      </c>
      <c r="C54" s="42">
        <v>290</v>
      </c>
      <c r="E54" t="s">
        <v>55</v>
      </c>
    </row>
    <row r="55" spans="1:5" x14ac:dyDescent="0.25">
      <c r="A55" s="78" t="s">
        <v>88</v>
      </c>
      <c r="B55" t="s">
        <v>6</v>
      </c>
      <c r="C55" s="42">
        <v>190</v>
      </c>
      <c r="E55" t="s">
        <v>57</v>
      </c>
    </row>
    <row r="56" spans="1:5" x14ac:dyDescent="0.25">
      <c r="A56" s="78" t="s">
        <v>89</v>
      </c>
      <c r="B56" t="s">
        <v>6</v>
      </c>
      <c r="C56" s="42">
        <v>190</v>
      </c>
      <c r="E56" t="s">
        <v>59</v>
      </c>
    </row>
    <row r="57" spans="1:5" x14ac:dyDescent="0.25">
      <c r="A57" s="78" t="s">
        <v>90</v>
      </c>
      <c r="B57" t="s">
        <v>6</v>
      </c>
      <c r="C57" s="42">
        <v>290</v>
      </c>
      <c r="E57" t="s">
        <v>61</v>
      </c>
    </row>
    <row r="58" spans="1:5" x14ac:dyDescent="0.25">
      <c r="A58" s="78" t="s">
        <v>91</v>
      </c>
      <c r="B58" t="s">
        <v>6</v>
      </c>
      <c r="C58" s="42">
        <v>160</v>
      </c>
      <c r="E58" t="s">
        <v>7</v>
      </c>
    </row>
    <row r="59" spans="1:5" x14ac:dyDescent="0.25">
      <c r="A59" s="78" t="s">
        <v>92</v>
      </c>
      <c r="B59" t="s">
        <v>6</v>
      </c>
      <c r="C59" s="42">
        <v>160</v>
      </c>
      <c r="E59" t="s">
        <v>9</v>
      </c>
    </row>
    <row r="60" spans="1:5" x14ac:dyDescent="0.25">
      <c r="A60" s="78" t="s">
        <v>93</v>
      </c>
      <c r="B60" t="s">
        <v>6</v>
      </c>
      <c r="C60" s="42">
        <v>260</v>
      </c>
      <c r="E60" t="s">
        <v>11</v>
      </c>
    </row>
    <row r="61" spans="1:5" x14ac:dyDescent="0.25">
      <c r="A61" s="78" t="s">
        <v>94</v>
      </c>
      <c r="B61" t="s">
        <v>6</v>
      </c>
      <c r="C61" s="42">
        <v>260</v>
      </c>
      <c r="E61" t="s">
        <v>13</v>
      </c>
    </row>
    <row r="62" spans="1:5" x14ac:dyDescent="0.25">
      <c r="A62" s="78" t="s">
        <v>95</v>
      </c>
      <c r="B62" t="s">
        <v>6</v>
      </c>
      <c r="C62" s="42">
        <v>160</v>
      </c>
      <c r="E62" t="s">
        <v>15</v>
      </c>
    </row>
    <row r="63" spans="1:5" x14ac:dyDescent="0.25">
      <c r="A63" s="78" t="s">
        <v>96</v>
      </c>
      <c r="B63" t="s">
        <v>6</v>
      </c>
      <c r="C63" s="42">
        <v>160</v>
      </c>
      <c r="E63" t="s">
        <v>17</v>
      </c>
    </row>
    <row r="64" spans="1:5" x14ac:dyDescent="0.25">
      <c r="A64" s="78" t="s">
        <v>97</v>
      </c>
      <c r="B64" t="s">
        <v>6</v>
      </c>
      <c r="C64" s="42">
        <v>260</v>
      </c>
      <c r="E64" t="s">
        <v>19</v>
      </c>
    </row>
    <row r="65" spans="1:5" x14ac:dyDescent="0.25">
      <c r="A65" s="78" t="s">
        <v>98</v>
      </c>
      <c r="B65" t="s">
        <v>6</v>
      </c>
      <c r="C65" s="42">
        <v>160</v>
      </c>
      <c r="E65" t="s">
        <v>21</v>
      </c>
    </row>
    <row r="66" spans="1:5" x14ac:dyDescent="0.25">
      <c r="A66" s="78" t="s">
        <v>99</v>
      </c>
      <c r="B66" t="s">
        <v>6</v>
      </c>
      <c r="C66" s="42">
        <v>160</v>
      </c>
      <c r="E66" t="s">
        <v>23</v>
      </c>
    </row>
    <row r="67" spans="1:5" x14ac:dyDescent="0.25">
      <c r="A67" s="78" t="s">
        <v>100</v>
      </c>
      <c r="B67" t="s">
        <v>6</v>
      </c>
      <c r="C67" s="42">
        <v>260</v>
      </c>
      <c r="E67" t="s">
        <v>25</v>
      </c>
    </row>
    <row r="68" spans="1:5" x14ac:dyDescent="0.25">
      <c r="A68" s="78" t="s">
        <v>101</v>
      </c>
      <c r="B68" t="s">
        <v>6</v>
      </c>
      <c r="C68" s="42">
        <v>260</v>
      </c>
      <c r="E68" t="s">
        <v>27</v>
      </c>
    </row>
    <row r="69" spans="1:5" x14ac:dyDescent="0.25">
      <c r="A69" s="78" t="s">
        <v>102</v>
      </c>
      <c r="B69" t="s">
        <v>6</v>
      </c>
      <c r="C69" s="42">
        <v>160</v>
      </c>
      <c r="E69" t="s">
        <v>29</v>
      </c>
    </row>
    <row r="70" spans="1:5" x14ac:dyDescent="0.25">
      <c r="A70" s="78" t="s">
        <v>103</v>
      </c>
      <c r="B70" t="s">
        <v>6</v>
      </c>
      <c r="C70" s="42">
        <v>160</v>
      </c>
      <c r="E70" t="s">
        <v>31</v>
      </c>
    </row>
    <row r="71" spans="1:5" x14ac:dyDescent="0.25">
      <c r="A71" s="78" t="s">
        <v>104</v>
      </c>
      <c r="B71" t="s">
        <v>6</v>
      </c>
      <c r="C71" s="42">
        <v>260</v>
      </c>
      <c r="E71" t="s">
        <v>33</v>
      </c>
    </row>
    <row r="72" spans="1:5" x14ac:dyDescent="0.25">
      <c r="A72" s="78" t="s">
        <v>105</v>
      </c>
      <c r="B72" t="s">
        <v>6</v>
      </c>
      <c r="C72" s="42">
        <v>160</v>
      </c>
      <c r="E72" t="s">
        <v>35</v>
      </c>
    </row>
    <row r="73" spans="1:5" x14ac:dyDescent="0.25">
      <c r="A73" s="78" t="s">
        <v>106</v>
      </c>
      <c r="B73" t="s">
        <v>6</v>
      </c>
      <c r="C73" s="42">
        <v>160</v>
      </c>
      <c r="E73" t="s">
        <v>37</v>
      </c>
    </row>
    <row r="74" spans="1:5" x14ac:dyDescent="0.25">
      <c r="A74" s="78" t="s">
        <v>107</v>
      </c>
      <c r="B74" t="s">
        <v>6</v>
      </c>
      <c r="C74" s="42">
        <v>260</v>
      </c>
      <c r="E74" t="s">
        <v>39</v>
      </c>
    </row>
    <row r="75" spans="1:5" x14ac:dyDescent="0.25">
      <c r="A75" s="78" t="s">
        <v>108</v>
      </c>
      <c r="B75" t="s">
        <v>6</v>
      </c>
      <c r="C75" s="42">
        <v>260</v>
      </c>
      <c r="E75" t="s">
        <v>41</v>
      </c>
    </row>
    <row r="76" spans="1:5" x14ac:dyDescent="0.25">
      <c r="A76" s="78" t="s">
        <v>109</v>
      </c>
      <c r="B76" t="s">
        <v>6</v>
      </c>
      <c r="C76" s="42">
        <v>160</v>
      </c>
      <c r="E76" t="s">
        <v>43</v>
      </c>
    </row>
    <row r="77" spans="1:5" x14ac:dyDescent="0.25">
      <c r="A77" s="78" t="s">
        <v>110</v>
      </c>
      <c r="B77" t="s">
        <v>6</v>
      </c>
      <c r="C77" s="42">
        <v>160</v>
      </c>
      <c r="E77" t="s">
        <v>45</v>
      </c>
    </row>
    <row r="78" spans="1:5" x14ac:dyDescent="0.25">
      <c r="A78" s="78" t="s">
        <v>111</v>
      </c>
      <c r="B78" t="s">
        <v>6</v>
      </c>
      <c r="C78" s="42">
        <v>260</v>
      </c>
      <c r="E78" t="s">
        <v>47</v>
      </c>
    </row>
    <row r="79" spans="1:5" x14ac:dyDescent="0.25">
      <c r="A79" s="78" t="s">
        <v>112</v>
      </c>
      <c r="B79" t="s">
        <v>6</v>
      </c>
      <c r="C79" s="42">
        <v>160</v>
      </c>
      <c r="E79" t="s">
        <v>49</v>
      </c>
    </row>
    <row r="80" spans="1:5" x14ac:dyDescent="0.25">
      <c r="A80" s="78" t="s">
        <v>113</v>
      </c>
      <c r="B80" t="s">
        <v>6</v>
      </c>
      <c r="C80" s="42">
        <v>160</v>
      </c>
      <c r="E80" t="s">
        <v>51</v>
      </c>
    </row>
    <row r="81" spans="1:5" x14ac:dyDescent="0.25">
      <c r="A81" s="78" t="s">
        <v>114</v>
      </c>
      <c r="B81" t="s">
        <v>6</v>
      </c>
      <c r="C81" s="42">
        <v>260</v>
      </c>
      <c r="E81" t="s">
        <v>53</v>
      </c>
    </row>
    <row r="82" spans="1:5" x14ac:dyDescent="0.25">
      <c r="A82" s="78" t="s">
        <v>115</v>
      </c>
      <c r="B82" t="s">
        <v>6</v>
      </c>
      <c r="C82" s="42">
        <v>260</v>
      </c>
      <c r="E82" t="s">
        <v>55</v>
      </c>
    </row>
    <row r="83" spans="1:5" x14ac:dyDescent="0.25">
      <c r="A83" s="78" t="s">
        <v>116</v>
      </c>
      <c r="B83" t="s">
        <v>6</v>
      </c>
      <c r="C83" s="42">
        <v>160</v>
      </c>
      <c r="E83" t="s">
        <v>57</v>
      </c>
    </row>
    <row r="84" spans="1:5" x14ac:dyDescent="0.25">
      <c r="A84" s="78" t="s">
        <v>117</v>
      </c>
      <c r="B84" t="s">
        <v>6</v>
      </c>
      <c r="C84" s="42">
        <v>160</v>
      </c>
      <c r="E84" t="s">
        <v>59</v>
      </c>
    </row>
    <row r="85" spans="1:5" x14ac:dyDescent="0.25">
      <c r="A85" s="78" t="s">
        <v>118</v>
      </c>
      <c r="B85" t="s">
        <v>6</v>
      </c>
      <c r="C85" s="42">
        <v>260</v>
      </c>
      <c r="E85" t="s">
        <v>61</v>
      </c>
    </row>
    <row r="86" spans="1:5" x14ac:dyDescent="0.25">
      <c r="A86" s="78" t="s">
        <v>119</v>
      </c>
      <c r="B86" t="s">
        <v>6</v>
      </c>
      <c r="C86" s="42">
        <v>230</v>
      </c>
      <c r="E86" t="s">
        <v>7</v>
      </c>
    </row>
    <row r="87" spans="1:5" x14ac:dyDescent="0.25">
      <c r="A87" s="78" t="s">
        <v>120</v>
      </c>
      <c r="B87" t="s">
        <v>6</v>
      </c>
      <c r="C87" s="42">
        <v>230</v>
      </c>
      <c r="E87" t="s">
        <v>9</v>
      </c>
    </row>
    <row r="88" spans="1:5" x14ac:dyDescent="0.25">
      <c r="A88" s="78" t="s">
        <v>121</v>
      </c>
      <c r="B88" t="s">
        <v>6</v>
      </c>
      <c r="C88" s="42">
        <v>330</v>
      </c>
      <c r="E88" t="s">
        <v>11</v>
      </c>
    </row>
    <row r="89" spans="1:5" x14ac:dyDescent="0.25">
      <c r="A89" s="78" t="s">
        <v>122</v>
      </c>
      <c r="B89" t="s">
        <v>6</v>
      </c>
      <c r="C89" s="42">
        <v>330</v>
      </c>
      <c r="E89" t="s">
        <v>13</v>
      </c>
    </row>
    <row r="90" spans="1:5" x14ac:dyDescent="0.25">
      <c r="A90" s="78" t="s">
        <v>123</v>
      </c>
      <c r="B90" t="s">
        <v>6</v>
      </c>
      <c r="C90" s="42">
        <v>230</v>
      </c>
      <c r="E90" t="s">
        <v>15</v>
      </c>
    </row>
    <row r="91" spans="1:5" x14ac:dyDescent="0.25">
      <c r="A91" s="78" t="s">
        <v>124</v>
      </c>
      <c r="B91" t="s">
        <v>6</v>
      </c>
      <c r="C91" s="42">
        <v>230</v>
      </c>
      <c r="E91" t="s">
        <v>17</v>
      </c>
    </row>
    <row r="92" spans="1:5" x14ac:dyDescent="0.25">
      <c r="A92" s="78" t="s">
        <v>125</v>
      </c>
      <c r="B92" t="s">
        <v>6</v>
      </c>
      <c r="C92" s="42">
        <v>330</v>
      </c>
      <c r="E92" t="s">
        <v>19</v>
      </c>
    </row>
    <row r="93" spans="1:5" x14ac:dyDescent="0.25">
      <c r="A93" s="78" t="s">
        <v>126</v>
      </c>
      <c r="B93" t="s">
        <v>6</v>
      </c>
      <c r="C93" s="42">
        <v>230</v>
      </c>
      <c r="E93" t="s">
        <v>21</v>
      </c>
    </row>
    <row r="94" spans="1:5" x14ac:dyDescent="0.25">
      <c r="A94" s="78" t="s">
        <v>127</v>
      </c>
      <c r="B94" t="s">
        <v>6</v>
      </c>
      <c r="C94" s="42">
        <v>230</v>
      </c>
      <c r="E94" t="s">
        <v>23</v>
      </c>
    </row>
    <row r="95" spans="1:5" x14ac:dyDescent="0.25">
      <c r="A95" s="78" t="s">
        <v>128</v>
      </c>
      <c r="B95" t="s">
        <v>6</v>
      </c>
      <c r="C95" s="42">
        <v>330</v>
      </c>
      <c r="E95" t="s">
        <v>25</v>
      </c>
    </row>
    <row r="96" spans="1:5" x14ac:dyDescent="0.25">
      <c r="A96" s="78" t="s">
        <v>129</v>
      </c>
      <c r="B96" t="s">
        <v>6</v>
      </c>
      <c r="C96" s="42">
        <v>330</v>
      </c>
      <c r="E96" t="s">
        <v>27</v>
      </c>
    </row>
    <row r="97" spans="1:5" x14ac:dyDescent="0.25">
      <c r="A97" s="78" t="s">
        <v>130</v>
      </c>
      <c r="B97" t="s">
        <v>6</v>
      </c>
      <c r="C97" s="42">
        <v>230</v>
      </c>
      <c r="E97" t="s">
        <v>29</v>
      </c>
    </row>
    <row r="98" spans="1:5" x14ac:dyDescent="0.25">
      <c r="A98" s="78" t="s">
        <v>131</v>
      </c>
      <c r="B98" t="s">
        <v>6</v>
      </c>
      <c r="C98" s="42">
        <v>230</v>
      </c>
      <c r="E98" t="s">
        <v>31</v>
      </c>
    </row>
    <row r="99" spans="1:5" x14ac:dyDescent="0.25">
      <c r="A99" s="78" t="s">
        <v>132</v>
      </c>
      <c r="B99" t="s">
        <v>6</v>
      </c>
      <c r="C99" s="42">
        <v>330</v>
      </c>
      <c r="E99" t="s">
        <v>33</v>
      </c>
    </row>
    <row r="100" spans="1:5" x14ac:dyDescent="0.25">
      <c r="A100" s="78" t="s">
        <v>133</v>
      </c>
      <c r="B100" t="s">
        <v>6</v>
      </c>
      <c r="C100" s="42">
        <v>230</v>
      </c>
      <c r="E100" t="s">
        <v>35</v>
      </c>
    </row>
    <row r="101" spans="1:5" x14ac:dyDescent="0.25">
      <c r="A101" s="78" t="s">
        <v>134</v>
      </c>
      <c r="B101" t="s">
        <v>6</v>
      </c>
      <c r="C101" s="42">
        <v>230</v>
      </c>
      <c r="E101" t="s">
        <v>37</v>
      </c>
    </row>
    <row r="102" spans="1:5" x14ac:dyDescent="0.25">
      <c r="A102" s="78" t="s">
        <v>135</v>
      </c>
      <c r="B102" t="s">
        <v>6</v>
      </c>
      <c r="C102" s="42">
        <v>330</v>
      </c>
      <c r="E102" t="s">
        <v>39</v>
      </c>
    </row>
    <row r="103" spans="1:5" x14ac:dyDescent="0.25">
      <c r="A103" s="78" t="s">
        <v>136</v>
      </c>
      <c r="B103" t="s">
        <v>6</v>
      </c>
      <c r="C103" s="42">
        <v>330</v>
      </c>
      <c r="E103" t="s">
        <v>41</v>
      </c>
    </row>
    <row r="104" spans="1:5" x14ac:dyDescent="0.25">
      <c r="A104" s="78" t="s">
        <v>137</v>
      </c>
      <c r="B104" t="s">
        <v>6</v>
      </c>
      <c r="C104" s="42">
        <v>230</v>
      </c>
      <c r="E104" t="s">
        <v>43</v>
      </c>
    </row>
    <row r="105" spans="1:5" x14ac:dyDescent="0.25">
      <c r="A105" s="78" t="s">
        <v>138</v>
      </c>
      <c r="B105" t="s">
        <v>6</v>
      </c>
      <c r="C105" s="42">
        <v>230</v>
      </c>
      <c r="E105" t="s">
        <v>45</v>
      </c>
    </row>
    <row r="106" spans="1:5" x14ac:dyDescent="0.25">
      <c r="A106" s="78" t="s">
        <v>139</v>
      </c>
      <c r="B106" t="s">
        <v>6</v>
      </c>
      <c r="C106" s="42">
        <v>330</v>
      </c>
      <c r="E106" t="s">
        <v>47</v>
      </c>
    </row>
    <row r="107" spans="1:5" x14ac:dyDescent="0.25">
      <c r="A107" s="78" t="s">
        <v>140</v>
      </c>
      <c r="B107" t="s">
        <v>6</v>
      </c>
      <c r="C107" s="42">
        <v>230</v>
      </c>
      <c r="E107" t="s">
        <v>49</v>
      </c>
    </row>
    <row r="108" spans="1:5" x14ac:dyDescent="0.25">
      <c r="A108" s="78" t="s">
        <v>141</v>
      </c>
      <c r="B108" t="s">
        <v>6</v>
      </c>
      <c r="C108" s="42">
        <v>230</v>
      </c>
      <c r="E108" t="s">
        <v>51</v>
      </c>
    </row>
    <row r="109" spans="1:5" x14ac:dyDescent="0.25">
      <c r="A109" s="78" t="s">
        <v>142</v>
      </c>
      <c r="B109" t="s">
        <v>6</v>
      </c>
      <c r="C109" s="42">
        <v>330</v>
      </c>
      <c r="E109" t="s">
        <v>53</v>
      </c>
    </row>
    <row r="110" spans="1:5" x14ac:dyDescent="0.25">
      <c r="A110" s="78" t="s">
        <v>143</v>
      </c>
      <c r="B110" t="s">
        <v>6</v>
      </c>
      <c r="C110" s="42">
        <v>330</v>
      </c>
      <c r="E110" t="s">
        <v>55</v>
      </c>
    </row>
    <row r="111" spans="1:5" x14ac:dyDescent="0.25">
      <c r="A111" s="78" t="s">
        <v>144</v>
      </c>
      <c r="B111" t="s">
        <v>6</v>
      </c>
      <c r="C111" s="42">
        <v>230</v>
      </c>
      <c r="E111" t="s">
        <v>57</v>
      </c>
    </row>
    <row r="112" spans="1:5" x14ac:dyDescent="0.25">
      <c r="A112" s="78" t="s">
        <v>145</v>
      </c>
      <c r="B112" t="s">
        <v>6</v>
      </c>
      <c r="C112" s="42">
        <v>230</v>
      </c>
      <c r="E112" t="s">
        <v>59</v>
      </c>
    </row>
    <row r="113" spans="1:5" x14ac:dyDescent="0.25">
      <c r="A113" s="78" t="s">
        <v>146</v>
      </c>
      <c r="B113" t="s">
        <v>6</v>
      </c>
      <c r="C113" s="42">
        <v>330</v>
      </c>
      <c r="E113" t="s">
        <v>61</v>
      </c>
    </row>
    <row r="114" spans="1:5" x14ac:dyDescent="0.25">
      <c r="A114" s="78" t="s">
        <v>147</v>
      </c>
      <c r="B114" t="s">
        <v>6</v>
      </c>
      <c r="C114" s="42">
        <v>280</v>
      </c>
      <c r="E114" t="s">
        <v>7</v>
      </c>
    </row>
    <row r="115" spans="1:5" x14ac:dyDescent="0.25">
      <c r="A115" s="78" t="s">
        <v>148</v>
      </c>
      <c r="B115" t="s">
        <v>6</v>
      </c>
      <c r="C115" s="42">
        <v>280</v>
      </c>
      <c r="E115" t="s">
        <v>9</v>
      </c>
    </row>
    <row r="116" spans="1:5" x14ac:dyDescent="0.25">
      <c r="A116" s="78" t="s">
        <v>149</v>
      </c>
      <c r="B116" t="s">
        <v>6</v>
      </c>
      <c r="C116" s="42">
        <v>380</v>
      </c>
      <c r="E116" t="s">
        <v>11</v>
      </c>
    </row>
    <row r="117" spans="1:5" x14ac:dyDescent="0.25">
      <c r="A117" s="78" t="s">
        <v>150</v>
      </c>
      <c r="B117" t="s">
        <v>6</v>
      </c>
      <c r="C117" s="42">
        <v>380</v>
      </c>
      <c r="E117" t="s">
        <v>13</v>
      </c>
    </row>
    <row r="118" spans="1:5" x14ac:dyDescent="0.25">
      <c r="A118" s="78" t="s">
        <v>151</v>
      </c>
      <c r="B118" t="s">
        <v>6</v>
      </c>
      <c r="C118" s="42">
        <v>280</v>
      </c>
      <c r="E118" t="s">
        <v>15</v>
      </c>
    </row>
    <row r="119" spans="1:5" x14ac:dyDescent="0.25">
      <c r="A119" s="78" t="s">
        <v>152</v>
      </c>
      <c r="B119" t="s">
        <v>6</v>
      </c>
      <c r="C119" s="42">
        <v>280</v>
      </c>
      <c r="E119" t="s">
        <v>17</v>
      </c>
    </row>
    <row r="120" spans="1:5" x14ac:dyDescent="0.25">
      <c r="A120" s="78" t="s">
        <v>153</v>
      </c>
      <c r="B120" t="s">
        <v>6</v>
      </c>
      <c r="C120" s="42">
        <v>380</v>
      </c>
      <c r="E120" t="s">
        <v>19</v>
      </c>
    </row>
    <row r="121" spans="1:5" x14ac:dyDescent="0.25">
      <c r="A121" s="78" t="s">
        <v>154</v>
      </c>
      <c r="B121" t="s">
        <v>6</v>
      </c>
      <c r="C121" s="42">
        <v>280</v>
      </c>
      <c r="E121" t="s">
        <v>21</v>
      </c>
    </row>
    <row r="122" spans="1:5" x14ac:dyDescent="0.25">
      <c r="A122" s="78" t="s">
        <v>155</v>
      </c>
      <c r="B122" t="s">
        <v>6</v>
      </c>
      <c r="C122" s="42">
        <v>280</v>
      </c>
      <c r="E122" t="s">
        <v>23</v>
      </c>
    </row>
    <row r="123" spans="1:5" x14ac:dyDescent="0.25">
      <c r="A123" s="78" t="s">
        <v>156</v>
      </c>
      <c r="B123" t="s">
        <v>6</v>
      </c>
      <c r="C123" s="42">
        <v>380</v>
      </c>
      <c r="E123" t="s">
        <v>25</v>
      </c>
    </row>
    <row r="124" spans="1:5" x14ac:dyDescent="0.25">
      <c r="A124" s="78" t="s">
        <v>157</v>
      </c>
      <c r="B124" t="s">
        <v>6</v>
      </c>
      <c r="C124" s="42">
        <v>380</v>
      </c>
      <c r="E124" t="s">
        <v>27</v>
      </c>
    </row>
    <row r="125" spans="1:5" x14ac:dyDescent="0.25">
      <c r="A125" s="78" t="s">
        <v>158</v>
      </c>
      <c r="B125" t="s">
        <v>6</v>
      </c>
      <c r="C125" s="42">
        <v>280</v>
      </c>
      <c r="E125" t="s">
        <v>29</v>
      </c>
    </row>
    <row r="126" spans="1:5" x14ac:dyDescent="0.25">
      <c r="A126" s="78" t="s">
        <v>159</v>
      </c>
      <c r="B126" t="s">
        <v>6</v>
      </c>
      <c r="C126" s="42">
        <v>280</v>
      </c>
      <c r="E126" t="s">
        <v>31</v>
      </c>
    </row>
    <row r="127" spans="1:5" x14ac:dyDescent="0.25">
      <c r="A127" s="78" t="s">
        <v>160</v>
      </c>
      <c r="B127" t="s">
        <v>6</v>
      </c>
      <c r="C127" s="42">
        <v>380</v>
      </c>
      <c r="E127" t="s">
        <v>33</v>
      </c>
    </row>
    <row r="128" spans="1:5" x14ac:dyDescent="0.25">
      <c r="A128" s="78" t="s">
        <v>161</v>
      </c>
      <c r="B128" t="s">
        <v>6</v>
      </c>
      <c r="C128" s="42">
        <v>280</v>
      </c>
      <c r="E128" t="s">
        <v>35</v>
      </c>
    </row>
    <row r="129" spans="1:5" x14ac:dyDescent="0.25">
      <c r="A129" s="78" t="s">
        <v>162</v>
      </c>
      <c r="B129" t="s">
        <v>6</v>
      </c>
      <c r="C129" s="42">
        <v>280</v>
      </c>
      <c r="E129" t="s">
        <v>37</v>
      </c>
    </row>
    <row r="130" spans="1:5" x14ac:dyDescent="0.25">
      <c r="A130" s="78" t="s">
        <v>163</v>
      </c>
      <c r="B130" t="s">
        <v>6</v>
      </c>
      <c r="C130" s="42">
        <v>380</v>
      </c>
      <c r="E130" t="s">
        <v>39</v>
      </c>
    </row>
    <row r="131" spans="1:5" x14ac:dyDescent="0.25">
      <c r="A131" s="78" t="s">
        <v>164</v>
      </c>
      <c r="B131" t="s">
        <v>6</v>
      </c>
      <c r="C131" s="42">
        <v>380</v>
      </c>
      <c r="E131" t="s">
        <v>41</v>
      </c>
    </row>
    <row r="132" spans="1:5" x14ac:dyDescent="0.25">
      <c r="A132" s="78" t="s">
        <v>165</v>
      </c>
      <c r="B132" t="s">
        <v>6</v>
      </c>
      <c r="C132" s="42">
        <v>280</v>
      </c>
      <c r="E132" t="s">
        <v>43</v>
      </c>
    </row>
    <row r="133" spans="1:5" x14ac:dyDescent="0.25">
      <c r="A133" s="78" t="s">
        <v>166</v>
      </c>
      <c r="B133" t="s">
        <v>6</v>
      </c>
      <c r="C133" s="42">
        <v>280</v>
      </c>
      <c r="E133" t="s">
        <v>45</v>
      </c>
    </row>
    <row r="134" spans="1:5" x14ac:dyDescent="0.25">
      <c r="A134" s="78" t="s">
        <v>167</v>
      </c>
      <c r="B134" t="s">
        <v>6</v>
      </c>
      <c r="C134" s="42">
        <v>380</v>
      </c>
      <c r="E134" t="s">
        <v>47</v>
      </c>
    </row>
    <row r="135" spans="1:5" x14ac:dyDescent="0.25">
      <c r="A135" s="78" t="s">
        <v>168</v>
      </c>
      <c r="B135" t="s">
        <v>6</v>
      </c>
      <c r="C135" s="42">
        <v>280</v>
      </c>
      <c r="E135" t="s">
        <v>49</v>
      </c>
    </row>
    <row r="136" spans="1:5" x14ac:dyDescent="0.25">
      <c r="A136" s="78" t="s">
        <v>169</v>
      </c>
      <c r="B136" t="s">
        <v>6</v>
      </c>
      <c r="C136" s="42">
        <v>280</v>
      </c>
      <c r="E136" t="s">
        <v>51</v>
      </c>
    </row>
    <row r="137" spans="1:5" x14ac:dyDescent="0.25">
      <c r="A137" s="78" t="s">
        <v>170</v>
      </c>
      <c r="B137" t="s">
        <v>6</v>
      </c>
      <c r="C137" s="42">
        <v>380</v>
      </c>
      <c r="E137" t="s">
        <v>53</v>
      </c>
    </row>
    <row r="138" spans="1:5" x14ac:dyDescent="0.25">
      <c r="A138" s="78" t="s">
        <v>171</v>
      </c>
      <c r="B138" t="s">
        <v>6</v>
      </c>
      <c r="C138" s="42">
        <v>380</v>
      </c>
      <c r="E138" t="s">
        <v>55</v>
      </c>
    </row>
    <row r="139" spans="1:5" x14ac:dyDescent="0.25">
      <c r="A139" s="78" t="s">
        <v>172</v>
      </c>
      <c r="B139" t="s">
        <v>6</v>
      </c>
      <c r="C139" s="42">
        <v>280</v>
      </c>
      <c r="E139" t="s">
        <v>57</v>
      </c>
    </row>
    <row r="140" spans="1:5" x14ac:dyDescent="0.25">
      <c r="A140" s="78" t="s">
        <v>173</v>
      </c>
      <c r="B140" t="s">
        <v>6</v>
      </c>
      <c r="C140" s="42">
        <v>280</v>
      </c>
      <c r="E140" t="s">
        <v>59</v>
      </c>
    </row>
    <row r="141" spans="1:5" x14ac:dyDescent="0.25">
      <c r="A141" s="78" t="s">
        <v>174</v>
      </c>
      <c r="B141" t="s">
        <v>6</v>
      </c>
      <c r="C141" s="42">
        <v>380</v>
      </c>
      <c r="E141" t="s">
        <v>61</v>
      </c>
    </row>
    <row r="142" spans="1:5" x14ac:dyDescent="0.25">
      <c r="A142" s="79" t="s">
        <v>175</v>
      </c>
      <c r="B142" t="s">
        <v>176</v>
      </c>
      <c r="C142" s="42" t="s">
        <v>177</v>
      </c>
    </row>
    <row r="143" spans="1:5" x14ac:dyDescent="0.25">
      <c r="A143" s="79" t="s">
        <v>178</v>
      </c>
      <c r="B143" t="s">
        <v>176</v>
      </c>
      <c r="C143" s="42" t="s">
        <v>177</v>
      </c>
    </row>
    <row r="144" spans="1:5" x14ac:dyDescent="0.25">
      <c r="A144" s="79" t="s">
        <v>179</v>
      </c>
      <c r="B144" t="s">
        <v>176</v>
      </c>
      <c r="C144" s="42" t="s">
        <v>177</v>
      </c>
    </row>
    <row r="145" spans="1:5" x14ac:dyDescent="0.25">
      <c r="A145" s="79" t="s">
        <v>180</v>
      </c>
      <c r="B145" t="s">
        <v>176</v>
      </c>
      <c r="C145" s="42" t="s">
        <v>177</v>
      </c>
    </row>
    <row r="146" spans="1:5" x14ac:dyDescent="0.25">
      <c r="A146" s="79" t="s">
        <v>181</v>
      </c>
      <c r="B146" t="s">
        <v>176</v>
      </c>
      <c r="C146" s="42" t="s">
        <v>177</v>
      </c>
    </row>
    <row r="147" spans="1:5" x14ac:dyDescent="0.25">
      <c r="A147" s="79" t="s">
        <v>182</v>
      </c>
      <c r="B147" t="s">
        <v>176</v>
      </c>
      <c r="C147" s="42" t="s">
        <v>177</v>
      </c>
    </row>
    <row r="148" spans="1:5" x14ac:dyDescent="0.25">
      <c r="A148" s="79" t="s">
        <v>183</v>
      </c>
      <c r="B148" t="s">
        <v>176</v>
      </c>
      <c r="C148" s="42" t="s">
        <v>177</v>
      </c>
    </row>
    <row r="149" spans="1:5" x14ac:dyDescent="0.25">
      <c r="A149" s="79" t="s">
        <v>184</v>
      </c>
      <c r="B149" t="s">
        <v>176</v>
      </c>
      <c r="C149" s="42" t="s">
        <v>177</v>
      </c>
    </row>
    <row r="150" spans="1:5" x14ac:dyDescent="0.25">
      <c r="A150" s="79" t="s">
        <v>185</v>
      </c>
      <c r="B150" t="s">
        <v>176</v>
      </c>
      <c r="C150" s="42" t="s">
        <v>177</v>
      </c>
    </row>
    <row r="151" spans="1:5" x14ac:dyDescent="0.25">
      <c r="A151" s="79" t="s">
        <v>186</v>
      </c>
      <c r="B151" t="s">
        <v>176</v>
      </c>
      <c r="C151" s="42" t="s">
        <v>177</v>
      </c>
    </row>
    <row r="152" spans="1:5" x14ac:dyDescent="0.25">
      <c r="A152" s="79" t="s">
        <v>187</v>
      </c>
      <c r="B152" t="s">
        <v>176</v>
      </c>
      <c r="C152" s="42" t="s">
        <v>177</v>
      </c>
    </row>
    <row r="153" spans="1:5" x14ac:dyDescent="0.25">
      <c r="A153" s="79" t="s">
        <v>188</v>
      </c>
      <c r="B153" t="s">
        <v>176</v>
      </c>
      <c r="C153" s="42" t="s">
        <v>177</v>
      </c>
    </row>
    <row r="154" spans="1:5" x14ac:dyDescent="0.25">
      <c r="A154" s="79" t="s">
        <v>189</v>
      </c>
      <c r="B154" t="s">
        <v>176</v>
      </c>
      <c r="C154" s="42" t="s">
        <v>177</v>
      </c>
    </row>
    <row r="155" spans="1:5" x14ac:dyDescent="0.25">
      <c r="A155" s="79" t="s">
        <v>190</v>
      </c>
      <c r="B155" t="s">
        <v>176</v>
      </c>
      <c r="C155" s="42" t="s">
        <v>177</v>
      </c>
    </row>
    <row r="156" spans="1:5" x14ac:dyDescent="0.25">
      <c r="A156" s="79" t="s">
        <v>191</v>
      </c>
      <c r="B156" t="s">
        <v>176</v>
      </c>
      <c r="C156" s="42" t="s">
        <v>177</v>
      </c>
    </row>
    <row r="157" spans="1:5" x14ac:dyDescent="0.25">
      <c r="A157" s="78" t="s">
        <v>192</v>
      </c>
      <c r="B157" t="s">
        <v>193</v>
      </c>
      <c r="C157" s="42">
        <v>550</v>
      </c>
      <c r="E157" t="s">
        <v>194</v>
      </c>
    </row>
    <row r="158" spans="1:5" x14ac:dyDescent="0.25">
      <c r="A158" s="78" t="s">
        <v>195</v>
      </c>
      <c r="B158" t="s">
        <v>193</v>
      </c>
      <c r="C158" s="42">
        <v>550</v>
      </c>
      <c r="E158" t="s">
        <v>196</v>
      </c>
    </row>
    <row r="159" spans="1:5" x14ac:dyDescent="0.25">
      <c r="A159" s="78" t="s">
        <v>197</v>
      </c>
      <c r="B159" t="s">
        <v>193</v>
      </c>
      <c r="C159" s="42">
        <v>650</v>
      </c>
      <c r="E159" t="s">
        <v>198</v>
      </c>
    </row>
    <row r="160" spans="1:5" x14ac:dyDescent="0.25">
      <c r="A160" s="78" t="s">
        <v>199</v>
      </c>
      <c r="B160" t="s">
        <v>193</v>
      </c>
      <c r="C160" s="42">
        <v>530</v>
      </c>
      <c r="E160" t="s">
        <v>200</v>
      </c>
    </row>
    <row r="161" spans="1:5" x14ac:dyDescent="0.25">
      <c r="A161" s="78" t="s">
        <v>201</v>
      </c>
      <c r="B161" t="s">
        <v>193</v>
      </c>
      <c r="C161" s="42">
        <v>530</v>
      </c>
      <c r="E161" t="s">
        <v>202</v>
      </c>
    </row>
    <row r="162" spans="1:5" x14ac:dyDescent="0.25">
      <c r="A162" s="78" t="s">
        <v>203</v>
      </c>
      <c r="B162" t="s">
        <v>193</v>
      </c>
      <c r="C162" s="42">
        <v>630</v>
      </c>
      <c r="E162" t="s">
        <v>204</v>
      </c>
    </row>
    <row r="163" spans="1:5" x14ac:dyDescent="0.25">
      <c r="A163" s="78" t="s">
        <v>205</v>
      </c>
      <c r="B163" t="s">
        <v>193</v>
      </c>
      <c r="C163" s="42">
        <v>630</v>
      </c>
      <c r="E163" t="s">
        <v>206</v>
      </c>
    </row>
    <row r="164" spans="1:5" x14ac:dyDescent="0.25">
      <c r="A164" s="78" t="s">
        <v>207</v>
      </c>
      <c r="B164" t="s">
        <v>193</v>
      </c>
      <c r="C164" s="42">
        <v>550</v>
      </c>
      <c r="E164" t="s">
        <v>208</v>
      </c>
    </row>
    <row r="165" spans="1:5" x14ac:dyDescent="0.25">
      <c r="A165" s="78" t="s">
        <v>209</v>
      </c>
      <c r="B165" t="s">
        <v>193</v>
      </c>
      <c r="C165" s="42">
        <v>550</v>
      </c>
      <c r="E165" t="s">
        <v>210</v>
      </c>
    </row>
    <row r="166" spans="1:5" x14ac:dyDescent="0.25">
      <c r="A166" s="78" t="s">
        <v>211</v>
      </c>
      <c r="B166" t="s">
        <v>193</v>
      </c>
      <c r="C166" s="42">
        <v>650</v>
      </c>
      <c r="E166" t="s">
        <v>212</v>
      </c>
    </row>
    <row r="167" spans="1:5" x14ac:dyDescent="0.25">
      <c r="A167" s="78" t="s">
        <v>213</v>
      </c>
      <c r="B167" t="s">
        <v>193</v>
      </c>
      <c r="C167" s="42">
        <v>530</v>
      </c>
      <c r="E167" t="s">
        <v>214</v>
      </c>
    </row>
    <row r="168" spans="1:5" x14ac:dyDescent="0.25">
      <c r="A168" s="78" t="s">
        <v>215</v>
      </c>
      <c r="B168" t="s">
        <v>193</v>
      </c>
      <c r="C168" s="42">
        <v>530</v>
      </c>
      <c r="E168" t="s">
        <v>216</v>
      </c>
    </row>
    <row r="169" spans="1:5" x14ac:dyDescent="0.25">
      <c r="A169" s="78" t="s">
        <v>217</v>
      </c>
      <c r="B169" t="s">
        <v>193</v>
      </c>
      <c r="C169" s="42">
        <v>195</v>
      </c>
      <c r="E169" t="s">
        <v>194</v>
      </c>
    </row>
    <row r="170" spans="1:5" x14ac:dyDescent="0.25">
      <c r="A170" s="78" t="s">
        <v>218</v>
      </c>
      <c r="B170" t="s">
        <v>193</v>
      </c>
      <c r="C170" s="42">
        <v>195</v>
      </c>
      <c r="E170" t="s">
        <v>196</v>
      </c>
    </row>
    <row r="171" spans="1:5" x14ac:dyDescent="0.25">
      <c r="A171" s="78" t="s">
        <v>219</v>
      </c>
      <c r="B171" t="s">
        <v>193</v>
      </c>
      <c r="C171" s="42">
        <v>130</v>
      </c>
      <c r="E171" t="s">
        <v>200</v>
      </c>
    </row>
    <row r="172" spans="1:5" x14ac:dyDescent="0.25">
      <c r="A172" s="78" t="s">
        <v>220</v>
      </c>
      <c r="B172" t="s">
        <v>193</v>
      </c>
      <c r="C172" s="42">
        <v>130</v>
      </c>
      <c r="E172" t="s">
        <v>202</v>
      </c>
    </row>
    <row r="173" spans="1:5" x14ac:dyDescent="0.25">
      <c r="A173" s="78" t="s">
        <v>221</v>
      </c>
      <c r="B173" t="s">
        <v>193</v>
      </c>
      <c r="C173" s="42">
        <v>195</v>
      </c>
      <c r="E173" t="s">
        <v>208</v>
      </c>
    </row>
    <row r="174" spans="1:5" x14ac:dyDescent="0.25">
      <c r="A174" s="78" t="s">
        <v>222</v>
      </c>
      <c r="B174" t="s">
        <v>193</v>
      </c>
      <c r="C174" s="42">
        <v>195</v>
      </c>
      <c r="E174" t="s">
        <v>210</v>
      </c>
    </row>
    <row r="175" spans="1:5" x14ac:dyDescent="0.25">
      <c r="A175" s="78" t="s">
        <v>223</v>
      </c>
      <c r="B175" t="s">
        <v>193</v>
      </c>
      <c r="C175" s="42">
        <v>130</v>
      </c>
      <c r="E175" t="s">
        <v>214</v>
      </c>
    </row>
    <row r="176" spans="1:5" x14ac:dyDescent="0.25">
      <c r="A176" s="78" t="s">
        <v>224</v>
      </c>
      <c r="B176" t="s">
        <v>193</v>
      </c>
      <c r="C176" s="42">
        <v>130</v>
      </c>
      <c r="E176" t="s">
        <v>216</v>
      </c>
    </row>
    <row r="177" spans="1:5" x14ac:dyDescent="0.25">
      <c r="A177" s="78" t="s">
        <v>225</v>
      </c>
      <c r="B177" t="s">
        <v>193</v>
      </c>
      <c r="C177" s="42">
        <v>245</v>
      </c>
      <c r="E177" t="s">
        <v>194</v>
      </c>
    </row>
    <row r="178" spans="1:5" x14ac:dyDescent="0.25">
      <c r="A178" s="78" t="s">
        <v>226</v>
      </c>
      <c r="B178" t="s">
        <v>193</v>
      </c>
      <c r="C178" s="42">
        <v>245</v>
      </c>
      <c r="E178" t="s">
        <v>196</v>
      </c>
    </row>
    <row r="179" spans="1:5" x14ac:dyDescent="0.25">
      <c r="A179" s="78" t="s">
        <v>227</v>
      </c>
      <c r="B179" t="s">
        <v>193</v>
      </c>
      <c r="C179" s="42">
        <v>345</v>
      </c>
      <c r="E179" t="s">
        <v>198</v>
      </c>
    </row>
    <row r="180" spans="1:5" x14ac:dyDescent="0.25">
      <c r="A180" s="78" t="s">
        <v>228</v>
      </c>
      <c r="B180" t="s">
        <v>193</v>
      </c>
      <c r="C180" s="42">
        <v>220</v>
      </c>
      <c r="E180" t="s">
        <v>200</v>
      </c>
    </row>
    <row r="181" spans="1:5" x14ac:dyDescent="0.25">
      <c r="A181" s="78" t="s">
        <v>229</v>
      </c>
      <c r="B181" t="s">
        <v>193</v>
      </c>
      <c r="C181" s="42">
        <v>220</v>
      </c>
      <c r="E181" t="s">
        <v>202</v>
      </c>
    </row>
    <row r="182" spans="1:5" x14ac:dyDescent="0.25">
      <c r="A182" s="78" t="s">
        <v>230</v>
      </c>
      <c r="B182" t="s">
        <v>193</v>
      </c>
      <c r="C182" s="42">
        <v>320</v>
      </c>
      <c r="E182" t="s">
        <v>204</v>
      </c>
    </row>
    <row r="183" spans="1:5" x14ac:dyDescent="0.25">
      <c r="A183" s="78" t="s">
        <v>231</v>
      </c>
      <c r="B183" t="s">
        <v>193</v>
      </c>
      <c r="C183" s="42">
        <v>320</v>
      </c>
      <c r="E183" t="s">
        <v>206</v>
      </c>
    </row>
    <row r="184" spans="1:5" x14ac:dyDescent="0.25">
      <c r="A184" s="78" t="s">
        <v>232</v>
      </c>
      <c r="B184" t="s">
        <v>193</v>
      </c>
      <c r="C184" s="42">
        <v>245</v>
      </c>
      <c r="E184" t="s">
        <v>208</v>
      </c>
    </row>
    <row r="185" spans="1:5" x14ac:dyDescent="0.25">
      <c r="A185" s="78" t="s">
        <v>233</v>
      </c>
      <c r="B185" t="s">
        <v>193</v>
      </c>
      <c r="C185" s="42">
        <v>245</v>
      </c>
      <c r="E185" t="s">
        <v>210</v>
      </c>
    </row>
    <row r="186" spans="1:5" x14ac:dyDescent="0.25">
      <c r="A186" s="78" t="s">
        <v>234</v>
      </c>
      <c r="B186" t="s">
        <v>193</v>
      </c>
      <c r="C186" s="42">
        <v>345</v>
      </c>
      <c r="E186" t="s">
        <v>212</v>
      </c>
    </row>
    <row r="187" spans="1:5" x14ac:dyDescent="0.25">
      <c r="A187" s="78" t="s">
        <v>235</v>
      </c>
      <c r="B187" t="s">
        <v>193</v>
      </c>
      <c r="C187" s="42">
        <v>220</v>
      </c>
      <c r="E187" t="s">
        <v>214</v>
      </c>
    </row>
    <row r="188" spans="1:5" x14ac:dyDescent="0.25">
      <c r="A188" s="78" t="s">
        <v>236</v>
      </c>
      <c r="B188" t="s">
        <v>193</v>
      </c>
      <c r="C188" s="42">
        <v>220</v>
      </c>
      <c r="E188" t="s">
        <v>216</v>
      </c>
    </row>
    <row r="189" spans="1:5" x14ac:dyDescent="0.25">
      <c r="A189" s="78" t="s">
        <v>237</v>
      </c>
      <c r="B189" t="s">
        <v>193</v>
      </c>
      <c r="C189" s="42">
        <v>590</v>
      </c>
      <c r="E189" t="s">
        <v>238</v>
      </c>
    </row>
    <row r="190" spans="1:5" x14ac:dyDescent="0.25">
      <c r="A190" s="78" t="s">
        <v>239</v>
      </c>
      <c r="B190" t="s">
        <v>193</v>
      </c>
      <c r="C190" s="42">
        <v>590</v>
      </c>
      <c r="E190" t="s">
        <v>240</v>
      </c>
    </row>
    <row r="191" spans="1:5" x14ac:dyDescent="0.25">
      <c r="A191" s="78" t="s">
        <v>241</v>
      </c>
      <c r="B191" t="s">
        <v>193</v>
      </c>
      <c r="C191" s="42">
        <v>690</v>
      </c>
      <c r="E191" t="s">
        <v>242</v>
      </c>
    </row>
    <row r="192" spans="1:5" x14ac:dyDescent="0.25">
      <c r="A192" s="78" t="s">
        <v>243</v>
      </c>
      <c r="B192" t="s">
        <v>193</v>
      </c>
      <c r="C192" s="42">
        <v>560</v>
      </c>
      <c r="E192" t="s">
        <v>244</v>
      </c>
    </row>
    <row r="193" spans="1:5" x14ac:dyDescent="0.25">
      <c r="A193" s="78" t="s">
        <v>245</v>
      </c>
      <c r="B193" t="s">
        <v>193</v>
      </c>
      <c r="C193" s="42">
        <v>560</v>
      </c>
      <c r="E193" t="s">
        <v>246</v>
      </c>
    </row>
    <row r="194" spans="1:5" x14ac:dyDescent="0.25">
      <c r="A194" s="78" t="s">
        <v>247</v>
      </c>
      <c r="B194" t="s">
        <v>193</v>
      </c>
      <c r="C194" s="42">
        <v>660</v>
      </c>
      <c r="E194" t="s">
        <v>248</v>
      </c>
    </row>
    <row r="195" spans="1:5" x14ac:dyDescent="0.25">
      <c r="A195" s="78" t="s">
        <v>249</v>
      </c>
      <c r="B195" t="s">
        <v>193</v>
      </c>
      <c r="C195" s="42">
        <v>265</v>
      </c>
      <c r="E195" t="s">
        <v>194</v>
      </c>
    </row>
    <row r="196" spans="1:5" x14ac:dyDescent="0.25">
      <c r="A196" s="78" t="s">
        <v>250</v>
      </c>
      <c r="B196" t="s">
        <v>193</v>
      </c>
      <c r="C196" s="42">
        <v>265</v>
      </c>
      <c r="E196" t="s">
        <v>196</v>
      </c>
    </row>
    <row r="197" spans="1:5" x14ac:dyDescent="0.25">
      <c r="A197" s="78" t="s">
        <v>251</v>
      </c>
      <c r="B197" t="s">
        <v>193</v>
      </c>
      <c r="C197" s="42">
        <v>365</v>
      </c>
      <c r="E197" t="s">
        <v>198</v>
      </c>
    </row>
    <row r="198" spans="1:5" x14ac:dyDescent="0.25">
      <c r="A198" s="78" t="s">
        <v>252</v>
      </c>
      <c r="B198" t="s">
        <v>193</v>
      </c>
      <c r="C198" s="42">
        <v>240</v>
      </c>
      <c r="E198" t="s">
        <v>200</v>
      </c>
    </row>
    <row r="199" spans="1:5" x14ac:dyDescent="0.25">
      <c r="A199" s="78" t="s">
        <v>253</v>
      </c>
      <c r="B199" t="s">
        <v>193</v>
      </c>
      <c r="C199" s="42">
        <v>240</v>
      </c>
      <c r="E199" t="s">
        <v>202</v>
      </c>
    </row>
    <row r="200" spans="1:5" x14ac:dyDescent="0.25">
      <c r="A200" s="78" t="s">
        <v>254</v>
      </c>
      <c r="B200" t="s">
        <v>193</v>
      </c>
      <c r="C200" s="42">
        <v>340</v>
      </c>
      <c r="E200" t="s">
        <v>204</v>
      </c>
    </row>
    <row r="201" spans="1:5" x14ac:dyDescent="0.25">
      <c r="A201" s="78" t="s">
        <v>255</v>
      </c>
      <c r="B201" t="s">
        <v>193</v>
      </c>
      <c r="C201" s="42">
        <v>340</v>
      </c>
      <c r="E201" t="s">
        <v>206</v>
      </c>
    </row>
    <row r="202" spans="1:5" x14ac:dyDescent="0.25">
      <c r="A202" s="78" t="s">
        <v>256</v>
      </c>
      <c r="B202" t="s">
        <v>193</v>
      </c>
      <c r="C202" s="42">
        <v>265</v>
      </c>
      <c r="E202" t="s">
        <v>208</v>
      </c>
    </row>
    <row r="203" spans="1:5" x14ac:dyDescent="0.25">
      <c r="A203" s="78" t="s">
        <v>257</v>
      </c>
      <c r="B203" t="s">
        <v>193</v>
      </c>
      <c r="C203" s="42">
        <v>265</v>
      </c>
      <c r="E203" t="s">
        <v>210</v>
      </c>
    </row>
    <row r="204" spans="1:5" x14ac:dyDescent="0.25">
      <c r="A204" s="78" t="s">
        <v>258</v>
      </c>
      <c r="B204" t="s">
        <v>193</v>
      </c>
      <c r="C204" s="42">
        <v>365</v>
      </c>
      <c r="E204" t="s">
        <v>212</v>
      </c>
    </row>
    <row r="205" spans="1:5" x14ac:dyDescent="0.25">
      <c r="A205" s="78" t="s">
        <v>259</v>
      </c>
      <c r="B205" t="s">
        <v>193</v>
      </c>
      <c r="C205" s="42">
        <v>240</v>
      </c>
      <c r="E205" t="s">
        <v>214</v>
      </c>
    </row>
    <row r="206" spans="1:5" x14ac:dyDescent="0.25">
      <c r="A206" s="78" t="s">
        <v>260</v>
      </c>
      <c r="B206" t="s">
        <v>193</v>
      </c>
      <c r="C206" s="42">
        <v>240</v>
      </c>
      <c r="E206" t="s">
        <v>216</v>
      </c>
    </row>
    <row r="207" spans="1:5" x14ac:dyDescent="0.25">
      <c r="A207" s="78" t="s">
        <v>261</v>
      </c>
      <c r="B207" t="s">
        <v>193</v>
      </c>
      <c r="C207" s="42">
        <v>195</v>
      </c>
      <c r="E207" t="s">
        <v>194</v>
      </c>
    </row>
    <row r="208" spans="1:5" x14ac:dyDescent="0.25">
      <c r="A208" s="78" t="s">
        <v>262</v>
      </c>
      <c r="B208" t="s">
        <v>193</v>
      </c>
      <c r="C208" s="42">
        <v>195</v>
      </c>
      <c r="E208" t="s">
        <v>196</v>
      </c>
    </row>
    <row r="209" spans="1:5" x14ac:dyDescent="0.25">
      <c r="A209" s="78" t="s">
        <v>263</v>
      </c>
      <c r="B209" t="s">
        <v>193</v>
      </c>
      <c r="C209" s="42">
        <v>130</v>
      </c>
      <c r="E209" t="s">
        <v>200</v>
      </c>
    </row>
    <row r="210" spans="1:5" x14ac:dyDescent="0.25">
      <c r="A210" s="78" t="s">
        <v>264</v>
      </c>
      <c r="B210" t="s">
        <v>193</v>
      </c>
      <c r="C210" s="42">
        <v>130</v>
      </c>
      <c r="E210" t="s">
        <v>202</v>
      </c>
    </row>
    <row r="211" spans="1:5" x14ac:dyDescent="0.25">
      <c r="A211" s="78" t="s">
        <v>265</v>
      </c>
      <c r="B211" t="s">
        <v>193</v>
      </c>
      <c r="C211" s="42">
        <v>195</v>
      </c>
      <c r="E211" t="s">
        <v>208</v>
      </c>
    </row>
    <row r="212" spans="1:5" x14ac:dyDescent="0.25">
      <c r="A212" s="78" t="s">
        <v>266</v>
      </c>
      <c r="B212" t="s">
        <v>193</v>
      </c>
      <c r="C212" s="42">
        <v>195</v>
      </c>
      <c r="E212" t="s">
        <v>210</v>
      </c>
    </row>
    <row r="213" spans="1:5" x14ac:dyDescent="0.25">
      <c r="A213" s="78" t="s">
        <v>267</v>
      </c>
      <c r="B213" t="s">
        <v>193</v>
      </c>
      <c r="C213" s="42">
        <v>130</v>
      </c>
      <c r="E213" t="s">
        <v>214</v>
      </c>
    </row>
    <row r="214" spans="1:5" x14ac:dyDescent="0.25">
      <c r="A214" s="78" t="s">
        <v>268</v>
      </c>
      <c r="B214" t="s">
        <v>193</v>
      </c>
      <c r="C214" s="42">
        <v>130</v>
      </c>
      <c r="E214" t="s">
        <v>216</v>
      </c>
    </row>
    <row r="215" spans="1:5" x14ac:dyDescent="0.25">
      <c r="A215" s="78" t="s">
        <v>269</v>
      </c>
      <c r="B215" t="s">
        <v>193</v>
      </c>
      <c r="C215" s="42">
        <v>195</v>
      </c>
      <c r="E215" t="s">
        <v>194</v>
      </c>
    </row>
    <row r="216" spans="1:5" x14ac:dyDescent="0.25">
      <c r="A216" s="78" t="s">
        <v>270</v>
      </c>
      <c r="B216" t="s">
        <v>193</v>
      </c>
      <c r="C216" s="42">
        <v>195</v>
      </c>
      <c r="E216" t="s">
        <v>196</v>
      </c>
    </row>
    <row r="217" spans="1:5" x14ac:dyDescent="0.25">
      <c r="A217" s="78" t="s">
        <v>271</v>
      </c>
      <c r="B217" t="s">
        <v>193</v>
      </c>
      <c r="C217" s="42">
        <v>130</v>
      </c>
      <c r="E217" t="s">
        <v>200</v>
      </c>
    </row>
    <row r="218" spans="1:5" x14ac:dyDescent="0.25">
      <c r="A218" s="78" t="s">
        <v>272</v>
      </c>
      <c r="B218" t="s">
        <v>193</v>
      </c>
      <c r="C218" s="42">
        <v>130</v>
      </c>
      <c r="E218" t="s">
        <v>202</v>
      </c>
    </row>
    <row r="219" spans="1:5" x14ac:dyDescent="0.25">
      <c r="A219" s="78" t="s">
        <v>273</v>
      </c>
      <c r="B219" t="s">
        <v>193</v>
      </c>
      <c r="C219" s="42">
        <v>195</v>
      </c>
      <c r="E219" t="s">
        <v>208</v>
      </c>
    </row>
    <row r="220" spans="1:5" x14ac:dyDescent="0.25">
      <c r="A220" s="78" t="s">
        <v>274</v>
      </c>
      <c r="B220" t="s">
        <v>193</v>
      </c>
      <c r="C220" s="42">
        <v>195</v>
      </c>
      <c r="E220" t="s">
        <v>210</v>
      </c>
    </row>
    <row r="221" spans="1:5" x14ac:dyDescent="0.25">
      <c r="A221" s="78" t="s">
        <v>275</v>
      </c>
      <c r="B221" t="s">
        <v>193</v>
      </c>
      <c r="C221" s="42">
        <v>130</v>
      </c>
      <c r="E221" t="s">
        <v>214</v>
      </c>
    </row>
    <row r="222" spans="1:5" x14ac:dyDescent="0.25">
      <c r="A222" s="78" t="s">
        <v>276</v>
      </c>
      <c r="B222" t="s">
        <v>193</v>
      </c>
      <c r="C222" s="42">
        <v>130</v>
      </c>
      <c r="E222" t="s">
        <v>216</v>
      </c>
    </row>
    <row r="223" spans="1:5" x14ac:dyDescent="0.25">
      <c r="A223" s="78" t="s">
        <v>277</v>
      </c>
      <c r="B223" t="s">
        <v>193</v>
      </c>
      <c r="C223" s="42">
        <v>350</v>
      </c>
      <c r="E223" t="s">
        <v>194</v>
      </c>
    </row>
    <row r="224" spans="1:5" x14ac:dyDescent="0.25">
      <c r="A224" s="78" t="s">
        <v>278</v>
      </c>
      <c r="B224" t="s">
        <v>193</v>
      </c>
      <c r="C224" s="42">
        <v>350</v>
      </c>
      <c r="E224" t="s">
        <v>196</v>
      </c>
    </row>
    <row r="225" spans="1:5" x14ac:dyDescent="0.25">
      <c r="A225" s="78" t="s">
        <v>279</v>
      </c>
      <c r="B225" t="s">
        <v>193</v>
      </c>
      <c r="C225" s="42">
        <v>450</v>
      </c>
      <c r="E225" t="s">
        <v>198</v>
      </c>
    </row>
    <row r="226" spans="1:5" x14ac:dyDescent="0.25">
      <c r="A226" s="78" t="s">
        <v>280</v>
      </c>
      <c r="B226" t="s">
        <v>193</v>
      </c>
      <c r="C226" s="42">
        <v>320</v>
      </c>
      <c r="E226" t="s">
        <v>200</v>
      </c>
    </row>
    <row r="227" spans="1:5" x14ac:dyDescent="0.25">
      <c r="A227" s="78" t="s">
        <v>281</v>
      </c>
      <c r="B227" t="s">
        <v>193</v>
      </c>
      <c r="C227" s="42">
        <v>320</v>
      </c>
      <c r="E227" t="s">
        <v>202</v>
      </c>
    </row>
    <row r="228" spans="1:5" x14ac:dyDescent="0.25">
      <c r="A228" s="78" t="s">
        <v>282</v>
      </c>
      <c r="B228" t="s">
        <v>193</v>
      </c>
      <c r="C228" s="42">
        <v>420</v>
      </c>
      <c r="E228" t="s">
        <v>204</v>
      </c>
    </row>
    <row r="229" spans="1:5" x14ac:dyDescent="0.25">
      <c r="A229" s="78" t="s">
        <v>283</v>
      </c>
      <c r="B229" t="s">
        <v>193</v>
      </c>
      <c r="C229" s="42">
        <v>420</v>
      </c>
      <c r="E229" t="s">
        <v>206</v>
      </c>
    </row>
    <row r="230" spans="1:5" x14ac:dyDescent="0.25">
      <c r="A230" s="78" t="s">
        <v>284</v>
      </c>
      <c r="B230" t="s">
        <v>193</v>
      </c>
      <c r="C230" s="42">
        <v>350</v>
      </c>
      <c r="E230" t="s">
        <v>208</v>
      </c>
    </row>
    <row r="231" spans="1:5" x14ac:dyDescent="0.25">
      <c r="A231" s="78" t="s">
        <v>285</v>
      </c>
      <c r="B231" t="s">
        <v>193</v>
      </c>
      <c r="C231" s="42">
        <v>350</v>
      </c>
      <c r="E231" t="s">
        <v>210</v>
      </c>
    </row>
    <row r="232" spans="1:5" x14ac:dyDescent="0.25">
      <c r="A232" s="78" t="s">
        <v>286</v>
      </c>
      <c r="B232" t="s">
        <v>193</v>
      </c>
      <c r="C232" s="42">
        <v>450</v>
      </c>
      <c r="E232" t="s">
        <v>212</v>
      </c>
    </row>
    <row r="233" spans="1:5" x14ac:dyDescent="0.25">
      <c r="A233" s="78" t="s">
        <v>287</v>
      </c>
      <c r="B233" t="s">
        <v>193</v>
      </c>
      <c r="C233" s="42">
        <v>320</v>
      </c>
      <c r="E233" t="s">
        <v>214</v>
      </c>
    </row>
    <row r="234" spans="1:5" x14ac:dyDescent="0.25">
      <c r="A234" s="78" t="s">
        <v>288</v>
      </c>
      <c r="B234" t="s">
        <v>193</v>
      </c>
      <c r="C234" s="42">
        <v>320</v>
      </c>
      <c r="E234" t="s">
        <v>216</v>
      </c>
    </row>
    <row r="235" spans="1:5" x14ac:dyDescent="0.25">
      <c r="A235" s="78" t="s">
        <v>289</v>
      </c>
      <c r="B235" t="s">
        <v>193</v>
      </c>
      <c r="C235" s="42">
        <v>380</v>
      </c>
      <c r="E235" t="s">
        <v>194</v>
      </c>
    </row>
    <row r="236" spans="1:5" x14ac:dyDescent="0.25">
      <c r="A236" s="78" t="s">
        <v>290</v>
      </c>
      <c r="B236" t="s">
        <v>193</v>
      </c>
      <c r="C236" s="42">
        <v>380</v>
      </c>
      <c r="E236" t="s">
        <v>196</v>
      </c>
    </row>
    <row r="237" spans="1:5" x14ac:dyDescent="0.25">
      <c r="A237" s="78" t="s">
        <v>291</v>
      </c>
      <c r="B237" t="s">
        <v>193</v>
      </c>
      <c r="C237" s="42">
        <v>480</v>
      </c>
      <c r="E237" t="s">
        <v>198</v>
      </c>
    </row>
    <row r="238" spans="1:5" x14ac:dyDescent="0.25">
      <c r="A238" s="78" t="s">
        <v>292</v>
      </c>
      <c r="B238" t="s">
        <v>193</v>
      </c>
      <c r="C238" s="42">
        <v>350</v>
      </c>
      <c r="E238" t="s">
        <v>200</v>
      </c>
    </row>
    <row r="239" spans="1:5" x14ac:dyDescent="0.25">
      <c r="A239" s="78" t="s">
        <v>293</v>
      </c>
      <c r="B239" t="s">
        <v>193</v>
      </c>
      <c r="C239" s="42">
        <v>350</v>
      </c>
      <c r="E239" t="s">
        <v>202</v>
      </c>
    </row>
    <row r="240" spans="1:5" x14ac:dyDescent="0.25">
      <c r="A240" s="78" t="s">
        <v>294</v>
      </c>
      <c r="B240" t="s">
        <v>193</v>
      </c>
      <c r="C240" s="42">
        <v>450</v>
      </c>
      <c r="E240" t="s">
        <v>204</v>
      </c>
    </row>
    <row r="241" spans="1:5" x14ac:dyDescent="0.25">
      <c r="A241" s="78" t="s">
        <v>295</v>
      </c>
      <c r="B241" t="s">
        <v>193</v>
      </c>
      <c r="C241" s="42">
        <v>450</v>
      </c>
      <c r="E241" t="s">
        <v>206</v>
      </c>
    </row>
    <row r="242" spans="1:5" x14ac:dyDescent="0.25">
      <c r="A242" s="78" t="s">
        <v>296</v>
      </c>
      <c r="B242" t="s">
        <v>193</v>
      </c>
      <c r="C242" s="42">
        <v>380</v>
      </c>
      <c r="E242" t="s">
        <v>208</v>
      </c>
    </row>
    <row r="243" spans="1:5" x14ac:dyDescent="0.25">
      <c r="A243" s="78" t="s">
        <v>297</v>
      </c>
      <c r="B243" t="s">
        <v>193</v>
      </c>
      <c r="C243" s="42">
        <v>380</v>
      </c>
      <c r="E243" t="s">
        <v>210</v>
      </c>
    </row>
    <row r="244" spans="1:5" x14ac:dyDescent="0.25">
      <c r="A244" s="78" t="s">
        <v>298</v>
      </c>
      <c r="B244" t="s">
        <v>193</v>
      </c>
      <c r="C244" s="42">
        <v>480</v>
      </c>
      <c r="E244" t="s">
        <v>212</v>
      </c>
    </row>
    <row r="245" spans="1:5" x14ac:dyDescent="0.25">
      <c r="A245" s="78" t="s">
        <v>299</v>
      </c>
      <c r="B245" t="s">
        <v>193</v>
      </c>
      <c r="C245" s="42">
        <v>350</v>
      </c>
      <c r="E245" t="s">
        <v>214</v>
      </c>
    </row>
    <row r="246" spans="1:5" x14ac:dyDescent="0.25">
      <c r="A246" s="78" t="s">
        <v>300</v>
      </c>
      <c r="B246" t="s">
        <v>193</v>
      </c>
      <c r="C246" s="42">
        <v>350</v>
      </c>
      <c r="E246" t="s">
        <v>216</v>
      </c>
    </row>
    <row r="247" spans="1:5" x14ac:dyDescent="0.25">
      <c r="A247" s="78" t="s">
        <v>301</v>
      </c>
      <c r="B247" t="s">
        <v>193</v>
      </c>
      <c r="C247" s="42">
        <v>480</v>
      </c>
      <c r="E247" t="s">
        <v>238</v>
      </c>
    </row>
    <row r="248" spans="1:5" x14ac:dyDescent="0.25">
      <c r="A248" s="78" t="s">
        <v>302</v>
      </c>
      <c r="B248" t="s">
        <v>193</v>
      </c>
      <c r="C248" s="42">
        <v>480</v>
      </c>
      <c r="E248" t="s">
        <v>240</v>
      </c>
    </row>
    <row r="249" spans="1:5" x14ac:dyDescent="0.25">
      <c r="A249" s="78" t="s">
        <v>303</v>
      </c>
      <c r="B249" t="s">
        <v>193</v>
      </c>
      <c r="C249" s="42">
        <v>580</v>
      </c>
      <c r="E249" t="s">
        <v>242</v>
      </c>
    </row>
    <row r="250" spans="1:5" x14ac:dyDescent="0.25">
      <c r="A250" s="78" t="s">
        <v>304</v>
      </c>
      <c r="B250" t="s">
        <v>193</v>
      </c>
      <c r="C250" s="42">
        <v>450</v>
      </c>
      <c r="E250" t="s">
        <v>244</v>
      </c>
    </row>
    <row r="251" spans="1:5" x14ac:dyDescent="0.25">
      <c r="A251" s="78" t="s">
        <v>305</v>
      </c>
      <c r="B251" t="s">
        <v>193</v>
      </c>
      <c r="C251" s="42">
        <v>450</v>
      </c>
      <c r="E251" t="s">
        <v>246</v>
      </c>
    </row>
    <row r="252" spans="1:5" x14ac:dyDescent="0.25">
      <c r="A252" s="78" t="s">
        <v>306</v>
      </c>
      <c r="B252" t="s">
        <v>193</v>
      </c>
      <c r="C252" s="42">
        <v>550</v>
      </c>
      <c r="E252" t="s">
        <v>248</v>
      </c>
    </row>
    <row r="253" spans="1:5" x14ac:dyDescent="0.25">
      <c r="A253" s="78" t="s">
        <v>307</v>
      </c>
      <c r="B253" t="s">
        <v>193</v>
      </c>
      <c r="C253" s="42">
        <v>245</v>
      </c>
      <c r="E253" t="s">
        <v>194</v>
      </c>
    </row>
    <row r="254" spans="1:5" x14ac:dyDescent="0.25">
      <c r="A254" s="78" t="s">
        <v>308</v>
      </c>
      <c r="B254" t="s">
        <v>193</v>
      </c>
      <c r="C254" s="42">
        <v>245</v>
      </c>
      <c r="E254" t="s">
        <v>196</v>
      </c>
    </row>
    <row r="255" spans="1:5" x14ac:dyDescent="0.25">
      <c r="A255" s="78" t="s">
        <v>309</v>
      </c>
      <c r="B255" t="s">
        <v>193</v>
      </c>
      <c r="C255" s="42">
        <v>345</v>
      </c>
      <c r="E255" t="s">
        <v>198</v>
      </c>
    </row>
    <row r="256" spans="1:5" x14ac:dyDescent="0.25">
      <c r="A256" s="78" t="s">
        <v>310</v>
      </c>
      <c r="B256" t="s">
        <v>193</v>
      </c>
      <c r="C256" s="42">
        <v>220</v>
      </c>
      <c r="E256" t="s">
        <v>200</v>
      </c>
    </row>
    <row r="257" spans="1:5" x14ac:dyDescent="0.25">
      <c r="A257" s="78" t="s">
        <v>311</v>
      </c>
      <c r="B257" t="s">
        <v>193</v>
      </c>
      <c r="C257" s="42">
        <v>220</v>
      </c>
      <c r="E257" t="s">
        <v>202</v>
      </c>
    </row>
    <row r="258" spans="1:5" x14ac:dyDescent="0.25">
      <c r="A258" s="78" t="s">
        <v>312</v>
      </c>
      <c r="B258" t="s">
        <v>193</v>
      </c>
      <c r="C258" s="42">
        <v>320</v>
      </c>
      <c r="E258" t="s">
        <v>204</v>
      </c>
    </row>
    <row r="259" spans="1:5" x14ac:dyDescent="0.25">
      <c r="A259" s="78" t="s">
        <v>313</v>
      </c>
      <c r="B259" t="s">
        <v>193</v>
      </c>
      <c r="C259" s="42">
        <v>245</v>
      </c>
      <c r="E259" t="s">
        <v>208</v>
      </c>
    </row>
    <row r="260" spans="1:5" x14ac:dyDescent="0.25">
      <c r="A260" s="78" t="s">
        <v>314</v>
      </c>
      <c r="B260" t="s">
        <v>193</v>
      </c>
      <c r="C260" s="42">
        <v>245</v>
      </c>
      <c r="E260" t="s">
        <v>210</v>
      </c>
    </row>
    <row r="261" spans="1:5" x14ac:dyDescent="0.25">
      <c r="A261" s="78" t="s">
        <v>315</v>
      </c>
      <c r="B261" t="s">
        <v>193</v>
      </c>
      <c r="C261" s="42">
        <v>345</v>
      </c>
      <c r="E261" t="s">
        <v>212</v>
      </c>
    </row>
    <row r="262" spans="1:5" x14ac:dyDescent="0.25">
      <c r="A262" s="78" t="s">
        <v>316</v>
      </c>
      <c r="B262" t="s">
        <v>193</v>
      </c>
      <c r="C262" s="42">
        <v>220</v>
      </c>
      <c r="E262" t="s">
        <v>214</v>
      </c>
    </row>
    <row r="263" spans="1:5" x14ac:dyDescent="0.25">
      <c r="A263" s="78" t="s">
        <v>317</v>
      </c>
      <c r="B263" t="s">
        <v>193</v>
      </c>
      <c r="C263" s="42">
        <v>220</v>
      </c>
      <c r="E263" t="s">
        <v>216</v>
      </c>
    </row>
    <row r="264" spans="1:5" x14ac:dyDescent="0.25">
      <c r="A264" s="78" t="s">
        <v>318</v>
      </c>
      <c r="B264" t="s">
        <v>193</v>
      </c>
      <c r="C264" s="42">
        <v>320</v>
      </c>
      <c r="E264" t="s">
        <v>206</v>
      </c>
    </row>
    <row r="265" spans="1:5" x14ac:dyDescent="0.25">
      <c r="A265" s="79" t="s">
        <v>319</v>
      </c>
      <c r="B265" t="s">
        <v>320</v>
      </c>
      <c r="C265" s="42">
        <v>250</v>
      </c>
      <c r="E265" t="s">
        <v>321</v>
      </c>
    </row>
    <row r="266" spans="1:5" x14ac:dyDescent="0.25">
      <c r="A266" s="79" t="s">
        <v>322</v>
      </c>
      <c r="B266" t="s">
        <v>320</v>
      </c>
      <c r="C266" s="42">
        <v>350</v>
      </c>
      <c r="E266" t="s">
        <v>321</v>
      </c>
    </row>
    <row r="267" spans="1:5" x14ac:dyDescent="0.25">
      <c r="A267" s="79" t="s">
        <v>323</v>
      </c>
      <c r="B267" t="s">
        <v>320</v>
      </c>
      <c r="C267" s="42">
        <v>40</v>
      </c>
      <c r="E267" t="s">
        <v>324</v>
      </c>
    </row>
    <row r="268" spans="1:5" x14ac:dyDescent="0.25">
      <c r="A268" s="79" t="s">
        <v>325</v>
      </c>
      <c r="B268" t="s">
        <v>320</v>
      </c>
      <c r="C268" s="42">
        <v>50</v>
      </c>
      <c r="E268" t="s">
        <v>324</v>
      </c>
    </row>
    <row r="269" spans="1:5" x14ac:dyDescent="0.25">
      <c r="A269" s="79" t="s">
        <v>326</v>
      </c>
      <c r="B269" t="s">
        <v>320</v>
      </c>
      <c r="C269" s="42">
        <v>60</v>
      </c>
      <c r="E269" t="s">
        <v>324</v>
      </c>
    </row>
    <row r="270" spans="1:5" x14ac:dyDescent="0.25">
      <c r="A270" s="79" t="s">
        <v>327</v>
      </c>
      <c r="B270" t="s">
        <v>320</v>
      </c>
      <c r="C270" s="42">
        <v>250</v>
      </c>
      <c r="E270" t="s">
        <v>324</v>
      </c>
    </row>
    <row r="271" spans="1:5" x14ac:dyDescent="0.25">
      <c r="A271" s="79" t="s">
        <v>328</v>
      </c>
      <c r="B271" t="s">
        <v>320</v>
      </c>
      <c r="C271" s="42">
        <v>300</v>
      </c>
      <c r="E271" t="s">
        <v>324</v>
      </c>
    </row>
    <row r="272" spans="1:5" x14ac:dyDescent="0.25">
      <c r="A272" s="79" t="s">
        <v>329</v>
      </c>
      <c r="B272" t="s">
        <v>320</v>
      </c>
      <c r="C272" s="42">
        <v>400</v>
      </c>
      <c r="E272" t="s">
        <v>324</v>
      </c>
    </row>
    <row r="273" spans="1:5" x14ac:dyDescent="0.25">
      <c r="A273" s="78" t="s">
        <v>330</v>
      </c>
      <c r="B273" t="s">
        <v>331</v>
      </c>
      <c r="C273" s="42">
        <v>60</v>
      </c>
      <c r="E273" t="s">
        <v>332</v>
      </c>
    </row>
    <row r="274" spans="1:5" x14ac:dyDescent="0.25">
      <c r="A274" s="78" t="s">
        <v>333</v>
      </c>
      <c r="B274" t="s">
        <v>331</v>
      </c>
      <c r="C274" s="42">
        <v>60</v>
      </c>
      <c r="E274" t="s">
        <v>334</v>
      </c>
    </row>
    <row r="275" spans="1:5" x14ac:dyDescent="0.25">
      <c r="A275" s="78" t="s">
        <v>335</v>
      </c>
      <c r="B275" t="s">
        <v>331</v>
      </c>
      <c r="C275" s="42">
        <v>60</v>
      </c>
      <c r="E275" t="s">
        <v>336</v>
      </c>
    </row>
    <row r="276" spans="1:5" x14ac:dyDescent="0.25">
      <c r="A276" s="78" t="s">
        <v>337</v>
      </c>
      <c r="B276" t="s">
        <v>331</v>
      </c>
      <c r="C276" s="42">
        <v>60</v>
      </c>
      <c r="E276" t="s">
        <v>338</v>
      </c>
    </row>
    <row r="277" spans="1:5" x14ac:dyDescent="0.25">
      <c r="A277" s="78" t="s">
        <v>339</v>
      </c>
      <c r="B277" t="s">
        <v>331</v>
      </c>
      <c r="C277" s="42">
        <v>60</v>
      </c>
      <c r="E277" t="s">
        <v>340</v>
      </c>
    </row>
    <row r="278" spans="1:5" x14ac:dyDescent="0.25">
      <c r="A278" s="78" t="s">
        <v>341</v>
      </c>
      <c r="B278" t="s">
        <v>331</v>
      </c>
      <c r="C278" s="42">
        <v>60</v>
      </c>
      <c r="E278" t="s">
        <v>342</v>
      </c>
    </row>
    <row r="279" spans="1:5" x14ac:dyDescent="0.25">
      <c r="A279" s="78" t="s">
        <v>343</v>
      </c>
      <c r="B279" t="s">
        <v>331</v>
      </c>
      <c r="C279" s="42">
        <v>60</v>
      </c>
      <c r="E279" t="s">
        <v>344</v>
      </c>
    </row>
    <row r="280" spans="1:5" x14ac:dyDescent="0.25">
      <c r="A280" s="78" t="s">
        <v>345</v>
      </c>
      <c r="B280" t="s">
        <v>331</v>
      </c>
      <c r="C280" s="42">
        <v>60</v>
      </c>
      <c r="E280" t="s">
        <v>346</v>
      </c>
    </row>
    <row r="281" spans="1:5" x14ac:dyDescent="0.25">
      <c r="A281" s="78" t="s">
        <v>347</v>
      </c>
      <c r="B281" t="s">
        <v>348</v>
      </c>
      <c r="C281" s="42">
        <v>60</v>
      </c>
      <c r="E281" t="s">
        <v>349</v>
      </c>
    </row>
    <row r="282" spans="1:5" x14ac:dyDescent="0.25">
      <c r="A282" s="78" t="s">
        <v>350</v>
      </c>
      <c r="B282" t="s">
        <v>348</v>
      </c>
      <c r="C282" s="42">
        <v>60</v>
      </c>
      <c r="E282" t="s">
        <v>351</v>
      </c>
    </row>
    <row r="283" spans="1:5" x14ac:dyDescent="0.25">
      <c r="A283" s="78" t="s">
        <v>352</v>
      </c>
      <c r="B283" t="s">
        <v>348</v>
      </c>
      <c r="C283" s="42">
        <v>60</v>
      </c>
      <c r="E283" t="s">
        <v>353</v>
      </c>
    </row>
    <row r="284" spans="1:5" x14ac:dyDescent="0.25">
      <c r="A284" s="78" t="s">
        <v>354</v>
      </c>
      <c r="B284" t="s">
        <v>348</v>
      </c>
      <c r="C284" s="42">
        <v>60</v>
      </c>
      <c r="E284" t="s">
        <v>355</v>
      </c>
    </row>
    <row r="285" spans="1:5" x14ac:dyDescent="0.25">
      <c r="A285" s="78" t="s">
        <v>356</v>
      </c>
      <c r="B285" t="s">
        <v>348</v>
      </c>
      <c r="C285" s="42">
        <v>60</v>
      </c>
      <c r="E285" t="s">
        <v>357</v>
      </c>
    </row>
    <row r="286" spans="1:5" x14ac:dyDescent="0.25">
      <c r="A286" s="78" t="s">
        <v>358</v>
      </c>
      <c r="B286" t="s">
        <v>348</v>
      </c>
      <c r="C286" s="42">
        <v>60</v>
      </c>
      <c r="E286" t="s">
        <v>359</v>
      </c>
    </row>
    <row r="287" spans="1:5" x14ac:dyDescent="0.25">
      <c r="A287" s="78" t="s">
        <v>360</v>
      </c>
      <c r="B287" t="s">
        <v>348</v>
      </c>
      <c r="C287" s="42">
        <v>60</v>
      </c>
      <c r="E287" t="s">
        <v>361</v>
      </c>
    </row>
    <row r="288" spans="1:5" x14ac:dyDescent="0.25">
      <c r="A288" s="78" t="s">
        <v>362</v>
      </c>
      <c r="B288" t="s">
        <v>348</v>
      </c>
      <c r="C288" s="42">
        <v>60</v>
      </c>
      <c r="E288" t="s">
        <v>363</v>
      </c>
    </row>
    <row r="289" spans="1:5" x14ac:dyDescent="0.25">
      <c r="A289" s="78" t="s">
        <v>364</v>
      </c>
      <c r="B289" t="s">
        <v>331</v>
      </c>
      <c r="C289" s="42">
        <v>60</v>
      </c>
      <c r="E289" t="s">
        <v>332</v>
      </c>
    </row>
    <row r="290" spans="1:5" x14ac:dyDescent="0.25">
      <c r="A290" s="78" t="s">
        <v>365</v>
      </c>
      <c r="B290" t="s">
        <v>331</v>
      </c>
      <c r="C290" s="42">
        <v>60</v>
      </c>
      <c r="E290" t="s">
        <v>334</v>
      </c>
    </row>
    <row r="291" spans="1:5" x14ac:dyDescent="0.25">
      <c r="A291" s="78" t="s">
        <v>366</v>
      </c>
      <c r="B291" t="s">
        <v>331</v>
      </c>
      <c r="C291" s="42">
        <v>60</v>
      </c>
      <c r="E291" t="s">
        <v>336</v>
      </c>
    </row>
    <row r="292" spans="1:5" x14ac:dyDescent="0.25">
      <c r="A292" s="78" t="s">
        <v>367</v>
      </c>
      <c r="B292" t="s">
        <v>331</v>
      </c>
      <c r="C292" s="42">
        <v>60</v>
      </c>
      <c r="E292" t="s">
        <v>338</v>
      </c>
    </row>
    <row r="293" spans="1:5" x14ac:dyDescent="0.25">
      <c r="A293" s="78" t="s">
        <v>368</v>
      </c>
      <c r="B293" t="s">
        <v>331</v>
      </c>
      <c r="C293" s="42">
        <v>60</v>
      </c>
      <c r="E293" t="s">
        <v>340</v>
      </c>
    </row>
    <row r="294" spans="1:5" x14ac:dyDescent="0.25">
      <c r="A294" s="78" t="s">
        <v>369</v>
      </c>
      <c r="B294" t="s">
        <v>331</v>
      </c>
      <c r="C294" s="42">
        <v>60</v>
      </c>
      <c r="E294" t="s">
        <v>342</v>
      </c>
    </row>
    <row r="295" spans="1:5" x14ac:dyDescent="0.25">
      <c r="A295" s="78" t="s">
        <v>370</v>
      </c>
      <c r="B295" t="s">
        <v>331</v>
      </c>
      <c r="C295" s="42">
        <v>60</v>
      </c>
      <c r="E295" t="s">
        <v>344</v>
      </c>
    </row>
    <row r="296" spans="1:5" x14ac:dyDescent="0.25">
      <c r="A296" s="78" t="s">
        <v>371</v>
      </c>
      <c r="B296" t="s">
        <v>331</v>
      </c>
      <c r="C296" s="42">
        <v>60</v>
      </c>
      <c r="E296" t="s">
        <v>346</v>
      </c>
    </row>
    <row r="297" spans="1:5" x14ac:dyDescent="0.25">
      <c r="A297" s="78" t="s">
        <v>372</v>
      </c>
      <c r="B297" t="s">
        <v>348</v>
      </c>
      <c r="C297" s="42">
        <v>60</v>
      </c>
      <c r="E297" t="s">
        <v>349</v>
      </c>
    </row>
    <row r="298" spans="1:5" x14ac:dyDescent="0.25">
      <c r="A298" s="78" t="s">
        <v>373</v>
      </c>
      <c r="B298" t="s">
        <v>348</v>
      </c>
      <c r="C298" s="42">
        <v>60</v>
      </c>
      <c r="E298" t="s">
        <v>351</v>
      </c>
    </row>
    <row r="299" spans="1:5" x14ac:dyDescent="0.25">
      <c r="A299" s="78" t="s">
        <v>374</v>
      </c>
      <c r="B299" t="s">
        <v>348</v>
      </c>
      <c r="C299" s="42">
        <v>60</v>
      </c>
      <c r="E299" t="s">
        <v>353</v>
      </c>
    </row>
    <row r="300" spans="1:5" x14ac:dyDescent="0.25">
      <c r="A300" s="78" t="s">
        <v>375</v>
      </c>
      <c r="B300" t="s">
        <v>348</v>
      </c>
      <c r="C300" s="42">
        <v>60</v>
      </c>
      <c r="E300" t="s">
        <v>355</v>
      </c>
    </row>
    <row r="301" spans="1:5" x14ac:dyDescent="0.25">
      <c r="A301" s="78" t="s">
        <v>376</v>
      </c>
      <c r="B301" t="s">
        <v>348</v>
      </c>
      <c r="C301" s="42">
        <v>60</v>
      </c>
      <c r="E301" t="s">
        <v>357</v>
      </c>
    </row>
    <row r="302" spans="1:5" x14ac:dyDescent="0.25">
      <c r="A302" s="78" t="s">
        <v>377</v>
      </c>
      <c r="B302" t="s">
        <v>348</v>
      </c>
      <c r="C302" s="42">
        <v>60</v>
      </c>
      <c r="E302" t="s">
        <v>359</v>
      </c>
    </row>
    <row r="303" spans="1:5" x14ac:dyDescent="0.25">
      <c r="A303" s="78" t="s">
        <v>378</v>
      </c>
      <c r="B303" t="s">
        <v>348</v>
      </c>
      <c r="C303" s="42">
        <v>60</v>
      </c>
      <c r="E303" t="s">
        <v>361</v>
      </c>
    </row>
    <row r="304" spans="1:5" x14ac:dyDescent="0.25">
      <c r="A304" s="78" t="s">
        <v>379</v>
      </c>
      <c r="B304" t="s">
        <v>348</v>
      </c>
      <c r="C304" s="42">
        <v>60</v>
      </c>
      <c r="E304" t="s">
        <v>363</v>
      </c>
    </row>
    <row r="305" spans="1:5" x14ac:dyDescent="0.25">
      <c r="A305" s="78" t="s">
        <v>380</v>
      </c>
      <c r="B305" t="s">
        <v>331</v>
      </c>
      <c r="C305" s="42">
        <v>60</v>
      </c>
      <c r="E305" t="s">
        <v>332</v>
      </c>
    </row>
    <row r="306" spans="1:5" x14ac:dyDescent="0.25">
      <c r="A306" s="78" t="s">
        <v>381</v>
      </c>
      <c r="B306" t="s">
        <v>331</v>
      </c>
      <c r="C306" s="42">
        <v>60</v>
      </c>
      <c r="E306" t="s">
        <v>334</v>
      </c>
    </row>
    <row r="307" spans="1:5" x14ac:dyDescent="0.25">
      <c r="A307" s="78" t="s">
        <v>382</v>
      </c>
      <c r="B307" t="s">
        <v>331</v>
      </c>
      <c r="C307" s="42">
        <v>60</v>
      </c>
      <c r="E307" t="s">
        <v>336</v>
      </c>
    </row>
    <row r="308" spans="1:5" x14ac:dyDescent="0.25">
      <c r="A308" s="78" t="s">
        <v>383</v>
      </c>
      <c r="B308" t="s">
        <v>331</v>
      </c>
      <c r="C308" s="42">
        <v>60</v>
      </c>
      <c r="E308" t="s">
        <v>338</v>
      </c>
    </row>
    <row r="309" spans="1:5" x14ac:dyDescent="0.25">
      <c r="A309" s="78" t="s">
        <v>384</v>
      </c>
      <c r="B309" t="s">
        <v>331</v>
      </c>
      <c r="C309" s="42">
        <v>60</v>
      </c>
      <c r="E309" t="s">
        <v>340</v>
      </c>
    </row>
    <row r="310" spans="1:5" x14ac:dyDescent="0.25">
      <c r="A310" s="78" t="s">
        <v>385</v>
      </c>
      <c r="B310" t="s">
        <v>331</v>
      </c>
      <c r="C310" s="42">
        <v>60</v>
      </c>
      <c r="E310" t="s">
        <v>342</v>
      </c>
    </row>
    <row r="311" spans="1:5" x14ac:dyDescent="0.25">
      <c r="A311" s="78" t="s">
        <v>386</v>
      </c>
      <c r="B311" t="s">
        <v>331</v>
      </c>
      <c r="C311" s="42">
        <v>60</v>
      </c>
      <c r="E311" t="s">
        <v>344</v>
      </c>
    </row>
    <row r="312" spans="1:5" x14ac:dyDescent="0.25">
      <c r="A312" s="78" t="s">
        <v>387</v>
      </c>
      <c r="B312" t="s">
        <v>331</v>
      </c>
      <c r="C312" s="42">
        <v>60</v>
      </c>
      <c r="E312" t="s">
        <v>346</v>
      </c>
    </row>
    <row r="313" spans="1:5" x14ac:dyDescent="0.25">
      <c r="A313" s="78" t="s">
        <v>388</v>
      </c>
      <c r="B313" t="s">
        <v>348</v>
      </c>
      <c r="C313" s="42">
        <v>60</v>
      </c>
      <c r="E313" t="s">
        <v>349</v>
      </c>
    </row>
    <row r="314" spans="1:5" x14ac:dyDescent="0.25">
      <c r="A314" s="78" t="s">
        <v>389</v>
      </c>
      <c r="B314" t="s">
        <v>348</v>
      </c>
      <c r="C314" s="42">
        <v>60</v>
      </c>
      <c r="E314" t="s">
        <v>351</v>
      </c>
    </row>
    <row r="315" spans="1:5" x14ac:dyDescent="0.25">
      <c r="A315" s="78" t="s">
        <v>390</v>
      </c>
      <c r="B315" t="s">
        <v>348</v>
      </c>
      <c r="C315" s="42">
        <v>60</v>
      </c>
      <c r="E315" t="s">
        <v>353</v>
      </c>
    </row>
    <row r="316" spans="1:5" x14ac:dyDescent="0.25">
      <c r="A316" s="78" t="s">
        <v>391</v>
      </c>
      <c r="B316" t="s">
        <v>348</v>
      </c>
      <c r="C316" s="42">
        <v>60</v>
      </c>
      <c r="E316" t="s">
        <v>355</v>
      </c>
    </row>
    <row r="317" spans="1:5" x14ac:dyDescent="0.25">
      <c r="A317" s="78" t="s">
        <v>392</v>
      </c>
      <c r="B317" t="s">
        <v>348</v>
      </c>
      <c r="C317" s="42">
        <v>60</v>
      </c>
      <c r="E317" t="s">
        <v>357</v>
      </c>
    </row>
    <row r="318" spans="1:5" x14ac:dyDescent="0.25">
      <c r="A318" s="78" t="s">
        <v>393</v>
      </c>
      <c r="B318" t="s">
        <v>348</v>
      </c>
      <c r="C318" s="42">
        <v>60</v>
      </c>
      <c r="E318" t="s">
        <v>359</v>
      </c>
    </row>
    <row r="319" spans="1:5" x14ac:dyDescent="0.25">
      <c r="A319" s="78" t="s">
        <v>394</v>
      </c>
      <c r="B319" t="s">
        <v>348</v>
      </c>
      <c r="C319" s="42">
        <v>60</v>
      </c>
      <c r="E319" t="s">
        <v>361</v>
      </c>
    </row>
    <row r="320" spans="1:5" x14ac:dyDescent="0.25">
      <c r="A320" s="78" t="s">
        <v>395</v>
      </c>
      <c r="B320" t="s">
        <v>348</v>
      </c>
      <c r="C320" s="42">
        <v>60</v>
      </c>
      <c r="E320" t="s">
        <v>363</v>
      </c>
    </row>
    <row r="321" spans="1:5" x14ac:dyDescent="0.25">
      <c r="A321" s="78" t="s">
        <v>396</v>
      </c>
      <c r="B321" t="s">
        <v>348</v>
      </c>
      <c r="C321" s="42">
        <v>150</v>
      </c>
      <c r="E321" t="s">
        <v>349</v>
      </c>
    </row>
    <row r="322" spans="1:5" x14ac:dyDescent="0.25">
      <c r="A322" s="78" t="s">
        <v>397</v>
      </c>
      <c r="B322" t="s">
        <v>348</v>
      </c>
      <c r="C322" s="42">
        <v>150</v>
      </c>
      <c r="E322" t="s">
        <v>357</v>
      </c>
    </row>
    <row r="323" spans="1:5" x14ac:dyDescent="0.25">
      <c r="A323" s="78" t="s">
        <v>398</v>
      </c>
      <c r="B323" t="s">
        <v>331</v>
      </c>
      <c r="C323" s="42">
        <v>230</v>
      </c>
      <c r="E323" t="s">
        <v>399</v>
      </c>
    </row>
    <row r="324" spans="1:5" x14ac:dyDescent="0.25">
      <c r="A324" s="78" t="s">
        <v>400</v>
      </c>
      <c r="B324" t="s">
        <v>331</v>
      </c>
      <c r="C324" s="42">
        <v>230</v>
      </c>
      <c r="E324" t="s">
        <v>401</v>
      </c>
    </row>
    <row r="325" spans="1:5" x14ac:dyDescent="0.25">
      <c r="A325" s="78" t="s">
        <v>402</v>
      </c>
      <c r="B325" t="s">
        <v>331</v>
      </c>
      <c r="C325" s="42">
        <v>330</v>
      </c>
      <c r="E325" t="s">
        <v>403</v>
      </c>
    </row>
    <row r="326" spans="1:5" x14ac:dyDescent="0.25">
      <c r="A326" s="78" t="s">
        <v>404</v>
      </c>
      <c r="B326" t="s">
        <v>331</v>
      </c>
      <c r="C326" s="42">
        <v>230</v>
      </c>
      <c r="E326" t="s">
        <v>405</v>
      </c>
    </row>
    <row r="327" spans="1:5" x14ac:dyDescent="0.25">
      <c r="A327" s="78" t="s">
        <v>406</v>
      </c>
      <c r="B327" t="s">
        <v>331</v>
      </c>
      <c r="C327" s="42">
        <v>230</v>
      </c>
      <c r="E327" t="s">
        <v>407</v>
      </c>
    </row>
    <row r="328" spans="1:5" x14ac:dyDescent="0.25">
      <c r="A328" s="78" t="s">
        <v>408</v>
      </c>
      <c r="B328" t="s">
        <v>331</v>
      </c>
      <c r="C328" s="42">
        <v>330</v>
      </c>
      <c r="E328" t="s">
        <v>409</v>
      </c>
    </row>
    <row r="329" spans="1:5" x14ac:dyDescent="0.25">
      <c r="A329" s="78" t="s">
        <v>410</v>
      </c>
      <c r="B329" t="s">
        <v>331</v>
      </c>
      <c r="C329" s="42">
        <v>210</v>
      </c>
      <c r="E329" t="s">
        <v>411</v>
      </c>
    </row>
    <row r="330" spans="1:5" x14ac:dyDescent="0.25">
      <c r="A330" s="78" t="s">
        <v>412</v>
      </c>
      <c r="B330" t="s">
        <v>331</v>
      </c>
      <c r="C330" s="42">
        <v>210</v>
      </c>
      <c r="E330" t="s">
        <v>413</v>
      </c>
    </row>
    <row r="331" spans="1:5" x14ac:dyDescent="0.25">
      <c r="A331" s="78" t="s">
        <v>414</v>
      </c>
      <c r="B331" t="s">
        <v>331</v>
      </c>
      <c r="C331" s="42">
        <v>310</v>
      </c>
      <c r="E331" t="s">
        <v>415</v>
      </c>
    </row>
    <row r="332" spans="1:5" x14ac:dyDescent="0.25">
      <c r="A332" s="78" t="s">
        <v>416</v>
      </c>
      <c r="B332" t="s">
        <v>331</v>
      </c>
      <c r="C332" s="42">
        <v>210</v>
      </c>
      <c r="E332" t="s">
        <v>417</v>
      </c>
    </row>
    <row r="333" spans="1:5" x14ac:dyDescent="0.25">
      <c r="A333" s="78" t="s">
        <v>418</v>
      </c>
      <c r="B333" t="s">
        <v>331</v>
      </c>
      <c r="C333" s="42">
        <v>210</v>
      </c>
      <c r="E333" t="s">
        <v>419</v>
      </c>
    </row>
    <row r="334" spans="1:5" x14ac:dyDescent="0.25">
      <c r="A334" s="78" t="s">
        <v>420</v>
      </c>
      <c r="B334" t="s">
        <v>331</v>
      </c>
      <c r="C334" s="42">
        <v>310</v>
      </c>
      <c r="E334" t="s">
        <v>421</v>
      </c>
    </row>
    <row r="335" spans="1:5" x14ac:dyDescent="0.25">
      <c r="A335" s="78" t="s">
        <v>422</v>
      </c>
      <c r="B335" t="s">
        <v>331</v>
      </c>
      <c r="C335" s="42">
        <v>230</v>
      </c>
      <c r="E335" t="s">
        <v>423</v>
      </c>
    </row>
    <row r="336" spans="1:5" x14ac:dyDescent="0.25">
      <c r="A336" s="78" t="s">
        <v>424</v>
      </c>
      <c r="B336" t="s">
        <v>331</v>
      </c>
      <c r="C336" s="42">
        <v>230</v>
      </c>
      <c r="E336" t="s">
        <v>425</v>
      </c>
    </row>
    <row r="337" spans="1:5" x14ac:dyDescent="0.25">
      <c r="A337" s="78" t="s">
        <v>426</v>
      </c>
      <c r="B337" t="s">
        <v>331</v>
      </c>
      <c r="C337" s="42">
        <v>330</v>
      </c>
      <c r="E337" t="s">
        <v>427</v>
      </c>
    </row>
    <row r="338" spans="1:5" x14ac:dyDescent="0.25">
      <c r="A338" s="78" t="s">
        <v>428</v>
      </c>
      <c r="B338" t="s">
        <v>331</v>
      </c>
      <c r="C338" s="42">
        <v>230</v>
      </c>
      <c r="E338" t="s">
        <v>429</v>
      </c>
    </row>
    <row r="339" spans="1:5" x14ac:dyDescent="0.25">
      <c r="A339" s="78" t="s">
        <v>430</v>
      </c>
      <c r="B339" t="s">
        <v>331</v>
      </c>
      <c r="C339" s="42">
        <v>230</v>
      </c>
      <c r="E339" t="s">
        <v>431</v>
      </c>
    </row>
    <row r="340" spans="1:5" x14ac:dyDescent="0.25">
      <c r="A340" s="78" t="s">
        <v>432</v>
      </c>
      <c r="B340" t="s">
        <v>331</v>
      </c>
      <c r="C340" s="42">
        <v>330</v>
      </c>
      <c r="E340" t="s">
        <v>433</v>
      </c>
    </row>
    <row r="341" spans="1:5" x14ac:dyDescent="0.25">
      <c r="A341" s="78" t="s">
        <v>434</v>
      </c>
      <c r="B341" t="s">
        <v>331</v>
      </c>
      <c r="C341" s="42">
        <v>210</v>
      </c>
      <c r="E341" t="s">
        <v>340</v>
      </c>
    </row>
    <row r="342" spans="1:5" x14ac:dyDescent="0.25">
      <c r="A342" s="78" t="s">
        <v>435</v>
      </c>
      <c r="B342" t="s">
        <v>331</v>
      </c>
      <c r="C342" s="42">
        <v>210</v>
      </c>
      <c r="E342" t="s">
        <v>342</v>
      </c>
    </row>
    <row r="343" spans="1:5" x14ac:dyDescent="0.25">
      <c r="A343" s="78" t="s">
        <v>436</v>
      </c>
      <c r="B343" t="s">
        <v>331</v>
      </c>
      <c r="C343" s="42">
        <v>310</v>
      </c>
      <c r="E343" t="s">
        <v>437</v>
      </c>
    </row>
    <row r="344" spans="1:5" x14ac:dyDescent="0.25">
      <c r="A344" s="78" t="s">
        <v>438</v>
      </c>
      <c r="B344" t="s">
        <v>331</v>
      </c>
      <c r="C344" s="42">
        <v>210</v>
      </c>
      <c r="E344" t="s">
        <v>439</v>
      </c>
    </row>
    <row r="345" spans="1:5" x14ac:dyDescent="0.25">
      <c r="A345" s="78" t="s">
        <v>440</v>
      </c>
      <c r="B345" t="s">
        <v>331</v>
      </c>
      <c r="C345" s="42">
        <v>210</v>
      </c>
      <c r="E345" t="s">
        <v>441</v>
      </c>
    </row>
    <row r="346" spans="1:5" x14ac:dyDescent="0.25">
      <c r="A346" s="78" t="s">
        <v>442</v>
      </c>
      <c r="B346" t="s">
        <v>331</v>
      </c>
      <c r="C346" s="42">
        <v>310</v>
      </c>
      <c r="E346" t="s">
        <v>443</v>
      </c>
    </row>
    <row r="347" spans="1:5" x14ac:dyDescent="0.25">
      <c r="A347" s="78" t="s">
        <v>444</v>
      </c>
      <c r="B347" t="s">
        <v>331</v>
      </c>
      <c r="C347" s="42">
        <v>500</v>
      </c>
      <c r="E347" t="s">
        <v>399</v>
      </c>
    </row>
    <row r="348" spans="1:5" x14ac:dyDescent="0.25">
      <c r="A348" s="78" t="s">
        <v>445</v>
      </c>
      <c r="B348" t="s">
        <v>331</v>
      </c>
      <c r="C348" s="42">
        <v>500</v>
      </c>
      <c r="E348" t="s">
        <v>401</v>
      </c>
    </row>
    <row r="349" spans="1:5" x14ac:dyDescent="0.25">
      <c r="A349" s="78" t="s">
        <v>446</v>
      </c>
      <c r="B349" t="s">
        <v>331</v>
      </c>
      <c r="C349" s="42">
        <v>600</v>
      </c>
      <c r="E349" t="s">
        <v>403</v>
      </c>
    </row>
    <row r="350" spans="1:5" x14ac:dyDescent="0.25">
      <c r="A350" s="78" t="s">
        <v>447</v>
      </c>
      <c r="B350" t="s">
        <v>331</v>
      </c>
      <c r="C350" s="42">
        <v>500</v>
      </c>
      <c r="E350" t="s">
        <v>405</v>
      </c>
    </row>
    <row r="351" spans="1:5" x14ac:dyDescent="0.25">
      <c r="A351" s="78" t="s">
        <v>448</v>
      </c>
      <c r="B351" t="s">
        <v>331</v>
      </c>
      <c r="C351" s="42">
        <v>500</v>
      </c>
      <c r="E351" t="s">
        <v>407</v>
      </c>
    </row>
    <row r="352" spans="1:5" x14ac:dyDescent="0.25">
      <c r="A352" s="78" t="s">
        <v>449</v>
      </c>
      <c r="B352" t="s">
        <v>331</v>
      </c>
      <c r="C352" s="42">
        <v>600</v>
      </c>
      <c r="E352" t="s">
        <v>409</v>
      </c>
    </row>
    <row r="353" spans="1:5" x14ac:dyDescent="0.25">
      <c r="A353" s="78" t="s">
        <v>450</v>
      </c>
      <c r="B353" t="s">
        <v>331</v>
      </c>
      <c r="C353" s="42">
        <v>470</v>
      </c>
      <c r="E353" t="s">
        <v>411</v>
      </c>
    </row>
    <row r="354" spans="1:5" x14ac:dyDescent="0.25">
      <c r="A354" s="78" t="s">
        <v>451</v>
      </c>
      <c r="B354" t="s">
        <v>331</v>
      </c>
      <c r="C354" s="42">
        <v>470</v>
      </c>
      <c r="E354" t="s">
        <v>413</v>
      </c>
    </row>
    <row r="355" spans="1:5" x14ac:dyDescent="0.25">
      <c r="A355" s="78" t="s">
        <v>452</v>
      </c>
      <c r="B355" t="s">
        <v>331</v>
      </c>
      <c r="C355" s="42">
        <v>570</v>
      </c>
      <c r="E355" t="s">
        <v>415</v>
      </c>
    </row>
    <row r="356" spans="1:5" x14ac:dyDescent="0.25">
      <c r="A356" s="78" t="s">
        <v>453</v>
      </c>
      <c r="B356" t="s">
        <v>331</v>
      </c>
      <c r="C356" s="42">
        <v>470</v>
      </c>
      <c r="E356" t="s">
        <v>417</v>
      </c>
    </row>
    <row r="357" spans="1:5" x14ac:dyDescent="0.25">
      <c r="A357" s="78" t="s">
        <v>454</v>
      </c>
      <c r="B357" t="s">
        <v>331</v>
      </c>
      <c r="C357" s="42">
        <v>470</v>
      </c>
      <c r="E357" t="s">
        <v>419</v>
      </c>
    </row>
    <row r="358" spans="1:5" x14ac:dyDescent="0.25">
      <c r="A358" s="78" t="s">
        <v>455</v>
      </c>
      <c r="B358" t="s">
        <v>331</v>
      </c>
      <c r="C358" s="42">
        <v>570</v>
      </c>
      <c r="E358" t="s">
        <v>421</v>
      </c>
    </row>
    <row r="359" spans="1:5" x14ac:dyDescent="0.25">
      <c r="A359" s="78" t="s">
        <v>456</v>
      </c>
      <c r="B359" t="s">
        <v>331</v>
      </c>
      <c r="C359" s="42">
        <v>500</v>
      </c>
      <c r="E359" t="s">
        <v>423</v>
      </c>
    </row>
    <row r="360" spans="1:5" x14ac:dyDescent="0.25">
      <c r="A360" s="78" t="s">
        <v>457</v>
      </c>
      <c r="B360" t="s">
        <v>331</v>
      </c>
      <c r="C360" s="42">
        <v>500</v>
      </c>
      <c r="E360" t="s">
        <v>425</v>
      </c>
    </row>
    <row r="361" spans="1:5" x14ac:dyDescent="0.25">
      <c r="A361" s="78" t="s">
        <v>458</v>
      </c>
      <c r="B361" t="s">
        <v>331</v>
      </c>
      <c r="C361" s="42">
        <v>600</v>
      </c>
      <c r="E361" t="s">
        <v>427</v>
      </c>
    </row>
    <row r="362" spans="1:5" x14ac:dyDescent="0.25">
      <c r="A362" s="78" t="s">
        <v>459</v>
      </c>
      <c r="B362" t="s">
        <v>331</v>
      </c>
      <c r="C362" s="42">
        <v>500</v>
      </c>
      <c r="E362" t="s">
        <v>429</v>
      </c>
    </row>
    <row r="363" spans="1:5" x14ac:dyDescent="0.25">
      <c r="A363" s="78" t="s">
        <v>460</v>
      </c>
      <c r="B363" t="s">
        <v>331</v>
      </c>
      <c r="C363" s="42">
        <v>500</v>
      </c>
      <c r="E363" t="s">
        <v>431</v>
      </c>
    </row>
    <row r="364" spans="1:5" x14ac:dyDescent="0.25">
      <c r="A364" s="78" t="s">
        <v>461</v>
      </c>
      <c r="B364" t="s">
        <v>331</v>
      </c>
      <c r="C364" s="42">
        <v>600</v>
      </c>
      <c r="E364" t="s">
        <v>433</v>
      </c>
    </row>
    <row r="365" spans="1:5" x14ac:dyDescent="0.25">
      <c r="A365" s="78" t="s">
        <v>462</v>
      </c>
      <c r="B365" t="s">
        <v>331</v>
      </c>
      <c r="C365" s="42">
        <v>470</v>
      </c>
      <c r="E365" t="s">
        <v>340</v>
      </c>
    </row>
    <row r="366" spans="1:5" x14ac:dyDescent="0.25">
      <c r="A366" s="78" t="s">
        <v>463</v>
      </c>
      <c r="B366" t="s">
        <v>331</v>
      </c>
      <c r="C366" s="42">
        <v>470</v>
      </c>
      <c r="E366" t="s">
        <v>342</v>
      </c>
    </row>
    <row r="367" spans="1:5" x14ac:dyDescent="0.25">
      <c r="A367" s="78" t="s">
        <v>464</v>
      </c>
      <c r="B367" t="s">
        <v>331</v>
      </c>
      <c r="C367" s="42">
        <v>570</v>
      </c>
      <c r="E367" t="s">
        <v>437</v>
      </c>
    </row>
    <row r="368" spans="1:5" x14ac:dyDescent="0.25">
      <c r="A368" s="78" t="s">
        <v>465</v>
      </c>
      <c r="B368" t="s">
        <v>331</v>
      </c>
      <c r="C368" s="42">
        <v>470</v>
      </c>
      <c r="E368" t="s">
        <v>439</v>
      </c>
    </row>
    <row r="369" spans="1:5" x14ac:dyDescent="0.25">
      <c r="A369" s="78" t="s">
        <v>466</v>
      </c>
      <c r="B369" t="s">
        <v>331</v>
      </c>
      <c r="C369" s="42">
        <v>470</v>
      </c>
      <c r="E369" t="s">
        <v>441</v>
      </c>
    </row>
    <row r="370" spans="1:5" x14ac:dyDescent="0.25">
      <c r="A370" s="78" t="s">
        <v>467</v>
      </c>
      <c r="B370" t="s">
        <v>331</v>
      </c>
      <c r="C370" s="42">
        <v>570</v>
      </c>
      <c r="E370" t="s">
        <v>443</v>
      </c>
    </row>
    <row r="371" spans="1:5" x14ac:dyDescent="0.25">
      <c r="A371" s="79" t="s">
        <v>468</v>
      </c>
      <c r="B371" t="s">
        <v>331</v>
      </c>
      <c r="C371" s="42">
        <v>230</v>
      </c>
      <c r="E371" t="s">
        <v>469</v>
      </c>
    </row>
    <row r="372" spans="1:5" x14ac:dyDescent="0.25">
      <c r="A372" s="79" t="s">
        <v>470</v>
      </c>
      <c r="B372" t="s">
        <v>331</v>
      </c>
      <c r="C372" s="42">
        <v>230</v>
      </c>
      <c r="E372" t="s">
        <v>471</v>
      </c>
    </row>
    <row r="373" spans="1:5" x14ac:dyDescent="0.25">
      <c r="A373" s="79" t="s">
        <v>472</v>
      </c>
      <c r="B373" t="s">
        <v>331</v>
      </c>
      <c r="C373" s="42">
        <v>330</v>
      </c>
      <c r="E373" t="s">
        <v>473</v>
      </c>
    </row>
    <row r="374" spans="1:5" x14ac:dyDescent="0.25">
      <c r="A374" s="79" t="s">
        <v>474</v>
      </c>
      <c r="B374" t="s">
        <v>331</v>
      </c>
      <c r="C374" s="42">
        <v>330</v>
      </c>
      <c r="E374" t="s">
        <v>475</v>
      </c>
    </row>
    <row r="375" spans="1:5" x14ac:dyDescent="0.25">
      <c r="A375" s="79" t="s">
        <v>476</v>
      </c>
      <c r="B375" t="s">
        <v>331</v>
      </c>
      <c r="C375" s="42">
        <v>230</v>
      </c>
      <c r="E375" t="s">
        <v>477</v>
      </c>
    </row>
    <row r="376" spans="1:5" x14ac:dyDescent="0.25">
      <c r="A376" s="79" t="s">
        <v>478</v>
      </c>
      <c r="B376" t="s">
        <v>331</v>
      </c>
      <c r="C376" s="42">
        <v>230</v>
      </c>
      <c r="E376" t="s">
        <v>479</v>
      </c>
    </row>
    <row r="377" spans="1:5" x14ac:dyDescent="0.25">
      <c r="A377" s="79" t="s">
        <v>480</v>
      </c>
      <c r="B377" t="s">
        <v>331</v>
      </c>
      <c r="C377" s="42">
        <v>230</v>
      </c>
      <c r="E377" t="s">
        <v>481</v>
      </c>
    </row>
    <row r="378" spans="1:5" x14ac:dyDescent="0.25">
      <c r="A378" s="79" t="s">
        <v>482</v>
      </c>
      <c r="B378" t="s">
        <v>331</v>
      </c>
      <c r="C378" s="42">
        <v>230</v>
      </c>
      <c r="E378" t="s">
        <v>483</v>
      </c>
    </row>
    <row r="379" spans="1:5" x14ac:dyDescent="0.25">
      <c r="A379" s="79" t="s">
        <v>484</v>
      </c>
      <c r="B379" t="s">
        <v>331</v>
      </c>
      <c r="C379" s="42">
        <v>230</v>
      </c>
      <c r="E379" t="s">
        <v>483</v>
      </c>
    </row>
    <row r="380" spans="1:5" x14ac:dyDescent="0.25">
      <c r="A380" s="79" t="s">
        <v>485</v>
      </c>
      <c r="B380" t="s">
        <v>331</v>
      </c>
      <c r="C380" s="42">
        <v>330</v>
      </c>
      <c r="E380" t="s">
        <v>473</v>
      </c>
    </row>
    <row r="381" spans="1:5" x14ac:dyDescent="0.25">
      <c r="A381" s="79" t="s">
        <v>486</v>
      </c>
      <c r="B381" t="s">
        <v>331</v>
      </c>
      <c r="C381" s="42">
        <v>330</v>
      </c>
      <c r="E381" t="s">
        <v>487</v>
      </c>
    </row>
    <row r="382" spans="1:5" x14ac:dyDescent="0.25">
      <c r="A382" s="79" t="s">
        <v>488</v>
      </c>
      <c r="B382" t="s">
        <v>331</v>
      </c>
      <c r="C382" s="42">
        <v>230</v>
      </c>
      <c r="E382" t="s">
        <v>489</v>
      </c>
    </row>
    <row r="383" spans="1:5" x14ac:dyDescent="0.25">
      <c r="A383" s="79" t="s">
        <v>490</v>
      </c>
      <c r="B383" t="s">
        <v>331</v>
      </c>
      <c r="C383" s="42">
        <v>230</v>
      </c>
      <c r="E383" t="s">
        <v>491</v>
      </c>
    </row>
    <row r="384" spans="1:5" x14ac:dyDescent="0.25">
      <c r="A384" s="79" t="s">
        <v>492</v>
      </c>
      <c r="B384" t="s">
        <v>331</v>
      </c>
      <c r="C384" s="42">
        <v>330</v>
      </c>
      <c r="E384" t="s">
        <v>493</v>
      </c>
    </row>
    <row r="385" spans="1:5" x14ac:dyDescent="0.25">
      <c r="A385" s="79" t="s">
        <v>494</v>
      </c>
      <c r="B385" t="s">
        <v>331</v>
      </c>
      <c r="C385" s="42">
        <v>230</v>
      </c>
      <c r="E385" t="s">
        <v>495</v>
      </c>
    </row>
    <row r="386" spans="1:5" x14ac:dyDescent="0.25">
      <c r="A386" s="79" t="s">
        <v>496</v>
      </c>
      <c r="B386" t="s">
        <v>331</v>
      </c>
      <c r="C386" s="42">
        <v>230</v>
      </c>
      <c r="E386" t="s">
        <v>497</v>
      </c>
    </row>
    <row r="387" spans="1:5" x14ac:dyDescent="0.25">
      <c r="A387" s="79" t="s">
        <v>498</v>
      </c>
      <c r="B387" t="s">
        <v>331</v>
      </c>
      <c r="C387" s="42">
        <v>330</v>
      </c>
      <c r="E387" t="s">
        <v>499</v>
      </c>
    </row>
    <row r="388" spans="1:5" x14ac:dyDescent="0.25">
      <c r="A388" s="79" t="s">
        <v>500</v>
      </c>
      <c r="B388" t="s">
        <v>331</v>
      </c>
      <c r="C388" s="42">
        <v>330</v>
      </c>
      <c r="E388" t="s">
        <v>501</v>
      </c>
    </row>
    <row r="389" spans="1:5" x14ac:dyDescent="0.25">
      <c r="A389" s="79" t="s">
        <v>502</v>
      </c>
      <c r="B389" t="s">
        <v>331</v>
      </c>
      <c r="C389" s="42">
        <v>230</v>
      </c>
      <c r="E389" t="s">
        <v>477</v>
      </c>
    </row>
    <row r="390" spans="1:5" x14ac:dyDescent="0.25">
      <c r="A390" s="79" t="s">
        <v>503</v>
      </c>
      <c r="B390" t="s">
        <v>331</v>
      </c>
      <c r="C390" s="42">
        <v>230</v>
      </c>
      <c r="E390" t="s">
        <v>479</v>
      </c>
    </row>
    <row r="391" spans="1:5" x14ac:dyDescent="0.25">
      <c r="A391" s="79" t="s">
        <v>504</v>
      </c>
      <c r="B391" t="s">
        <v>331</v>
      </c>
      <c r="C391" s="42">
        <v>330</v>
      </c>
      <c r="E391" t="s">
        <v>493</v>
      </c>
    </row>
    <row r="392" spans="1:5" x14ac:dyDescent="0.25">
      <c r="A392" s="79" t="s">
        <v>505</v>
      </c>
      <c r="B392" t="s">
        <v>331</v>
      </c>
      <c r="C392" s="42">
        <v>230</v>
      </c>
      <c r="E392" t="s">
        <v>506</v>
      </c>
    </row>
    <row r="393" spans="1:5" x14ac:dyDescent="0.25">
      <c r="A393" s="79" t="s">
        <v>507</v>
      </c>
      <c r="B393" t="s">
        <v>331</v>
      </c>
      <c r="C393" s="42">
        <v>230</v>
      </c>
      <c r="E393" t="s">
        <v>508</v>
      </c>
    </row>
    <row r="394" spans="1:5" x14ac:dyDescent="0.25">
      <c r="A394" s="79" t="s">
        <v>509</v>
      </c>
      <c r="B394" t="s">
        <v>331</v>
      </c>
      <c r="C394" s="42">
        <v>330</v>
      </c>
      <c r="E394" t="s">
        <v>510</v>
      </c>
    </row>
    <row r="395" spans="1:5" x14ac:dyDescent="0.25">
      <c r="A395" s="79" t="s">
        <v>511</v>
      </c>
      <c r="B395" t="s">
        <v>331</v>
      </c>
      <c r="C395" s="42">
        <v>330</v>
      </c>
      <c r="E395" t="s">
        <v>510</v>
      </c>
    </row>
    <row r="396" spans="1:5" x14ac:dyDescent="0.25">
      <c r="A396" s="79" t="s">
        <v>512</v>
      </c>
      <c r="B396" t="s">
        <v>331</v>
      </c>
      <c r="C396" s="42">
        <v>230</v>
      </c>
      <c r="E396" t="s">
        <v>489</v>
      </c>
    </row>
    <row r="397" spans="1:5" x14ac:dyDescent="0.25">
      <c r="A397" s="79" t="s">
        <v>513</v>
      </c>
      <c r="B397" t="s">
        <v>331</v>
      </c>
      <c r="C397" s="42">
        <v>230</v>
      </c>
      <c r="E397" t="s">
        <v>489</v>
      </c>
    </row>
    <row r="398" spans="1:5" x14ac:dyDescent="0.25">
      <c r="A398" s="79" t="s">
        <v>514</v>
      </c>
      <c r="B398" t="s">
        <v>331</v>
      </c>
      <c r="C398" s="42">
        <v>330</v>
      </c>
      <c r="E398" t="s">
        <v>493</v>
      </c>
    </row>
    <row r="399" spans="1:5" x14ac:dyDescent="0.25">
      <c r="A399" s="79" t="s">
        <v>515</v>
      </c>
      <c r="B399" t="s">
        <v>331</v>
      </c>
      <c r="C399" s="42">
        <v>130</v>
      </c>
      <c r="E399" t="s">
        <v>516</v>
      </c>
    </row>
    <row r="400" spans="1:5" x14ac:dyDescent="0.25">
      <c r="A400" s="79" t="s">
        <v>517</v>
      </c>
      <c r="B400" t="s">
        <v>331</v>
      </c>
      <c r="C400" s="42">
        <v>130</v>
      </c>
      <c r="E400" t="s">
        <v>518</v>
      </c>
    </row>
    <row r="401" spans="1:5" x14ac:dyDescent="0.25">
      <c r="A401" s="79" t="s">
        <v>519</v>
      </c>
      <c r="B401" t="s">
        <v>331</v>
      </c>
      <c r="C401" s="42">
        <v>230</v>
      </c>
      <c r="E401" t="s">
        <v>520</v>
      </c>
    </row>
    <row r="402" spans="1:5" x14ac:dyDescent="0.25">
      <c r="A402" s="79" t="s">
        <v>521</v>
      </c>
      <c r="B402" t="s">
        <v>331</v>
      </c>
      <c r="C402" s="42">
        <v>230</v>
      </c>
      <c r="E402" t="s">
        <v>522</v>
      </c>
    </row>
    <row r="403" spans="1:5" x14ac:dyDescent="0.25">
      <c r="A403" s="79" t="s">
        <v>523</v>
      </c>
      <c r="B403" t="s">
        <v>331</v>
      </c>
      <c r="C403" s="42">
        <v>130</v>
      </c>
      <c r="E403" t="s">
        <v>524</v>
      </c>
    </row>
    <row r="404" spans="1:5" x14ac:dyDescent="0.25">
      <c r="A404" s="79" t="s">
        <v>525</v>
      </c>
      <c r="B404" t="s">
        <v>331</v>
      </c>
      <c r="C404" s="42">
        <v>130</v>
      </c>
      <c r="E404" t="s">
        <v>526</v>
      </c>
    </row>
    <row r="405" spans="1:5" x14ac:dyDescent="0.25">
      <c r="A405" s="79" t="s">
        <v>527</v>
      </c>
      <c r="B405" t="s">
        <v>331</v>
      </c>
      <c r="C405" s="42">
        <v>230</v>
      </c>
      <c r="E405" t="s">
        <v>528</v>
      </c>
    </row>
    <row r="406" spans="1:5" x14ac:dyDescent="0.25">
      <c r="A406" s="79" t="s">
        <v>529</v>
      </c>
      <c r="B406" t="s">
        <v>331</v>
      </c>
      <c r="C406" s="42">
        <v>130</v>
      </c>
      <c r="E406" t="s">
        <v>530</v>
      </c>
    </row>
    <row r="407" spans="1:5" x14ac:dyDescent="0.25">
      <c r="A407" s="79" t="s">
        <v>531</v>
      </c>
      <c r="B407" t="s">
        <v>331</v>
      </c>
      <c r="C407" s="42">
        <v>130</v>
      </c>
      <c r="E407" t="s">
        <v>532</v>
      </c>
    </row>
    <row r="408" spans="1:5" x14ac:dyDescent="0.25">
      <c r="A408" s="79" t="s">
        <v>533</v>
      </c>
      <c r="B408" t="s">
        <v>331</v>
      </c>
      <c r="C408" s="42">
        <v>230</v>
      </c>
      <c r="E408" t="s">
        <v>534</v>
      </c>
    </row>
    <row r="409" spans="1:5" x14ac:dyDescent="0.25">
      <c r="A409" s="79" t="s">
        <v>535</v>
      </c>
      <c r="B409" t="s">
        <v>331</v>
      </c>
      <c r="C409" s="42">
        <v>230</v>
      </c>
      <c r="E409" t="s">
        <v>536</v>
      </c>
    </row>
    <row r="410" spans="1:5" x14ac:dyDescent="0.25">
      <c r="A410" s="79" t="s">
        <v>537</v>
      </c>
      <c r="B410" t="s">
        <v>331</v>
      </c>
      <c r="C410" s="42">
        <v>130</v>
      </c>
      <c r="E410" t="s">
        <v>489</v>
      </c>
    </row>
    <row r="411" spans="1:5" x14ac:dyDescent="0.25">
      <c r="A411" s="79" t="s">
        <v>538</v>
      </c>
      <c r="B411" t="s">
        <v>331</v>
      </c>
      <c r="C411" s="42">
        <v>130</v>
      </c>
      <c r="E411" t="s">
        <v>539</v>
      </c>
    </row>
    <row r="412" spans="1:5" x14ac:dyDescent="0.25">
      <c r="A412" s="79" t="s">
        <v>540</v>
      </c>
      <c r="B412" t="s">
        <v>331</v>
      </c>
      <c r="C412" s="42">
        <v>230</v>
      </c>
      <c r="E412" t="s">
        <v>541</v>
      </c>
    </row>
    <row r="413" spans="1:5" x14ac:dyDescent="0.25">
      <c r="A413" s="78" t="s">
        <v>542</v>
      </c>
      <c r="B413" t="s">
        <v>331</v>
      </c>
      <c r="C413" s="42">
        <v>230</v>
      </c>
      <c r="E413" t="s">
        <v>399</v>
      </c>
    </row>
    <row r="414" spans="1:5" x14ac:dyDescent="0.25">
      <c r="A414" s="78" t="s">
        <v>543</v>
      </c>
      <c r="B414" t="s">
        <v>331</v>
      </c>
      <c r="C414" s="42">
        <v>230</v>
      </c>
      <c r="E414" t="s">
        <v>401</v>
      </c>
    </row>
    <row r="415" spans="1:5" x14ac:dyDescent="0.25">
      <c r="A415" s="78" t="s">
        <v>544</v>
      </c>
      <c r="B415" t="s">
        <v>331</v>
      </c>
      <c r="C415" s="42">
        <v>330</v>
      </c>
      <c r="E415" t="s">
        <v>403</v>
      </c>
    </row>
    <row r="416" spans="1:5" x14ac:dyDescent="0.25">
      <c r="A416" s="78" t="s">
        <v>545</v>
      </c>
      <c r="B416" t="s">
        <v>331</v>
      </c>
      <c r="C416" s="42">
        <v>230</v>
      </c>
      <c r="E416" t="s">
        <v>405</v>
      </c>
    </row>
    <row r="417" spans="1:5" x14ac:dyDescent="0.25">
      <c r="A417" s="78" t="s">
        <v>546</v>
      </c>
      <c r="B417" t="s">
        <v>331</v>
      </c>
      <c r="C417" s="42">
        <v>230</v>
      </c>
      <c r="E417" t="s">
        <v>407</v>
      </c>
    </row>
    <row r="418" spans="1:5" x14ac:dyDescent="0.25">
      <c r="A418" s="78" t="s">
        <v>547</v>
      </c>
      <c r="B418" t="s">
        <v>331</v>
      </c>
      <c r="C418" s="42">
        <v>330</v>
      </c>
      <c r="E418" t="s">
        <v>409</v>
      </c>
    </row>
    <row r="419" spans="1:5" x14ac:dyDescent="0.25">
      <c r="A419" s="78" t="s">
        <v>548</v>
      </c>
      <c r="B419" t="s">
        <v>331</v>
      </c>
      <c r="C419" s="42">
        <v>210</v>
      </c>
      <c r="E419" t="s">
        <v>411</v>
      </c>
    </row>
    <row r="420" spans="1:5" x14ac:dyDescent="0.25">
      <c r="A420" s="78" t="s">
        <v>549</v>
      </c>
      <c r="B420" t="s">
        <v>331</v>
      </c>
      <c r="C420" s="42">
        <v>230</v>
      </c>
      <c r="E420" t="s">
        <v>413</v>
      </c>
    </row>
    <row r="421" spans="1:5" x14ac:dyDescent="0.25">
      <c r="A421" s="78" t="s">
        <v>550</v>
      </c>
      <c r="B421" t="s">
        <v>331</v>
      </c>
      <c r="C421" s="42">
        <v>330</v>
      </c>
      <c r="E421" t="s">
        <v>415</v>
      </c>
    </row>
    <row r="422" spans="1:5" x14ac:dyDescent="0.25">
      <c r="A422" s="78" t="s">
        <v>551</v>
      </c>
      <c r="B422" t="s">
        <v>331</v>
      </c>
      <c r="C422" s="42">
        <v>230</v>
      </c>
      <c r="E422" t="s">
        <v>417</v>
      </c>
    </row>
    <row r="423" spans="1:5" x14ac:dyDescent="0.25">
      <c r="A423" s="78" t="s">
        <v>552</v>
      </c>
      <c r="B423" t="s">
        <v>331</v>
      </c>
      <c r="C423" s="42">
        <v>230</v>
      </c>
      <c r="E423" t="s">
        <v>419</v>
      </c>
    </row>
    <row r="424" spans="1:5" x14ac:dyDescent="0.25">
      <c r="A424" s="78" t="s">
        <v>553</v>
      </c>
      <c r="B424" t="s">
        <v>331</v>
      </c>
      <c r="C424" s="42">
        <v>330</v>
      </c>
      <c r="E424" t="s">
        <v>421</v>
      </c>
    </row>
    <row r="425" spans="1:5" x14ac:dyDescent="0.25">
      <c r="A425" s="78" t="s">
        <v>554</v>
      </c>
      <c r="B425" t="s">
        <v>331</v>
      </c>
      <c r="C425" s="42">
        <v>230</v>
      </c>
      <c r="E425" t="s">
        <v>399</v>
      </c>
    </row>
    <row r="426" spans="1:5" x14ac:dyDescent="0.25">
      <c r="A426" s="78" t="s">
        <v>555</v>
      </c>
      <c r="B426" t="s">
        <v>331</v>
      </c>
      <c r="C426" s="42">
        <v>230</v>
      </c>
      <c r="E426" t="s">
        <v>401</v>
      </c>
    </row>
    <row r="427" spans="1:5" x14ac:dyDescent="0.25">
      <c r="A427" s="78" t="s">
        <v>556</v>
      </c>
      <c r="B427" t="s">
        <v>331</v>
      </c>
      <c r="C427" s="42">
        <v>330</v>
      </c>
      <c r="E427" t="s">
        <v>403</v>
      </c>
    </row>
    <row r="428" spans="1:5" x14ac:dyDescent="0.25">
      <c r="A428" s="78" t="s">
        <v>557</v>
      </c>
      <c r="B428" t="s">
        <v>331</v>
      </c>
      <c r="C428" s="42">
        <v>230</v>
      </c>
      <c r="E428" t="s">
        <v>405</v>
      </c>
    </row>
    <row r="429" spans="1:5" x14ac:dyDescent="0.25">
      <c r="A429" s="78" t="s">
        <v>558</v>
      </c>
      <c r="B429" t="s">
        <v>331</v>
      </c>
      <c r="C429" s="42">
        <v>230</v>
      </c>
      <c r="E429" t="s">
        <v>407</v>
      </c>
    </row>
    <row r="430" spans="1:5" x14ac:dyDescent="0.25">
      <c r="A430" s="78" t="s">
        <v>559</v>
      </c>
      <c r="B430" t="s">
        <v>331</v>
      </c>
      <c r="C430" s="42">
        <v>330</v>
      </c>
      <c r="E430" t="s">
        <v>409</v>
      </c>
    </row>
    <row r="431" spans="1:5" x14ac:dyDescent="0.25">
      <c r="A431" s="78" t="s">
        <v>560</v>
      </c>
      <c r="B431" t="s">
        <v>331</v>
      </c>
      <c r="C431" s="42">
        <v>210</v>
      </c>
      <c r="E431" t="s">
        <v>411</v>
      </c>
    </row>
    <row r="432" spans="1:5" x14ac:dyDescent="0.25">
      <c r="A432" s="78" t="s">
        <v>561</v>
      </c>
      <c r="B432" t="s">
        <v>331</v>
      </c>
      <c r="C432" s="42">
        <v>230</v>
      </c>
      <c r="E432" t="s">
        <v>413</v>
      </c>
    </row>
    <row r="433" spans="1:5" x14ac:dyDescent="0.25">
      <c r="A433" s="78" t="s">
        <v>562</v>
      </c>
      <c r="B433" t="s">
        <v>331</v>
      </c>
      <c r="C433" s="42">
        <v>330</v>
      </c>
      <c r="E433" t="s">
        <v>415</v>
      </c>
    </row>
    <row r="434" spans="1:5" x14ac:dyDescent="0.25">
      <c r="A434" s="78" t="s">
        <v>563</v>
      </c>
      <c r="B434" t="s">
        <v>331</v>
      </c>
      <c r="C434" s="42">
        <v>230</v>
      </c>
      <c r="E434" t="s">
        <v>417</v>
      </c>
    </row>
    <row r="435" spans="1:5" x14ac:dyDescent="0.25">
      <c r="A435" s="78" t="s">
        <v>564</v>
      </c>
      <c r="B435" t="s">
        <v>331</v>
      </c>
      <c r="C435" s="42">
        <v>230</v>
      </c>
      <c r="E435" t="s">
        <v>419</v>
      </c>
    </row>
    <row r="436" spans="1:5" x14ac:dyDescent="0.25">
      <c r="A436" s="78" t="s">
        <v>565</v>
      </c>
      <c r="B436" t="s">
        <v>331</v>
      </c>
      <c r="C436" s="42">
        <v>330</v>
      </c>
      <c r="E436" t="s">
        <v>421</v>
      </c>
    </row>
    <row r="437" spans="1:5" x14ac:dyDescent="0.25">
      <c r="A437" s="78" t="s">
        <v>566</v>
      </c>
      <c r="B437" t="s">
        <v>331</v>
      </c>
      <c r="C437" s="42">
        <v>230</v>
      </c>
      <c r="E437" t="s">
        <v>423</v>
      </c>
    </row>
    <row r="438" spans="1:5" x14ac:dyDescent="0.25">
      <c r="A438" s="78" t="s">
        <v>567</v>
      </c>
      <c r="B438" t="s">
        <v>331</v>
      </c>
      <c r="C438" s="42">
        <v>230</v>
      </c>
      <c r="E438" t="s">
        <v>425</v>
      </c>
    </row>
    <row r="439" spans="1:5" x14ac:dyDescent="0.25">
      <c r="A439" s="78" t="s">
        <v>568</v>
      </c>
      <c r="B439" t="s">
        <v>331</v>
      </c>
      <c r="C439" s="42">
        <v>330</v>
      </c>
      <c r="E439" t="s">
        <v>427</v>
      </c>
    </row>
    <row r="440" spans="1:5" x14ac:dyDescent="0.25">
      <c r="A440" s="78" t="s">
        <v>569</v>
      </c>
      <c r="B440" t="s">
        <v>331</v>
      </c>
      <c r="C440" s="42">
        <v>230</v>
      </c>
      <c r="E440" t="s">
        <v>429</v>
      </c>
    </row>
    <row r="441" spans="1:5" x14ac:dyDescent="0.25">
      <c r="A441" s="78" t="s">
        <v>570</v>
      </c>
      <c r="B441" t="s">
        <v>331</v>
      </c>
      <c r="C441" s="42">
        <v>230</v>
      </c>
      <c r="E441" t="s">
        <v>431</v>
      </c>
    </row>
    <row r="442" spans="1:5" x14ac:dyDescent="0.25">
      <c r="A442" s="78" t="s">
        <v>571</v>
      </c>
      <c r="B442" t="s">
        <v>331</v>
      </c>
      <c r="C442" s="42">
        <v>330</v>
      </c>
      <c r="E442" t="s">
        <v>433</v>
      </c>
    </row>
    <row r="443" spans="1:5" x14ac:dyDescent="0.25">
      <c r="A443" s="78" t="s">
        <v>572</v>
      </c>
      <c r="B443" t="s">
        <v>331</v>
      </c>
      <c r="C443" s="42">
        <v>210</v>
      </c>
      <c r="E443" t="s">
        <v>340</v>
      </c>
    </row>
    <row r="444" spans="1:5" x14ac:dyDescent="0.25">
      <c r="A444" s="78" t="s">
        <v>573</v>
      </c>
      <c r="B444" t="s">
        <v>331</v>
      </c>
      <c r="C444" s="42">
        <v>230</v>
      </c>
      <c r="E444" t="s">
        <v>342</v>
      </c>
    </row>
    <row r="445" spans="1:5" x14ac:dyDescent="0.25">
      <c r="A445" s="78" t="s">
        <v>574</v>
      </c>
      <c r="B445" t="s">
        <v>331</v>
      </c>
      <c r="C445" s="42">
        <v>330</v>
      </c>
      <c r="E445" t="s">
        <v>437</v>
      </c>
    </row>
    <row r="446" spans="1:5" x14ac:dyDescent="0.25">
      <c r="A446" s="78" t="s">
        <v>575</v>
      </c>
      <c r="B446" t="s">
        <v>331</v>
      </c>
      <c r="C446" s="42">
        <v>230</v>
      </c>
      <c r="E446" t="s">
        <v>439</v>
      </c>
    </row>
    <row r="447" spans="1:5" x14ac:dyDescent="0.25">
      <c r="A447" s="78" t="s">
        <v>576</v>
      </c>
      <c r="B447" t="s">
        <v>331</v>
      </c>
      <c r="C447" s="42">
        <v>230</v>
      </c>
      <c r="E447" t="s">
        <v>441</v>
      </c>
    </row>
    <row r="448" spans="1:5" x14ac:dyDescent="0.25">
      <c r="A448" s="78" t="s">
        <v>577</v>
      </c>
      <c r="B448" t="s">
        <v>331</v>
      </c>
      <c r="C448" s="42">
        <v>330</v>
      </c>
      <c r="E448" t="s">
        <v>443</v>
      </c>
    </row>
    <row r="449" spans="1:5" x14ac:dyDescent="0.25">
      <c r="A449" s="78" t="s">
        <v>578</v>
      </c>
      <c r="B449" t="s">
        <v>331</v>
      </c>
      <c r="C449" s="42">
        <v>230</v>
      </c>
      <c r="E449" t="s">
        <v>423</v>
      </c>
    </row>
    <row r="450" spans="1:5" x14ac:dyDescent="0.25">
      <c r="A450" s="78" t="s">
        <v>579</v>
      </c>
      <c r="B450" t="s">
        <v>331</v>
      </c>
      <c r="C450" s="42">
        <v>230</v>
      </c>
      <c r="E450" t="s">
        <v>425</v>
      </c>
    </row>
    <row r="451" spans="1:5" x14ac:dyDescent="0.25">
      <c r="A451" s="78" t="s">
        <v>580</v>
      </c>
      <c r="B451" t="s">
        <v>331</v>
      </c>
      <c r="C451" s="42">
        <v>330</v>
      </c>
      <c r="E451" t="s">
        <v>427</v>
      </c>
    </row>
    <row r="452" spans="1:5" x14ac:dyDescent="0.25">
      <c r="A452" s="78" t="s">
        <v>581</v>
      </c>
      <c r="B452" t="s">
        <v>331</v>
      </c>
      <c r="C452" s="42">
        <v>230</v>
      </c>
      <c r="E452" t="s">
        <v>429</v>
      </c>
    </row>
    <row r="453" spans="1:5" x14ac:dyDescent="0.25">
      <c r="A453" s="78" t="s">
        <v>582</v>
      </c>
      <c r="B453" t="s">
        <v>331</v>
      </c>
      <c r="C453" s="42">
        <v>230</v>
      </c>
      <c r="E453" t="s">
        <v>431</v>
      </c>
    </row>
    <row r="454" spans="1:5" x14ac:dyDescent="0.25">
      <c r="A454" s="78" t="s">
        <v>583</v>
      </c>
      <c r="B454" t="s">
        <v>331</v>
      </c>
      <c r="C454" s="42">
        <v>330</v>
      </c>
      <c r="E454" t="s">
        <v>433</v>
      </c>
    </row>
    <row r="455" spans="1:5" x14ac:dyDescent="0.25">
      <c r="A455" s="78" t="s">
        <v>584</v>
      </c>
      <c r="B455" t="s">
        <v>331</v>
      </c>
      <c r="C455" s="42">
        <v>210</v>
      </c>
      <c r="E455" t="s">
        <v>340</v>
      </c>
    </row>
    <row r="456" spans="1:5" x14ac:dyDescent="0.25">
      <c r="A456" s="78" t="s">
        <v>585</v>
      </c>
      <c r="B456" t="s">
        <v>331</v>
      </c>
      <c r="C456" s="42">
        <v>230</v>
      </c>
      <c r="E456" t="s">
        <v>342</v>
      </c>
    </row>
    <row r="457" spans="1:5" x14ac:dyDescent="0.25">
      <c r="A457" s="78" t="s">
        <v>586</v>
      </c>
      <c r="B457" t="s">
        <v>331</v>
      </c>
      <c r="C457" s="42">
        <v>330</v>
      </c>
      <c r="E457" t="s">
        <v>437</v>
      </c>
    </row>
    <row r="458" spans="1:5" x14ac:dyDescent="0.25">
      <c r="A458" s="78" t="s">
        <v>587</v>
      </c>
      <c r="B458" t="s">
        <v>331</v>
      </c>
      <c r="C458" s="42">
        <v>230</v>
      </c>
      <c r="E458" t="s">
        <v>439</v>
      </c>
    </row>
    <row r="459" spans="1:5" x14ac:dyDescent="0.25">
      <c r="A459" s="78" t="s">
        <v>588</v>
      </c>
      <c r="B459" t="s">
        <v>331</v>
      </c>
      <c r="C459" s="42">
        <v>230</v>
      </c>
      <c r="E459" t="s">
        <v>441</v>
      </c>
    </row>
    <row r="460" spans="1:5" x14ac:dyDescent="0.25">
      <c r="A460" s="78" t="s">
        <v>589</v>
      </c>
      <c r="B460" t="s">
        <v>331</v>
      </c>
      <c r="C460" s="42">
        <v>330</v>
      </c>
      <c r="E460" t="s">
        <v>443</v>
      </c>
    </row>
    <row r="461" spans="1:5" x14ac:dyDescent="0.25">
      <c r="A461" s="79" t="s">
        <v>590</v>
      </c>
      <c r="B461" t="s">
        <v>331</v>
      </c>
      <c r="C461" s="42">
        <v>250</v>
      </c>
      <c r="E461" t="e">
        <v>#N/A</v>
      </c>
    </row>
    <row r="462" spans="1:5" x14ac:dyDescent="0.25">
      <c r="A462" s="79" t="s">
        <v>591</v>
      </c>
      <c r="B462" t="s">
        <v>331</v>
      </c>
      <c r="C462" s="42">
        <v>250</v>
      </c>
      <c r="E462" t="e">
        <v>#N/A</v>
      </c>
    </row>
    <row r="463" spans="1:5" x14ac:dyDescent="0.25">
      <c r="A463" s="79" t="s">
        <v>592</v>
      </c>
      <c r="B463" t="s">
        <v>331</v>
      </c>
      <c r="C463" s="42">
        <v>350</v>
      </c>
      <c r="E463" t="s">
        <v>510</v>
      </c>
    </row>
    <row r="464" spans="1:5" x14ac:dyDescent="0.25">
      <c r="A464" s="79" t="s">
        <v>593</v>
      </c>
      <c r="B464" t="s">
        <v>331</v>
      </c>
      <c r="C464" s="42">
        <v>350</v>
      </c>
      <c r="E464" t="s">
        <v>510</v>
      </c>
    </row>
    <row r="465" spans="1:5" x14ac:dyDescent="0.25">
      <c r="A465" s="79" t="s">
        <v>594</v>
      </c>
      <c r="B465" t="s">
        <v>331</v>
      </c>
      <c r="C465" s="42">
        <v>250</v>
      </c>
      <c r="E465" t="e">
        <v>#N/A</v>
      </c>
    </row>
    <row r="466" spans="1:5" x14ac:dyDescent="0.25">
      <c r="A466" s="79" t="s">
        <v>595</v>
      </c>
      <c r="B466" t="s">
        <v>331</v>
      </c>
      <c r="C466" s="42">
        <v>250</v>
      </c>
      <c r="E466" t="e">
        <v>#N/A</v>
      </c>
    </row>
    <row r="467" spans="1:5" x14ac:dyDescent="0.25">
      <c r="A467" s="78" t="s">
        <v>596</v>
      </c>
      <c r="B467" t="s">
        <v>331</v>
      </c>
      <c r="C467" s="42">
        <v>350</v>
      </c>
      <c r="E467" t="s">
        <v>510</v>
      </c>
    </row>
    <row r="468" spans="1:5" x14ac:dyDescent="0.25">
      <c r="A468" s="79" t="s">
        <v>597</v>
      </c>
      <c r="B468" t="s">
        <v>331</v>
      </c>
      <c r="C468" s="42">
        <v>250</v>
      </c>
      <c r="E468" t="e">
        <v>#N/A</v>
      </c>
    </row>
    <row r="469" spans="1:5" x14ac:dyDescent="0.25">
      <c r="A469" s="79" t="s">
        <v>598</v>
      </c>
      <c r="B469" t="s">
        <v>331</v>
      </c>
      <c r="C469" s="42">
        <v>250</v>
      </c>
      <c r="E469" t="e">
        <v>#N/A</v>
      </c>
    </row>
    <row r="470" spans="1:5" x14ac:dyDescent="0.25">
      <c r="A470" s="79" t="s">
        <v>599</v>
      </c>
      <c r="B470" t="s">
        <v>331</v>
      </c>
      <c r="C470" s="42">
        <v>350</v>
      </c>
      <c r="E470" t="s">
        <v>510</v>
      </c>
    </row>
    <row r="471" spans="1:5" x14ac:dyDescent="0.25">
      <c r="A471" s="79" t="s">
        <v>600</v>
      </c>
      <c r="B471" t="s">
        <v>331</v>
      </c>
      <c r="C471" s="42">
        <v>350</v>
      </c>
      <c r="E471" t="s">
        <v>510</v>
      </c>
    </row>
    <row r="472" spans="1:5" x14ac:dyDescent="0.25">
      <c r="A472" s="79" t="s">
        <v>601</v>
      </c>
      <c r="B472" t="s">
        <v>331</v>
      </c>
      <c r="C472" s="42">
        <v>250</v>
      </c>
      <c r="E472" t="e">
        <v>#N/A</v>
      </c>
    </row>
    <row r="473" spans="1:5" x14ac:dyDescent="0.25">
      <c r="A473" s="79" t="s">
        <v>602</v>
      </c>
      <c r="B473" t="s">
        <v>331</v>
      </c>
      <c r="C473" s="42">
        <v>250</v>
      </c>
      <c r="E473" t="e">
        <v>#N/A</v>
      </c>
    </row>
    <row r="474" spans="1:5" x14ac:dyDescent="0.25">
      <c r="A474" s="78" t="s">
        <v>603</v>
      </c>
      <c r="B474" t="s">
        <v>331</v>
      </c>
      <c r="C474" s="42">
        <v>350</v>
      </c>
      <c r="E474" t="s">
        <v>510</v>
      </c>
    </row>
    <row r="475" spans="1:5" x14ac:dyDescent="0.25">
      <c r="A475" s="79" t="s">
        <v>604</v>
      </c>
      <c r="B475" t="s">
        <v>331</v>
      </c>
      <c r="C475" s="42">
        <v>250</v>
      </c>
      <c r="E475" t="s">
        <v>495</v>
      </c>
    </row>
    <row r="476" spans="1:5" x14ac:dyDescent="0.25">
      <c r="A476" s="79" t="s">
        <v>605</v>
      </c>
      <c r="B476" t="s">
        <v>331</v>
      </c>
      <c r="C476" s="42">
        <v>250</v>
      </c>
      <c r="E476" t="s">
        <v>497</v>
      </c>
    </row>
    <row r="477" spans="1:5" x14ac:dyDescent="0.25">
      <c r="A477" s="79" t="s">
        <v>606</v>
      </c>
      <c r="B477" t="s">
        <v>331</v>
      </c>
      <c r="C477" s="42">
        <v>350</v>
      </c>
      <c r="E477" t="s">
        <v>510</v>
      </c>
    </row>
    <row r="478" spans="1:5" x14ac:dyDescent="0.25">
      <c r="A478" s="79" t="s">
        <v>607</v>
      </c>
      <c r="B478" t="s">
        <v>331</v>
      </c>
      <c r="C478" s="42">
        <v>350</v>
      </c>
      <c r="E478" t="s">
        <v>510</v>
      </c>
    </row>
    <row r="479" spans="1:5" x14ac:dyDescent="0.25">
      <c r="A479" s="79" t="s">
        <v>608</v>
      </c>
      <c r="B479" t="s">
        <v>331</v>
      </c>
      <c r="C479" s="42">
        <v>250</v>
      </c>
      <c r="E479" t="e">
        <v>#N/A</v>
      </c>
    </row>
    <row r="480" spans="1:5" x14ac:dyDescent="0.25">
      <c r="A480" s="79" t="s">
        <v>609</v>
      </c>
      <c r="B480" t="s">
        <v>331</v>
      </c>
      <c r="C480" s="42">
        <v>250</v>
      </c>
      <c r="E480" t="e">
        <v>#N/A</v>
      </c>
    </row>
    <row r="481" spans="1:5" x14ac:dyDescent="0.25">
      <c r="A481" s="79" t="s">
        <v>610</v>
      </c>
      <c r="B481" t="s">
        <v>331</v>
      </c>
      <c r="C481" s="42">
        <v>350</v>
      </c>
      <c r="E481" t="s">
        <v>510</v>
      </c>
    </row>
    <row r="482" spans="1:5" x14ac:dyDescent="0.25">
      <c r="A482" s="79" t="s">
        <v>611</v>
      </c>
      <c r="B482" t="s">
        <v>331</v>
      </c>
      <c r="C482" s="42">
        <v>250</v>
      </c>
      <c r="E482" t="s">
        <v>506</v>
      </c>
    </row>
    <row r="483" spans="1:5" x14ac:dyDescent="0.25">
      <c r="A483" s="79" t="s">
        <v>612</v>
      </c>
      <c r="B483" t="s">
        <v>331</v>
      </c>
      <c r="C483" s="42">
        <v>250</v>
      </c>
      <c r="E483" t="s">
        <v>508</v>
      </c>
    </row>
    <row r="484" spans="1:5" x14ac:dyDescent="0.25">
      <c r="A484" s="79" t="s">
        <v>613</v>
      </c>
      <c r="B484" t="s">
        <v>331</v>
      </c>
      <c r="C484" s="42">
        <v>350</v>
      </c>
      <c r="E484" t="s">
        <v>510</v>
      </c>
    </row>
    <row r="485" spans="1:5" x14ac:dyDescent="0.25">
      <c r="A485" s="79" t="s">
        <v>614</v>
      </c>
      <c r="B485" t="s">
        <v>331</v>
      </c>
      <c r="C485" s="42">
        <v>350</v>
      </c>
      <c r="E485" t="s">
        <v>510</v>
      </c>
    </row>
    <row r="486" spans="1:5" x14ac:dyDescent="0.25">
      <c r="A486" s="79" t="s">
        <v>615</v>
      </c>
      <c r="B486" t="s">
        <v>331</v>
      </c>
      <c r="C486" s="42">
        <v>250</v>
      </c>
      <c r="E486" t="e">
        <v>#N/A</v>
      </c>
    </row>
    <row r="487" spans="1:5" x14ac:dyDescent="0.25">
      <c r="A487" s="79" t="s">
        <v>616</v>
      </c>
      <c r="B487" t="s">
        <v>331</v>
      </c>
      <c r="C487" s="42">
        <v>250</v>
      </c>
      <c r="E487" t="e">
        <v>#N/A</v>
      </c>
    </row>
    <row r="488" spans="1:5" x14ac:dyDescent="0.25">
      <c r="A488" s="79" t="s">
        <v>617</v>
      </c>
      <c r="B488" t="s">
        <v>331</v>
      </c>
      <c r="C488" s="42">
        <v>350</v>
      </c>
      <c r="E488" t="s">
        <v>510</v>
      </c>
    </row>
    <row r="489" spans="1:5" x14ac:dyDescent="0.25">
      <c r="A489" s="78" t="s">
        <v>618</v>
      </c>
      <c r="B489" t="s">
        <v>348</v>
      </c>
      <c r="C489" s="42">
        <v>180</v>
      </c>
      <c r="E489" t="s">
        <v>349</v>
      </c>
    </row>
    <row r="490" spans="1:5" x14ac:dyDescent="0.25">
      <c r="A490" s="78" t="s">
        <v>619</v>
      </c>
      <c r="B490" t="s">
        <v>348</v>
      </c>
      <c r="C490" s="42">
        <v>180</v>
      </c>
      <c r="E490" t="s">
        <v>357</v>
      </c>
    </row>
    <row r="491" spans="1:5" x14ac:dyDescent="0.25">
      <c r="A491" s="78" t="s">
        <v>620</v>
      </c>
      <c r="B491" t="s">
        <v>331</v>
      </c>
      <c r="C491" s="42">
        <v>290</v>
      </c>
      <c r="E491" t="s">
        <v>399</v>
      </c>
    </row>
    <row r="492" spans="1:5" x14ac:dyDescent="0.25">
      <c r="A492" s="78" t="s">
        <v>621</v>
      </c>
      <c r="B492" t="s">
        <v>331</v>
      </c>
      <c r="C492" s="42">
        <v>290</v>
      </c>
      <c r="E492" t="s">
        <v>401</v>
      </c>
    </row>
    <row r="493" spans="1:5" x14ac:dyDescent="0.25">
      <c r="A493" s="78" t="s">
        <v>622</v>
      </c>
      <c r="B493" t="s">
        <v>331</v>
      </c>
      <c r="C493" s="42">
        <v>390</v>
      </c>
      <c r="E493" t="s">
        <v>403</v>
      </c>
    </row>
    <row r="494" spans="1:5" x14ac:dyDescent="0.25">
      <c r="A494" s="78" t="s">
        <v>623</v>
      </c>
      <c r="B494" t="s">
        <v>331</v>
      </c>
      <c r="C494" s="42">
        <v>290</v>
      </c>
      <c r="E494" t="s">
        <v>405</v>
      </c>
    </row>
    <row r="495" spans="1:5" x14ac:dyDescent="0.25">
      <c r="A495" s="78" t="s">
        <v>624</v>
      </c>
      <c r="B495" t="s">
        <v>331</v>
      </c>
      <c r="C495" s="42">
        <v>290</v>
      </c>
      <c r="E495" t="s">
        <v>407</v>
      </c>
    </row>
    <row r="496" spans="1:5" x14ac:dyDescent="0.25">
      <c r="A496" s="78" t="s">
        <v>625</v>
      </c>
      <c r="B496" t="s">
        <v>331</v>
      </c>
      <c r="C496" s="42">
        <v>390</v>
      </c>
      <c r="E496" t="s">
        <v>409</v>
      </c>
    </row>
    <row r="497" spans="1:5" x14ac:dyDescent="0.25">
      <c r="A497" s="78" t="s">
        <v>626</v>
      </c>
      <c r="B497" t="s">
        <v>331</v>
      </c>
      <c r="C497" s="42">
        <v>260</v>
      </c>
      <c r="E497" t="s">
        <v>411</v>
      </c>
    </row>
    <row r="498" spans="1:5" x14ac:dyDescent="0.25">
      <c r="A498" s="78" t="s">
        <v>627</v>
      </c>
      <c r="B498" t="s">
        <v>331</v>
      </c>
      <c r="C498" s="42">
        <v>260</v>
      </c>
      <c r="E498" t="s">
        <v>413</v>
      </c>
    </row>
    <row r="499" spans="1:5" x14ac:dyDescent="0.25">
      <c r="A499" s="78" t="s">
        <v>628</v>
      </c>
      <c r="B499" t="s">
        <v>331</v>
      </c>
      <c r="C499" s="42">
        <v>360</v>
      </c>
      <c r="E499" t="s">
        <v>415</v>
      </c>
    </row>
    <row r="500" spans="1:5" x14ac:dyDescent="0.25">
      <c r="A500" s="78" t="s">
        <v>629</v>
      </c>
      <c r="B500" t="s">
        <v>331</v>
      </c>
      <c r="C500" s="42">
        <v>260</v>
      </c>
      <c r="E500" t="s">
        <v>417</v>
      </c>
    </row>
    <row r="501" spans="1:5" x14ac:dyDescent="0.25">
      <c r="A501" s="78" t="s">
        <v>630</v>
      </c>
      <c r="B501" t="s">
        <v>331</v>
      </c>
      <c r="C501" s="42">
        <v>260</v>
      </c>
      <c r="E501" t="s">
        <v>419</v>
      </c>
    </row>
    <row r="502" spans="1:5" x14ac:dyDescent="0.25">
      <c r="A502" s="78" t="s">
        <v>631</v>
      </c>
      <c r="B502" t="s">
        <v>331</v>
      </c>
      <c r="C502" s="42">
        <v>360</v>
      </c>
      <c r="E502" t="s">
        <v>421</v>
      </c>
    </row>
    <row r="503" spans="1:5" x14ac:dyDescent="0.25">
      <c r="A503" s="78" t="s">
        <v>632</v>
      </c>
      <c r="B503" t="s">
        <v>331</v>
      </c>
      <c r="C503" s="42">
        <v>290</v>
      </c>
      <c r="E503" t="s">
        <v>399</v>
      </c>
    </row>
    <row r="504" spans="1:5" x14ac:dyDescent="0.25">
      <c r="A504" s="78" t="s">
        <v>633</v>
      </c>
      <c r="B504" t="s">
        <v>331</v>
      </c>
      <c r="C504" s="42">
        <v>290</v>
      </c>
      <c r="E504" t="s">
        <v>401</v>
      </c>
    </row>
    <row r="505" spans="1:5" x14ac:dyDescent="0.25">
      <c r="A505" s="78" t="s">
        <v>634</v>
      </c>
      <c r="B505" t="s">
        <v>331</v>
      </c>
      <c r="C505" s="42">
        <v>390</v>
      </c>
      <c r="E505" t="s">
        <v>403</v>
      </c>
    </row>
    <row r="506" spans="1:5" x14ac:dyDescent="0.25">
      <c r="A506" s="78" t="s">
        <v>635</v>
      </c>
      <c r="B506" t="s">
        <v>331</v>
      </c>
      <c r="C506" s="42">
        <v>290</v>
      </c>
      <c r="E506" t="s">
        <v>405</v>
      </c>
    </row>
    <row r="507" spans="1:5" x14ac:dyDescent="0.25">
      <c r="A507" s="78" t="s">
        <v>636</v>
      </c>
      <c r="B507" t="s">
        <v>331</v>
      </c>
      <c r="C507" s="42">
        <v>290</v>
      </c>
      <c r="E507" t="s">
        <v>407</v>
      </c>
    </row>
    <row r="508" spans="1:5" x14ac:dyDescent="0.25">
      <c r="A508" s="78" t="s">
        <v>637</v>
      </c>
      <c r="B508" t="s">
        <v>331</v>
      </c>
      <c r="C508" s="42">
        <v>390</v>
      </c>
      <c r="E508" t="s">
        <v>409</v>
      </c>
    </row>
    <row r="509" spans="1:5" x14ac:dyDescent="0.25">
      <c r="A509" s="78" t="s">
        <v>638</v>
      </c>
      <c r="B509" t="s">
        <v>331</v>
      </c>
      <c r="C509" s="42">
        <v>260</v>
      </c>
      <c r="E509" t="s">
        <v>411</v>
      </c>
    </row>
    <row r="510" spans="1:5" x14ac:dyDescent="0.25">
      <c r="A510" s="78" t="s">
        <v>639</v>
      </c>
      <c r="B510" t="s">
        <v>331</v>
      </c>
      <c r="C510" s="42">
        <v>260</v>
      </c>
      <c r="E510" t="s">
        <v>413</v>
      </c>
    </row>
    <row r="511" spans="1:5" x14ac:dyDescent="0.25">
      <c r="A511" s="78" t="s">
        <v>640</v>
      </c>
      <c r="B511" t="s">
        <v>331</v>
      </c>
      <c r="C511" s="42">
        <v>360</v>
      </c>
      <c r="E511" t="s">
        <v>415</v>
      </c>
    </row>
    <row r="512" spans="1:5" x14ac:dyDescent="0.25">
      <c r="A512" s="78" t="s">
        <v>641</v>
      </c>
      <c r="B512" t="s">
        <v>331</v>
      </c>
      <c r="C512" s="42">
        <v>260</v>
      </c>
      <c r="E512" t="s">
        <v>417</v>
      </c>
    </row>
    <row r="513" spans="1:5" x14ac:dyDescent="0.25">
      <c r="A513" s="78" t="s">
        <v>642</v>
      </c>
      <c r="B513" t="s">
        <v>331</v>
      </c>
      <c r="C513" s="42">
        <v>260</v>
      </c>
      <c r="E513" t="s">
        <v>419</v>
      </c>
    </row>
    <row r="514" spans="1:5" x14ac:dyDescent="0.25">
      <c r="A514" s="78" t="s">
        <v>643</v>
      </c>
      <c r="B514" t="s">
        <v>331</v>
      </c>
      <c r="C514" s="42">
        <v>360</v>
      </c>
      <c r="E514" t="s">
        <v>421</v>
      </c>
    </row>
    <row r="515" spans="1:5" x14ac:dyDescent="0.25">
      <c r="A515" s="78" t="s">
        <v>644</v>
      </c>
      <c r="B515" t="s">
        <v>331</v>
      </c>
      <c r="C515" s="42">
        <v>290</v>
      </c>
      <c r="E515" t="s">
        <v>423</v>
      </c>
    </row>
    <row r="516" spans="1:5" x14ac:dyDescent="0.25">
      <c r="A516" s="78" t="s">
        <v>645</v>
      </c>
      <c r="B516" t="s">
        <v>331</v>
      </c>
      <c r="C516" s="42">
        <v>290</v>
      </c>
      <c r="E516" t="s">
        <v>425</v>
      </c>
    </row>
    <row r="517" spans="1:5" x14ac:dyDescent="0.25">
      <c r="A517" s="78" t="s">
        <v>646</v>
      </c>
      <c r="B517" t="s">
        <v>331</v>
      </c>
      <c r="C517" s="42">
        <v>390</v>
      </c>
      <c r="E517" t="s">
        <v>427</v>
      </c>
    </row>
    <row r="518" spans="1:5" x14ac:dyDescent="0.25">
      <c r="A518" s="78" t="s">
        <v>647</v>
      </c>
      <c r="B518" t="s">
        <v>331</v>
      </c>
      <c r="C518" s="42">
        <v>290</v>
      </c>
      <c r="E518" t="s">
        <v>429</v>
      </c>
    </row>
    <row r="519" spans="1:5" x14ac:dyDescent="0.25">
      <c r="A519" s="78" t="s">
        <v>648</v>
      </c>
      <c r="B519" t="s">
        <v>331</v>
      </c>
      <c r="C519" s="42">
        <v>290</v>
      </c>
      <c r="E519" t="s">
        <v>431</v>
      </c>
    </row>
    <row r="520" spans="1:5" x14ac:dyDescent="0.25">
      <c r="A520" s="78" t="s">
        <v>649</v>
      </c>
      <c r="B520" t="s">
        <v>331</v>
      </c>
      <c r="C520" s="42">
        <v>390</v>
      </c>
      <c r="E520" t="s">
        <v>433</v>
      </c>
    </row>
    <row r="521" spans="1:5" x14ac:dyDescent="0.25">
      <c r="A521" s="78" t="s">
        <v>650</v>
      </c>
      <c r="B521" t="s">
        <v>331</v>
      </c>
      <c r="C521" s="42">
        <v>260</v>
      </c>
      <c r="E521" t="s">
        <v>340</v>
      </c>
    </row>
    <row r="522" spans="1:5" x14ac:dyDescent="0.25">
      <c r="A522" s="78" t="s">
        <v>651</v>
      </c>
      <c r="B522" t="s">
        <v>331</v>
      </c>
      <c r="C522" s="42">
        <v>260</v>
      </c>
      <c r="E522" t="s">
        <v>342</v>
      </c>
    </row>
    <row r="523" spans="1:5" x14ac:dyDescent="0.25">
      <c r="A523" s="78" t="s">
        <v>652</v>
      </c>
      <c r="B523" t="s">
        <v>331</v>
      </c>
      <c r="C523" s="42">
        <v>360</v>
      </c>
      <c r="E523" t="s">
        <v>437</v>
      </c>
    </row>
    <row r="524" spans="1:5" x14ac:dyDescent="0.25">
      <c r="A524" s="78" t="s">
        <v>653</v>
      </c>
      <c r="B524" t="s">
        <v>331</v>
      </c>
      <c r="C524" s="42">
        <v>260</v>
      </c>
      <c r="E524" t="s">
        <v>439</v>
      </c>
    </row>
    <row r="525" spans="1:5" x14ac:dyDescent="0.25">
      <c r="A525" s="78" t="s">
        <v>654</v>
      </c>
      <c r="B525" t="s">
        <v>331</v>
      </c>
      <c r="C525" s="42">
        <v>260</v>
      </c>
      <c r="E525" t="s">
        <v>441</v>
      </c>
    </row>
    <row r="526" spans="1:5" x14ac:dyDescent="0.25">
      <c r="A526" s="78" t="s">
        <v>655</v>
      </c>
      <c r="B526" t="s">
        <v>331</v>
      </c>
      <c r="C526" s="42">
        <v>360</v>
      </c>
      <c r="E526" t="s">
        <v>443</v>
      </c>
    </row>
    <row r="527" spans="1:5" x14ac:dyDescent="0.25">
      <c r="A527" s="78" t="s">
        <v>656</v>
      </c>
      <c r="B527" t="s">
        <v>331</v>
      </c>
      <c r="C527" s="42">
        <v>290</v>
      </c>
      <c r="E527" t="s">
        <v>423</v>
      </c>
    </row>
    <row r="528" spans="1:5" x14ac:dyDescent="0.25">
      <c r="A528" s="78" t="s">
        <v>657</v>
      </c>
      <c r="B528" t="s">
        <v>331</v>
      </c>
      <c r="C528" s="42">
        <v>290</v>
      </c>
      <c r="E528" t="s">
        <v>425</v>
      </c>
    </row>
    <row r="529" spans="1:5" x14ac:dyDescent="0.25">
      <c r="A529" s="78" t="s">
        <v>658</v>
      </c>
      <c r="B529" t="s">
        <v>331</v>
      </c>
      <c r="C529" s="42">
        <v>390</v>
      </c>
      <c r="E529" t="s">
        <v>427</v>
      </c>
    </row>
    <row r="530" spans="1:5" x14ac:dyDescent="0.25">
      <c r="A530" s="78" t="s">
        <v>659</v>
      </c>
      <c r="B530" t="s">
        <v>331</v>
      </c>
      <c r="C530" s="42">
        <v>290</v>
      </c>
      <c r="E530" t="s">
        <v>429</v>
      </c>
    </row>
    <row r="531" spans="1:5" x14ac:dyDescent="0.25">
      <c r="A531" s="78" t="s">
        <v>660</v>
      </c>
      <c r="B531" t="s">
        <v>331</v>
      </c>
      <c r="C531" s="42">
        <v>290</v>
      </c>
      <c r="E531" t="s">
        <v>431</v>
      </c>
    </row>
    <row r="532" spans="1:5" x14ac:dyDescent="0.25">
      <c r="A532" s="78" t="s">
        <v>661</v>
      </c>
      <c r="B532" t="s">
        <v>331</v>
      </c>
      <c r="C532" s="42">
        <v>390</v>
      </c>
      <c r="E532" t="s">
        <v>433</v>
      </c>
    </row>
    <row r="533" spans="1:5" x14ac:dyDescent="0.25">
      <c r="A533" s="78" t="s">
        <v>662</v>
      </c>
      <c r="B533" t="s">
        <v>331</v>
      </c>
      <c r="C533" s="42">
        <v>260</v>
      </c>
      <c r="E533" t="s">
        <v>340</v>
      </c>
    </row>
    <row r="534" spans="1:5" x14ac:dyDescent="0.25">
      <c r="A534" s="78" t="s">
        <v>663</v>
      </c>
      <c r="B534" t="s">
        <v>331</v>
      </c>
      <c r="C534" s="42">
        <v>260</v>
      </c>
      <c r="E534" t="s">
        <v>342</v>
      </c>
    </row>
    <row r="535" spans="1:5" x14ac:dyDescent="0.25">
      <c r="A535" s="78" t="s">
        <v>664</v>
      </c>
      <c r="B535" t="s">
        <v>331</v>
      </c>
      <c r="C535" s="42">
        <v>360</v>
      </c>
      <c r="E535" t="s">
        <v>437</v>
      </c>
    </row>
    <row r="536" spans="1:5" x14ac:dyDescent="0.25">
      <c r="A536" s="78" t="s">
        <v>665</v>
      </c>
      <c r="B536" t="s">
        <v>331</v>
      </c>
      <c r="C536" s="42">
        <v>260</v>
      </c>
      <c r="E536" t="s">
        <v>439</v>
      </c>
    </row>
    <row r="537" spans="1:5" x14ac:dyDescent="0.25">
      <c r="A537" s="78" t="s">
        <v>666</v>
      </c>
      <c r="B537" t="s">
        <v>331</v>
      </c>
      <c r="C537" s="42">
        <v>260</v>
      </c>
      <c r="E537" t="s">
        <v>441</v>
      </c>
    </row>
    <row r="538" spans="1:5" x14ac:dyDescent="0.25">
      <c r="A538" s="78" t="s">
        <v>667</v>
      </c>
      <c r="B538" t="s">
        <v>331</v>
      </c>
      <c r="C538" s="42">
        <v>360</v>
      </c>
      <c r="E538" t="s">
        <v>443</v>
      </c>
    </row>
    <row r="539" spans="1:5" x14ac:dyDescent="0.25">
      <c r="A539" s="79" t="s">
        <v>668</v>
      </c>
      <c r="B539" t="s">
        <v>331</v>
      </c>
      <c r="C539" s="42">
        <v>150</v>
      </c>
      <c r="E539" t="e">
        <v>#N/A</v>
      </c>
    </row>
    <row r="540" spans="1:5" x14ac:dyDescent="0.25">
      <c r="A540" s="79" t="s">
        <v>669</v>
      </c>
      <c r="B540" t="s">
        <v>331</v>
      </c>
      <c r="C540" s="42">
        <v>150</v>
      </c>
      <c r="E540" t="e">
        <v>#N/A</v>
      </c>
    </row>
    <row r="541" spans="1:5" x14ac:dyDescent="0.25">
      <c r="A541" s="79" t="s">
        <v>670</v>
      </c>
      <c r="B541" t="s">
        <v>331</v>
      </c>
      <c r="C541" s="42">
        <v>250</v>
      </c>
      <c r="E541" t="s">
        <v>510</v>
      </c>
    </row>
    <row r="542" spans="1:5" x14ac:dyDescent="0.25">
      <c r="A542" s="79" t="s">
        <v>671</v>
      </c>
      <c r="B542" t="s">
        <v>331</v>
      </c>
      <c r="C542" s="42">
        <v>250</v>
      </c>
      <c r="E542" t="s">
        <v>510</v>
      </c>
    </row>
    <row r="543" spans="1:5" x14ac:dyDescent="0.25">
      <c r="A543" s="79" t="s">
        <v>672</v>
      </c>
      <c r="B543" t="s">
        <v>331</v>
      </c>
      <c r="C543" s="42">
        <v>150</v>
      </c>
    </row>
    <row r="544" spans="1:5" x14ac:dyDescent="0.25">
      <c r="A544" s="79" t="s">
        <v>673</v>
      </c>
      <c r="B544" t="s">
        <v>331</v>
      </c>
      <c r="C544" s="42">
        <v>150</v>
      </c>
    </row>
    <row r="545" spans="1:5" x14ac:dyDescent="0.25">
      <c r="A545" s="79" t="s">
        <v>674</v>
      </c>
      <c r="B545" t="s">
        <v>331</v>
      </c>
      <c r="C545" s="42">
        <v>250</v>
      </c>
      <c r="E545" t="s">
        <v>510</v>
      </c>
    </row>
    <row r="546" spans="1:5" x14ac:dyDescent="0.25">
      <c r="A546" s="79" t="s">
        <v>675</v>
      </c>
      <c r="B546" t="s">
        <v>331</v>
      </c>
      <c r="C546" s="42">
        <v>150</v>
      </c>
      <c r="E546" t="s">
        <v>530</v>
      </c>
    </row>
    <row r="547" spans="1:5" x14ac:dyDescent="0.25">
      <c r="A547" s="79" t="s">
        <v>676</v>
      </c>
      <c r="B547" t="s">
        <v>331</v>
      </c>
      <c r="C547" s="42">
        <v>150</v>
      </c>
      <c r="E547" t="s">
        <v>532</v>
      </c>
    </row>
    <row r="548" spans="1:5" x14ac:dyDescent="0.25">
      <c r="A548" s="79" t="s">
        <v>677</v>
      </c>
      <c r="B548" t="s">
        <v>331</v>
      </c>
      <c r="C548" s="42">
        <v>250</v>
      </c>
      <c r="E548" t="s">
        <v>510</v>
      </c>
    </row>
    <row r="549" spans="1:5" x14ac:dyDescent="0.25">
      <c r="A549" s="79" t="s">
        <v>678</v>
      </c>
      <c r="B549" t="s">
        <v>331</v>
      </c>
      <c r="C549" s="42">
        <v>250</v>
      </c>
      <c r="E549" t="s">
        <v>510</v>
      </c>
    </row>
    <row r="550" spans="1:5" x14ac:dyDescent="0.25">
      <c r="A550" s="79" t="s">
        <v>679</v>
      </c>
      <c r="B550" t="s">
        <v>331</v>
      </c>
      <c r="C550" s="42">
        <v>150</v>
      </c>
    </row>
    <row r="551" spans="1:5" x14ac:dyDescent="0.25">
      <c r="A551" s="79" t="s">
        <v>680</v>
      </c>
      <c r="B551" t="s">
        <v>331</v>
      </c>
      <c r="C551" s="42">
        <v>150</v>
      </c>
    </row>
    <row r="552" spans="1:5" x14ac:dyDescent="0.25">
      <c r="A552" s="79" t="s">
        <v>681</v>
      </c>
      <c r="B552" t="s">
        <v>331</v>
      </c>
      <c r="C552" s="42">
        <v>250</v>
      </c>
      <c r="E552" t="s">
        <v>510</v>
      </c>
    </row>
    <row r="553" spans="1:5" x14ac:dyDescent="0.25">
      <c r="A553" s="78" t="s">
        <v>682</v>
      </c>
      <c r="B553" t="s">
        <v>331</v>
      </c>
      <c r="C553" s="42">
        <v>720</v>
      </c>
      <c r="E553" t="s">
        <v>399</v>
      </c>
    </row>
    <row r="554" spans="1:5" x14ac:dyDescent="0.25">
      <c r="A554" s="78" t="s">
        <v>683</v>
      </c>
      <c r="B554" t="s">
        <v>331</v>
      </c>
      <c r="C554" s="42">
        <v>720</v>
      </c>
      <c r="E554" t="s">
        <v>401</v>
      </c>
    </row>
    <row r="555" spans="1:5" x14ac:dyDescent="0.25">
      <c r="A555" s="78" t="s">
        <v>684</v>
      </c>
      <c r="B555" t="s">
        <v>331</v>
      </c>
      <c r="C555" s="42">
        <v>820</v>
      </c>
      <c r="E555" t="s">
        <v>403</v>
      </c>
    </row>
    <row r="556" spans="1:5" x14ac:dyDescent="0.25">
      <c r="A556" s="78" t="s">
        <v>685</v>
      </c>
      <c r="B556" t="s">
        <v>331</v>
      </c>
      <c r="C556" s="42">
        <v>720</v>
      </c>
      <c r="E556" t="s">
        <v>405</v>
      </c>
    </row>
    <row r="557" spans="1:5" x14ac:dyDescent="0.25">
      <c r="A557" s="78" t="s">
        <v>686</v>
      </c>
      <c r="B557" t="s">
        <v>331</v>
      </c>
      <c r="C557" s="42">
        <v>720</v>
      </c>
      <c r="E557" t="s">
        <v>407</v>
      </c>
    </row>
    <row r="558" spans="1:5" x14ac:dyDescent="0.25">
      <c r="A558" s="78" t="s">
        <v>687</v>
      </c>
      <c r="B558" t="s">
        <v>331</v>
      </c>
      <c r="C558" s="42">
        <v>820</v>
      </c>
      <c r="E558" t="s">
        <v>409</v>
      </c>
    </row>
    <row r="559" spans="1:5" x14ac:dyDescent="0.25">
      <c r="A559" s="78" t="s">
        <v>688</v>
      </c>
      <c r="B559" t="s">
        <v>331</v>
      </c>
      <c r="C559" s="42">
        <v>500</v>
      </c>
      <c r="E559" t="s">
        <v>411</v>
      </c>
    </row>
    <row r="560" spans="1:5" x14ac:dyDescent="0.25">
      <c r="A560" s="78" t="s">
        <v>689</v>
      </c>
      <c r="B560" t="s">
        <v>331</v>
      </c>
      <c r="C560" s="42">
        <v>500</v>
      </c>
      <c r="E560" t="s">
        <v>413</v>
      </c>
    </row>
    <row r="561" spans="1:5" x14ac:dyDescent="0.25">
      <c r="A561" s="78" t="s">
        <v>690</v>
      </c>
      <c r="B561" t="s">
        <v>331</v>
      </c>
      <c r="C561" s="42">
        <v>600</v>
      </c>
      <c r="E561" t="s">
        <v>415</v>
      </c>
    </row>
    <row r="562" spans="1:5" x14ac:dyDescent="0.25">
      <c r="A562" s="78" t="s">
        <v>691</v>
      </c>
      <c r="B562" t="s">
        <v>331</v>
      </c>
      <c r="C562" s="42">
        <v>500</v>
      </c>
      <c r="E562" t="s">
        <v>417</v>
      </c>
    </row>
    <row r="563" spans="1:5" x14ac:dyDescent="0.25">
      <c r="A563" s="78" t="s">
        <v>692</v>
      </c>
      <c r="B563" t="s">
        <v>331</v>
      </c>
      <c r="C563" s="42">
        <v>500</v>
      </c>
      <c r="E563" t="s">
        <v>419</v>
      </c>
    </row>
    <row r="564" spans="1:5" x14ac:dyDescent="0.25">
      <c r="A564" s="78" t="s">
        <v>693</v>
      </c>
      <c r="B564" t="s">
        <v>331</v>
      </c>
      <c r="C564" s="42">
        <v>600</v>
      </c>
      <c r="E564" t="s">
        <v>421</v>
      </c>
    </row>
    <row r="565" spans="1:5" x14ac:dyDescent="0.25">
      <c r="A565" s="78" t="s">
        <v>694</v>
      </c>
      <c r="B565" t="s">
        <v>331</v>
      </c>
      <c r="C565" s="42">
        <v>720</v>
      </c>
      <c r="E565" t="s">
        <v>423</v>
      </c>
    </row>
    <row r="566" spans="1:5" x14ac:dyDescent="0.25">
      <c r="A566" s="78" t="s">
        <v>695</v>
      </c>
      <c r="B566" t="s">
        <v>331</v>
      </c>
      <c r="C566" s="42">
        <v>720</v>
      </c>
      <c r="E566" t="s">
        <v>425</v>
      </c>
    </row>
    <row r="567" spans="1:5" x14ac:dyDescent="0.25">
      <c r="A567" s="78" t="s">
        <v>696</v>
      </c>
      <c r="B567" t="s">
        <v>331</v>
      </c>
      <c r="C567" s="42">
        <v>820</v>
      </c>
      <c r="E567" t="s">
        <v>427</v>
      </c>
    </row>
    <row r="568" spans="1:5" x14ac:dyDescent="0.25">
      <c r="A568" s="78" t="s">
        <v>697</v>
      </c>
      <c r="B568" t="s">
        <v>331</v>
      </c>
      <c r="C568" s="42">
        <v>720</v>
      </c>
      <c r="E568" t="s">
        <v>429</v>
      </c>
    </row>
    <row r="569" spans="1:5" x14ac:dyDescent="0.25">
      <c r="A569" s="78" t="s">
        <v>698</v>
      </c>
      <c r="B569" t="s">
        <v>331</v>
      </c>
      <c r="C569" s="42">
        <v>720</v>
      </c>
      <c r="E569" t="s">
        <v>431</v>
      </c>
    </row>
    <row r="570" spans="1:5" x14ac:dyDescent="0.25">
      <c r="A570" s="78" t="s">
        <v>699</v>
      </c>
      <c r="B570" t="s">
        <v>331</v>
      </c>
      <c r="C570" s="42">
        <v>820</v>
      </c>
      <c r="E570" t="s">
        <v>433</v>
      </c>
    </row>
    <row r="571" spans="1:5" x14ac:dyDescent="0.25">
      <c r="A571" s="78" t="s">
        <v>700</v>
      </c>
      <c r="B571" t="s">
        <v>331</v>
      </c>
      <c r="C571" s="42">
        <v>500</v>
      </c>
      <c r="E571" t="s">
        <v>340</v>
      </c>
    </row>
    <row r="572" spans="1:5" x14ac:dyDescent="0.25">
      <c r="A572" s="78" t="s">
        <v>701</v>
      </c>
      <c r="B572" t="s">
        <v>331</v>
      </c>
      <c r="C572" s="42">
        <v>500</v>
      </c>
      <c r="E572" t="s">
        <v>342</v>
      </c>
    </row>
    <row r="573" spans="1:5" x14ac:dyDescent="0.25">
      <c r="A573" s="78" t="s">
        <v>702</v>
      </c>
      <c r="B573" t="s">
        <v>331</v>
      </c>
      <c r="C573" s="42">
        <v>600</v>
      </c>
      <c r="E573" t="s">
        <v>437</v>
      </c>
    </row>
    <row r="574" spans="1:5" x14ac:dyDescent="0.25">
      <c r="A574" s="78" t="s">
        <v>703</v>
      </c>
      <c r="B574" t="s">
        <v>331</v>
      </c>
      <c r="C574" s="42">
        <v>500</v>
      </c>
      <c r="E574" t="s">
        <v>439</v>
      </c>
    </row>
    <row r="575" spans="1:5" x14ac:dyDescent="0.25">
      <c r="A575" s="78" t="s">
        <v>704</v>
      </c>
      <c r="B575" t="s">
        <v>331</v>
      </c>
      <c r="C575" s="42">
        <v>500</v>
      </c>
      <c r="E575" t="s">
        <v>441</v>
      </c>
    </row>
    <row r="576" spans="1:5" x14ac:dyDescent="0.25">
      <c r="A576" s="78" t="s">
        <v>705</v>
      </c>
      <c r="B576" t="s">
        <v>331</v>
      </c>
      <c r="C576" s="42">
        <v>600</v>
      </c>
      <c r="E576" t="s">
        <v>443</v>
      </c>
    </row>
    <row r="577" spans="1:5" x14ac:dyDescent="0.25">
      <c r="A577" s="79" t="s">
        <v>706</v>
      </c>
      <c r="B577" t="s">
        <v>331</v>
      </c>
      <c r="C577" s="42">
        <v>290</v>
      </c>
      <c r="E577" t="s">
        <v>469</v>
      </c>
    </row>
    <row r="578" spans="1:5" x14ac:dyDescent="0.25">
      <c r="A578" s="79" t="s">
        <v>707</v>
      </c>
      <c r="B578" t="s">
        <v>331</v>
      </c>
      <c r="C578" s="42">
        <v>290</v>
      </c>
      <c r="E578" t="s">
        <v>469</v>
      </c>
    </row>
    <row r="579" spans="1:5" x14ac:dyDescent="0.25">
      <c r="A579" s="79" t="s">
        <v>708</v>
      </c>
      <c r="B579" t="s">
        <v>331</v>
      </c>
      <c r="C579" s="42">
        <v>390</v>
      </c>
      <c r="E579" t="s">
        <v>709</v>
      </c>
    </row>
    <row r="580" spans="1:5" x14ac:dyDescent="0.25">
      <c r="A580" s="79" t="s">
        <v>710</v>
      </c>
      <c r="B580" t="s">
        <v>331</v>
      </c>
      <c r="C580" s="42">
        <v>290</v>
      </c>
      <c r="E580" t="s">
        <v>469</v>
      </c>
    </row>
    <row r="581" spans="1:5" x14ac:dyDescent="0.25">
      <c r="A581" t="s">
        <v>711</v>
      </c>
      <c r="B581" t="s">
        <v>331</v>
      </c>
      <c r="C581" s="42">
        <v>290</v>
      </c>
      <c r="E581" t="s">
        <v>469</v>
      </c>
    </row>
    <row r="582" spans="1:5" x14ac:dyDescent="0.25">
      <c r="A582" t="s">
        <v>712</v>
      </c>
      <c r="B582" t="s">
        <v>331</v>
      </c>
      <c r="C582" s="42">
        <v>290</v>
      </c>
      <c r="E582" t="s">
        <v>469</v>
      </c>
    </row>
    <row r="583" spans="1:5" x14ac:dyDescent="0.25">
      <c r="A583" t="s">
        <v>713</v>
      </c>
      <c r="B583" t="s">
        <v>331</v>
      </c>
      <c r="C583" s="42">
        <v>390</v>
      </c>
      <c r="E583" t="s">
        <v>709</v>
      </c>
    </row>
    <row r="584" spans="1:5" x14ac:dyDescent="0.25">
      <c r="A584" s="79" t="s">
        <v>714</v>
      </c>
      <c r="B584" t="s">
        <v>331</v>
      </c>
      <c r="C584" s="42">
        <v>260</v>
      </c>
      <c r="E584" t="e">
        <v>#N/A</v>
      </c>
    </row>
    <row r="585" spans="1:5" x14ac:dyDescent="0.25">
      <c r="A585" s="79" t="s">
        <v>715</v>
      </c>
      <c r="B585" t="s">
        <v>331</v>
      </c>
      <c r="C585" s="42">
        <v>260</v>
      </c>
      <c r="E585" t="e">
        <v>#N/A</v>
      </c>
    </row>
    <row r="586" spans="1:5" x14ac:dyDescent="0.25">
      <c r="A586" s="79" t="s">
        <v>716</v>
      </c>
      <c r="B586" t="s">
        <v>331</v>
      </c>
      <c r="C586" s="42">
        <v>360</v>
      </c>
      <c r="E586" t="s">
        <v>510</v>
      </c>
    </row>
    <row r="587" spans="1:5" x14ac:dyDescent="0.25">
      <c r="A587" s="78" t="s">
        <v>717</v>
      </c>
      <c r="B587" t="s">
        <v>331</v>
      </c>
      <c r="C587" s="42">
        <v>360</v>
      </c>
      <c r="E587" t="s">
        <v>510</v>
      </c>
    </row>
    <row r="588" spans="1:5" x14ac:dyDescent="0.25">
      <c r="A588" t="s">
        <v>718</v>
      </c>
      <c r="B588" t="s">
        <v>331</v>
      </c>
      <c r="C588" s="42">
        <v>260</v>
      </c>
      <c r="E588" t="e">
        <v>#N/A</v>
      </c>
    </row>
    <row r="589" spans="1:5" x14ac:dyDescent="0.25">
      <c r="A589" t="s">
        <v>719</v>
      </c>
      <c r="B589" t="s">
        <v>331</v>
      </c>
      <c r="C589" s="42">
        <v>260</v>
      </c>
      <c r="E589" t="e">
        <v>#N/A</v>
      </c>
    </row>
    <row r="590" spans="1:5" x14ac:dyDescent="0.25">
      <c r="A590" t="s">
        <v>720</v>
      </c>
      <c r="B590" t="s">
        <v>331</v>
      </c>
      <c r="C590" s="42">
        <v>360</v>
      </c>
      <c r="E590" t="s">
        <v>510</v>
      </c>
    </row>
    <row r="591" spans="1:5" x14ac:dyDescent="0.25">
      <c r="A591" s="78" t="s">
        <v>721</v>
      </c>
      <c r="B591" t="s">
        <v>331</v>
      </c>
      <c r="C591" s="42">
        <v>290</v>
      </c>
      <c r="E591" t="s">
        <v>722</v>
      </c>
    </row>
    <row r="592" spans="1:5" x14ac:dyDescent="0.25">
      <c r="A592" s="78" t="s">
        <v>723</v>
      </c>
      <c r="B592" t="s">
        <v>331</v>
      </c>
      <c r="C592" s="42">
        <v>290</v>
      </c>
      <c r="E592" t="s">
        <v>722</v>
      </c>
    </row>
    <row r="593" spans="1:5" x14ac:dyDescent="0.25">
      <c r="A593" s="78" t="s">
        <v>724</v>
      </c>
      <c r="B593" t="s">
        <v>331</v>
      </c>
      <c r="C593" s="42">
        <v>390</v>
      </c>
      <c r="E593" t="s">
        <v>499</v>
      </c>
    </row>
    <row r="594" spans="1:5" x14ac:dyDescent="0.25">
      <c r="A594" s="79" t="s">
        <v>725</v>
      </c>
      <c r="B594" t="s">
        <v>331</v>
      </c>
      <c r="C594" s="42">
        <v>390</v>
      </c>
      <c r="E594" t="s">
        <v>499</v>
      </c>
    </row>
    <row r="595" spans="1:5" x14ac:dyDescent="0.25">
      <c r="A595" t="s">
        <v>726</v>
      </c>
      <c r="B595" t="s">
        <v>331</v>
      </c>
      <c r="C595" s="42">
        <v>290</v>
      </c>
      <c r="E595" t="s">
        <v>722</v>
      </c>
    </row>
    <row r="596" spans="1:5" x14ac:dyDescent="0.25">
      <c r="A596" t="s">
        <v>727</v>
      </c>
      <c r="B596" t="s">
        <v>331</v>
      </c>
      <c r="C596" s="42">
        <v>290</v>
      </c>
      <c r="E596" t="s">
        <v>722</v>
      </c>
    </row>
    <row r="597" spans="1:5" x14ac:dyDescent="0.25">
      <c r="A597" t="s">
        <v>728</v>
      </c>
      <c r="B597" t="s">
        <v>331</v>
      </c>
      <c r="C597" s="42">
        <v>290</v>
      </c>
      <c r="E597" t="s">
        <v>722</v>
      </c>
    </row>
    <row r="598" spans="1:5" x14ac:dyDescent="0.25">
      <c r="A598" s="78" t="s">
        <v>729</v>
      </c>
      <c r="B598" t="s">
        <v>331</v>
      </c>
      <c r="C598" s="42">
        <v>260</v>
      </c>
      <c r="E598" t="e">
        <v>#N/A</v>
      </c>
    </row>
    <row r="599" spans="1:5" x14ac:dyDescent="0.25">
      <c r="A599" s="79" t="s">
        <v>730</v>
      </c>
      <c r="B599" t="s">
        <v>331</v>
      </c>
      <c r="C599" s="42">
        <v>260</v>
      </c>
      <c r="E599" t="e">
        <v>#N/A</v>
      </c>
    </row>
    <row r="600" spans="1:5" x14ac:dyDescent="0.25">
      <c r="A600" s="79" t="s">
        <v>731</v>
      </c>
      <c r="B600" t="s">
        <v>331</v>
      </c>
      <c r="C600" s="42">
        <v>360</v>
      </c>
      <c r="E600" t="s">
        <v>510</v>
      </c>
    </row>
    <row r="601" spans="1:5" x14ac:dyDescent="0.25">
      <c r="A601" s="78" t="s">
        <v>732</v>
      </c>
      <c r="B601" t="s">
        <v>331</v>
      </c>
      <c r="C601" s="42">
        <v>360</v>
      </c>
      <c r="E601" t="s">
        <v>510</v>
      </c>
    </row>
    <row r="602" spans="1:5" x14ac:dyDescent="0.25">
      <c r="A602" t="s">
        <v>733</v>
      </c>
      <c r="B602" t="s">
        <v>331</v>
      </c>
      <c r="C602" s="42">
        <v>260</v>
      </c>
      <c r="E602" t="e">
        <v>#N/A</v>
      </c>
    </row>
    <row r="603" spans="1:5" x14ac:dyDescent="0.25">
      <c r="A603" t="s">
        <v>734</v>
      </c>
      <c r="B603" t="s">
        <v>331</v>
      </c>
      <c r="C603" s="42">
        <v>260</v>
      </c>
      <c r="E603" t="e">
        <v>#N/A</v>
      </c>
    </row>
    <row r="604" spans="1:5" ht="14.25" customHeight="1" x14ac:dyDescent="0.25">
      <c r="A604" t="s">
        <v>735</v>
      </c>
      <c r="B604" t="s">
        <v>331</v>
      </c>
      <c r="C604" s="42">
        <v>360</v>
      </c>
      <c r="E604" t="s">
        <v>510</v>
      </c>
    </row>
    <row r="605" spans="1:5" x14ac:dyDescent="0.25">
      <c r="A605" s="78" t="s">
        <v>736</v>
      </c>
      <c r="B605" t="s">
        <v>348</v>
      </c>
      <c r="C605" s="42">
        <v>180</v>
      </c>
      <c r="E605" t="s">
        <v>349</v>
      </c>
    </row>
    <row r="606" spans="1:5" x14ac:dyDescent="0.25">
      <c r="A606" s="78" t="s">
        <v>737</v>
      </c>
      <c r="B606" t="s">
        <v>348</v>
      </c>
      <c r="C606" s="42">
        <v>180</v>
      </c>
      <c r="E606" t="s">
        <v>357</v>
      </c>
    </row>
    <row r="607" spans="1:5" x14ac:dyDescent="0.25">
      <c r="A607" s="78" t="s">
        <v>738</v>
      </c>
      <c r="B607" t="s">
        <v>331</v>
      </c>
      <c r="C607" s="42">
        <v>385</v>
      </c>
      <c r="E607" t="s">
        <v>399</v>
      </c>
    </row>
    <row r="608" spans="1:5" x14ac:dyDescent="0.25">
      <c r="A608" s="78" t="s">
        <v>739</v>
      </c>
      <c r="B608" t="s">
        <v>331</v>
      </c>
      <c r="C608" s="42">
        <v>385</v>
      </c>
      <c r="E608" t="s">
        <v>401</v>
      </c>
    </row>
    <row r="609" spans="1:5" x14ac:dyDescent="0.25">
      <c r="A609" s="78" t="s">
        <v>740</v>
      </c>
      <c r="B609" t="s">
        <v>331</v>
      </c>
      <c r="C609" s="42">
        <v>485</v>
      </c>
      <c r="E609" t="s">
        <v>403</v>
      </c>
    </row>
    <row r="610" spans="1:5" x14ac:dyDescent="0.25">
      <c r="A610" s="78" t="s">
        <v>741</v>
      </c>
      <c r="B610" t="s">
        <v>331</v>
      </c>
      <c r="C610" s="42">
        <v>385</v>
      </c>
      <c r="E610" t="s">
        <v>405</v>
      </c>
    </row>
    <row r="611" spans="1:5" x14ac:dyDescent="0.25">
      <c r="A611" s="78" t="s">
        <v>742</v>
      </c>
      <c r="B611" t="s">
        <v>331</v>
      </c>
      <c r="C611" s="42">
        <v>360</v>
      </c>
      <c r="E611" t="s">
        <v>407</v>
      </c>
    </row>
    <row r="612" spans="1:5" x14ac:dyDescent="0.25">
      <c r="A612" s="78" t="s">
        <v>743</v>
      </c>
      <c r="B612" t="s">
        <v>331</v>
      </c>
      <c r="C612" s="42">
        <v>485</v>
      </c>
      <c r="E612" t="s">
        <v>409</v>
      </c>
    </row>
    <row r="613" spans="1:5" x14ac:dyDescent="0.25">
      <c r="A613" s="78" t="s">
        <v>744</v>
      </c>
      <c r="B613" t="s">
        <v>331</v>
      </c>
      <c r="C613" s="42">
        <v>360</v>
      </c>
      <c r="E613" t="s">
        <v>411</v>
      </c>
    </row>
    <row r="614" spans="1:5" x14ac:dyDescent="0.25">
      <c r="A614" s="78" t="s">
        <v>745</v>
      </c>
      <c r="B614" t="s">
        <v>331</v>
      </c>
      <c r="C614" s="42">
        <v>360</v>
      </c>
      <c r="E614" t="s">
        <v>413</v>
      </c>
    </row>
    <row r="615" spans="1:5" x14ac:dyDescent="0.25">
      <c r="A615" s="78" t="s">
        <v>746</v>
      </c>
      <c r="B615" t="s">
        <v>331</v>
      </c>
      <c r="C615" s="42">
        <v>385</v>
      </c>
      <c r="E615" t="s">
        <v>415</v>
      </c>
    </row>
    <row r="616" spans="1:5" x14ac:dyDescent="0.25">
      <c r="A616" s="78" t="s">
        <v>747</v>
      </c>
      <c r="B616" t="s">
        <v>331</v>
      </c>
      <c r="C616" s="42">
        <v>360</v>
      </c>
      <c r="E616" t="s">
        <v>417</v>
      </c>
    </row>
    <row r="617" spans="1:5" x14ac:dyDescent="0.25">
      <c r="A617" s="78" t="s">
        <v>748</v>
      </c>
      <c r="B617" t="s">
        <v>331</v>
      </c>
      <c r="C617" s="42">
        <v>360</v>
      </c>
      <c r="E617" t="s">
        <v>419</v>
      </c>
    </row>
    <row r="618" spans="1:5" x14ac:dyDescent="0.25">
      <c r="A618" s="78" t="s">
        <v>749</v>
      </c>
      <c r="B618" t="s">
        <v>331</v>
      </c>
      <c r="C618" s="42">
        <v>385</v>
      </c>
      <c r="E618" t="s">
        <v>421</v>
      </c>
    </row>
    <row r="619" spans="1:5" x14ac:dyDescent="0.25">
      <c r="A619" s="78" t="s">
        <v>750</v>
      </c>
      <c r="B619" t="s">
        <v>331</v>
      </c>
      <c r="C619" s="42">
        <v>385</v>
      </c>
      <c r="E619" t="s">
        <v>399</v>
      </c>
    </row>
    <row r="620" spans="1:5" x14ac:dyDescent="0.25">
      <c r="A620" s="78" t="s">
        <v>751</v>
      </c>
      <c r="B620" t="s">
        <v>331</v>
      </c>
      <c r="C620" s="42">
        <v>385</v>
      </c>
      <c r="E620" t="s">
        <v>401</v>
      </c>
    </row>
    <row r="621" spans="1:5" x14ac:dyDescent="0.25">
      <c r="A621" s="78" t="s">
        <v>752</v>
      </c>
      <c r="B621" t="s">
        <v>331</v>
      </c>
      <c r="C621" s="42">
        <v>485</v>
      </c>
      <c r="E621" t="s">
        <v>403</v>
      </c>
    </row>
    <row r="622" spans="1:5" x14ac:dyDescent="0.25">
      <c r="A622" s="78" t="s">
        <v>753</v>
      </c>
      <c r="B622" t="s">
        <v>331</v>
      </c>
      <c r="C622" s="42">
        <v>385</v>
      </c>
      <c r="E622" t="s">
        <v>405</v>
      </c>
    </row>
    <row r="623" spans="1:5" x14ac:dyDescent="0.25">
      <c r="A623" s="78" t="s">
        <v>754</v>
      </c>
      <c r="B623" t="s">
        <v>331</v>
      </c>
      <c r="C623" s="42">
        <v>360</v>
      </c>
      <c r="E623" t="s">
        <v>407</v>
      </c>
    </row>
    <row r="624" spans="1:5" x14ac:dyDescent="0.25">
      <c r="A624" s="78" t="s">
        <v>755</v>
      </c>
      <c r="B624" t="s">
        <v>331</v>
      </c>
      <c r="C624" s="42">
        <v>485</v>
      </c>
      <c r="E624" t="s">
        <v>409</v>
      </c>
    </row>
    <row r="625" spans="1:5" x14ac:dyDescent="0.25">
      <c r="A625" s="78" t="s">
        <v>756</v>
      </c>
      <c r="B625" t="s">
        <v>331</v>
      </c>
      <c r="C625" s="42">
        <v>360</v>
      </c>
      <c r="E625" t="s">
        <v>411</v>
      </c>
    </row>
    <row r="626" spans="1:5" x14ac:dyDescent="0.25">
      <c r="A626" s="78" t="s">
        <v>757</v>
      </c>
      <c r="B626" t="s">
        <v>331</v>
      </c>
      <c r="C626" s="42">
        <v>360</v>
      </c>
      <c r="E626" t="s">
        <v>413</v>
      </c>
    </row>
    <row r="627" spans="1:5" x14ac:dyDescent="0.25">
      <c r="A627" s="78" t="s">
        <v>758</v>
      </c>
      <c r="B627" t="s">
        <v>331</v>
      </c>
      <c r="C627" s="42">
        <v>385</v>
      </c>
      <c r="E627" t="s">
        <v>415</v>
      </c>
    </row>
    <row r="628" spans="1:5" x14ac:dyDescent="0.25">
      <c r="A628" s="78" t="s">
        <v>759</v>
      </c>
      <c r="B628" t="s">
        <v>331</v>
      </c>
      <c r="C628" s="42">
        <v>360</v>
      </c>
      <c r="E628" t="s">
        <v>417</v>
      </c>
    </row>
    <row r="629" spans="1:5" x14ac:dyDescent="0.25">
      <c r="A629" s="78" t="s">
        <v>760</v>
      </c>
      <c r="B629" t="s">
        <v>331</v>
      </c>
      <c r="C629" s="42">
        <v>360</v>
      </c>
      <c r="E629" t="s">
        <v>419</v>
      </c>
    </row>
    <row r="630" spans="1:5" x14ac:dyDescent="0.25">
      <c r="A630" s="78" t="s">
        <v>761</v>
      </c>
      <c r="B630" t="s">
        <v>331</v>
      </c>
      <c r="C630" s="42">
        <v>385</v>
      </c>
      <c r="E630" t="s">
        <v>421</v>
      </c>
    </row>
    <row r="631" spans="1:5" x14ac:dyDescent="0.25">
      <c r="A631" s="78" t="s">
        <v>762</v>
      </c>
      <c r="B631" t="s">
        <v>331</v>
      </c>
      <c r="C631" s="42">
        <v>385</v>
      </c>
      <c r="E631" t="s">
        <v>423</v>
      </c>
    </row>
    <row r="632" spans="1:5" x14ac:dyDescent="0.25">
      <c r="A632" s="78" t="s">
        <v>763</v>
      </c>
      <c r="B632" t="s">
        <v>331</v>
      </c>
      <c r="C632" s="42">
        <v>385</v>
      </c>
      <c r="E632" t="s">
        <v>425</v>
      </c>
    </row>
    <row r="633" spans="1:5" x14ac:dyDescent="0.25">
      <c r="A633" s="78" t="s">
        <v>764</v>
      </c>
      <c r="B633" t="s">
        <v>331</v>
      </c>
      <c r="C633" s="42">
        <v>485</v>
      </c>
      <c r="E633" t="s">
        <v>427</v>
      </c>
    </row>
    <row r="634" spans="1:5" x14ac:dyDescent="0.25">
      <c r="A634" s="78" t="s">
        <v>765</v>
      </c>
      <c r="B634" t="s">
        <v>331</v>
      </c>
      <c r="C634" s="42">
        <v>385</v>
      </c>
      <c r="E634" t="s">
        <v>429</v>
      </c>
    </row>
    <row r="635" spans="1:5" x14ac:dyDescent="0.25">
      <c r="A635" s="78" t="s">
        <v>766</v>
      </c>
      <c r="B635" t="s">
        <v>331</v>
      </c>
      <c r="C635" s="42">
        <v>360</v>
      </c>
      <c r="E635" t="s">
        <v>431</v>
      </c>
    </row>
    <row r="636" spans="1:5" x14ac:dyDescent="0.25">
      <c r="A636" s="78" t="s">
        <v>767</v>
      </c>
      <c r="B636" t="s">
        <v>331</v>
      </c>
      <c r="C636" s="42">
        <v>485</v>
      </c>
      <c r="E636" t="s">
        <v>433</v>
      </c>
    </row>
    <row r="637" spans="1:5" x14ac:dyDescent="0.25">
      <c r="A637" s="78" t="s">
        <v>768</v>
      </c>
      <c r="B637" t="s">
        <v>331</v>
      </c>
      <c r="C637" s="42">
        <v>360</v>
      </c>
      <c r="E637" t="s">
        <v>340</v>
      </c>
    </row>
    <row r="638" spans="1:5" x14ac:dyDescent="0.25">
      <c r="A638" s="78" t="s">
        <v>769</v>
      </c>
      <c r="B638" t="s">
        <v>331</v>
      </c>
      <c r="C638" s="42">
        <v>360</v>
      </c>
      <c r="E638" t="s">
        <v>342</v>
      </c>
    </row>
    <row r="639" spans="1:5" x14ac:dyDescent="0.25">
      <c r="A639" s="78" t="s">
        <v>770</v>
      </c>
      <c r="B639" t="s">
        <v>331</v>
      </c>
      <c r="C639" s="42">
        <v>385</v>
      </c>
      <c r="E639" t="s">
        <v>437</v>
      </c>
    </row>
    <row r="640" spans="1:5" x14ac:dyDescent="0.25">
      <c r="A640" s="78" t="s">
        <v>771</v>
      </c>
      <c r="B640" t="s">
        <v>331</v>
      </c>
      <c r="C640" s="42">
        <v>360</v>
      </c>
      <c r="E640" t="s">
        <v>439</v>
      </c>
    </row>
    <row r="641" spans="1:5" x14ac:dyDescent="0.25">
      <c r="A641" s="78" t="s">
        <v>772</v>
      </c>
      <c r="B641" t="s">
        <v>331</v>
      </c>
      <c r="C641" s="42">
        <v>360</v>
      </c>
      <c r="E641" t="s">
        <v>441</v>
      </c>
    </row>
    <row r="642" spans="1:5" x14ac:dyDescent="0.25">
      <c r="A642" s="78" t="s">
        <v>773</v>
      </c>
      <c r="B642" t="s">
        <v>331</v>
      </c>
      <c r="C642" s="42">
        <v>385</v>
      </c>
      <c r="E642" t="s">
        <v>443</v>
      </c>
    </row>
    <row r="643" spans="1:5" x14ac:dyDescent="0.25">
      <c r="A643" s="78" t="s">
        <v>774</v>
      </c>
      <c r="B643" t="s">
        <v>331</v>
      </c>
      <c r="C643" s="42">
        <v>385</v>
      </c>
      <c r="E643" t="s">
        <v>423</v>
      </c>
    </row>
    <row r="644" spans="1:5" x14ac:dyDescent="0.25">
      <c r="A644" s="78" t="s">
        <v>775</v>
      </c>
      <c r="B644" t="s">
        <v>331</v>
      </c>
      <c r="C644" s="42">
        <v>385</v>
      </c>
      <c r="E644" t="s">
        <v>425</v>
      </c>
    </row>
    <row r="645" spans="1:5" x14ac:dyDescent="0.25">
      <c r="A645" s="78" t="s">
        <v>776</v>
      </c>
      <c r="B645" t="s">
        <v>331</v>
      </c>
      <c r="C645" s="42">
        <v>485</v>
      </c>
      <c r="E645" t="s">
        <v>427</v>
      </c>
    </row>
    <row r="646" spans="1:5" x14ac:dyDescent="0.25">
      <c r="A646" s="78" t="s">
        <v>777</v>
      </c>
      <c r="B646" t="s">
        <v>331</v>
      </c>
      <c r="C646" s="42">
        <v>385</v>
      </c>
      <c r="E646" t="s">
        <v>429</v>
      </c>
    </row>
    <row r="647" spans="1:5" x14ac:dyDescent="0.25">
      <c r="A647" s="78" t="s">
        <v>778</v>
      </c>
      <c r="B647" t="s">
        <v>331</v>
      </c>
      <c r="C647" s="42">
        <v>360</v>
      </c>
      <c r="E647" t="s">
        <v>431</v>
      </c>
    </row>
    <row r="648" spans="1:5" x14ac:dyDescent="0.25">
      <c r="A648" s="78" t="s">
        <v>779</v>
      </c>
      <c r="B648" t="s">
        <v>331</v>
      </c>
      <c r="C648" s="42">
        <v>485</v>
      </c>
      <c r="E648" t="s">
        <v>433</v>
      </c>
    </row>
    <row r="649" spans="1:5" x14ac:dyDescent="0.25">
      <c r="A649" s="78" t="s">
        <v>780</v>
      </c>
      <c r="B649" t="s">
        <v>331</v>
      </c>
      <c r="C649" s="42">
        <v>360</v>
      </c>
      <c r="E649" t="s">
        <v>340</v>
      </c>
    </row>
    <row r="650" spans="1:5" x14ac:dyDescent="0.25">
      <c r="A650" s="78" t="s">
        <v>781</v>
      </c>
      <c r="B650" t="s">
        <v>331</v>
      </c>
      <c r="C650" s="42">
        <v>360</v>
      </c>
      <c r="E650" t="s">
        <v>342</v>
      </c>
    </row>
    <row r="651" spans="1:5" x14ac:dyDescent="0.25">
      <c r="A651" s="78" t="s">
        <v>782</v>
      </c>
      <c r="B651" t="s">
        <v>331</v>
      </c>
      <c r="C651" s="42">
        <v>385</v>
      </c>
      <c r="E651" t="s">
        <v>437</v>
      </c>
    </row>
    <row r="652" spans="1:5" x14ac:dyDescent="0.25">
      <c r="A652" s="78" t="s">
        <v>783</v>
      </c>
      <c r="B652" t="s">
        <v>331</v>
      </c>
      <c r="C652" s="42">
        <v>360</v>
      </c>
      <c r="E652" t="s">
        <v>439</v>
      </c>
    </row>
    <row r="653" spans="1:5" x14ac:dyDescent="0.25">
      <c r="A653" s="78" t="s">
        <v>784</v>
      </c>
      <c r="B653" t="s">
        <v>331</v>
      </c>
      <c r="C653" s="42">
        <v>360</v>
      </c>
      <c r="E653" t="s">
        <v>441</v>
      </c>
    </row>
    <row r="654" spans="1:5" x14ac:dyDescent="0.25">
      <c r="A654" s="78" t="s">
        <v>785</v>
      </c>
      <c r="B654" t="s">
        <v>331</v>
      </c>
      <c r="C654" s="42">
        <v>385</v>
      </c>
      <c r="E654" t="s">
        <v>443</v>
      </c>
    </row>
    <row r="655" spans="1:5" x14ac:dyDescent="0.25">
      <c r="A655" s="78" t="s">
        <v>786</v>
      </c>
      <c r="B655" t="s">
        <v>331</v>
      </c>
      <c r="C655" s="42">
        <v>390</v>
      </c>
      <c r="E655" t="s">
        <v>399</v>
      </c>
    </row>
    <row r="656" spans="1:5" x14ac:dyDescent="0.25">
      <c r="A656" s="78" t="s">
        <v>787</v>
      </c>
      <c r="B656" t="s">
        <v>331</v>
      </c>
      <c r="C656" s="42">
        <v>390</v>
      </c>
      <c r="E656" t="s">
        <v>401</v>
      </c>
    </row>
    <row r="657" spans="1:5" x14ac:dyDescent="0.25">
      <c r="A657" s="78" t="s">
        <v>788</v>
      </c>
      <c r="B657" t="s">
        <v>331</v>
      </c>
      <c r="C657" s="42">
        <v>490</v>
      </c>
      <c r="E657" t="s">
        <v>403</v>
      </c>
    </row>
    <row r="658" spans="1:5" x14ac:dyDescent="0.25">
      <c r="A658" s="78" t="s">
        <v>789</v>
      </c>
      <c r="B658" t="s">
        <v>331</v>
      </c>
      <c r="C658" s="42">
        <v>390</v>
      </c>
      <c r="E658" t="s">
        <v>405</v>
      </c>
    </row>
    <row r="659" spans="1:5" x14ac:dyDescent="0.25">
      <c r="A659" s="78" t="s">
        <v>790</v>
      </c>
      <c r="B659" t="s">
        <v>331</v>
      </c>
      <c r="C659" s="42">
        <v>390</v>
      </c>
      <c r="E659" t="s">
        <v>407</v>
      </c>
    </row>
    <row r="660" spans="1:5" x14ac:dyDescent="0.25">
      <c r="A660" s="78" t="s">
        <v>791</v>
      </c>
      <c r="B660" t="s">
        <v>331</v>
      </c>
      <c r="C660" s="42">
        <v>490</v>
      </c>
      <c r="E660" t="s">
        <v>409</v>
      </c>
    </row>
    <row r="661" spans="1:5" x14ac:dyDescent="0.25">
      <c r="A661" s="78" t="s">
        <v>792</v>
      </c>
      <c r="B661" t="s">
        <v>331</v>
      </c>
      <c r="C661" s="42">
        <v>360</v>
      </c>
      <c r="E661" t="s">
        <v>411</v>
      </c>
    </row>
    <row r="662" spans="1:5" x14ac:dyDescent="0.25">
      <c r="A662" s="78" t="s">
        <v>793</v>
      </c>
      <c r="B662" t="s">
        <v>331</v>
      </c>
      <c r="C662" s="42">
        <v>360</v>
      </c>
      <c r="E662" t="s">
        <v>413</v>
      </c>
    </row>
    <row r="663" spans="1:5" x14ac:dyDescent="0.25">
      <c r="A663" s="78" t="s">
        <v>794</v>
      </c>
      <c r="B663" t="s">
        <v>331</v>
      </c>
      <c r="C663" s="42">
        <v>460</v>
      </c>
      <c r="E663" t="s">
        <v>415</v>
      </c>
    </row>
    <row r="664" spans="1:5" x14ac:dyDescent="0.25">
      <c r="A664" s="78" t="s">
        <v>795</v>
      </c>
      <c r="B664" t="s">
        <v>331</v>
      </c>
      <c r="C664" s="42">
        <v>360</v>
      </c>
      <c r="E664" t="s">
        <v>417</v>
      </c>
    </row>
    <row r="665" spans="1:5" x14ac:dyDescent="0.25">
      <c r="A665" s="78" t="s">
        <v>796</v>
      </c>
      <c r="B665" t="s">
        <v>331</v>
      </c>
      <c r="C665" s="42">
        <v>360</v>
      </c>
      <c r="E665" t="s">
        <v>419</v>
      </c>
    </row>
    <row r="666" spans="1:5" x14ac:dyDescent="0.25">
      <c r="A666" s="78" t="s">
        <v>797</v>
      </c>
      <c r="B666" t="s">
        <v>331</v>
      </c>
      <c r="C666" s="42">
        <v>460</v>
      </c>
      <c r="E666" t="s">
        <v>421</v>
      </c>
    </row>
    <row r="667" spans="1:5" x14ac:dyDescent="0.25">
      <c r="A667" s="78" t="s">
        <v>798</v>
      </c>
      <c r="B667" t="s">
        <v>331</v>
      </c>
      <c r="C667" s="42">
        <v>390</v>
      </c>
      <c r="E667" t="s">
        <v>399</v>
      </c>
    </row>
    <row r="668" spans="1:5" x14ac:dyDescent="0.25">
      <c r="A668" s="78" t="s">
        <v>799</v>
      </c>
      <c r="B668" t="s">
        <v>331</v>
      </c>
      <c r="C668" s="42">
        <v>390</v>
      </c>
      <c r="E668" t="s">
        <v>401</v>
      </c>
    </row>
    <row r="669" spans="1:5" x14ac:dyDescent="0.25">
      <c r="A669" s="78" t="s">
        <v>800</v>
      </c>
      <c r="B669" t="s">
        <v>331</v>
      </c>
      <c r="C669" s="42">
        <v>490</v>
      </c>
      <c r="E669" t="s">
        <v>403</v>
      </c>
    </row>
    <row r="670" spans="1:5" x14ac:dyDescent="0.25">
      <c r="A670" s="78" t="s">
        <v>801</v>
      </c>
      <c r="B670" t="s">
        <v>331</v>
      </c>
      <c r="C670" s="42">
        <v>390</v>
      </c>
      <c r="E670" t="s">
        <v>405</v>
      </c>
    </row>
    <row r="671" spans="1:5" x14ac:dyDescent="0.25">
      <c r="A671" s="78" t="s">
        <v>802</v>
      </c>
      <c r="B671" t="s">
        <v>331</v>
      </c>
      <c r="C671" s="42">
        <v>390</v>
      </c>
      <c r="E671" t="s">
        <v>407</v>
      </c>
    </row>
    <row r="672" spans="1:5" x14ac:dyDescent="0.25">
      <c r="A672" s="78" t="s">
        <v>803</v>
      </c>
      <c r="B672" t="s">
        <v>331</v>
      </c>
      <c r="C672" s="42">
        <v>490</v>
      </c>
      <c r="E672" t="s">
        <v>409</v>
      </c>
    </row>
    <row r="673" spans="1:5" x14ac:dyDescent="0.25">
      <c r="A673" s="78" t="s">
        <v>804</v>
      </c>
      <c r="B673" t="s">
        <v>331</v>
      </c>
      <c r="C673" s="42">
        <v>360</v>
      </c>
      <c r="E673" t="s">
        <v>411</v>
      </c>
    </row>
    <row r="674" spans="1:5" x14ac:dyDescent="0.25">
      <c r="A674" s="78" t="s">
        <v>805</v>
      </c>
      <c r="B674" t="s">
        <v>331</v>
      </c>
      <c r="C674" s="42">
        <v>360</v>
      </c>
      <c r="E674" t="s">
        <v>413</v>
      </c>
    </row>
    <row r="675" spans="1:5" x14ac:dyDescent="0.25">
      <c r="A675" s="78" t="s">
        <v>806</v>
      </c>
      <c r="B675" t="s">
        <v>331</v>
      </c>
      <c r="C675" s="42">
        <v>460</v>
      </c>
      <c r="E675" t="s">
        <v>415</v>
      </c>
    </row>
    <row r="676" spans="1:5" x14ac:dyDescent="0.25">
      <c r="A676" s="78" t="s">
        <v>807</v>
      </c>
      <c r="B676" t="s">
        <v>331</v>
      </c>
      <c r="C676" s="42">
        <v>360</v>
      </c>
      <c r="E676" t="s">
        <v>417</v>
      </c>
    </row>
    <row r="677" spans="1:5" x14ac:dyDescent="0.25">
      <c r="A677" s="78" t="s">
        <v>808</v>
      </c>
      <c r="B677" t="s">
        <v>331</v>
      </c>
      <c r="C677" s="42">
        <v>360</v>
      </c>
      <c r="E677" t="s">
        <v>419</v>
      </c>
    </row>
    <row r="678" spans="1:5" x14ac:dyDescent="0.25">
      <c r="A678" s="78" t="s">
        <v>809</v>
      </c>
      <c r="B678" t="s">
        <v>331</v>
      </c>
      <c r="C678" s="42">
        <v>460</v>
      </c>
      <c r="E678" t="s">
        <v>421</v>
      </c>
    </row>
    <row r="679" spans="1:5" x14ac:dyDescent="0.25">
      <c r="A679" s="78" t="s">
        <v>810</v>
      </c>
      <c r="B679" t="s">
        <v>331</v>
      </c>
      <c r="C679" s="42">
        <v>390</v>
      </c>
      <c r="E679" t="s">
        <v>423</v>
      </c>
    </row>
    <row r="680" spans="1:5" x14ac:dyDescent="0.25">
      <c r="A680" s="78" t="s">
        <v>811</v>
      </c>
      <c r="B680" t="s">
        <v>331</v>
      </c>
      <c r="C680" s="42">
        <v>390</v>
      </c>
      <c r="E680" t="s">
        <v>425</v>
      </c>
    </row>
    <row r="681" spans="1:5" x14ac:dyDescent="0.25">
      <c r="A681" s="78" t="s">
        <v>812</v>
      </c>
      <c r="B681" t="s">
        <v>331</v>
      </c>
      <c r="C681" s="42">
        <v>490</v>
      </c>
      <c r="E681" t="s">
        <v>427</v>
      </c>
    </row>
    <row r="682" spans="1:5" x14ac:dyDescent="0.25">
      <c r="A682" s="78" t="s">
        <v>813</v>
      </c>
      <c r="B682" t="s">
        <v>331</v>
      </c>
      <c r="C682" s="42">
        <v>390</v>
      </c>
      <c r="E682" t="s">
        <v>429</v>
      </c>
    </row>
    <row r="683" spans="1:5" x14ac:dyDescent="0.25">
      <c r="A683" s="78" t="s">
        <v>814</v>
      </c>
      <c r="B683" t="s">
        <v>331</v>
      </c>
      <c r="C683" s="42">
        <v>390</v>
      </c>
      <c r="E683" t="s">
        <v>431</v>
      </c>
    </row>
    <row r="684" spans="1:5" x14ac:dyDescent="0.25">
      <c r="A684" s="78" t="s">
        <v>815</v>
      </c>
      <c r="B684" t="s">
        <v>331</v>
      </c>
      <c r="C684" s="42">
        <v>490</v>
      </c>
      <c r="E684" t="s">
        <v>433</v>
      </c>
    </row>
    <row r="685" spans="1:5" x14ac:dyDescent="0.25">
      <c r="A685" s="78" t="s">
        <v>816</v>
      </c>
      <c r="B685" t="s">
        <v>331</v>
      </c>
      <c r="C685" s="42">
        <v>360</v>
      </c>
      <c r="E685" t="s">
        <v>340</v>
      </c>
    </row>
    <row r="686" spans="1:5" x14ac:dyDescent="0.25">
      <c r="A686" s="78" t="s">
        <v>817</v>
      </c>
      <c r="B686" t="s">
        <v>331</v>
      </c>
      <c r="C686" s="42">
        <v>360</v>
      </c>
      <c r="E686" t="s">
        <v>342</v>
      </c>
    </row>
    <row r="687" spans="1:5" x14ac:dyDescent="0.25">
      <c r="A687" s="78" t="s">
        <v>818</v>
      </c>
      <c r="B687" t="s">
        <v>331</v>
      </c>
      <c r="C687" s="42">
        <v>460</v>
      </c>
      <c r="E687" t="s">
        <v>437</v>
      </c>
    </row>
    <row r="688" spans="1:5" x14ac:dyDescent="0.25">
      <c r="A688" s="78" t="s">
        <v>819</v>
      </c>
      <c r="B688" t="s">
        <v>331</v>
      </c>
      <c r="C688" s="42">
        <v>360</v>
      </c>
      <c r="E688" t="s">
        <v>439</v>
      </c>
    </row>
    <row r="689" spans="1:5" x14ac:dyDescent="0.25">
      <c r="A689" s="78" t="s">
        <v>820</v>
      </c>
      <c r="B689" t="s">
        <v>331</v>
      </c>
      <c r="C689" s="42">
        <v>360</v>
      </c>
      <c r="E689" t="s">
        <v>441</v>
      </c>
    </row>
    <row r="690" spans="1:5" x14ac:dyDescent="0.25">
      <c r="A690" s="78" t="s">
        <v>821</v>
      </c>
      <c r="B690" t="s">
        <v>331</v>
      </c>
      <c r="C690" s="42">
        <v>460</v>
      </c>
      <c r="E690" t="s">
        <v>443</v>
      </c>
    </row>
    <row r="691" spans="1:5" x14ac:dyDescent="0.25">
      <c r="A691" s="78" t="s">
        <v>822</v>
      </c>
      <c r="B691" t="s">
        <v>331</v>
      </c>
      <c r="C691" s="42">
        <v>390</v>
      </c>
      <c r="E691" t="s">
        <v>423</v>
      </c>
    </row>
    <row r="692" spans="1:5" x14ac:dyDescent="0.25">
      <c r="A692" s="78" t="s">
        <v>823</v>
      </c>
      <c r="B692" t="s">
        <v>331</v>
      </c>
      <c r="C692" s="42">
        <v>390</v>
      </c>
      <c r="E692" t="s">
        <v>425</v>
      </c>
    </row>
    <row r="693" spans="1:5" x14ac:dyDescent="0.25">
      <c r="A693" s="78" t="s">
        <v>824</v>
      </c>
      <c r="B693" t="s">
        <v>331</v>
      </c>
      <c r="C693" s="42">
        <v>490</v>
      </c>
      <c r="E693" t="s">
        <v>427</v>
      </c>
    </row>
    <row r="694" spans="1:5" x14ac:dyDescent="0.25">
      <c r="A694" s="78" t="s">
        <v>825</v>
      </c>
      <c r="B694" t="s">
        <v>331</v>
      </c>
      <c r="C694" s="42">
        <v>390</v>
      </c>
      <c r="E694" t="s">
        <v>429</v>
      </c>
    </row>
    <row r="695" spans="1:5" x14ac:dyDescent="0.25">
      <c r="A695" s="78" t="s">
        <v>826</v>
      </c>
      <c r="B695" t="s">
        <v>331</v>
      </c>
      <c r="C695" s="42">
        <v>390</v>
      </c>
      <c r="E695" t="s">
        <v>431</v>
      </c>
    </row>
    <row r="696" spans="1:5" x14ac:dyDescent="0.25">
      <c r="A696" s="78" t="s">
        <v>827</v>
      </c>
      <c r="B696" t="s">
        <v>331</v>
      </c>
      <c r="C696" s="42">
        <v>490</v>
      </c>
      <c r="E696" t="s">
        <v>433</v>
      </c>
    </row>
    <row r="697" spans="1:5" x14ac:dyDescent="0.25">
      <c r="A697" s="78" t="s">
        <v>828</v>
      </c>
      <c r="B697" t="s">
        <v>331</v>
      </c>
      <c r="C697" s="42">
        <v>360</v>
      </c>
      <c r="E697" t="s">
        <v>340</v>
      </c>
    </row>
    <row r="698" spans="1:5" x14ac:dyDescent="0.25">
      <c r="A698" s="78" t="s">
        <v>829</v>
      </c>
      <c r="B698" t="s">
        <v>331</v>
      </c>
      <c r="C698" s="42">
        <v>360</v>
      </c>
      <c r="E698" t="s">
        <v>342</v>
      </c>
    </row>
    <row r="699" spans="1:5" x14ac:dyDescent="0.25">
      <c r="A699" s="78" t="s">
        <v>830</v>
      </c>
      <c r="B699" t="s">
        <v>331</v>
      </c>
      <c r="C699" s="42">
        <v>460</v>
      </c>
      <c r="E699" t="s">
        <v>437</v>
      </c>
    </row>
    <row r="700" spans="1:5" x14ac:dyDescent="0.25">
      <c r="A700" s="78" t="s">
        <v>831</v>
      </c>
      <c r="B700" t="s">
        <v>331</v>
      </c>
      <c r="C700" s="42">
        <v>360</v>
      </c>
      <c r="E700" t="s">
        <v>439</v>
      </c>
    </row>
    <row r="701" spans="1:5" x14ac:dyDescent="0.25">
      <c r="A701" s="78" t="s">
        <v>832</v>
      </c>
      <c r="B701" t="s">
        <v>331</v>
      </c>
      <c r="C701" s="42">
        <v>360</v>
      </c>
      <c r="E701" t="s">
        <v>441</v>
      </c>
    </row>
    <row r="702" spans="1:5" x14ac:dyDescent="0.25">
      <c r="A702" s="78" t="s">
        <v>833</v>
      </c>
      <c r="B702" t="s">
        <v>331</v>
      </c>
      <c r="C702" s="42">
        <v>460</v>
      </c>
      <c r="E702" t="s">
        <v>443</v>
      </c>
    </row>
    <row r="703" spans="1:5" x14ac:dyDescent="0.25">
      <c r="A703" s="78" t="s">
        <v>834</v>
      </c>
      <c r="B703" t="s">
        <v>331</v>
      </c>
      <c r="C703" s="42">
        <v>185</v>
      </c>
      <c r="E703" t="s">
        <v>399</v>
      </c>
    </row>
    <row r="704" spans="1:5" x14ac:dyDescent="0.25">
      <c r="A704" s="78" t="s">
        <v>835</v>
      </c>
      <c r="B704" t="s">
        <v>331</v>
      </c>
      <c r="C704" s="42">
        <v>185</v>
      </c>
      <c r="E704" t="s">
        <v>401</v>
      </c>
    </row>
    <row r="705" spans="1:5" x14ac:dyDescent="0.25">
      <c r="A705" s="78" t="s">
        <v>836</v>
      </c>
      <c r="B705" t="s">
        <v>331</v>
      </c>
      <c r="C705" s="42">
        <v>285</v>
      </c>
      <c r="E705" t="s">
        <v>403</v>
      </c>
    </row>
    <row r="706" spans="1:5" x14ac:dyDescent="0.25">
      <c r="A706" s="78" t="s">
        <v>837</v>
      </c>
      <c r="B706" t="s">
        <v>331</v>
      </c>
      <c r="C706" s="42">
        <v>185</v>
      </c>
      <c r="E706" t="s">
        <v>405</v>
      </c>
    </row>
    <row r="707" spans="1:5" x14ac:dyDescent="0.25">
      <c r="A707" s="78" t="s">
        <v>838</v>
      </c>
      <c r="B707" t="s">
        <v>331</v>
      </c>
      <c r="C707" s="42">
        <v>185</v>
      </c>
      <c r="E707" t="s">
        <v>407</v>
      </c>
    </row>
    <row r="708" spans="1:5" x14ac:dyDescent="0.25">
      <c r="A708" s="78" t="s">
        <v>839</v>
      </c>
      <c r="B708" t="s">
        <v>331</v>
      </c>
      <c r="C708" s="42">
        <v>285</v>
      </c>
      <c r="E708" t="s">
        <v>409</v>
      </c>
    </row>
    <row r="709" spans="1:5" x14ac:dyDescent="0.25">
      <c r="A709" s="78" t="s">
        <v>840</v>
      </c>
      <c r="B709" t="s">
        <v>331</v>
      </c>
      <c r="C709" s="42">
        <v>175</v>
      </c>
      <c r="E709" t="s">
        <v>411</v>
      </c>
    </row>
    <row r="710" spans="1:5" x14ac:dyDescent="0.25">
      <c r="A710" s="78" t="s">
        <v>841</v>
      </c>
      <c r="B710" t="s">
        <v>331</v>
      </c>
      <c r="C710" s="42">
        <v>175</v>
      </c>
      <c r="E710" t="s">
        <v>413</v>
      </c>
    </row>
    <row r="711" spans="1:5" x14ac:dyDescent="0.25">
      <c r="A711" s="78" t="s">
        <v>842</v>
      </c>
      <c r="B711" t="s">
        <v>331</v>
      </c>
      <c r="C711" s="42">
        <v>275</v>
      </c>
      <c r="E711" t="s">
        <v>415</v>
      </c>
    </row>
    <row r="712" spans="1:5" x14ac:dyDescent="0.25">
      <c r="A712" s="78" t="s">
        <v>843</v>
      </c>
      <c r="B712" t="s">
        <v>331</v>
      </c>
      <c r="C712" s="42">
        <v>175</v>
      </c>
      <c r="E712" t="s">
        <v>417</v>
      </c>
    </row>
    <row r="713" spans="1:5" x14ac:dyDescent="0.25">
      <c r="A713" s="78" t="s">
        <v>844</v>
      </c>
      <c r="B713" t="s">
        <v>331</v>
      </c>
      <c r="C713" s="42">
        <v>175</v>
      </c>
      <c r="E713" t="s">
        <v>419</v>
      </c>
    </row>
    <row r="714" spans="1:5" x14ac:dyDescent="0.25">
      <c r="A714" s="78" t="s">
        <v>845</v>
      </c>
      <c r="B714" t="s">
        <v>331</v>
      </c>
      <c r="C714" s="42">
        <v>275</v>
      </c>
      <c r="E714" t="s">
        <v>421</v>
      </c>
    </row>
    <row r="715" spans="1:5" x14ac:dyDescent="0.25">
      <c r="A715" s="78" t="s">
        <v>846</v>
      </c>
      <c r="B715" t="s">
        <v>331</v>
      </c>
      <c r="C715" s="42">
        <v>185</v>
      </c>
      <c r="E715" t="s">
        <v>423</v>
      </c>
    </row>
    <row r="716" spans="1:5" x14ac:dyDescent="0.25">
      <c r="A716" s="78" t="s">
        <v>847</v>
      </c>
      <c r="B716" t="s">
        <v>331</v>
      </c>
      <c r="C716" s="42">
        <v>185</v>
      </c>
      <c r="E716" t="s">
        <v>425</v>
      </c>
    </row>
    <row r="717" spans="1:5" x14ac:dyDescent="0.25">
      <c r="A717" s="78" t="s">
        <v>848</v>
      </c>
      <c r="B717" t="s">
        <v>331</v>
      </c>
      <c r="C717" s="42">
        <v>285</v>
      </c>
      <c r="E717" t="s">
        <v>427</v>
      </c>
    </row>
    <row r="718" spans="1:5" x14ac:dyDescent="0.25">
      <c r="A718" s="78" t="s">
        <v>849</v>
      </c>
      <c r="B718" t="s">
        <v>331</v>
      </c>
      <c r="C718" s="42">
        <v>185</v>
      </c>
      <c r="E718" t="s">
        <v>429</v>
      </c>
    </row>
    <row r="719" spans="1:5" x14ac:dyDescent="0.25">
      <c r="A719" s="78" t="s">
        <v>850</v>
      </c>
      <c r="B719" t="s">
        <v>331</v>
      </c>
      <c r="C719" s="42">
        <v>185</v>
      </c>
      <c r="E719" t="s">
        <v>431</v>
      </c>
    </row>
    <row r="720" spans="1:5" x14ac:dyDescent="0.25">
      <c r="A720" s="78" t="s">
        <v>851</v>
      </c>
      <c r="B720" t="s">
        <v>331</v>
      </c>
      <c r="C720" s="42">
        <v>285</v>
      </c>
      <c r="E720" t="s">
        <v>433</v>
      </c>
    </row>
    <row r="721" spans="1:5" x14ac:dyDescent="0.25">
      <c r="A721" s="78" t="s">
        <v>852</v>
      </c>
      <c r="B721" t="s">
        <v>331</v>
      </c>
      <c r="C721" s="42">
        <v>175</v>
      </c>
      <c r="E721" t="s">
        <v>340</v>
      </c>
    </row>
    <row r="722" spans="1:5" x14ac:dyDescent="0.25">
      <c r="A722" s="78" t="s">
        <v>853</v>
      </c>
      <c r="B722" t="s">
        <v>331</v>
      </c>
      <c r="C722" s="42">
        <v>175</v>
      </c>
      <c r="E722" t="s">
        <v>342</v>
      </c>
    </row>
    <row r="723" spans="1:5" x14ac:dyDescent="0.25">
      <c r="A723" s="78" t="s">
        <v>854</v>
      </c>
      <c r="B723" t="s">
        <v>331</v>
      </c>
      <c r="C723" s="42">
        <v>275</v>
      </c>
      <c r="E723" t="s">
        <v>437</v>
      </c>
    </row>
    <row r="724" spans="1:5" x14ac:dyDescent="0.25">
      <c r="A724" s="78" t="s">
        <v>855</v>
      </c>
      <c r="B724" t="s">
        <v>331</v>
      </c>
      <c r="C724" s="42">
        <v>175</v>
      </c>
      <c r="E724" t="s">
        <v>439</v>
      </c>
    </row>
    <row r="725" spans="1:5" x14ac:dyDescent="0.25">
      <c r="A725" s="78" t="s">
        <v>856</v>
      </c>
      <c r="B725" t="s">
        <v>331</v>
      </c>
      <c r="C725" s="42">
        <v>175</v>
      </c>
      <c r="E725" t="s">
        <v>441</v>
      </c>
    </row>
    <row r="726" spans="1:5" x14ac:dyDescent="0.25">
      <c r="A726" s="78" t="s">
        <v>857</v>
      </c>
      <c r="B726" t="s">
        <v>331</v>
      </c>
      <c r="C726" s="42">
        <v>275</v>
      </c>
      <c r="E726" t="s">
        <v>443</v>
      </c>
    </row>
    <row r="727" spans="1:5" x14ac:dyDescent="0.25">
      <c r="A727" s="78" t="s">
        <v>858</v>
      </c>
      <c r="B727" t="s">
        <v>348</v>
      </c>
      <c r="C727" s="42">
        <v>180</v>
      </c>
      <c r="E727" t="s">
        <v>349</v>
      </c>
    </row>
    <row r="728" spans="1:5" x14ac:dyDescent="0.25">
      <c r="A728" s="78" t="s">
        <v>859</v>
      </c>
      <c r="B728" t="s">
        <v>348</v>
      </c>
      <c r="C728" s="42">
        <v>180</v>
      </c>
      <c r="E728" t="s">
        <v>357</v>
      </c>
    </row>
    <row r="729" spans="1:5" x14ac:dyDescent="0.25">
      <c r="A729" s="79" t="s">
        <v>860</v>
      </c>
      <c r="B729" t="s">
        <v>331</v>
      </c>
      <c r="C729" s="42">
        <v>150</v>
      </c>
      <c r="E729" t="s">
        <v>469</v>
      </c>
    </row>
    <row r="730" spans="1:5" x14ac:dyDescent="0.25">
      <c r="A730" s="79" t="s">
        <v>861</v>
      </c>
      <c r="B730" t="s">
        <v>331</v>
      </c>
      <c r="C730" s="42">
        <v>150</v>
      </c>
      <c r="E730" t="s">
        <v>469</v>
      </c>
    </row>
    <row r="731" spans="1:5" x14ac:dyDescent="0.25">
      <c r="A731" s="79" t="s">
        <v>862</v>
      </c>
      <c r="B731" t="s">
        <v>331</v>
      </c>
      <c r="C731" s="42">
        <v>250</v>
      </c>
      <c r="E731" t="s">
        <v>863</v>
      </c>
    </row>
    <row r="732" spans="1:5" x14ac:dyDescent="0.25">
      <c r="A732" s="79" t="s">
        <v>862</v>
      </c>
      <c r="B732" t="s">
        <v>331</v>
      </c>
      <c r="C732" s="42">
        <v>250</v>
      </c>
      <c r="E732" t="s">
        <v>863</v>
      </c>
    </row>
    <row r="733" spans="1:5" x14ac:dyDescent="0.25">
      <c r="A733" s="79" t="s">
        <v>864</v>
      </c>
      <c r="B733" t="s">
        <v>331</v>
      </c>
      <c r="C733" s="42">
        <v>250</v>
      </c>
      <c r="E733" t="s">
        <v>865</v>
      </c>
    </row>
    <row r="734" spans="1:5" x14ac:dyDescent="0.25">
      <c r="A734" s="79" t="s">
        <v>866</v>
      </c>
      <c r="B734" t="s">
        <v>331</v>
      </c>
      <c r="C734" s="42">
        <v>150</v>
      </c>
      <c r="E734" t="s">
        <v>469</v>
      </c>
    </row>
    <row r="735" spans="1:5" x14ac:dyDescent="0.25">
      <c r="A735" s="79" t="s">
        <v>867</v>
      </c>
      <c r="B735" t="s">
        <v>331</v>
      </c>
      <c r="C735" s="42">
        <v>150</v>
      </c>
      <c r="E735" t="s">
        <v>469</v>
      </c>
    </row>
    <row r="736" spans="1:5" x14ac:dyDescent="0.25">
      <c r="A736" s="79" t="s">
        <v>868</v>
      </c>
      <c r="B736" t="s">
        <v>331</v>
      </c>
      <c r="C736" s="42">
        <v>250</v>
      </c>
      <c r="E736" t="s">
        <v>863</v>
      </c>
    </row>
    <row r="737" spans="1:5" x14ac:dyDescent="0.25">
      <c r="A737" s="79" t="s">
        <v>868</v>
      </c>
      <c r="B737" t="s">
        <v>331</v>
      </c>
      <c r="C737" s="42">
        <v>250</v>
      </c>
      <c r="E737" t="s">
        <v>863</v>
      </c>
    </row>
    <row r="738" spans="1:5" x14ac:dyDescent="0.25">
      <c r="A738" s="79" t="s">
        <v>869</v>
      </c>
      <c r="B738" t="s">
        <v>331</v>
      </c>
      <c r="C738" s="42">
        <v>150</v>
      </c>
      <c r="E738" t="s">
        <v>483</v>
      </c>
    </row>
    <row r="739" spans="1:5" x14ac:dyDescent="0.25">
      <c r="A739" s="79" t="s">
        <v>870</v>
      </c>
      <c r="B739" t="s">
        <v>331</v>
      </c>
      <c r="C739" s="42">
        <v>150</v>
      </c>
      <c r="E739" t="s">
        <v>483</v>
      </c>
    </row>
    <row r="740" spans="1:5" x14ac:dyDescent="0.25">
      <c r="A740" s="79" t="s">
        <v>871</v>
      </c>
      <c r="B740" t="s">
        <v>331</v>
      </c>
      <c r="C740" s="42">
        <v>250</v>
      </c>
      <c r="E740" t="s">
        <v>473</v>
      </c>
    </row>
    <row r="741" spans="1:5" x14ac:dyDescent="0.25">
      <c r="A741" s="79" t="s">
        <v>872</v>
      </c>
      <c r="B741" t="s">
        <v>331</v>
      </c>
      <c r="C741" s="42">
        <v>150</v>
      </c>
      <c r="E741" t="s">
        <v>483</v>
      </c>
    </row>
    <row r="742" spans="1:5" x14ac:dyDescent="0.25">
      <c r="A742" s="79" t="s">
        <v>873</v>
      </c>
      <c r="B742" t="s">
        <v>331</v>
      </c>
      <c r="C742" s="42">
        <v>150</v>
      </c>
      <c r="E742" t="s">
        <v>483</v>
      </c>
    </row>
    <row r="743" spans="1:5" x14ac:dyDescent="0.25">
      <c r="A743" s="79" t="s">
        <v>874</v>
      </c>
      <c r="B743" t="s">
        <v>331</v>
      </c>
      <c r="C743" s="42">
        <v>150</v>
      </c>
      <c r="E743" t="s">
        <v>875</v>
      </c>
    </row>
    <row r="744" spans="1:5" x14ac:dyDescent="0.25">
      <c r="A744" s="79" t="s">
        <v>876</v>
      </c>
      <c r="B744" t="s">
        <v>331</v>
      </c>
      <c r="C744" s="42">
        <v>150</v>
      </c>
      <c r="E744" t="s">
        <v>877</v>
      </c>
    </row>
    <row r="745" spans="1:5" x14ac:dyDescent="0.25">
      <c r="A745" s="79" t="s">
        <v>878</v>
      </c>
      <c r="B745" t="s">
        <v>331</v>
      </c>
      <c r="C745" s="42">
        <v>250</v>
      </c>
      <c r="E745" t="s">
        <v>865</v>
      </c>
    </row>
    <row r="746" spans="1:5" x14ac:dyDescent="0.25">
      <c r="A746" s="79" t="s">
        <v>879</v>
      </c>
      <c r="B746" t="s">
        <v>331</v>
      </c>
      <c r="C746" s="42">
        <v>250</v>
      </c>
      <c r="E746" t="s">
        <v>865</v>
      </c>
    </row>
    <row r="747" spans="1:5" x14ac:dyDescent="0.25">
      <c r="A747" s="79" t="s">
        <v>880</v>
      </c>
      <c r="B747" t="s">
        <v>331</v>
      </c>
      <c r="C747" s="42">
        <v>150</v>
      </c>
      <c r="E747" t="s">
        <v>477</v>
      </c>
    </row>
    <row r="748" spans="1:5" x14ac:dyDescent="0.25">
      <c r="A748" s="79" t="s">
        <v>881</v>
      </c>
      <c r="B748" t="s">
        <v>331</v>
      </c>
      <c r="C748" s="42">
        <v>250</v>
      </c>
      <c r="E748" t="s">
        <v>722</v>
      </c>
    </row>
    <row r="749" spans="1:5" x14ac:dyDescent="0.25">
      <c r="A749" s="79" t="s">
        <v>882</v>
      </c>
      <c r="B749" t="s">
        <v>331</v>
      </c>
      <c r="C749" s="42">
        <v>250</v>
      </c>
      <c r="E749" t="s">
        <v>865</v>
      </c>
    </row>
    <row r="750" spans="1:5" x14ac:dyDescent="0.25">
      <c r="A750" s="79" t="s">
        <v>883</v>
      </c>
      <c r="B750" t="s">
        <v>331</v>
      </c>
      <c r="C750" s="42">
        <v>150</v>
      </c>
      <c r="E750" t="s">
        <v>530</v>
      </c>
    </row>
    <row r="751" spans="1:5" x14ac:dyDescent="0.25">
      <c r="A751" s="79" t="s">
        <v>884</v>
      </c>
      <c r="B751" t="s">
        <v>331</v>
      </c>
      <c r="C751" s="42">
        <v>150</v>
      </c>
      <c r="E751" t="s">
        <v>532</v>
      </c>
    </row>
    <row r="752" spans="1:5" x14ac:dyDescent="0.25">
      <c r="A752" s="79" t="s">
        <v>885</v>
      </c>
      <c r="B752" t="s">
        <v>331</v>
      </c>
      <c r="C752" s="42">
        <v>250</v>
      </c>
      <c r="E752" t="s">
        <v>510</v>
      </c>
    </row>
    <row r="753" spans="1:5" x14ac:dyDescent="0.25">
      <c r="A753" s="79" t="s">
        <v>886</v>
      </c>
      <c r="B753" t="s">
        <v>331</v>
      </c>
      <c r="C753" s="42">
        <v>250</v>
      </c>
      <c r="E753" t="s">
        <v>510</v>
      </c>
    </row>
    <row r="754" spans="1:5" x14ac:dyDescent="0.25">
      <c r="A754" s="79" t="s">
        <v>887</v>
      </c>
      <c r="B754" t="s">
        <v>331</v>
      </c>
      <c r="C754" s="42">
        <v>150</v>
      </c>
      <c r="E754" t="s">
        <v>489</v>
      </c>
    </row>
    <row r="755" spans="1:5" x14ac:dyDescent="0.25">
      <c r="A755" s="79" t="s">
        <v>888</v>
      </c>
      <c r="B755" t="s">
        <v>331</v>
      </c>
      <c r="C755" s="42">
        <v>150</v>
      </c>
      <c r="E755" t="s">
        <v>889</v>
      </c>
    </row>
    <row r="756" spans="1:5" x14ac:dyDescent="0.25">
      <c r="A756" s="79" t="s">
        <v>890</v>
      </c>
      <c r="B756" t="s">
        <v>331</v>
      </c>
      <c r="C756" s="42">
        <v>250</v>
      </c>
      <c r="E756" t="s">
        <v>510</v>
      </c>
    </row>
    <row r="757" spans="1:5" x14ac:dyDescent="0.25">
      <c r="A757" t="s">
        <v>891</v>
      </c>
      <c r="B757" t="s">
        <v>331</v>
      </c>
      <c r="C757" s="42">
        <v>385</v>
      </c>
      <c r="E757" t="s">
        <v>399</v>
      </c>
    </row>
    <row r="758" spans="1:5" x14ac:dyDescent="0.25">
      <c r="A758" t="s">
        <v>892</v>
      </c>
      <c r="B758" t="s">
        <v>331</v>
      </c>
      <c r="C758" s="42">
        <v>385</v>
      </c>
      <c r="E758" t="s">
        <v>401</v>
      </c>
    </row>
    <row r="759" spans="1:5" x14ac:dyDescent="0.25">
      <c r="A759" t="s">
        <v>893</v>
      </c>
      <c r="B759" t="s">
        <v>331</v>
      </c>
      <c r="C759" s="42">
        <v>485</v>
      </c>
      <c r="E759" t="s">
        <v>403</v>
      </c>
    </row>
    <row r="760" spans="1:5" x14ac:dyDescent="0.25">
      <c r="A760" t="s">
        <v>894</v>
      </c>
      <c r="B760" t="s">
        <v>331</v>
      </c>
      <c r="C760" s="42">
        <v>385</v>
      </c>
      <c r="E760" t="s">
        <v>405</v>
      </c>
    </row>
    <row r="761" spans="1:5" x14ac:dyDescent="0.25">
      <c r="A761" t="s">
        <v>895</v>
      </c>
      <c r="B761" t="s">
        <v>331</v>
      </c>
      <c r="C761" s="42">
        <v>360</v>
      </c>
      <c r="E761" t="s">
        <v>407</v>
      </c>
    </row>
    <row r="762" spans="1:5" x14ac:dyDescent="0.25">
      <c r="A762" t="s">
        <v>896</v>
      </c>
      <c r="B762" t="s">
        <v>331</v>
      </c>
      <c r="C762" s="42">
        <v>485</v>
      </c>
      <c r="E762" t="s">
        <v>409</v>
      </c>
    </row>
    <row r="763" spans="1:5" x14ac:dyDescent="0.25">
      <c r="A763" t="s">
        <v>897</v>
      </c>
      <c r="B763" t="s">
        <v>331</v>
      </c>
      <c r="C763" s="42">
        <v>360</v>
      </c>
      <c r="E763" t="s">
        <v>411</v>
      </c>
    </row>
    <row r="764" spans="1:5" x14ac:dyDescent="0.25">
      <c r="A764" t="s">
        <v>898</v>
      </c>
      <c r="B764" t="s">
        <v>331</v>
      </c>
      <c r="C764" s="42">
        <v>360</v>
      </c>
      <c r="E764" t="s">
        <v>413</v>
      </c>
    </row>
    <row r="765" spans="1:5" x14ac:dyDescent="0.25">
      <c r="A765" t="s">
        <v>899</v>
      </c>
      <c r="B765" t="s">
        <v>331</v>
      </c>
      <c r="C765" s="42">
        <v>385</v>
      </c>
      <c r="E765" t="s">
        <v>415</v>
      </c>
    </row>
    <row r="766" spans="1:5" x14ac:dyDescent="0.25">
      <c r="A766" t="s">
        <v>900</v>
      </c>
      <c r="B766" t="s">
        <v>331</v>
      </c>
      <c r="C766" s="42">
        <v>360</v>
      </c>
      <c r="E766" t="s">
        <v>417</v>
      </c>
    </row>
    <row r="767" spans="1:5" x14ac:dyDescent="0.25">
      <c r="A767" t="s">
        <v>901</v>
      </c>
      <c r="B767" t="s">
        <v>331</v>
      </c>
      <c r="C767" s="42">
        <v>360</v>
      </c>
      <c r="E767" t="s">
        <v>419</v>
      </c>
    </row>
    <row r="768" spans="1:5" x14ac:dyDescent="0.25">
      <c r="A768" t="s">
        <v>902</v>
      </c>
      <c r="B768" t="s">
        <v>331</v>
      </c>
      <c r="C768" s="42">
        <v>385</v>
      </c>
      <c r="E768" t="s">
        <v>421</v>
      </c>
    </row>
    <row r="769" spans="1:5" x14ac:dyDescent="0.25">
      <c r="A769" t="s">
        <v>903</v>
      </c>
      <c r="B769" t="s">
        <v>331</v>
      </c>
      <c r="C769" s="42">
        <v>385</v>
      </c>
      <c r="E769" t="s">
        <v>423</v>
      </c>
    </row>
    <row r="770" spans="1:5" x14ac:dyDescent="0.25">
      <c r="A770" t="s">
        <v>904</v>
      </c>
      <c r="B770" t="s">
        <v>331</v>
      </c>
      <c r="C770" s="42">
        <v>385</v>
      </c>
      <c r="E770" t="s">
        <v>425</v>
      </c>
    </row>
    <row r="771" spans="1:5" x14ac:dyDescent="0.25">
      <c r="A771" t="s">
        <v>905</v>
      </c>
      <c r="B771" t="s">
        <v>331</v>
      </c>
      <c r="C771" s="42">
        <v>485</v>
      </c>
      <c r="E771" t="s">
        <v>427</v>
      </c>
    </row>
    <row r="772" spans="1:5" x14ac:dyDescent="0.25">
      <c r="A772" t="s">
        <v>906</v>
      </c>
      <c r="B772" t="s">
        <v>331</v>
      </c>
      <c r="C772" s="42">
        <v>385</v>
      </c>
      <c r="E772" t="s">
        <v>429</v>
      </c>
    </row>
    <row r="773" spans="1:5" x14ac:dyDescent="0.25">
      <c r="A773" t="s">
        <v>907</v>
      </c>
      <c r="B773" t="s">
        <v>331</v>
      </c>
      <c r="C773" s="42">
        <v>360</v>
      </c>
      <c r="E773" t="s">
        <v>431</v>
      </c>
    </row>
    <row r="774" spans="1:5" x14ac:dyDescent="0.25">
      <c r="A774" t="s">
        <v>908</v>
      </c>
      <c r="B774" t="s">
        <v>331</v>
      </c>
      <c r="C774" s="42">
        <v>485</v>
      </c>
      <c r="E774" t="s">
        <v>433</v>
      </c>
    </row>
    <row r="775" spans="1:5" x14ac:dyDescent="0.25">
      <c r="A775" t="s">
        <v>909</v>
      </c>
      <c r="B775" t="s">
        <v>331</v>
      </c>
      <c r="C775" s="42">
        <v>360</v>
      </c>
      <c r="E775" t="s">
        <v>340</v>
      </c>
    </row>
    <row r="776" spans="1:5" x14ac:dyDescent="0.25">
      <c r="A776" t="s">
        <v>910</v>
      </c>
      <c r="B776" t="s">
        <v>331</v>
      </c>
      <c r="C776" s="42">
        <v>360</v>
      </c>
      <c r="E776" t="s">
        <v>342</v>
      </c>
    </row>
    <row r="777" spans="1:5" x14ac:dyDescent="0.25">
      <c r="A777" t="s">
        <v>911</v>
      </c>
      <c r="B777" t="s">
        <v>331</v>
      </c>
      <c r="C777" s="42">
        <v>385</v>
      </c>
      <c r="E777" t="s">
        <v>437</v>
      </c>
    </row>
    <row r="778" spans="1:5" x14ac:dyDescent="0.25">
      <c r="A778" t="s">
        <v>912</v>
      </c>
      <c r="B778" t="s">
        <v>331</v>
      </c>
      <c r="C778" s="42">
        <v>360</v>
      </c>
      <c r="E778" t="s">
        <v>439</v>
      </c>
    </row>
    <row r="779" spans="1:5" x14ac:dyDescent="0.25">
      <c r="A779" t="s">
        <v>913</v>
      </c>
      <c r="B779" t="s">
        <v>331</v>
      </c>
      <c r="C779" s="42">
        <v>360</v>
      </c>
      <c r="E779" t="s">
        <v>441</v>
      </c>
    </row>
    <row r="780" spans="1:5" x14ac:dyDescent="0.25">
      <c r="A780" t="s">
        <v>914</v>
      </c>
      <c r="B780" t="s">
        <v>331</v>
      </c>
      <c r="C780" s="42">
        <v>385</v>
      </c>
      <c r="E780" t="s">
        <v>443</v>
      </c>
    </row>
    <row r="781" spans="1:5" x14ac:dyDescent="0.25">
      <c r="A781" t="s">
        <v>915</v>
      </c>
      <c r="B781" t="s">
        <v>331</v>
      </c>
      <c r="C781" s="42">
        <v>385</v>
      </c>
      <c r="E781" t="s">
        <v>399</v>
      </c>
    </row>
    <row r="782" spans="1:5" x14ac:dyDescent="0.25">
      <c r="A782" t="s">
        <v>916</v>
      </c>
      <c r="B782" t="s">
        <v>331</v>
      </c>
      <c r="C782" s="42">
        <v>385</v>
      </c>
      <c r="E782" t="s">
        <v>401</v>
      </c>
    </row>
    <row r="783" spans="1:5" x14ac:dyDescent="0.25">
      <c r="A783" t="s">
        <v>917</v>
      </c>
      <c r="B783" t="s">
        <v>331</v>
      </c>
      <c r="C783" s="42">
        <v>485</v>
      </c>
      <c r="E783" t="s">
        <v>403</v>
      </c>
    </row>
    <row r="784" spans="1:5" x14ac:dyDescent="0.25">
      <c r="A784" t="s">
        <v>918</v>
      </c>
      <c r="B784" t="s">
        <v>331</v>
      </c>
      <c r="C784" s="42">
        <v>385</v>
      </c>
      <c r="E784" t="s">
        <v>405</v>
      </c>
    </row>
    <row r="785" spans="1:8" x14ac:dyDescent="0.25">
      <c r="A785" t="s">
        <v>919</v>
      </c>
      <c r="B785" t="s">
        <v>331</v>
      </c>
      <c r="C785" s="42">
        <v>360</v>
      </c>
      <c r="E785" t="s">
        <v>407</v>
      </c>
    </row>
    <row r="786" spans="1:8" x14ac:dyDescent="0.25">
      <c r="A786" t="s">
        <v>920</v>
      </c>
      <c r="B786" t="s">
        <v>331</v>
      </c>
      <c r="C786" s="42">
        <v>485</v>
      </c>
      <c r="E786" t="s">
        <v>409</v>
      </c>
    </row>
    <row r="787" spans="1:8" x14ac:dyDescent="0.25">
      <c r="A787" t="s">
        <v>921</v>
      </c>
      <c r="B787" t="s">
        <v>331</v>
      </c>
      <c r="C787" s="42">
        <v>360</v>
      </c>
      <c r="E787" t="s">
        <v>411</v>
      </c>
    </row>
    <row r="788" spans="1:8" x14ac:dyDescent="0.25">
      <c r="A788" t="s">
        <v>922</v>
      </c>
      <c r="B788" t="s">
        <v>331</v>
      </c>
      <c r="C788" s="42">
        <v>360</v>
      </c>
      <c r="E788" t="s">
        <v>413</v>
      </c>
    </row>
    <row r="789" spans="1:8" x14ac:dyDescent="0.25">
      <c r="A789" t="s">
        <v>923</v>
      </c>
      <c r="B789" t="s">
        <v>331</v>
      </c>
      <c r="C789" s="42">
        <v>385</v>
      </c>
      <c r="E789" t="s">
        <v>415</v>
      </c>
    </row>
    <row r="790" spans="1:8" x14ac:dyDescent="0.25">
      <c r="A790" t="s">
        <v>924</v>
      </c>
      <c r="B790" t="s">
        <v>331</v>
      </c>
      <c r="C790" s="42">
        <v>360</v>
      </c>
      <c r="E790" t="s">
        <v>417</v>
      </c>
    </row>
    <row r="791" spans="1:8" x14ac:dyDescent="0.25">
      <c r="A791" t="s">
        <v>925</v>
      </c>
      <c r="B791" t="s">
        <v>331</v>
      </c>
      <c r="C791" s="42">
        <v>360</v>
      </c>
      <c r="E791" t="s">
        <v>419</v>
      </c>
    </row>
    <row r="792" spans="1:8" x14ac:dyDescent="0.25">
      <c r="A792" t="s">
        <v>926</v>
      </c>
      <c r="B792" t="s">
        <v>331</v>
      </c>
      <c r="C792" s="42">
        <v>385</v>
      </c>
      <c r="E792" t="s">
        <v>421</v>
      </c>
    </row>
    <row r="793" spans="1:8" x14ac:dyDescent="0.25">
      <c r="A793" t="s">
        <v>927</v>
      </c>
      <c r="B793" t="s">
        <v>331</v>
      </c>
      <c r="C793" s="42">
        <v>385</v>
      </c>
      <c r="E793" t="s">
        <v>423</v>
      </c>
    </row>
    <row r="794" spans="1:8" x14ac:dyDescent="0.25">
      <c r="A794" t="s">
        <v>928</v>
      </c>
      <c r="B794" t="s">
        <v>331</v>
      </c>
      <c r="C794" s="42">
        <v>385</v>
      </c>
      <c r="E794" t="s">
        <v>425</v>
      </c>
    </row>
    <row r="795" spans="1:8" x14ac:dyDescent="0.25">
      <c r="A795" t="s">
        <v>929</v>
      </c>
      <c r="B795" t="s">
        <v>331</v>
      </c>
      <c r="C795" s="42">
        <v>485</v>
      </c>
      <c r="E795" t="s">
        <v>427</v>
      </c>
      <c r="H795" s="273"/>
    </row>
    <row r="796" spans="1:8" x14ac:dyDescent="0.25">
      <c r="A796" t="s">
        <v>930</v>
      </c>
      <c r="B796" t="s">
        <v>331</v>
      </c>
      <c r="C796" s="42">
        <v>385</v>
      </c>
      <c r="E796" t="s">
        <v>429</v>
      </c>
    </row>
    <row r="797" spans="1:8" x14ac:dyDescent="0.25">
      <c r="A797" t="s">
        <v>931</v>
      </c>
      <c r="B797" t="s">
        <v>331</v>
      </c>
      <c r="C797" s="42">
        <v>360</v>
      </c>
      <c r="E797" t="s">
        <v>431</v>
      </c>
    </row>
    <row r="798" spans="1:8" x14ac:dyDescent="0.25">
      <c r="A798" t="s">
        <v>932</v>
      </c>
      <c r="B798" t="s">
        <v>331</v>
      </c>
      <c r="C798" s="42">
        <v>485</v>
      </c>
      <c r="E798" t="s">
        <v>433</v>
      </c>
    </row>
    <row r="799" spans="1:8" x14ac:dyDescent="0.25">
      <c r="A799" t="s">
        <v>933</v>
      </c>
      <c r="B799" t="s">
        <v>331</v>
      </c>
      <c r="C799" s="42">
        <v>360</v>
      </c>
      <c r="E799" t="s">
        <v>340</v>
      </c>
    </row>
    <row r="800" spans="1:8" x14ac:dyDescent="0.25">
      <c r="A800" t="s">
        <v>934</v>
      </c>
      <c r="B800" t="s">
        <v>331</v>
      </c>
      <c r="C800" s="42">
        <v>360</v>
      </c>
      <c r="E800" t="s">
        <v>342</v>
      </c>
    </row>
    <row r="801" spans="1:5" x14ac:dyDescent="0.25">
      <c r="A801" t="s">
        <v>935</v>
      </c>
      <c r="B801" t="s">
        <v>331</v>
      </c>
      <c r="C801" s="42">
        <v>385</v>
      </c>
      <c r="E801" t="s">
        <v>437</v>
      </c>
    </row>
    <row r="802" spans="1:5" x14ac:dyDescent="0.25">
      <c r="A802" t="s">
        <v>936</v>
      </c>
      <c r="B802" t="s">
        <v>331</v>
      </c>
      <c r="C802" s="42">
        <v>360</v>
      </c>
      <c r="E802" t="s">
        <v>439</v>
      </c>
    </row>
    <row r="803" spans="1:5" x14ac:dyDescent="0.25">
      <c r="A803" t="s">
        <v>937</v>
      </c>
      <c r="B803" t="s">
        <v>331</v>
      </c>
      <c r="C803" s="42">
        <v>360</v>
      </c>
      <c r="E803" t="s">
        <v>441</v>
      </c>
    </row>
    <row r="804" spans="1:5" x14ac:dyDescent="0.25">
      <c r="A804" t="s">
        <v>938</v>
      </c>
      <c r="B804" t="s">
        <v>331</v>
      </c>
      <c r="C804" s="42">
        <v>385</v>
      </c>
      <c r="E804" t="s">
        <v>443</v>
      </c>
    </row>
    <row r="805" spans="1:5" x14ac:dyDescent="0.25">
      <c r="A805" t="s">
        <v>939</v>
      </c>
      <c r="B805" t="s">
        <v>331</v>
      </c>
      <c r="C805" s="42">
        <v>500</v>
      </c>
      <c r="E805" t="s">
        <v>399</v>
      </c>
    </row>
    <row r="806" spans="1:5" x14ac:dyDescent="0.25">
      <c r="A806" t="s">
        <v>940</v>
      </c>
      <c r="B806" t="s">
        <v>331</v>
      </c>
      <c r="C806" s="42">
        <v>500</v>
      </c>
      <c r="E806" t="s">
        <v>401</v>
      </c>
    </row>
    <row r="807" spans="1:5" x14ac:dyDescent="0.25">
      <c r="A807" t="s">
        <v>941</v>
      </c>
      <c r="B807" t="s">
        <v>331</v>
      </c>
      <c r="C807" s="42">
        <v>600</v>
      </c>
      <c r="E807" t="s">
        <v>403</v>
      </c>
    </row>
    <row r="808" spans="1:5" x14ac:dyDescent="0.25">
      <c r="A808" t="s">
        <v>942</v>
      </c>
      <c r="B808" t="s">
        <v>331</v>
      </c>
      <c r="C808" s="42">
        <v>500</v>
      </c>
      <c r="E808" t="s">
        <v>405</v>
      </c>
    </row>
    <row r="809" spans="1:5" x14ac:dyDescent="0.25">
      <c r="A809" t="s">
        <v>943</v>
      </c>
      <c r="B809" t="s">
        <v>331</v>
      </c>
      <c r="C809" s="42">
        <v>500</v>
      </c>
      <c r="E809" t="s">
        <v>407</v>
      </c>
    </row>
    <row r="810" spans="1:5" x14ac:dyDescent="0.25">
      <c r="A810" t="s">
        <v>944</v>
      </c>
      <c r="B810" t="s">
        <v>331</v>
      </c>
      <c r="C810" s="42">
        <v>600</v>
      </c>
      <c r="E810" t="s">
        <v>409</v>
      </c>
    </row>
    <row r="811" spans="1:5" x14ac:dyDescent="0.25">
      <c r="A811" t="s">
        <v>945</v>
      </c>
      <c r="B811" t="s">
        <v>331</v>
      </c>
      <c r="C811" s="42">
        <v>470</v>
      </c>
      <c r="E811" t="s">
        <v>411</v>
      </c>
    </row>
    <row r="812" spans="1:5" x14ac:dyDescent="0.25">
      <c r="A812" t="s">
        <v>946</v>
      </c>
      <c r="B812" t="s">
        <v>331</v>
      </c>
      <c r="C812" s="42">
        <v>470</v>
      </c>
      <c r="E812" t="s">
        <v>413</v>
      </c>
    </row>
    <row r="813" spans="1:5" x14ac:dyDescent="0.25">
      <c r="A813" t="s">
        <v>947</v>
      </c>
      <c r="B813" t="s">
        <v>331</v>
      </c>
      <c r="C813" s="42">
        <v>570</v>
      </c>
      <c r="E813" t="s">
        <v>415</v>
      </c>
    </row>
    <row r="814" spans="1:5" x14ac:dyDescent="0.25">
      <c r="A814" t="s">
        <v>948</v>
      </c>
      <c r="B814" t="s">
        <v>331</v>
      </c>
      <c r="C814" s="42">
        <v>470</v>
      </c>
      <c r="E814" t="s">
        <v>417</v>
      </c>
    </row>
    <row r="815" spans="1:5" x14ac:dyDescent="0.25">
      <c r="A815" t="s">
        <v>949</v>
      </c>
      <c r="B815" t="s">
        <v>331</v>
      </c>
      <c r="C815" s="42">
        <v>470</v>
      </c>
      <c r="E815" t="s">
        <v>419</v>
      </c>
    </row>
    <row r="816" spans="1:5" x14ac:dyDescent="0.25">
      <c r="A816" t="s">
        <v>950</v>
      </c>
      <c r="B816" t="s">
        <v>331</v>
      </c>
      <c r="C816" s="42">
        <v>570</v>
      </c>
      <c r="E816" t="s">
        <v>421</v>
      </c>
    </row>
    <row r="817" spans="1:5" x14ac:dyDescent="0.25">
      <c r="A817" t="s">
        <v>951</v>
      </c>
      <c r="B817" t="s">
        <v>331</v>
      </c>
      <c r="C817" s="42">
        <v>500</v>
      </c>
      <c r="E817" t="s">
        <v>423</v>
      </c>
    </row>
    <row r="818" spans="1:5" x14ac:dyDescent="0.25">
      <c r="A818" t="s">
        <v>952</v>
      </c>
      <c r="B818" t="s">
        <v>331</v>
      </c>
      <c r="C818" s="42">
        <v>500</v>
      </c>
      <c r="E818" t="s">
        <v>425</v>
      </c>
    </row>
    <row r="819" spans="1:5" x14ac:dyDescent="0.25">
      <c r="A819" t="s">
        <v>953</v>
      </c>
      <c r="B819" t="s">
        <v>331</v>
      </c>
      <c r="C819" s="42">
        <v>600</v>
      </c>
      <c r="E819" t="s">
        <v>427</v>
      </c>
    </row>
    <row r="820" spans="1:5" x14ac:dyDescent="0.25">
      <c r="A820" t="s">
        <v>954</v>
      </c>
      <c r="B820" t="s">
        <v>331</v>
      </c>
      <c r="C820" s="42">
        <v>500</v>
      </c>
      <c r="E820" t="s">
        <v>429</v>
      </c>
    </row>
    <row r="821" spans="1:5" x14ac:dyDescent="0.25">
      <c r="A821" t="s">
        <v>955</v>
      </c>
      <c r="B821" t="s">
        <v>331</v>
      </c>
      <c r="C821" s="42">
        <v>500</v>
      </c>
      <c r="E821" t="s">
        <v>431</v>
      </c>
    </row>
    <row r="822" spans="1:5" x14ac:dyDescent="0.25">
      <c r="A822" t="s">
        <v>956</v>
      </c>
      <c r="B822" t="s">
        <v>331</v>
      </c>
      <c r="C822" s="42">
        <v>600</v>
      </c>
      <c r="E822" t="s">
        <v>433</v>
      </c>
    </row>
    <row r="823" spans="1:5" x14ac:dyDescent="0.25">
      <c r="A823" t="s">
        <v>957</v>
      </c>
      <c r="B823" t="s">
        <v>331</v>
      </c>
      <c r="C823" s="42">
        <v>470</v>
      </c>
      <c r="E823" t="s">
        <v>340</v>
      </c>
    </row>
    <row r="824" spans="1:5" x14ac:dyDescent="0.25">
      <c r="A824" t="s">
        <v>958</v>
      </c>
      <c r="B824" t="s">
        <v>331</v>
      </c>
      <c r="C824" s="42">
        <v>470</v>
      </c>
      <c r="E824" t="s">
        <v>342</v>
      </c>
    </row>
    <row r="825" spans="1:5" x14ac:dyDescent="0.25">
      <c r="A825" t="s">
        <v>959</v>
      </c>
      <c r="B825" t="s">
        <v>331</v>
      </c>
      <c r="C825" s="42">
        <v>570</v>
      </c>
      <c r="E825" t="s">
        <v>437</v>
      </c>
    </row>
    <row r="826" spans="1:5" x14ac:dyDescent="0.25">
      <c r="A826" t="s">
        <v>960</v>
      </c>
      <c r="B826" t="s">
        <v>331</v>
      </c>
      <c r="C826" s="42">
        <v>470</v>
      </c>
      <c r="E826" t="s">
        <v>439</v>
      </c>
    </row>
    <row r="827" spans="1:5" x14ac:dyDescent="0.25">
      <c r="A827" t="s">
        <v>961</v>
      </c>
      <c r="B827" t="s">
        <v>331</v>
      </c>
      <c r="C827" s="42">
        <v>470</v>
      </c>
      <c r="E827" t="s">
        <v>441</v>
      </c>
    </row>
    <row r="828" spans="1:5" x14ac:dyDescent="0.25">
      <c r="A828" t="s">
        <v>962</v>
      </c>
      <c r="B828" t="s">
        <v>331</v>
      </c>
      <c r="C828" s="42">
        <v>570</v>
      </c>
      <c r="E828" t="s">
        <v>443</v>
      </c>
    </row>
    <row r="829" spans="1:5" x14ac:dyDescent="0.25">
      <c r="A829" t="s">
        <v>963</v>
      </c>
      <c r="B829" t="s">
        <v>331</v>
      </c>
      <c r="C829" s="42">
        <v>530</v>
      </c>
      <c r="E829" t="s">
        <v>399</v>
      </c>
    </row>
    <row r="830" spans="1:5" x14ac:dyDescent="0.25">
      <c r="A830" t="s">
        <v>964</v>
      </c>
      <c r="B830" t="s">
        <v>331</v>
      </c>
      <c r="C830" s="42">
        <v>530</v>
      </c>
      <c r="E830" t="s">
        <v>401</v>
      </c>
    </row>
    <row r="831" spans="1:5" x14ac:dyDescent="0.25">
      <c r="A831" t="s">
        <v>965</v>
      </c>
      <c r="B831" t="s">
        <v>331</v>
      </c>
      <c r="C831" s="42">
        <v>630</v>
      </c>
      <c r="E831" t="s">
        <v>403</v>
      </c>
    </row>
    <row r="832" spans="1:5" x14ac:dyDescent="0.25">
      <c r="A832" t="s">
        <v>966</v>
      </c>
      <c r="B832" t="s">
        <v>331</v>
      </c>
      <c r="C832" s="42">
        <v>530</v>
      </c>
      <c r="E832" t="s">
        <v>405</v>
      </c>
    </row>
    <row r="833" spans="1:5" x14ac:dyDescent="0.25">
      <c r="A833" t="s">
        <v>967</v>
      </c>
      <c r="B833" t="s">
        <v>331</v>
      </c>
      <c r="C833" s="42">
        <v>530</v>
      </c>
      <c r="E833" t="s">
        <v>407</v>
      </c>
    </row>
    <row r="834" spans="1:5" x14ac:dyDescent="0.25">
      <c r="A834" t="s">
        <v>968</v>
      </c>
      <c r="B834" t="s">
        <v>331</v>
      </c>
      <c r="C834" s="42">
        <v>630</v>
      </c>
      <c r="E834" t="s">
        <v>409</v>
      </c>
    </row>
    <row r="835" spans="1:5" x14ac:dyDescent="0.25">
      <c r="A835" t="s">
        <v>969</v>
      </c>
      <c r="B835" t="s">
        <v>331</v>
      </c>
      <c r="C835" s="42">
        <v>500</v>
      </c>
      <c r="E835" t="s">
        <v>411</v>
      </c>
    </row>
    <row r="836" spans="1:5" x14ac:dyDescent="0.25">
      <c r="A836" t="s">
        <v>970</v>
      </c>
      <c r="B836" t="s">
        <v>331</v>
      </c>
      <c r="C836" s="42">
        <v>500</v>
      </c>
      <c r="E836" t="s">
        <v>413</v>
      </c>
    </row>
    <row r="837" spans="1:5" x14ac:dyDescent="0.25">
      <c r="A837" t="s">
        <v>971</v>
      </c>
      <c r="B837" t="s">
        <v>331</v>
      </c>
      <c r="C837" s="42">
        <v>600</v>
      </c>
      <c r="E837" t="s">
        <v>415</v>
      </c>
    </row>
    <row r="838" spans="1:5" x14ac:dyDescent="0.25">
      <c r="A838" t="s">
        <v>972</v>
      </c>
      <c r="B838" t="s">
        <v>331</v>
      </c>
      <c r="C838" s="42">
        <v>500</v>
      </c>
      <c r="E838" t="s">
        <v>417</v>
      </c>
    </row>
    <row r="839" spans="1:5" x14ac:dyDescent="0.25">
      <c r="A839" t="s">
        <v>973</v>
      </c>
      <c r="B839" t="s">
        <v>331</v>
      </c>
      <c r="C839" s="42">
        <v>500</v>
      </c>
      <c r="E839" t="s">
        <v>419</v>
      </c>
    </row>
    <row r="840" spans="1:5" x14ac:dyDescent="0.25">
      <c r="A840" t="s">
        <v>974</v>
      </c>
      <c r="B840" t="s">
        <v>331</v>
      </c>
      <c r="C840" s="42">
        <v>600</v>
      </c>
      <c r="E840" t="s">
        <v>421</v>
      </c>
    </row>
    <row r="841" spans="1:5" x14ac:dyDescent="0.25">
      <c r="A841" t="s">
        <v>975</v>
      </c>
      <c r="B841" t="s">
        <v>331</v>
      </c>
      <c r="C841" s="42">
        <v>530</v>
      </c>
      <c r="E841" t="s">
        <v>423</v>
      </c>
    </row>
    <row r="842" spans="1:5" x14ac:dyDescent="0.25">
      <c r="A842" t="s">
        <v>976</v>
      </c>
      <c r="B842" t="s">
        <v>331</v>
      </c>
      <c r="C842" s="42">
        <v>530</v>
      </c>
      <c r="E842" t="s">
        <v>425</v>
      </c>
    </row>
    <row r="843" spans="1:5" x14ac:dyDescent="0.25">
      <c r="A843" t="s">
        <v>977</v>
      </c>
      <c r="B843" t="s">
        <v>331</v>
      </c>
      <c r="C843" s="42">
        <v>630</v>
      </c>
      <c r="E843" t="s">
        <v>427</v>
      </c>
    </row>
    <row r="844" spans="1:5" x14ac:dyDescent="0.25">
      <c r="A844" t="s">
        <v>978</v>
      </c>
      <c r="B844" t="s">
        <v>331</v>
      </c>
      <c r="C844" s="42">
        <v>530</v>
      </c>
      <c r="E844" t="s">
        <v>429</v>
      </c>
    </row>
    <row r="845" spans="1:5" x14ac:dyDescent="0.25">
      <c r="A845" t="s">
        <v>979</v>
      </c>
      <c r="B845" t="s">
        <v>331</v>
      </c>
      <c r="C845" s="42">
        <v>530</v>
      </c>
      <c r="E845" t="s">
        <v>431</v>
      </c>
    </row>
    <row r="846" spans="1:5" x14ac:dyDescent="0.25">
      <c r="A846" t="s">
        <v>980</v>
      </c>
      <c r="B846" t="s">
        <v>331</v>
      </c>
      <c r="C846" s="42">
        <v>630</v>
      </c>
      <c r="E846" t="s">
        <v>433</v>
      </c>
    </row>
    <row r="847" spans="1:5" x14ac:dyDescent="0.25">
      <c r="A847" t="s">
        <v>981</v>
      </c>
      <c r="B847" t="s">
        <v>331</v>
      </c>
      <c r="C847" s="42">
        <v>500</v>
      </c>
      <c r="E847" t="s">
        <v>340</v>
      </c>
    </row>
    <row r="848" spans="1:5" x14ac:dyDescent="0.25">
      <c r="A848" t="s">
        <v>982</v>
      </c>
      <c r="B848" t="s">
        <v>331</v>
      </c>
      <c r="C848" s="42">
        <v>500</v>
      </c>
      <c r="E848" t="s">
        <v>342</v>
      </c>
    </row>
    <row r="849" spans="1:5" x14ac:dyDescent="0.25">
      <c r="A849" t="s">
        <v>983</v>
      </c>
      <c r="B849" t="s">
        <v>331</v>
      </c>
      <c r="C849" s="42">
        <v>600</v>
      </c>
      <c r="E849" t="s">
        <v>437</v>
      </c>
    </row>
    <row r="850" spans="1:5" x14ac:dyDescent="0.25">
      <c r="A850" t="s">
        <v>984</v>
      </c>
      <c r="B850" t="s">
        <v>331</v>
      </c>
      <c r="C850" s="42">
        <v>500</v>
      </c>
      <c r="E850" t="s">
        <v>439</v>
      </c>
    </row>
    <row r="851" spans="1:5" x14ac:dyDescent="0.25">
      <c r="A851" t="s">
        <v>985</v>
      </c>
      <c r="B851" t="s">
        <v>331</v>
      </c>
      <c r="C851" s="42">
        <v>500</v>
      </c>
      <c r="E851" t="s">
        <v>441</v>
      </c>
    </row>
    <row r="852" spans="1:5" x14ac:dyDescent="0.25">
      <c r="A852" t="s">
        <v>986</v>
      </c>
      <c r="B852" t="s">
        <v>331</v>
      </c>
      <c r="C852" s="42">
        <v>600</v>
      </c>
      <c r="E852" t="s">
        <v>443</v>
      </c>
    </row>
    <row r="853" spans="1:5" x14ac:dyDescent="0.25">
      <c r="A853" t="s">
        <v>987</v>
      </c>
      <c r="B853" t="s">
        <v>331</v>
      </c>
      <c r="C853" s="42">
        <v>590</v>
      </c>
      <c r="E853" t="s">
        <v>399</v>
      </c>
    </row>
    <row r="854" spans="1:5" x14ac:dyDescent="0.25">
      <c r="A854" t="s">
        <v>988</v>
      </c>
      <c r="B854" t="s">
        <v>331</v>
      </c>
      <c r="C854" s="42">
        <v>590</v>
      </c>
      <c r="E854" t="s">
        <v>401</v>
      </c>
    </row>
    <row r="855" spans="1:5" x14ac:dyDescent="0.25">
      <c r="A855" t="s">
        <v>989</v>
      </c>
      <c r="B855" t="s">
        <v>331</v>
      </c>
      <c r="C855" s="42">
        <v>690</v>
      </c>
      <c r="E855" t="s">
        <v>403</v>
      </c>
    </row>
    <row r="856" spans="1:5" x14ac:dyDescent="0.25">
      <c r="A856" t="s">
        <v>990</v>
      </c>
      <c r="B856" t="s">
        <v>331</v>
      </c>
      <c r="C856" s="42">
        <v>590</v>
      </c>
      <c r="E856" t="s">
        <v>405</v>
      </c>
    </row>
    <row r="857" spans="1:5" x14ac:dyDescent="0.25">
      <c r="A857" t="s">
        <v>991</v>
      </c>
      <c r="B857" t="s">
        <v>331</v>
      </c>
      <c r="C857" s="42">
        <v>590</v>
      </c>
      <c r="E857" t="s">
        <v>407</v>
      </c>
    </row>
    <row r="858" spans="1:5" x14ac:dyDescent="0.25">
      <c r="A858" t="s">
        <v>992</v>
      </c>
      <c r="B858" t="s">
        <v>331</v>
      </c>
      <c r="C858" s="42">
        <v>690</v>
      </c>
      <c r="E858" t="s">
        <v>409</v>
      </c>
    </row>
    <row r="859" spans="1:5" x14ac:dyDescent="0.25">
      <c r="A859" t="s">
        <v>993</v>
      </c>
      <c r="B859" t="s">
        <v>331</v>
      </c>
      <c r="C859" s="42">
        <v>560</v>
      </c>
      <c r="E859" t="s">
        <v>411</v>
      </c>
    </row>
    <row r="860" spans="1:5" x14ac:dyDescent="0.25">
      <c r="A860" t="s">
        <v>994</v>
      </c>
      <c r="B860" t="s">
        <v>331</v>
      </c>
      <c r="C860" s="42">
        <v>560</v>
      </c>
      <c r="E860" t="s">
        <v>413</v>
      </c>
    </row>
    <row r="861" spans="1:5" x14ac:dyDescent="0.25">
      <c r="A861" t="s">
        <v>995</v>
      </c>
      <c r="B861" t="s">
        <v>331</v>
      </c>
      <c r="C861" s="42">
        <v>660</v>
      </c>
      <c r="E861" t="s">
        <v>415</v>
      </c>
    </row>
    <row r="862" spans="1:5" x14ac:dyDescent="0.25">
      <c r="A862" t="s">
        <v>996</v>
      </c>
      <c r="B862" t="s">
        <v>331</v>
      </c>
      <c r="C862" s="42">
        <v>560</v>
      </c>
      <c r="E862" t="s">
        <v>417</v>
      </c>
    </row>
    <row r="863" spans="1:5" x14ac:dyDescent="0.25">
      <c r="A863" t="s">
        <v>997</v>
      </c>
      <c r="B863" t="s">
        <v>331</v>
      </c>
      <c r="C863" s="42">
        <v>560</v>
      </c>
      <c r="E863" t="s">
        <v>419</v>
      </c>
    </row>
    <row r="864" spans="1:5" x14ac:dyDescent="0.25">
      <c r="A864" t="s">
        <v>998</v>
      </c>
      <c r="B864" t="s">
        <v>331</v>
      </c>
      <c r="C864" s="42">
        <v>660</v>
      </c>
      <c r="E864" t="s">
        <v>421</v>
      </c>
    </row>
    <row r="865" spans="1:5" x14ac:dyDescent="0.25">
      <c r="A865" t="s">
        <v>999</v>
      </c>
      <c r="B865" t="s">
        <v>331</v>
      </c>
      <c r="C865" s="42">
        <v>590</v>
      </c>
      <c r="E865" t="s">
        <v>423</v>
      </c>
    </row>
    <row r="866" spans="1:5" x14ac:dyDescent="0.25">
      <c r="A866" t="s">
        <v>1000</v>
      </c>
      <c r="B866" t="s">
        <v>331</v>
      </c>
      <c r="C866" s="42">
        <v>590</v>
      </c>
      <c r="E866" t="s">
        <v>425</v>
      </c>
    </row>
    <row r="867" spans="1:5" x14ac:dyDescent="0.25">
      <c r="A867" t="s">
        <v>1001</v>
      </c>
      <c r="B867" t="s">
        <v>331</v>
      </c>
      <c r="C867" s="42">
        <v>690</v>
      </c>
      <c r="E867" t="s">
        <v>427</v>
      </c>
    </row>
    <row r="868" spans="1:5" x14ac:dyDescent="0.25">
      <c r="A868" t="s">
        <v>1002</v>
      </c>
      <c r="B868" t="s">
        <v>331</v>
      </c>
      <c r="C868" s="42">
        <v>590</v>
      </c>
      <c r="E868" t="s">
        <v>429</v>
      </c>
    </row>
    <row r="869" spans="1:5" x14ac:dyDescent="0.25">
      <c r="A869" t="s">
        <v>1003</v>
      </c>
      <c r="B869" t="s">
        <v>331</v>
      </c>
      <c r="C869" s="42">
        <v>590</v>
      </c>
      <c r="E869" t="s">
        <v>431</v>
      </c>
    </row>
    <row r="870" spans="1:5" x14ac:dyDescent="0.25">
      <c r="A870" t="s">
        <v>1004</v>
      </c>
      <c r="B870" t="s">
        <v>331</v>
      </c>
      <c r="C870" s="42">
        <v>690</v>
      </c>
      <c r="E870" t="s">
        <v>433</v>
      </c>
    </row>
    <row r="871" spans="1:5" x14ac:dyDescent="0.25">
      <c r="A871" t="s">
        <v>1005</v>
      </c>
      <c r="B871" t="s">
        <v>331</v>
      </c>
      <c r="C871" s="42">
        <v>560</v>
      </c>
      <c r="E871" t="s">
        <v>340</v>
      </c>
    </row>
    <row r="872" spans="1:5" x14ac:dyDescent="0.25">
      <c r="A872" t="s">
        <v>1006</v>
      </c>
      <c r="B872" t="s">
        <v>331</v>
      </c>
      <c r="C872" s="42">
        <v>560</v>
      </c>
      <c r="E872" t="s">
        <v>342</v>
      </c>
    </row>
    <row r="873" spans="1:5" x14ac:dyDescent="0.25">
      <c r="A873" t="s">
        <v>1007</v>
      </c>
      <c r="B873" t="s">
        <v>331</v>
      </c>
      <c r="C873" s="42">
        <v>660</v>
      </c>
      <c r="E873" t="s">
        <v>437</v>
      </c>
    </row>
    <row r="874" spans="1:5" x14ac:dyDescent="0.25">
      <c r="A874" t="s">
        <v>1008</v>
      </c>
      <c r="B874" t="s">
        <v>331</v>
      </c>
      <c r="C874" s="42">
        <v>560</v>
      </c>
      <c r="E874" t="s">
        <v>439</v>
      </c>
    </row>
    <row r="875" spans="1:5" x14ac:dyDescent="0.25">
      <c r="A875" t="s">
        <v>1009</v>
      </c>
      <c r="B875" t="s">
        <v>331</v>
      </c>
      <c r="C875" s="42">
        <v>560</v>
      </c>
      <c r="E875" t="s">
        <v>441</v>
      </c>
    </row>
    <row r="876" spans="1:5" x14ac:dyDescent="0.25">
      <c r="A876" t="s">
        <v>1010</v>
      </c>
      <c r="B876" t="s">
        <v>331</v>
      </c>
      <c r="C876" s="42">
        <v>660</v>
      </c>
      <c r="E876" t="s">
        <v>443</v>
      </c>
    </row>
    <row r="877" spans="1:5" x14ac:dyDescent="0.25">
      <c r="A877" t="s">
        <v>1011</v>
      </c>
      <c r="B877" t="s">
        <v>1012</v>
      </c>
      <c r="C877" s="42">
        <v>160</v>
      </c>
      <c r="E877" t="s">
        <v>1013</v>
      </c>
    </row>
    <row r="878" spans="1:5" x14ac:dyDescent="0.25">
      <c r="A878" t="s">
        <v>1014</v>
      </c>
      <c r="B878" t="s">
        <v>1012</v>
      </c>
      <c r="C878" s="42">
        <v>160</v>
      </c>
      <c r="E878" t="s">
        <v>1013</v>
      </c>
    </row>
    <row r="879" spans="1:5" x14ac:dyDescent="0.25">
      <c r="A879" t="s">
        <v>1015</v>
      </c>
      <c r="B879" t="s">
        <v>1012</v>
      </c>
      <c r="C879" s="42">
        <v>180</v>
      </c>
      <c r="E879" t="s">
        <v>1013</v>
      </c>
    </row>
    <row r="880" spans="1:5" x14ac:dyDescent="0.25">
      <c r="A880" t="s">
        <v>1016</v>
      </c>
      <c r="B880" t="s">
        <v>1012</v>
      </c>
      <c r="C880" s="42">
        <v>160</v>
      </c>
      <c r="E880" t="s">
        <v>1017</v>
      </c>
    </row>
    <row r="881" spans="1:5" x14ac:dyDescent="0.25">
      <c r="A881" t="s">
        <v>1018</v>
      </c>
      <c r="B881" t="s">
        <v>1012</v>
      </c>
      <c r="C881" s="42">
        <v>160</v>
      </c>
      <c r="E881" t="s">
        <v>1019</v>
      </c>
    </row>
    <row r="882" spans="1:5" x14ac:dyDescent="0.25">
      <c r="A882" t="s">
        <v>1020</v>
      </c>
      <c r="B882" t="s">
        <v>1012</v>
      </c>
      <c r="C882" s="42">
        <v>180</v>
      </c>
      <c r="E882" t="s">
        <v>1019</v>
      </c>
    </row>
    <row r="883" spans="1:5" x14ac:dyDescent="0.25">
      <c r="A883" t="s">
        <v>1021</v>
      </c>
      <c r="B883" t="s">
        <v>1012</v>
      </c>
      <c r="C883" s="42">
        <v>160</v>
      </c>
      <c r="E883" t="s">
        <v>1022</v>
      </c>
    </row>
    <row r="884" spans="1:5" x14ac:dyDescent="0.25">
      <c r="A884" t="s">
        <v>1023</v>
      </c>
      <c r="B884" t="s">
        <v>1012</v>
      </c>
      <c r="C884" s="42">
        <v>160</v>
      </c>
      <c r="E884" t="s">
        <v>1022</v>
      </c>
    </row>
    <row r="885" spans="1:5" x14ac:dyDescent="0.25">
      <c r="A885" t="s">
        <v>1024</v>
      </c>
      <c r="B885" t="s">
        <v>1012</v>
      </c>
      <c r="C885" s="42">
        <v>180</v>
      </c>
      <c r="E885" t="s">
        <v>1022</v>
      </c>
    </row>
    <row r="886" spans="1:5" x14ac:dyDescent="0.25">
      <c r="A886" t="s">
        <v>1025</v>
      </c>
      <c r="B886" t="s">
        <v>1012</v>
      </c>
      <c r="C886" s="42">
        <v>160</v>
      </c>
      <c r="E886" t="s">
        <v>1026</v>
      </c>
    </row>
    <row r="887" spans="1:5" x14ac:dyDescent="0.25">
      <c r="A887" t="s">
        <v>1027</v>
      </c>
      <c r="B887" t="s">
        <v>1012</v>
      </c>
      <c r="C887" s="42">
        <v>160</v>
      </c>
      <c r="E887" t="s">
        <v>1028</v>
      </c>
    </row>
    <row r="888" spans="1:5" x14ac:dyDescent="0.25">
      <c r="A888" t="s">
        <v>1029</v>
      </c>
      <c r="B888" t="s">
        <v>1012</v>
      </c>
      <c r="C888" s="42">
        <v>180</v>
      </c>
      <c r="E888" t="s">
        <v>1028</v>
      </c>
    </row>
    <row r="889" spans="1:5" x14ac:dyDescent="0.25">
      <c r="A889" t="s">
        <v>915</v>
      </c>
      <c r="B889" t="s">
        <v>331</v>
      </c>
      <c r="C889" s="42">
        <v>385</v>
      </c>
      <c r="E889" t="s">
        <v>399</v>
      </c>
    </row>
    <row r="890" spans="1:5" x14ac:dyDescent="0.25">
      <c r="A890" t="s">
        <v>916</v>
      </c>
      <c r="B890" t="s">
        <v>331</v>
      </c>
      <c r="C890" s="42">
        <v>385</v>
      </c>
      <c r="E890" t="s">
        <v>401</v>
      </c>
    </row>
    <row r="891" spans="1:5" x14ac:dyDescent="0.25">
      <c r="A891" t="s">
        <v>917</v>
      </c>
      <c r="B891" t="s">
        <v>331</v>
      </c>
      <c r="C891" s="42">
        <v>485</v>
      </c>
      <c r="E891" t="s">
        <v>403</v>
      </c>
    </row>
    <row r="892" spans="1:5" x14ac:dyDescent="0.25">
      <c r="A892" t="s">
        <v>918</v>
      </c>
      <c r="B892" t="s">
        <v>331</v>
      </c>
      <c r="C892" s="42">
        <v>385</v>
      </c>
      <c r="E892" t="s">
        <v>405</v>
      </c>
    </row>
    <row r="893" spans="1:5" x14ac:dyDescent="0.25">
      <c r="A893" t="s">
        <v>919</v>
      </c>
      <c r="B893" t="s">
        <v>331</v>
      </c>
      <c r="C893" s="42">
        <v>360</v>
      </c>
      <c r="E893" t="s">
        <v>407</v>
      </c>
    </row>
    <row r="894" spans="1:5" x14ac:dyDescent="0.25">
      <c r="A894" t="s">
        <v>920</v>
      </c>
      <c r="B894" t="s">
        <v>331</v>
      </c>
      <c r="C894" s="42">
        <v>485</v>
      </c>
      <c r="E894" t="s">
        <v>409</v>
      </c>
    </row>
    <row r="895" spans="1:5" x14ac:dyDescent="0.25">
      <c r="A895" t="s">
        <v>921</v>
      </c>
      <c r="B895" t="s">
        <v>331</v>
      </c>
      <c r="C895" s="42">
        <v>360</v>
      </c>
      <c r="E895" t="s">
        <v>411</v>
      </c>
    </row>
    <row r="896" spans="1:5" x14ac:dyDescent="0.25">
      <c r="A896" t="s">
        <v>922</v>
      </c>
      <c r="B896" t="s">
        <v>331</v>
      </c>
      <c r="C896" s="42">
        <v>360</v>
      </c>
      <c r="E896" t="s">
        <v>413</v>
      </c>
    </row>
    <row r="897" spans="1:5" x14ac:dyDescent="0.25">
      <c r="A897" t="s">
        <v>923</v>
      </c>
      <c r="B897" t="s">
        <v>331</v>
      </c>
      <c r="C897" s="42">
        <v>385</v>
      </c>
      <c r="E897" t="s">
        <v>415</v>
      </c>
    </row>
    <row r="898" spans="1:5" x14ac:dyDescent="0.25">
      <c r="A898" t="s">
        <v>924</v>
      </c>
      <c r="B898" t="s">
        <v>331</v>
      </c>
      <c r="C898" s="42">
        <v>360</v>
      </c>
      <c r="E898" t="s">
        <v>417</v>
      </c>
    </row>
    <row r="899" spans="1:5" x14ac:dyDescent="0.25">
      <c r="A899" t="s">
        <v>925</v>
      </c>
      <c r="B899" t="s">
        <v>331</v>
      </c>
      <c r="C899" s="42">
        <v>360</v>
      </c>
      <c r="E899" t="s">
        <v>419</v>
      </c>
    </row>
    <row r="900" spans="1:5" x14ac:dyDescent="0.25">
      <c r="A900" t="s">
        <v>926</v>
      </c>
      <c r="B900" t="s">
        <v>331</v>
      </c>
      <c r="C900" s="42">
        <v>385</v>
      </c>
      <c r="E900" t="s">
        <v>421</v>
      </c>
    </row>
    <row r="901" spans="1:5" x14ac:dyDescent="0.25">
      <c r="A901" t="s">
        <v>927</v>
      </c>
      <c r="B901" t="s">
        <v>331</v>
      </c>
      <c r="C901" s="42">
        <v>385</v>
      </c>
      <c r="E901" t="s">
        <v>423</v>
      </c>
    </row>
    <row r="902" spans="1:5" x14ac:dyDescent="0.25">
      <c r="A902" t="s">
        <v>928</v>
      </c>
      <c r="B902" t="s">
        <v>331</v>
      </c>
      <c r="C902" s="42">
        <v>385</v>
      </c>
      <c r="E902" t="s">
        <v>425</v>
      </c>
    </row>
    <row r="903" spans="1:5" x14ac:dyDescent="0.25">
      <c r="A903" t="s">
        <v>929</v>
      </c>
      <c r="B903" t="s">
        <v>331</v>
      </c>
      <c r="C903" s="42">
        <v>485</v>
      </c>
      <c r="E903" t="s">
        <v>427</v>
      </c>
    </row>
    <row r="904" spans="1:5" x14ac:dyDescent="0.25">
      <c r="A904" t="s">
        <v>930</v>
      </c>
      <c r="B904" t="s">
        <v>331</v>
      </c>
      <c r="C904" s="42">
        <v>385</v>
      </c>
      <c r="E904" t="s">
        <v>429</v>
      </c>
    </row>
    <row r="905" spans="1:5" x14ac:dyDescent="0.25">
      <c r="A905" t="s">
        <v>931</v>
      </c>
      <c r="B905" t="s">
        <v>331</v>
      </c>
      <c r="C905" s="42">
        <v>360</v>
      </c>
      <c r="E905" t="s">
        <v>431</v>
      </c>
    </row>
    <row r="906" spans="1:5" x14ac:dyDescent="0.25">
      <c r="A906" t="s">
        <v>932</v>
      </c>
      <c r="B906" t="s">
        <v>331</v>
      </c>
      <c r="C906" s="42">
        <v>485</v>
      </c>
      <c r="E906" t="s">
        <v>433</v>
      </c>
    </row>
    <row r="907" spans="1:5" x14ac:dyDescent="0.25">
      <c r="A907" t="s">
        <v>933</v>
      </c>
      <c r="B907" t="s">
        <v>331</v>
      </c>
      <c r="C907" s="42">
        <v>360</v>
      </c>
      <c r="E907" t="s">
        <v>340</v>
      </c>
    </row>
    <row r="908" spans="1:5" x14ac:dyDescent="0.25">
      <c r="A908" t="s">
        <v>934</v>
      </c>
      <c r="B908" t="s">
        <v>331</v>
      </c>
      <c r="C908" s="42">
        <v>360</v>
      </c>
      <c r="E908" t="s">
        <v>342</v>
      </c>
    </row>
    <row r="909" spans="1:5" x14ac:dyDescent="0.25">
      <c r="A909" t="s">
        <v>935</v>
      </c>
      <c r="B909" t="s">
        <v>331</v>
      </c>
      <c r="C909" s="42">
        <v>385</v>
      </c>
      <c r="E909" t="s">
        <v>437</v>
      </c>
    </row>
    <row r="910" spans="1:5" x14ac:dyDescent="0.25">
      <c r="A910" t="s">
        <v>936</v>
      </c>
      <c r="B910" t="s">
        <v>331</v>
      </c>
      <c r="C910" s="42">
        <v>360</v>
      </c>
      <c r="E910" t="s">
        <v>439</v>
      </c>
    </row>
    <row r="911" spans="1:5" x14ac:dyDescent="0.25">
      <c r="A911" t="s">
        <v>937</v>
      </c>
      <c r="B911" t="s">
        <v>331</v>
      </c>
      <c r="C911" s="42">
        <v>360</v>
      </c>
      <c r="E911" t="s">
        <v>441</v>
      </c>
    </row>
    <row r="912" spans="1:5" x14ac:dyDescent="0.25">
      <c r="A912" t="s">
        <v>938</v>
      </c>
      <c r="B912" t="s">
        <v>331</v>
      </c>
      <c r="C912" s="42">
        <v>385</v>
      </c>
      <c r="E912" t="s">
        <v>443</v>
      </c>
    </row>
    <row r="913" spans="1:5" x14ac:dyDescent="0.25">
      <c r="A913" t="s">
        <v>1030</v>
      </c>
      <c r="B913" t="s">
        <v>1030</v>
      </c>
      <c r="C913" s="42">
        <v>50</v>
      </c>
    </row>
    <row r="914" spans="1:5" x14ac:dyDescent="0.25">
      <c r="A914" t="s">
        <v>1031</v>
      </c>
      <c r="B914" t="s">
        <v>1031</v>
      </c>
      <c r="C914" s="42">
        <v>50</v>
      </c>
    </row>
    <row r="915" spans="1:5" x14ac:dyDescent="0.25">
      <c r="A915" t="s">
        <v>1032</v>
      </c>
      <c r="B915" t="s">
        <v>1032</v>
      </c>
      <c r="C915" s="374">
        <v>130</v>
      </c>
      <c r="E915" t="s">
        <v>1032</v>
      </c>
    </row>
    <row r="916" spans="1:5" x14ac:dyDescent="0.25">
      <c r="A916" t="s">
        <v>1033</v>
      </c>
      <c r="B916" t="s">
        <v>1033</v>
      </c>
      <c r="C916" s="374">
        <v>130</v>
      </c>
      <c r="E916" t="s">
        <v>1033</v>
      </c>
    </row>
    <row r="917" spans="1:5" x14ac:dyDescent="0.25">
      <c r="A917" t="s">
        <v>1034</v>
      </c>
      <c r="B917" t="s">
        <v>1034</v>
      </c>
      <c r="C917" s="374">
        <v>130</v>
      </c>
      <c r="E917" t="s">
        <v>1034</v>
      </c>
    </row>
    <row r="918" spans="1:5" x14ac:dyDescent="0.25">
      <c r="A918" t="s">
        <v>1035</v>
      </c>
      <c r="B918" t="s">
        <v>1035</v>
      </c>
      <c r="C918" s="374">
        <v>230</v>
      </c>
      <c r="E918" t="s">
        <v>1035</v>
      </c>
    </row>
    <row r="919" spans="1:5" x14ac:dyDescent="0.25">
      <c r="A919" t="s">
        <v>1036</v>
      </c>
      <c r="B919" t="s">
        <v>1036</v>
      </c>
      <c r="C919" s="374">
        <v>0</v>
      </c>
    </row>
    <row r="920" spans="1:5" x14ac:dyDescent="0.25">
      <c r="A920" t="s">
        <v>1037</v>
      </c>
      <c r="B920" t="s">
        <v>1037</v>
      </c>
      <c r="C920" s="374">
        <v>0</v>
      </c>
    </row>
    <row r="921" spans="1:5" x14ac:dyDescent="0.25">
      <c r="A921" t="s">
        <v>1038</v>
      </c>
      <c r="B921" t="s">
        <v>1038</v>
      </c>
      <c r="C921" s="374">
        <v>0</v>
      </c>
    </row>
    <row r="922" spans="1:5" x14ac:dyDescent="0.25">
      <c r="A922" t="s">
        <v>1039</v>
      </c>
      <c r="B922" t="s">
        <v>1039</v>
      </c>
      <c r="C922" s="374">
        <v>0</v>
      </c>
    </row>
    <row r="923" spans="1:5" x14ac:dyDescent="0.25">
      <c r="A923" t="s">
        <v>1040</v>
      </c>
      <c r="B923" t="s">
        <v>1040</v>
      </c>
      <c r="C923" s="374">
        <v>0</v>
      </c>
    </row>
    <row r="924" spans="1:5" x14ac:dyDescent="0.25">
      <c r="A924" t="s">
        <v>1041</v>
      </c>
      <c r="B924" s="179" t="s">
        <v>1042</v>
      </c>
      <c r="C924" s="374">
        <v>280</v>
      </c>
      <c r="E924" t="s">
        <v>1043</v>
      </c>
    </row>
    <row r="925" spans="1:5" x14ac:dyDescent="0.25">
      <c r="A925" t="s">
        <v>1044</v>
      </c>
      <c r="B925" s="179" t="s">
        <v>1045</v>
      </c>
      <c r="C925" s="374">
        <v>280</v>
      </c>
      <c r="E925" t="s">
        <v>1046</v>
      </c>
    </row>
    <row r="926" spans="1:5" x14ac:dyDescent="0.25">
      <c r="A926" t="s">
        <v>1047</v>
      </c>
      <c r="B926" s="179" t="s">
        <v>1048</v>
      </c>
      <c r="C926" s="374">
        <v>490</v>
      </c>
      <c r="E926" t="s">
        <v>1049</v>
      </c>
    </row>
    <row r="927" spans="1:5" x14ac:dyDescent="0.25">
      <c r="A927" t="s">
        <v>1050</v>
      </c>
      <c r="B927" s="179" t="s">
        <v>1051</v>
      </c>
      <c r="C927" s="374">
        <v>130</v>
      </c>
      <c r="E927" t="s">
        <v>1052</v>
      </c>
    </row>
    <row r="928" spans="1:5" x14ac:dyDescent="0.25">
      <c r="A928" t="s">
        <v>1053</v>
      </c>
      <c r="B928" s="179" t="s">
        <v>1054</v>
      </c>
      <c r="C928" s="374">
        <v>130</v>
      </c>
      <c r="E928" t="s">
        <v>1055</v>
      </c>
    </row>
    <row r="929" spans="1:5" x14ac:dyDescent="0.25">
      <c r="A929" t="s">
        <v>1056</v>
      </c>
      <c r="B929" s="179" t="s">
        <v>1057</v>
      </c>
      <c r="C929" s="374">
        <v>130</v>
      </c>
      <c r="E929" t="s">
        <v>1058</v>
      </c>
    </row>
    <row r="930" spans="1:5" x14ac:dyDescent="0.25">
      <c r="A930" t="s">
        <v>1059</v>
      </c>
      <c r="B930" s="179" t="s">
        <v>1060</v>
      </c>
      <c r="C930" s="374">
        <v>230</v>
      </c>
      <c r="E930" t="s">
        <v>1061</v>
      </c>
    </row>
    <row r="931" spans="1:5" x14ac:dyDescent="0.25">
      <c r="A931" t="s">
        <v>1062</v>
      </c>
      <c r="B931" s="179" t="s">
        <v>1063</v>
      </c>
      <c r="C931" s="374">
        <v>320</v>
      </c>
      <c r="E931" t="s">
        <v>1064</v>
      </c>
    </row>
    <row r="932" spans="1:5" x14ac:dyDescent="0.25">
      <c r="A932" t="s">
        <v>1065</v>
      </c>
      <c r="B932" s="179" t="s">
        <v>1066</v>
      </c>
      <c r="C932" s="374">
        <v>490</v>
      </c>
      <c r="E932" t="s">
        <v>1067</v>
      </c>
    </row>
    <row r="933" spans="1:5" x14ac:dyDescent="0.25">
      <c r="A933" t="s">
        <v>1068</v>
      </c>
      <c r="B933" s="179" t="s">
        <v>1069</v>
      </c>
      <c r="C933" s="374">
        <v>320</v>
      </c>
      <c r="E933" t="s">
        <v>1070</v>
      </c>
    </row>
    <row r="934" spans="1:5" x14ac:dyDescent="0.25">
      <c r="A934" t="s">
        <v>1071</v>
      </c>
      <c r="B934" s="179" t="s">
        <v>1072</v>
      </c>
      <c r="C934" s="374">
        <v>320</v>
      </c>
      <c r="E934" t="s">
        <v>1073</v>
      </c>
    </row>
    <row r="935" spans="1:5" x14ac:dyDescent="0.25">
      <c r="A935" t="s">
        <v>1074</v>
      </c>
      <c r="B935" s="179" t="s">
        <v>1075</v>
      </c>
      <c r="C935" s="374">
        <v>490</v>
      </c>
      <c r="E935" t="s">
        <v>1076</v>
      </c>
    </row>
    <row r="936" spans="1:5" x14ac:dyDescent="0.25">
      <c r="A936" t="s">
        <v>1077</v>
      </c>
      <c r="B936" s="179" t="s">
        <v>1078</v>
      </c>
      <c r="C936" s="374">
        <v>320</v>
      </c>
      <c r="E936" t="s">
        <v>1079</v>
      </c>
    </row>
    <row r="937" spans="1:5" x14ac:dyDescent="0.25">
      <c r="A937" t="s">
        <v>1080</v>
      </c>
      <c r="B937" s="179" t="s">
        <v>1081</v>
      </c>
      <c r="C937" s="374">
        <v>320</v>
      </c>
      <c r="E937" t="s">
        <v>1082</v>
      </c>
    </row>
    <row r="938" spans="1:5" x14ac:dyDescent="0.25">
      <c r="A938" t="s">
        <v>1083</v>
      </c>
      <c r="B938" s="179" t="s">
        <v>1084</v>
      </c>
      <c r="C938" s="374">
        <v>320</v>
      </c>
      <c r="E938" t="s">
        <v>1085</v>
      </c>
    </row>
    <row r="939" spans="1:5" x14ac:dyDescent="0.25">
      <c r="A939" t="s">
        <v>1086</v>
      </c>
      <c r="B939" s="179" t="s">
        <v>1087</v>
      </c>
      <c r="C939" s="374">
        <v>390</v>
      </c>
      <c r="E939" t="s">
        <v>1088</v>
      </c>
    </row>
  </sheetData>
  <autoFilter ref="A1:E912" xr:uid="{ECAFCBE9-4F5F-4431-A8B8-DC3BE54C9E26}">
    <sortState xmlns:xlrd2="http://schemas.microsoft.com/office/spreadsheetml/2017/richdata2" ref="A353:E370">
      <sortCondition ref="A1:A876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7805-B709-40D0-8328-06FB7D9505AA}">
  <sheetPr codeName="Tabelle31">
    <tabColor rgb="FF92D050"/>
    <pageSetUpPr fitToPage="1"/>
  </sheetPr>
  <dimension ref="A1:T69"/>
  <sheetViews>
    <sheetView zoomScaleNormal="100" workbookViewId="0">
      <selection activeCell="H27" sqref="H27"/>
    </sheetView>
  </sheetViews>
  <sheetFormatPr defaultColWidth="11.42578125" defaultRowHeight="15" x14ac:dyDescent="0.25"/>
  <cols>
    <col min="1" max="1" width="43.5703125" bestFit="1" customWidth="1"/>
    <col min="2" max="2" width="10.28515625" style="55" bestFit="1" customWidth="1"/>
    <col min="3" max="3" width="6" style="55" bestFit="1" customWidth="1"/>
    <col min="4" max="4" width="9.28515625" bestFit="1" customWidth="1"/>
    <col min="5" max="5" width="9.28515625" style="56" bestFit="1" customWidth="1"/>
    <col min="6" max="6" width="15.140625" style="56" bestFit="1" customWidth="1"/>
    <col min="7" max="8" width="22.85546875" style="75" bestFit="1" customWidth="1"/>
    <col min="9" max="9" width="4.28515625" customWidth="1"/>
    <col min="10" max="10" width="21.42578125" bestFit="1" customWidth="1"/>
    <col min="11" max="11" width="5.42578125" bestFit="1" customWidth="1"/>
    <col min="12" max="12" width="11.140625" bestFit="1" customWidth="1"/>
    <col min="13" max="13" width="8" bestFit="1" customWidth="1"/>
    <col min="15" max="15" width="4.42578125" bestFit="1" customWidth="1"/>
    <col min="16" max="16" width="19.28515625" customWidth="1"/>
    <col min="17" max="17" width="12.28515625" bestFit="1" customWidth="1"/>
    <col min="18" max="18" width="3.28515625" customWidth="1"/>
    <col min="19" max="19" width="7.7109375" bestFit="1" customWidth="1"/>
    <col min="20" max="20" width="7" bestFit="1" customWidth="1"/>
  </cols>
  <sheetData>
    <row r="1" spans="1:20" ht="16.5" thickBot="1" x14ac:dyDescent="0.3">
      <c r="A1" s="140" t="s">
        <v>1230</v>
      </c>
      <c r="B1" s="141" t="s">
        <v>1139</v>
      </c>
      <c r="C1" s="141" t="s">
        <v>1089</v>
      </c>
      <c r="D1" s="142" t="s">
        <v>1140</v>
      </c>
      <c r="E1" s="143" t="s">
        <v>1231</v>
      </c>
      <c r="F1" s="143" t="s">
        <v>1141</v>
      </c>
      <c r="G1" s="144" t="s">
        <v>1232</v>
      </c>
      <c r="H1" s="144" t="s">
        <v>1233</v>
      </c>
      <c r="J1" s="62"/>
      <c r="K1" s="59"/>
      <c r="L1" s="1023" t="s">
        <v>1234</v>
      </c>
      <c r="M1" s="1023"/>
      <c r="O1" s="53"/>
    </row>
    <row r="2" spans="1:20" ht="16.5" thickBot="1" x14ac:dyDescent="0.3">
      <c r="A2" s="52" t="s">
        <v>1142</v>
      </c>
      <c r="B2" s="55">
        <v>3579</v>
      </c>
      <c r="C2" s="55">
        <v>69028</v>
      </c>
      <c r="D2" s="52" t="s">
        <v>1143</v>
      </c>
      <c r="E2">
        <v>1</v>
      </c>
      <c r="F2">
        <v>1</v>
      </c>
      <c r="G2" s="75">
        <f>VLOOKUP($D2,$K$4:$M$69,2,FALSE)</f>
        <v>1.65648</v>
      </c>
      <c r="H2" s="75">
        <f>VLOOKUP($D2,$K$4:$M$69,3,FALSE)</f>
        <v>0.60368999999999995</v>
      </c>
      <c r="J2" s="58"/>
      <c r="K2" s="59"/>
      <c r="L2" s="1024" t="s">
        <v>1235</v>
      </c>
      <c r="M2" s="1024"/>
      <c r="O2" s="76" t="str">
        <f>'Applied Discounts'!$C$5</f>
        <v>EUR</v>
      </c>
      <c r="P2" s="77">
        <f>INDEX($A$2:$H$46, MATCH('Applied Discounts'!$C$4, $A$2:$A$46, 0), 7)</f>
        <v>1</v>
      </c>
      <c r="Q2" t="s">
        <v>1236</v>
      </c>
      <c r="S2" s="80" t="s">
        <v>1237</v>
      </c>
      <c r="T2" s="94">
        <f>INDEX($A$2:$E$46, MATCH('Applied Discounts'!$C$4, $A$2:$A$46, 0), 5)</f>
        <v>1</v>
      </c>
    </row>
    <row r="3" spans="1:20" ht="16.5" thickBot="1" x14ac:dyDescent="0.3">
      <c r="A3" s="52" t="s">
        <v>1144</v>
      </c>
      <c r="B3" s="55">
        <v>3558</v>
      </c>
      <c r="C3" s="55">
        <v>69027</v>
      </c>
      <c r="D3" s="52" t="s">
        <v>1145</v>
      </c>
      <c r="E3">
        <v>1</v>
      </c>
      <c r="F3">
        <v>1</v>
      </c>
      <c r="G3" s="75">
        <f t="shared" ref="G3:G46" si="0">VLOOKUP($D3,$K$4:$M$69,2,FALSE)</f>
        <v>1.4827900000000001</v>
      </c>
      <c r="H3" s="75">
        <f t="shared" ref="H3:H46" si="1">VLOOKUP($D3,$K$4:$M$69,3,FALSE)</f>
        <v>0.67440999999999995</v>
      </c>
      <c r="J3" s="58"/>
      <c r="K3" s="59"/>
      <c r="L3" s="63" t="s">
        <v>1238</v>
      </c>
      <c r="M3" s="64" t="s">
        <v>1239</v>
      </c>
      <c r="O3" s="620" t="str">
        <f>'Applied Discounts'!$C$5</f>
        <v>EUR</v>
      </c>
      <c r="P3" s="621">
        <f>INDEX($A$2:$H$46, MATCH('Applied Discounts'!$C$4, $A$2:$A$46, 0), 8)</f>
        <v>1</v>
      </c>
      <c r="Q3" t="s">
        <v>1240</v>
      </c>
      <c r="S3" s="80" t="s">
        <v>1241</v>
      </c>
      <c r="T3" s="94">
        <f>INDEX($A$2:$F$46, MATCH('Applied Discounts'!$C$4, $A$2:$A$46, 0), 6)</f>
        <v>1</v>
      </c>
    </row>
    <row r="4" spans="1:20" x14ac:dyDescent="0.25">
      <c r="A4" s="52" t="s">
        <v>1146</v>
      </c>
      <c r="B4" s="55">
        <v>3511</v>
      </c>
      <c r="C4" s="55">
        <v>69067</v>
      </c>
      <c r="D4" s="52" t="s">
        <v>1147</v>
      </c>
      <c r="E4">
        <v>1</v>
      </c>
      <c r="F4">
        <v>1</v>
      </c>
      <c r="G4" s="75">
        <f t="shared" si="0"/>
        <v>7.3785600000000002</v>
      </c>
      <c r="H4" s="75">
        <f t="shared" si="1"/>
        <v>0.13553000000000001</v>
      </c>
      <c r="J4" s="58" t="s">
        <v>1151</v>
      </c>
      <c r="K4" s="59" t="s">
        <v>1151</v>
      </c>
      <c r="L4" s="63">
        <v>1</v>
      </c>
      <c r="M4" s="64">
        <v>1</v>
      </c>
    </row>
    <row r="5" spans="1:20" ht="15.75" thickBot="1" x14ac:dyDescent="0.3">
      <c r="A5" s="52" t="s">
        <v>1148</v>
      </c>
      <c r="B5" s="55" t="s">
        <v>1149</v>
      </c>
      <c r="C5" s="55" t="s">
        <v>1150</v>
      </c>
      <c r="D5" s="52" t="s">
        <v>1151</v>
      </c>
      <c r="E5">
        <v>1</v>
      </c>
      <c r="F5">
        <v>1</v>
      </c>
      <c r="G5" s="75">
        <f t="shared" si="0"/>
        <v>1</v>
      </c>
      <c r="H5" s="75">
        <f t="shared" si="1"/>
        <v>1</v>
      </c>
      <c r="J5" s="60" t="s">
        <v>1242</v>
      </c>
      <c r="K5" s="63" t="s">
        <v>1168</v>
      </c>
      <c r="L5" s="61">
        <v>1.03</v>
      </c>
      <c r="M5" s="65">
        <v>0.97087000000000001</v>
      </c>
    </row>
    <row r="6" spans="1:20" x14ac:dyDescent="0.25">
      <c r="A6" s="52" t="s">
        <v>1152</v>
      </c>
      <c r="B6" s="55">
        <v>3506</v>
      </c>
      <c r="C6" s="55">
        <v>69034</v>
      </c>
      <c r="D6" s="52" t="s">
        <v>1151</v>
      </c>
      <c r="E6">
        <v>1</v>
      </c>
      <c r="F6">
        <v>1</v>
      </c>
      <c r="G6" s="75">
        <f t="shared" si="0"/>
        <v>1</v>
      </c>
      <c r="H6" s="75">
        <f t="shared" si="1"/>
        <v>1</v>
      </c>
      <c r="J6" s="66" t="s">
        <v>1243</v>
      </c>
      <c r="K6" s="68" t="s">
        <v>1244</v>
      </c>
      <c r="L6" s="67">
        <v>24.892530000000001</v>
      </c>
      <c r="M6" s="69">
        <v>4.0169999999999997E-2</v>
      </c>
    </row>
    <row r="7" spans="1:20" x14ac:dyDescent="0.25">
      <c r="A7" s="54" t="s">
        <v>1153</v>
      </c>
      <c r="B7" s="274">
        <v>3502</v>
      </c>
      <c r="C7" s="274">
        <v>69014</v>
      </c>
      <c r="D7" s="54" t="s">
        <v>1151</v>
      </c>
      <c r="E7" s="38">
        <v>1</v>
      </c>
      <c r="F7" s="38">
        <v>1</v>
      </c>
      <c r="G7" s="275">
        <f t="shared" si="0"/>
        <v>1</v>
      </c>
      <c r="H7" s="275">
        <f t="shared" si="1"/>
        <v>1</v>
      </c>
      <c r="J7" s="70" t="s">
        <v>1245</v>
      </c>
      <c r="K7" s="72" t="s">
        <v>1147</v>
      </c>
      <c r="L7" s="71">
        <v>7.3785600000000002</v>
      </c>
      <c r="M7" s="73">
        <v>0.13553000000000001</v>
      </c>
    </row>
    <row r="8" spans="1:20" x14ac:dyDescent="0.25">
      <c r="A8" s="52" t="s">
        <v>1154</v>
      </c>
      <c r="B8" s="55">
        <v>3519</v>
      </c>
      <c r="C8" s="55">
        <v>69023</v>
      </c>
      <c r="D8" s="52" t="s">
        <v>1151</v>
      </c>
      <c r="E8">
        <v>1</v>
      </c>
      <c r="F8">
        <v>1</v>
      </c>
      <c r="G8" s="75">
        <f t="shared" si="0"/>
        <v>1</v>
      </c>
      <c r="H8" s="75">
        <f t="shared" si="1"/>
        <v>1</v>
      </c>
      <c r="J8" s="70" t="s">
        <v>1246</v>
      </c>
      <c r="K8" s="72" t="s">
        <v>1247</v>
      </c>
      <c r="L8" s="71">
        <v>1.9347000000000001</v>
      </c>
      <c r="M8" s="73">
        <v>0.51688000000000001</v>
      </c>
    </row>
    <row r="9" spans="1:20" x14ac:dyDescent="0.25">
      <c r="A9" s="52" t="s">
        <v>1155</v>
      </c>
      <c r="B9" s="55">
        <v>3521</v>
      </c>
      <c r="C9" s="55">
        <v>69003</v>
      </c>
      <c r="D9" s="52" t="s">
        <v>1151</v>
      </c>
      <c r="E9">
        <v>1</v>
      </c>
      <c r="F9">
        <v>1</v>
      </c>
      <c r="G9" s="75">
        <f t="shared" si="0"/>
        <v>1</v>
      </c>
      <c r="H9" s="75">
        <f t="shared" si="1"/>
        <v>1</v>
      </c>
      <c r="J9" s="70" t="s">
        <v>1248</v>
      </c>
      <c r="K9" s="72" t="s">
        <v>1249</v>
      </c>
      <c r="L9" s="71">
        <v>405.98995000000002</v>
      </c>
      <c r="M9" s="73">
        <v>2.4599999999999999E-3</v>
      </c>
    </row>
    <row r="10" spans="1:20" x14ac:dyDescent="0.25">
      <c r="A10" s="52" t="s">
        <v>1156</v>
      </c>
      <c r="B10" s="55">
        <v>3643</v>
      </c>
      <c r="C10" s="55">
        <v>69065</v>
      </c>
      <c r="D10" s="52" t="s">
        <v>1151</v>
      </c>
      <c r="E10">
        <v>1</v>
      </c>
      <c r="F10">
        <v>1</v>
      </c>
      <c r="G10" s="75">
        <f t="shared" si="0"/>
        <v>1</v>
      </c>
      <c r="H10" s="75">
        <f t="shared" si="1"/>
        <v>1</v>
      </c>
      <c r="J10" s="70" t="s">
        <v>1250</v>
      </c>
      <c r="K10" s="72" t="s">
        <v>1176</v>
      </c>
      <c r="L10" s="71">
        <v>11.71692</v>
      </c>
      <c r="M10" s="73">
        <v>8.5349999999999995E-2</v>
      </c>
    </row>
    <row r="11" spans="1:20" x14ac:dyDescent="0.25">
      <c r="A11" s="52" t="s">
        <v>1157</v>
      </c>
      <c r="B11" s="55">
        <v>3518</v>
      </c>
      <c r="C11" s="55">
        <v>69036</v>
      </c>
      <c r="D11" s="52" t="s">
        <v>1151</v>
      </c>
      <c r="E11">
        <v>1</v>
      </c>
      <c r="F11">
        <v>1</v>
      </c>
      <c r="G11" s="75">
        <f t="shared" si="0"/>
        <v>1</v>
      </c>
      <c r="H11" s="75">
        <f t="shared" si="1"/>
        <v>1</v>
      </c>
      <c r="J11" s="70" t="s">
        <v>1251</v>
      </c>
      <c r="K11" s="72" t="s">
        <v>1180</v>
      </c>
      <c r="L11" s="71">
        <v>4.2300599999999999</v>
      </c>
      <c r="M11" s="73">
        <v>0.2364</v>
      </c>
    </row>
    <row r="12" spans="1:20" x14ac:dyDescent="0.25">
      <c r="A12" s="52" t="s">
        <v>1158</v>
      </c>
      <c r="B12" s="55">
        <v>3522</v>
      </c>
      <c r="C12" s="55">
        <v>69032</v>
      </c>
      <c r="D12" s="52" t="s">
        <v>1151</v>
      </c>
      <c r="E12">
        <v>1</v>
      </c>
      <c r="F12">
        <v>1</v>
      </c>
      <c r="G12" s="75">
        <f t="shared" si="0"/>
        <v>1</v>
      </c>
      <c r="H12" s="75">
        <f t="shared" si="1"/>
        <v>1</v>
      </c>
      <c r="J12" s="70" t="s">
        <v>1252</v>
      </c>
      <c r="K12" s="74" t="s">
        <v>1184</v>
      </c>
      <c r="L12" s="71">
        <v>11.36636</v>
      </c>
      <c r="M12" s="73">
        <v>8.7980000000000003E-2</v>
      </c>
    </row>
    <row r="13" spans="1:20" x14ac:dyDescent="0.25">
      <c r="A13" s="52" t="s">
        <v>1159</v>
      </c>
      <c r="B13" s="55">
        <v>3585</v>
      </c>
      <c r="C13" s="55">
        <v>69007</v>
      </c>
      <c r="D13" s="52" t="s">
        <v>1151</v>
      </c>
      <c r="E13">
        <v>1</v>
      </c>
      <c r="F13">
        <v>1</v>
      </c>
      <c r="G13" s="75">
        <f t="shared" si="0"/>
        <v>1</v>
      </c>
      <c r="H13" s="75">
        <f t="shared" si="1"/>
        <v>1</v>
      </c>
      <c r="J13" s="70" t="s">
        <v>1253</v>
      </c>
      <c r="K13" s="74" t="s">
        <v>1254</v>
      </c>
      <c r="L13" s="71">
        <v>0.92757000000000001</v>
      </c>
      <c r="M13" s="73">
        <v>1.07809</v>
      </c>
    </row>
    <row r="14" spans="1:20" x14ac:dyDescent="0.25">
      <c r="A14" s="52" t="s">
        <v>1160</v>
      </c>
      <c r="B14" s="55">
        <v>3320</v>
      </c>
      <c r="C14" s="55">
        <v>69020</v>
      </c>
      <c r="D14" s="52" t="s">
        <v>1151</v>
      </c>
      <c r="E14">
        <v>1</v>
      </c>
      <c r="F14">
        <v>1</v>
      </c>
      <c r="G14" s="75">
        <f t="shared" si="0"/>
        <v>1</v>
      </c>
      <c r="H14" s="75">
        <f t="shared" si="1"/>
        <v>1</v>
      </c>
      <c r="J14" s="70" t="s">
        <v>1255</v>
      </c>
      <c r="K14" s="74" t="s">
        <v>1173</v>
      </c>
      <c r="L14" s="71">
        <v>0.82238999999999995</v>
      </c>
      <c r="M14" s="73">
        <v>1.2159599999999999</v>
      </c>
    </row>
    <row r="15" spans="1:20" x14ac:dyDescent="0.25">
      <c r="A15" s="52" t="s">
        <v>1161</v>
      </c>
      <c r="B15" s="55">
        <v>3512</v>
      </c>
      <c r="C15" s="55">
        <v>69038</v>
      </c>
      <c r="D15" s="52" t="s">
        <v>1151</v>
      </c>
      <c r="E15">
        <v>1</v>
      </c>
      <c r="F15">
        <v>1</v>
      </c>
      <c r="G15" s="75">
        <f t="shared" si="0"/>
        <v>1</v>
      </c>
      <c r="H15" s="75">
        <f t="shared" si="1"/>
        <v>1</v>
      </c>
      <c r="J15" s="70" t="s">
        <v>1256</v>
      </c>
      <c r="K15" s="74" t="s">
        <v>1145</v>
      </c>
      <c r="L15" s="71">
        <v>1.4827900000000001</v>
      </c>
      <c r="M15" s="73">
        <v>0.67440999999999995</v>
      </c>
    </row>
    <row r="16" spans="1:20" x14ac:dyDescent="0.25">
      <c r="A16" s="52" t="s">
        <v>1162</v>
      </c>
      <c r="B16" s="55">
        <v>3658</v>
      </c>
      <c r="C16" s="55">
        <v>69071</v>
      </c>
      <c r="D16" s="52" t="s">
        <v>1151</v>
      </c>
      <c r="E16">
        <v>1</v>
      </c>
      <c r="F16">
        <v>1</v>
      </c>
      <c r="G16" s="75">
        <f t="shared" si="0"/>
        <v>1</v>
      </c>
      <c r="H16" s="75">
        <f t="shared" si="1"/>
        <v>1</v>
      </c>
      <c r="J16" s="70" t="s">
        <v>1257</v>
      </c>
      <c r="K16" s="74" t="s">
        <v>1258</v>
      </c>
      <c r="L16" s="71">
        <v>20.91029</v>
      </c>
      <c r="M16" s="73">
        <v>4.7820000000000001E-2</v>
      </c>
    </row>
    <row r="17" spans="1:13" x14ac:dyDescent="0.25">
      <c r="A17" s="52" t="s">
        <v>1163</v>
      </c>
      <c r="B17" s="55">
        <v>3507</v>
      </c>
      <c r="C17" s="55">
        <v>69016</v>
      </c>
      <c r="D17" s="52" t="s">
        <v>1151</v>
      </c>
      <c r="E17">
        <v>1</v>
      </c>
      <c r="F17">
        <v>1</v>
      </c>
      <c r="G17" s="75">
        <f t="shared" si="0"/>
        <v>1</v>
      </c>
      <c r="H17" s="75">
        <f t="shared" si="1"/>
        <v>1</v>
      </c>
      <c r="J17" s="70" t="s">
        <v>1259</v>
      </c>
      <c r="K17" s="74" t="s">
        <v>1260</v>
      </c>
      <c r="L17" s="71">
        <v>1059.6125</v>
      </c>
      <c r="M17" s="73">
        <v>9.3999999999999997E-4</v>
      </c>
    </row>
    <row r="18" spans="1:13" x14ac:dyDescent="0.25">
      <c r="A18" s="52" t="s">
        <v>1164</v>
      </c>
      <c r="B18" s="55">
        <v>3586</v>
      </c>
      <c r="C18" s="55">
        <v>69029</v>
      </c>
      <c r="D18" s="52" t="s">
        <v>1151</v>
      </c>
      <c r="E18">
        <v>1</v>
      </c>
      <c r="F18">
        <v>1</v>
      </c>
      <c r="G18" s="75">
        <f t="shared" si="0"/>
        <v>1</v>
      </c>
      <c r="H18" s="75">
        <f t="shared" si="1"/>
        <v>1</v>
      </c>
      <c r="J18" s="70" t="s">
        <v>1261</v>
      </c>
      <c r="K18" s="74" t="s">
        <v>1262</v>
      </c>
      <c r="L18" s="71">
        <v>6.3667400000000001</v>
      </c>
      <c r="M18" s="73">
        <v>0.15706999999999999</v>
      </c>
    </row>
    <row r="19" spans="1:13" x14ac:dyDescent="0.25">
      <c r="A19" s="52" t="s">
        <v>1165</v>
      </c>
      <c r="B19" s="55">
        <v>3653</v>
      </c>
      <c r="C19" s="55" t="s">
        <v>1166</v>
      </c>
      <c r="D19" s="52" t="s">
        <v>1151</v>
      </c>
      <c r="E19">
        <v>1</v>
      </c>
      <c r="F19">
        <v>1</v>
      </c>
      <c r="G19" s="75">
        <f t="shared" si="0"/>
        <v>1</v>
      </c>
      <c r="H19" s="75">
        <f t="shared" si="1"/>
        <v>1</v>
      </c>
      <c r="J19" s="70" t="s">
        <v>1263</v>
      </c>
      <c r="K19" s="74" t="s">
        <v>1264</v>
      </c>
      <c r="L19" s="71">
        <v>1020.07595</v>
      </c>
      <c r="M19" s="73">
        <v>9.7999999999999997E-4</v>
      </c>
    </row>
    <row r="20" spans="1:13" x14ac:dyDescent="0.25">
      <c r="A20" s="52" t="s">
        <v>1156</v>
      </c>
      <c r="B20" s="55">
        <v>3643</v>
      </c>
      <c r="C20" s="55" t="s">
        <v>1167</v>
      </c>
      <c r="D20" s="52" t="s">
        <v>1168</v>
      </c>
      <c r="E20">
        <v>1</v>
      </c>
      <c r="F20">
        <v>1</v>
      </c>
      <c r="G20" s="75">
        <f t="shared" si="0"/>
        <v>1.03</v>
      </c>
      <c r="H20" s="75">
        <f t="shared" si="1"/>
        <v>0.97087000000000001</v>
      </c>
      <c r="J20" s="70" t="s">
        <v>1265</v>
      </c>
      <c r="K20" s="74" t="s">
        <v>1266</v>
      </c>
      <c r="L20" s="71">
        <v>4526.8500000000004</v>
      </c>
      <c r="M20" s="73">
        <v>2.2000000000000001E-4</v>
      </c>
    </row>
    <row r="21" spans="1:13" x14ac:dyDescent="0.25">
      <c r="A21" s="52" t="s">
        <v>1169</v>
      </c>
      <c r="B21" s="55">
        <v>3627</v>
      </c>
      <c r="C21" s="55" t="s">
        <v>1170</v>
      </c>
      <c r="D21" s="52" t="s">
        <v>1168</v>
      </c>
      <c r="E21">
        <v>1</v>
      </c>
      <c r="F21">
        <v>1</v>
      </c>
      <c r="G21" s="75">
        <f t="shared" si="0"/>
        <v>1.03</v>
      </c>
      <c r="H21" s="75">
        <f t="shared" si="1"/>
        <v>0.97087000000000001</v>
      </c>
      <c r="J21" s="70" t="s">
        <v>1267</v>
      </c>
      <c r="K21" s="74" t="s">
        <v>1268</v>
      </c>
      <c r="L21" s="71">
        <v>522.95675000000006</v>
      </c>
      <c r="M21" s="73">
        <v>1.91E-3</v>
      </c>
    </row>
    <row r="22" spans="1:13" x14ac:dyDescent="0.25">
      <c r="A22" s="52" t="s">
        <v>1171</v>
      </c>
      <c r="B22" s="55">
        <v>3516</v>
      </c>
      <c r="C22" s="55" t="s">
        <v>1172</v>
      </c>
      <c r="D22" s="52" t="s">
        <v>1173</v>
      </c>
      <c r="E22">
        <v>1</v>
      </c>
      <c r="F22">
        <v>1</v>
      </c>
      <c r="G22" s="75">
        <f t="shared" si="0"/>
        <v>0.82238999999999995</v>
      </c>
      <c r="H22" s="75">
        <f t="shared" si="1"/>
        <v>1.2159599999999999</v>
      </c>
      <c r="J22" s="70" t="s">
        <v>1269</v>
      </c>
      <c r="K22" s="74" t="s">
        <v>1270</v>
      </c>
      <c r="L22" s="71">
        <v>62.716700000000003</v>
      </c>
      <c r="M22" s="73">
        <v>1.5939999999999999E-2</v>
      </c>
    </row>
    <row r="23" spans="1:13" x14ac:dyDescent="0.25">
      <c r="A23" s="52" t="s">
        <v>1174</v>
      </c>
      <c r="B23" s="55">
        <v>3503</v>
      </c>
      <c r="C23" s="55">
        <v>69040</v>
      </c>
      <c r="D23" s="52" t="s">
        <v>1151</v>
      </c>
      <c r="E23">
        <v>1</v>
      </c>
      <c r="F23">
        <v>1</v>
      </c>
      <c r="G23" s="75">
        <f t="shared" si="0"/>
        <v>1</v>
      </c>
      <c r="H23" s="75">
        <f t="shared" si="1"/>
        <v>1</v>
      </c>
      <c r="J23" s="70" t="s">
        <v>1271</v>
      </c>
      <c r="K23" s="74" t="s">
        <v>1272</v>
      </c>
      <c r="L23" s="71">
        <v>1.85632</v>
      </c>
      <c r="M23" s="73">
        <v>0.53869999999999996</v>
      </c>
    </row>
    <row r="24" spans="1:13" x14ac:dyDescent="0.25">
      <c r="A24" s="52" t="s">
        <v>1175</v>
      </c>
      <c r="B24" s="55">
        <v>3509</v>
      </c>
      <c r="C24" s="55">
        <v>69062</v>
      </c>
      <c r="D24" s="52" t="s">
        <v>1176</v>
      </c>
      <c r="E24">
        <v>1</v>
      </c>
      <c r="F24">
        <v>1</v>
      </c>
      <c r="G24" s="75">
        <f t="shared" si="0"/>
        <v>11.71692</v>
      </c>
      <c r="H24" s="75">
        <f t="shared" si="1"/>
        <v>8.5349999999999995E-2</v>
      </c>
      <c r="J24" s="70" t="s">
        <v>1273</v>
      </c>
      <c r="K24" s="74" t="s">
        <v>1274</v>
      </c>
      <c r="L24" s="71">
        <v>3.85344</v>
      </c>
      <c r="M24" s="73">
        <v>0.25951000000000002</v>
      </c>
    </row>
    <row r="25" spans="1:13" x14ac:dyDescent="0.25">
      <c r="A25" s="52" t="s">
        <v>1177</v>
      </c>
      <c r="B25" s="55">
        <v>3580</v>
      </c>
      <c r="C25" s="55">
        <v>69031</v>
      </c>
      <c r="D25" s="52" t="s">
        <v>1178</v>
      </c>
      <c r="E25">
        <v>1</v>
      </c>
      <c r="F25">
        <v>1</v>
      </c>
      <c r="G25" s="75">
        <f t="shared" si="0"/>
        <v>1.8291599999999999</v>
      </c>
      <c r="H25" s="75">
        <f t="shared" si="1"/>
        <v>0.54669999999999996</v>
      </c>
      <c r="J25" s="70" t="s">
        <v>1275</v>
      </c>
      <c r="K25" s="74" t="s">
        <v>1276</v>
      </c>
      <c r="L25" s="71">
        <v>53.252229999999997</v>
      </c>
      <c r="M25" s="73">
        <v>1.8780000000000002E-2</v>
      </c>
    </row>
    <row r="26" spans="1:13" x14ac:dyDescent="0.25">
      <c r="A26" s="52" t="s">
        <v>1179</v>
      </c>
      <c r="B26" s="55">
        <v>3505</v>
      </c>
      <c r="C26" s="55">
        <v>69037</v>
      </c>
      <c r="D26" s="52" t="s">
        <v>1180</v>
      </c>
      <c r="E26">
        <v>1</v>
      </c>
      <c r="F26">
        <v>1</v>
      </c>
      <c r="G26" s="75">
        <f t="shared" si="0"/>
        <v>4.2300599999999999</v>
      </c>
      <c r="H26" s="75">
        <f t="shared" si="1"/>
        <v>0.2364</v>
      </c>
      <c r="J26" s="70" t="s">
        <v>1277</v>
      </c>
      <c r="K26" s="74" t="s">
        <v>1143</v>
      </c>
      <c r="L26" s="71">
        <v>1.65648</v>
      </c>
      <c r="M26" s="73">
        <v>0.60368999999999995</v>
      </c>
    </row>
    <row r="27" spans="1:13" x14ac:dyDescent="0.25">
      <c r="A27" s="52" t="s">
        <v>1181</v>
      </c>
      <c r="B27" s="55" t="s">
        <v>1182</v>
      </c>
      <c r="C27" s="55" t="s">
        <v>1183</v>
      </c>
      <c r="D27" s="52" t="s">
        <v>1184</v>
      </c>
      <c r="E27">
        <v>1</v>
      </c>
      <c r="F27">
        <v>1</v>
      </c>
      <c r="G27" s="75">
        <f t="shared" si="0"/>
        <v>11.36636</v>
      </c>
      <c r="H27" s="75">
        <f t="shared" si="1"/>
        <v>8.7980000000000003E-2</v>
      </c>
      <c r="J27" s="70" t="s">
        <v>1278</v>
      </c>
      <c r="K27" s="74" t="s">
        <v>1279</v>
      </c>
      <c r="L27" s="71">
        <v>7.5183299999999997</v>
      </c>
      <c r="M27" s="73">
        <v>0.13300999999999999</v>
      </c>
    </row>
    <row r="28" spans="1:13" x14ac:dyDescent="0.25">
      <c r="A28" s="52" t="s">
        <v>1185</v>
      </c>
      <c r="B28" s="55">
        <v>3567</v>
      </c>
      <c r="C28" s="55">
        <v>69002</v>
      </c>
      <c r="D28" s="52" t="s">
        <v>1168</v>
      </c>
      <c r="E28">
        <v>1</v>
      </c>
      <c r="F28">
        <v>1</v>
      </c>
      <c r="G28" s="75">
        <f t="shared" si="0"/>
        <v>1.03</v>
      </c>
      <c r="H28" s="75">
        <f t="shared" si="1"/>
        <v>0.97087000000000001</v>
      </c>
      <c r="J28" s="70" t="s">
        <v>1280</v>
      </c>
      <c r="K28" s="74" t="s">
        <v>1281</v>
      </c>
      <c r="L28" s="71">
        <v>7.9957900000000004</v>
      </c>
      <c r="M28" s="73">
        <v>0.12506999999999999</v>
      </c>
    </row>
    <row r="29" spans="1:13" x14ac:dyDescent="0.25">
      <c r="A29" s="52" t="s">
        <v>1186</v>
      </c>
      <c r="B29" s="55">
        <v>3566</v>
      </c>
      <c r="C29" s="55">
        <v>69035</v>
      </c>
      <c r="D29" s="52" t="s">
        <v>1168</v>
      </c>
      <c r="E29">
        <v>1</v>
      </c>
      <c r="F29">
        <v>1</v>
      </c>
      <c r="G29" s="75">
        <f t="shared" si="0"/>
        <v>1.03</v>
      </c>
      <c r="H29" s="75">
        <f t="shared" si="1"/>
        <v>0.97087000000000001</v>
      </c>
      <c r="J29" s="70" t="s">
        <v>1282</v>
      </c>
      <c r="K29" s="74" t="s">
        <v>1283</v>
      </c>
      <c r="L29" s="71">
        <v>88.132469999999998</v>
      </c>
      <c r="M29" s="73">
        <v>1.1350000000000001E-2</v>
      </c>
    </row>
    <row r="30" spans="1:13" x14ac:dyDescent="0.25">
      <c r="A30" s="52" t="s">
        <v>1187</v>
      </c>
      <c r="B30" s="55">
        <v>3633</v>
      </c>
      <c r="C30" s="55">
        <v>69063</v>
      </c>
      <c r="D30" s="52" t="s">
        <v>1168</v>
      </c>
      <c r="E30">
        <v>1</v>
      </c>
      <c r="F30">
        <v>1</v>
      </c>
      <c r="G30" s="75">
        <f t="shared" si="0"/>
        <v>1.03</v>
      </c>
      <c r="H30" s="75">
        <f t="shared" si="1"/>
        <v>0.97087000000000001</v>
      </c>
      <c r="J30" s="70" t="s">
        <v>1284</v>
      </c>
      <c r="K30" s="74" t="s">
        <v>1229</v>
      </c>
      <c r="L30" s="71">
        <v>16722.05</v>
      </c>
      <c r="M30" s="73">
        <v>6.0000000000000002E-5</v>
      </c>
    </row>
    <row r="31" spans="1:13" x14ac:dyDescent="0.25">
      <c r="A31" s="52" t="s">
        <v>1188</v>
      </c>
      <c r="B31" s="55" t="s">
        <v>1189</v>
      </c>
      <c r="C31" s="55">
        <v>69005</v>
      </c>
      <c r="D31" s="52" t="s">
        <v>1168</v>
      </c>
      <c r="E31">
        <v>1</v>
      </c>
      <c r="F31">
        <v>1</v>
      </c>
      <c r="G31" s="75">
        <f t="shared" si="0"/>
        <v>1.03</v>
      </c>
      <c r="H31" s="75">
        <f t="shared" si="1"/>
        <v>0.97087000000000001</v>
      </c>
      <c r="J31" s="70" t="s">
        <v>1285</v>
      </c>
      <c r="K31" s="74" t="s">
        <v>1286</v>
      </c>
      <c r="L31" s="71">
        <v>162.5855</v>
      </c>
      <c r="M31" s="73">
        <v>6.1500000000000001E-3</v>
      </c>
    </row>
    <row r="32" spans="1:13" x14ac:dyDescent="0.25">
      <c r="A32" s="52" t="s">
        <v>1190</v>
      </c>
      <c r="B32" s="55">
        <v>3564</v>
      </c>
      <c r="C32" s="55">
        <v>69048</v>
      </c>
      <c r="D32" s="52" t="s">
        <v>1168</v>
      </c>
      <c r="E32">
        <v>1</v>
      </c>
      <c r="F32">
        <v>1</v>
      </c>
      <c r="G32" s="75">
        <f t="shared" si="0"/>
        <v>1.03</v>
      </c>
      <c r="H32" s="75">
        <f t="shared" si="1"/>
        <v>0.97087000000000001</v>
      </c>
      <c r="J32" s="70" t="s">
        <v>1287</v>
      </c>
      <c r="K32" s="74" t="s">
        <v>1288</v>
      </c>
      <c r="L32" s="71">
        <v>4.6102800000000004</v>
      </c>
      <c r="M32" s="73">
        <v>0.21690999999999999</v>
      </c>
    </row>
    <row r="33" spans="1:13" x14ac:dyDescent="0.25">
      <c r="A33" s="52" t="s">
        <v>1191</v>
      </c>
      <c r="B33" s="55" t="s">
        <v>1192</v>
      </c>
      <c r="C33" s="55">
        <v>69025</v>
      </c>
      <c r="D33" s="52" t="s">
        <v>1168</v>
      </c>
      <c r="E33">
        <v>1</v>
      </c>
      <c r="F33">
        <v>1</v>
      </c>
      <c r="G33" s="75">
        <f t="shared" si="0"/>
        <v>1.03</v>
      </c>
      <c r="H33" s="75">
        <f t="shared" si="1"/>
        <v>0.97087000000000001</v>
      </c>
      <c r="J33" s="70" t="s">
        <v>1289</v>
      </c>
      <c r="K33" s="74" t="s">
        <v>1178</v>
      </c>
      <c r="L33" s="71">
        <v>1.8291599999999999</v>
      </c>
      <c r="M33" s="73">
        <v>0.54669999999999996</v>
      </c>
    </row>
    <row r="34" spans="1:13" x14ac:dyDescent="0.25">
      <c r="A34" s="52" t="s">
        <v>1193</v>
      </c>
      <c r="B34" s="55" t="s">
        <v>1194</v>
      </c>
      <c r="C34" s="55" t="s">
        <v>1195</v>
      </c>
      <c r="D34" s="52" t="s">
        <v>1151</v>
      </c>
      <c r="E34">
        <v>1</v>
      </c>
      <c r="F34">
        <v>1</v>
      </c>
      <c r="G34" s="75">
        <f t="shared" si="0"/>
        <v>1</v>
      </c>
      <c r="H34" s="75">
        <f t="shared" si="1"/>
        <v>1</v>
      </c>
      <c r="J34" s="70" t="s">
        <v>1290</v>
      </c>
      <c r="K34" s="74" t="s">
        <v>1291</v>
      </c>
      <c r="L34" s="71">
        <v>59.578809999999997</v>
      </c>
      <c r="M34" s="73">
        <v>1.678E-2</v>
      </c>
    </row>
    <row r="35" spans="1:13" x14ac:dyDescent="0.25">
      <c r="A35" s="52" t="s">
        <v>1196</v>
      </c>
      <c r="B35" s="55">
        <v>3562</v>
      </c>
      <c r="C35" s="55">
        <v>69024</v>
      </c>
      <c r="D35" s="52" t="s">
        <v>1168</v>
      </c>
      <c r="E35">
        <v>1</v>
      </c>
      <c r="F35">
        <v>1</v>
      </c>
      <c r="G35" s="75">
        <f t="shared" si="0"/>
        <v>1.03</v>
      </c>
      <c r="H35" s="75">
        <f t="shared" si="1"/>
        <v>0.97087000000000001</v>
      </c>
      <c r="J35" s="70" t="s">
        <v>1292</v>
      </c>
      <c r="K35" s="74" t="s">
        <v>1293</v>
      </c>
      <c r="L35" s="71">
        <v>103.5253</v>
      </c>
      <c r="M35" s="73">
        <v>9.6600000000000002E-3</v>
      </c>
    </row>
    <row r="36" spans="1:13" x14ac:dyDescent="0.25">
      <c r="A36" s="52" t="s">
        <v>1197</v>
      </c>
      <c r="B36" s="55" t="s">
        <v>1198</v>
      </c>
      <c r="C36" s="55" t="s">
        <v>1199</v>
      </c>
      <c r="D36" s="52" t="s">
        <v>1168</v>
      </c>
      <c r="E36">
        <v>1</v>
      </c>
      <c r="F36">
        <v>1</v>
      </c>
      <c r="G36" s="75">
        <f t="shared" si="0"/>
        <v>1.03</v>
      </c>
      <c r="H36" s="75">
        <f t="shared" si="1"/>
        <v>0.97087000000000001</v>
      </c>
      <c r="J36" s="70" t="s">
        <v>1294</v>
      </c>
      <c r="K36" s="74" t="s">
        <v>1295</v>
      </c>
      <c r="L36" s="71">
        <v>1.40049</v>
      </c>
      <c r="M36" s="73">
        <v>0.71404000000000001</v>
      </c>
    </row>
    <row r="37" spans="1:13" x14ac:dyDescent="0.25">
      <c r="A37" s="52" t="s">
        <v>1200</v>
      </c>
      <c r="B37" s="55" t="s">
        <v>1201</v>
      </c>
      <c r="C37" s="55" t="s">
        <v>1202</v>
      </c>
      <c r="D37" s="52" t="s">
        <v>1168</v>
      </c>
      <c r="E37">
        <v>1</v>
      </c>
      <c r="F37">
        <v>1</v>
      </c>
      <c r="G37" s="75">
        <f t="shared" si="0"/>
        <v>1.03</v>
      </c>
      <c r="H37" s="75">
        <f t="shared" si="1"/>
        <v>0.97087000000000001</v>
      </c>
      <c r="J37" s="70" t="s">
        <v>1296</v>
      </c>
      <c r="K37" s="74" t="s">
        <v>1297</v>
      </c>
      <c r="L37" s="71">
        <v>1519.5126499999999</v>
      </c>
      <c r="M37" s="73">
        <v>6.6E-4</v>
      </c>
    </row>
    <row r="38" spans="1:13" x14ac:dyDescent="0.25">
      <c r="A38" s="52" t="s">
        <v>1203</v>
      </c>
      <c r="B38" s="55" t="s">
        <v>1204</v>
      </c>
      <c r="C38" s="55" t="s">
        <v>1205</v>
      </c>
      <c r="D38" s="52" t="s">
        <v>1168</v>
      </c>
      <c r="E38">
        <v>1</v>
      </c>
      <c r="F38">
        <v>1</v>
      </c>
      <c r="G38" s="75">
        <f t="shared" si="0"/>
        <v>1.03</v>
      </c>
      <c r="H38" s="75">
        <f t="shared" si="1"/>
        <v>0.97087000000000001</v>
      </c>
      <c r="J38" s="70" t="s">
        <v>1298</v>
      </c>
      <c r="K38" s="74" t="s">
        <v>1299</v>
      </c>
      <c r="L38" s="71">
        <v>33.873609999999999</v>
      </c>
      <c r="M38" s="73">
        <v>2.9520000000000001E-2</v>
      </c>
    </row>
    <row r="39" spans="1:13" x14ac:dyDescent="0.25">
      <c r="A39" s="52" t="s">
        <v>1206</v>
      </c>
      <c r="B39" s="55" t="s">
        <v>1207</v>
      </c>
      <c r="C39" s="55">
        <v>69118</v>
      </c>
      <c r="D39" s="52" t="s">
        <v>1168</v>
      </c>
      <c r="E39">
        <v>1</v>
      </c>
      <c r="F39">
        <v>1</v>
      </c>
      <c r="G39" s="75">
        <f t="shared" si="0"/>
        <v>1.03</v>
      </c>
      <c r="H39" s="75">
        <f t="shared" si="1"/>
        <v>0.97087000000000001</v>
      </c>
      <c r="J39" s="70" t="s">
        <v>1300</v>
      </c>
      <c r="K39" s="74" t="s">
        <v>1215</v>
      </c>
      <c r="L39" s="71">
        <v>35.133299999999998</v>
      </c>
      <c r="M39" s="73">
        <v>2.8459999999999999E-2</v>
      </c>
    </row>
    <row r="40" spans="1:13" x14ac:dyDescent="0.25">
      <c r="A40" s="52" t="s">
        <v>1208</v>
      </c>
      <c r="B40" s="55">
        <v>3584</v>
      </c>
      <c r="C40" s="55" t="s">
        <v>1209</v>
      </c>
      <c r="D40" s="52" t="s">
        <v>1168</v>
      </c>
      <c r="E40">
        <v>1</v>
      </c>
      <c r="F40">
        <v>1</v>
      </c>
      <c r="G40" s="75">
        <f t="shared" si="0"/>
        <v>1.03</v>
      </c>
      <c r="H40" s="75">
        <f t="shared" si="1"/>
        <v>0.97087000000000001</v>
      </c>
      <c r="J40" s="70" t="s">
        <v>1301</v>
      </c>
      <c r="K40" s="74" t="s">
        <v>1302</v>
      </c>
      <c r="L40" s="71">
        <v>26211.955000000002</v>
      </c>
      <c r="M40" s="73">
        <v>4.0000000000000003E-5</v>
      </c>
    </row>
    <row r="41" spans="1:13" x14ac:dyDescent="0.25">
      <c r="A41" s="52" t="s">
        <v>1210</v>
      </c>
      <c r="B41" s="55">
        <v>3526</v>
      </c>
      <c r="C41" s="55">
        <v>69033</v>
      </c>
      <c r="D41" s="52" t="s">
        <v>1211</v>
      </c>
      <c r="E41">
        <v>1</v>
      </c>
      <c r="F41">
        <v>1</v>
      </c>
      <c r="G41" s="75">
        <f t="shared" si="0"/>
        <v>19.376670000000001</v>
      </c>
      <c r="H41" s="75">
        <f t="shared" si="1"/>
        <v>5.1610000000000003E-2</v>
      </c>
      <c r="J41" s="70" t="s">
        <v>1303</v>
      </c>
      <c r="K41" s="74" t="s">
        <v>1211</v>
      </c>
      <c r="L41" s="71">
        <v>19.376670000000001</v>
      </c>
      <c r="M41" s="73">
        <v>5.1610000000000003E-2</v>
      </c>
    </row>
    <row r="42" spans="1:13" x14ac:dyDescent="0.25">
      <c r="A42" s="52" t="s">
        <v>1212</v>
      </c>
      <c r="B42" s="55" t="s">
        <v>1213</v>
      </c>
      <c r="C42" s="55" t="s">
        <v>1214</v>
      </c>
      <c r="D42" s="52" t="s">
        <v>1215</v>
      </c>
      <c r="E42">
        <v>1</v>
      </c>
      <c r="F42">
        <v>1</v>
      </c>
      <c r="G42" s="75">
        <f t="shared" si="0"/>
        <v>35.133299999999998</v>
      </c>
      <c r="H42" s="75">
        <f t="shared" si="1"/>
        <v>2.8459999999999999E-2</v>
      </c>
      <c r="J42" s="70" t="s">
        <v>1304</v>
      </c>
      <c r="K42" s="74" t="s">
        <v>1305</v>
      </c>
      <c r="L42" s="71">
        <v>3.78762</v>
      </c>
      <c r="M42" s="73">
        <v>0.26401999999999998</v>
      </c>
    </row>
    <row r="43" spans="1:13" x14ac:dyDescent="0.25">
      <c r="A43" s="52" t="s">
        <v>1216</v>
      </c>
      <c r="B43" s="55" t="s">
        <v>1217</v>
      </c>
      <c r="C43" s="55" t="s">
        <v>1218</v>
      </c>
      <c r="D43" s="52" t="s">
        <v>1151</v>
      </c>
      <c r="E43">
        <v>1</v>
      </c>
      <c r="F43">
        <v>1</v>
      </c>
      <c r="G43" s="75">
        <f t="shared" si="0"/>
        <v>1</v>
      </c>
      <c r="H43" s="75">
        <f t="shared" si="1"/>
        <v>1</v>
      </c>
      <c r="J43" s="70" t="s">
        <v>1306</v>
      </c>
      <c r="K43" s="74" t="s">
        <v>1307</v>
      </c>
      <c r="L43" s="71">
        <v>36.25085</v>
      </c>
      <c r="M43" s="73">
        <v>2.759E-2</v>
      </c>
    </row>
    <row r="44" spans="1:13" x14ac:dyDescent="0.25">
      <c r="A44" s="52" t="s">
        <v>1219</v>
      </c>
      <c r="B44" s="55" t="s">
        <v>1220</v>
      </c>
      <c r="C44" s="55" t="s">
        <v>1221</v>
      </c>
      <c r="D44" s="52" t="s">
        <v>1168</v>
      </c>
      <c r="E44">
        <v>1</v>
      </c>
      <c r="F44">
        <v>1</v>
      </c>
      <c r="G44" s="75">
        <f t="shared" si="0"/>
        <v>1.03</v>
      </c>
      <c r="H44" s="75">
        <f t="shared" si="1"/>
        <v>0.97087000000000001</v>
      </c>
      <c r="J44" s="70" t="s">
        <v>1308</v>
      </c>
      <c r="K44" s="74" t="s">
        <v>1309</v>
      </c>
      <c r="L44" s="71">
        <v>0.31734000000000001</v>
      </c>
      <c r="M44" s="73">
        <v>3.15116</v>
      </c>
    </row>
    <row r="45" spans="1:13" x14ac:dyDescent="0.25">
      <c r="A45" s="52" t="s">
        <v>1222</v>
      </c>
      <c r="B45" s="55" t="s">
        <v>1223</v>
      </c>
      <c r="C45" s="55" t="s">
        <v>1224</v>
      </c>
      <c r="D45" s="52" t="s">
        <v>1225</v>
      </c>
      <c r="E45">
        <v>1</v>
      </c>
      <c r="F45">
        <v>1</v>
      </c>
      <c r="G45" s="75">
        <f t="shared" si="0"/>
        <v>4.9175800000000001</v>
      </c>
      <c r="H45" s="75">
        <f t="shared" si="1"/>
        <v>0.20335</v>
      </c>
      <c r="J45" s="70" t="s">
        <v>1310</v>
      </c>
      <c r="K45" s="74" t="s">
        <v>1311</v>
      </c>
      <c r="L45" s="71">
        <v>3.86775</v>
      </c>
      <c r="M45" s="73">
        <v>0.25855</v>
      </c>
    </row>
    <row r="46" spans="1:13" x14ac:dyDescent="0.25">
      <c r="A46" s="52" t="s">
        <v>1226</v>
      </c>
      <c r="B46" s="55" t="s">
        <v>1227</v>
      </c>
      <c r="C46" s="55" t="s">
        <v>1228</v>
      </c>
      <c r="D46" s="52" t="s">
        <v>1229</v>
      </c>
      <c r="E46">
        <v>1</v>
      </c>
      <c r="F46">
        <v>1</v>
      </c>
      <c r="G46" s="75">
        <f t="shared" si="0"/>
        <v>16722.05</v>
      </c>
      <c r="H46" s="75">
        <f t="shared" si="1"/>
        <v>6.0000000000000002E-5</v>
      </c>
      <c r="J46" s="70" t="s">
        <v>1312</v>
      </c>
      <c r="K46" s="74" t="s">
        <v>1313</v>
      </c>
      <c r="L46" s="71">
        <v>3.7830900000000001</v>
      </c>
      <c r="M46" s="73">
        <v>0.26433000000000001</v>
      </c>
    </row>
    <row r="47" spans="1:13" x14ac:dyDescent="0.25">
      <c r="A47" s="52"/>
      <c r="D47" s="52"/>
      <c r="J47" s="70" t="s">
        <v>1314</v>
      </c>
      <c r="K47" s="74" t="s">
        <v>1315</v>
      </c>
      <c r="L47" s="71">
        <v>3.7556400000000001</v>
      </c>
      <c r="M47" s="73">
        <v>0.26627000000000001</v>
      </c>
    </row>
    <row r="48" spans="1:13" x14ac:dyDescent="0.25">
      <c r="A48" s="52"/>
      <c r="D48" s="52"/>
      <c r="J48" s="70" t="s">
        <v>1316</v>
      </c>
      <c r="K48" s="74" t="s">
        <v>1317</v>
      </c>
      <c r="L48" s="71">
        <v>0.39656999999999998</v>
      </c>
      <c r="M48" s="73">
        <v>2.52162</v>
      </c>
    </row>
    <row r="49" spans="1:13" x14ac:dyDescent="0.25">
      <c r="A49" s="52"/>
      <c r="D49" s="52"/>
      <c r="J49" s="70" t="s">
        <v>1318</v>
      </c>
      <c r="K49" s="74" t="s">
        <v>1319</v>
      </c>
      <c r="L49" s="71">
        <v>10.38611</v>
      </c>
      <c r="M49" s="73">
        <v>9.6280000000000004E-2</v>
      </c>
    </row>
    <row r="50" spans="1:13" x14ac:dyDescent="0.25">
      <c r="A50" s="52"/>
      <c r="D50" s="52"/>
      <c r="J50" s="70" t="s">
        <v>1320</v>
      </c>
      <c r="K50" s="74" t="s">
        <v>1321</v>
      </c>
      <c r="L50" s="71">
        <v>72.357500000000002</v>
      </c>
      <c r="M50" s="73">
        <v>1.3820000000000001E-2</v>
      </c>
    </row>
    <row r="51" spans="1:13" x14ac:dyDescent="0.25">
      <c r="A51" s="52"/>
      <c r="D51" s="52"/>
      <c r="J51" s="70" t="s">
        <v>1322</v>
      </c>
      <c r="K51" s="74" t="s">
        <v>1323</v>
      </c>
      <c r="L51" s="71">
        <v>15.141</v>
      </c>
      <c r="M51" s="73">
        <v>6.6049999999999998E-2</v>
      </c>
    </row>
    <row r="52" spans="1:13" x14ac:dyDescent="0.25">
      <c r="A52" s="52"/>
      <c r="D52" s="52"/>
      <c r="J52" s="70" t="s">
        <v>1324</v>
      </c>
      <c r="K52" s="74" t="s">
        <v>1325</v>
      </c>
      <c r="L52" s="71">
        <v>2497.75</v>
      </c>
      <c r="M52" s="73">
        <v>4.0000000000000002E-4</v>
      </c>
    </row>
    <row r="53" spans="1:13" x14ac:dyDescent="0.25">
      <c r="A53" s="52"/>
      <c r="D53" s="52"/>
      <c r="J53" s="70" t="s">
        <v>1326</v>
      </c>
      <c r="K53" s="74" t="s">
        <v>1327</v>
      </c>
      <c r="L53" s="71">
        <v>28.65409</v>
      </c>
      <c r="M53" s="73">
        <v>3.49E-2</v>
      </c>
    </row>
    <row r="54" spans="1:13" x14ac:dyDescent="0.25">
      <c r="A54" s="52"/>
      <c r="D54" s="52"/>
      <c r="J54" s="70" t="s">
        <v>1328</v>
      </c>
      <c r="K54" s="74" t="s">
        <v>1329</v>
      </c>
      <c r="L54" s="71">
        <v>1595.47</v>
      </c>
      <c r="M54" s="73">
        <v>6.3000000000000003E-4</v>
      </c>
    </row>
    <row r="55" spans="1:13" x14ac:dyDescent="0.25">
      <c r="A55" s="52"/>
      <c r="D55" s="52"/>
      <c r="J55" s="70" t="s">
        <v>1330</v>
      </c>
      <c r="K55" s="74" t="s">
        <v>1331</v>
      </c>
      <c r="L55" s="71">
        <v>52.383229999999998</v>
      </c>
      <c r="M55" s="73">
        <v>1.9089999999999999E-2</v>
      </c>
    </row>
    <row r="56" spans="1:13" x14ac:dyDescent="0.25">
      <c r="J56" s="70" t="s">
        <v>1332</v>
      </c>
      <c r="K56" s="74" t="s">
        <v>1333</v>
      </c>
      <c r="L56" s="71">
        <v>0.38830999999999999</v>
      </c>
      <c r="M56" s="73">
        <v>2.5752600000000001</v>
      </c>
    </row>
    <row r="57" spans="1:13" x14ac:dyDescent="0.25">
      <c r="J57" s="70" t="s">
        <v>1334</v>
      </c>
      <c r="K57" s="74" t="s">
        <v>1335</v>
      </c>
      <c r="L57" s="71">
        <v>538.12350000000004</v>
      </c>
      <c r="M57" s="73">
        <v>1.8600000000000001E-3</v>
      </c>
    </row>
    <row r="58" spans="1:13" x14ac:dyDescent="0.25">
      <c r="J58" s="70" t="s">
        <v>1336</v>
      </c>
      <c r="K58" s="74" t="s">
        <v>1337</v>
      </c>
      <c r="L58" s="71">
        <v>45.366349999999997</v>
      </c>
      <c r="M58" s="73">
        <v>2.2040000000000001E-2</v>
      </c>
    </row>
    <row r="59" spans="1:13" x14ac:dyDescent="0.25">
      <c r="J59" s="70" t="s">
        <v>1338</v>
      </c>
      <c r="K59" s="74" t="s">
        <v>1339</v>
      </c>
      <c r="L59" s="71">
        <v>648.9</v>
      </c>
      <c r="M59" s="73">
        <v>1.5399999999999999E-3</v>
      </c>
    </row>
    <row r="60" spans="1:13" x14ac:dyDescent="0.25">
      <c r="J60" s="70" t="s">
        <v>1340</v>
      </c>
      <c r="K60" s="74" t="s">
        <v>1341</v>
      </c>
      <c r="L60" s="71">
        <v>47024.65</v>
      </c>
      <c r="M60" s="73">
        <v>2.0000000000000002E-5</v>
      </c>
    </row>
    <row r="61" spans="1:13" x14ac:dyDescent="0.25">
      <c r="J61" s="70" t="s">
        <v>1342</v>
      </c>
      <c r="K61" s="74" t="s">
        <v>1343</v>
      </c>
      <c r="L61" s="71">
        <v>92236.5</v>
      </c>
      <c r="M61" s="73">
        <v>1.0000000000000001E-5</v>
      </c>
    </row>
    <row r="62" spans="1:13" x14ac:dyDescent="0.25">
      <c r="J62" s="70" t="s">
        <v>1344</v>
      </c>
      <c r="K62" s="74" t="s">
        <v>1345</v>
      </c>
      <c r="L62" s="71">
        <v>133.1275</v>
      </c>
      <c r="M62" s="73">
        <v>7.5100000000000002E-3</v>
      </c>
    </row>
    <row r="63" spans="1:13" x14ac:dyDescent="0.25">
      <c r="J63" s="70" t="s">
        <v>1346</v>
      </c>
      <c r="K63" s="74" t="s">
        <v>1347</v>
      </c>
      <c r="L63" s="71">
        <v>139.649</v>
      </c>
      <c r="M63" s="73">
        <v>7.1599999999999997E-3</v>
      </c>
    </row>
    <row r="64" spans="1:13" x14ac:dyDescent="0.25">
      <c r="J64" s="70" t="s">
        <v>1348</v>
      </c>
      <c r="K64" s="74" t="s">
        <v>1225</v>
      </c>
      <c r="L64" s="71">
        <v>4.9175800000000001</v>
      </c>
      <c r="M64" s="73">
        <v>0.20335</v>
      </c>
    </row>
    <row r="65" spans="10:13" x14ac:dyDescent="0.25">
      <c r="J65" s="70" t="s">
        <v>1349</v>
      </c>
      <c r="K65" s="74" t="s">
        <v>1350</v>
      </c>
      <c r="L65" s="71">
        <v>1.3994599999999999</v>
      </c>
      <c r="M65" s="73">
        <v>0.71455999999999997</v>
      </c>
    </row>
    <row r="66" spans="10:13" x14ac:dyDescent="0.25">
      <c r="J66" s="70" t="s">
        <v>1351</v>
      </c>
      <c r="K66" s="74" t="s">
        <v>1352</v>
      </c>
      <c r="L66" s="71">
        <v>142.77860000000001</v>
      </c>
      <c r="M66" s="73">
        <v>7.0000000000000001E-3</v>
      </c>
    </row>
    <row r="67" spans="10:13" x14ac:dyDescent="0.25">
      <c r="J67" s="70" t="s">
        <v>1353</v>
      </c>
      <c r="K67" s="74" t="s">
        <v>1354</v>
      </c>
      <c r="L67" s="71">
        <v>65.822149999999993</v>
      </c>
      <c r="M67" s="73">
        <v>1.519E-2</v>
      </c>
    </row>
    <row r="68" spans="10:13" x14ac:dyDescent="0.25">
      <c r="J68" s="70" t="s">
        <v>1355</v>
      </c>
      <c r="K68" s="74" t="s">
        <v>1356</v>
      </c>
      <c r="L68" s="71">
        <v>3.28755</v>
      </c>
      <c r="M68" s="73">
        <v>0.30418000000000001</v>
      </c>
    </row>
    <row r="69" spans="10:13" x14ac:dyDescent="0.25">
      <c r="J69" s="70" t="s">
        <v>1357</v>
      </c>
      <c r="K69" s="74" t="s">
        <v>1358</v>
      </c>
      <c r="L69" s="71">
        <v>43.213650000000001</v>
      </c>
      <c r="M69" s="73">
        <v>2.3140000000000001E-2</v>
      </c>
    </row>
  </sheetData>
  <mergeCells count="2">
    <mergeCell ref="L1:M1"/>
    <mergeCell ref="L2:M2"/>
  </mergeCells>
  <pageMargins left="0.7" right="0.7" top="0.78740157499999996" bottom="0.78740157499999996" header="0.3" footer="0.3"/>
  <pageSetup paperSize="9" scale="45" orientation="landscape" r:id="rId1"/>
  <ignoredErrors>
    <ignoredError sqref="B5:C4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49A85-C0BC-41E6-926E-C4EFF4912A4D}">
  <sheetPr codeName="Tabelle41">
    <tabColor rgb="FFFFC000"/>
    <pageSetUpPr fitToPage="1"/>
  </sheetPr>
  <dimension ref="A1:U36"/>
  <sheetViews>
    <sheetView showGridLines="0" tabSelected="1" topLeftCell="B1" zoomScale="95" zoomScaleNormal="95" workbookViewId="0">
      <selection activeCell="G12" sqref="G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customHeight="1" x14ac:dyDescent="0.25"/>
  <cols>
    <col min="1" max="1" width="3.85546875" style="150" hidden="1" customWidth="1"/>
    <col min="2" max="2" width="22.7109375" style="150" customWidth="1"/>
    <col min="3" max="6" width="8.7109375" style="150" customWidth="1"/>
    <col min="7" max="7" width="8.5703125" style="150" customWidth="1"/>
    <col min="8" max="11" width="8.7109375" style="150" customWidth="1"/>
    <col min="12" max="12" width="10.7109375" style="150" customWidth="1"/>
    <col min="13" max="19" width="9.28515625" style="150"/>
    <col min="20" max="20" width="10.7109375" style="150" bestFit="1" customWidth="1"/>
    <col min="21" max="16384" width="9.28515625" style="150"/>
  </cols>
  <sheetData>
    <row r="1" spans="2:21" ht="15" customHeight="1" x14ac:dyDescent="0.25">
      <c r="B1" s="167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9"/>
    </row>
    <row r="2" spans="2:21" ht="21" x14ac:dyDescent="0.35">
      <c r="B2" s="170"/>
      <c r="C2" s="1020"/>
      <c r="D2" s="1020"/>
      <c r="E2" s="1020"/>
      <c r="F2" s="1020"/>
      <c r="G2" s="1020"/>
      <c r="H2" s="1020"/>
      <c r="I2" s="1020"/>
      <c r="J2" s="1020"/>
      <c r="K2" s="1020"/>
      <c r="U2" s="171"/>
    </row>
    <row r="3" spans="2:21" ht="15" customHeight="1" x14ac:dyDescent="0.25">
      <c r="B3" s="170"/>
      <c r="U3" s="172"/>
    </row>
    <row r="4" spans="2:21" ht="15" customHeight="1" x14ac:dyDescent="0.25">
      <c r="B4" s="170"/>
      <c r="U4" s="173"/>
    </row>
    <row r="5" spans="2:21" ht="15" customHeight="1" x14ac:dyDescent="0.25">
      <c r="B5" s="170"/>
      <c r="U5" s="173"/>
    </row>
    <row r="6" spans="2:21" ht="15" customHeight="1" x14ac:dyDescent="0.25">
      <c r="B6" s="170"/>
      <c r="U6" s="173"/>
    </row>
    <row r="7" spans="2:21" ht="15" customHeight="1" x14ac:dyDescent="0.25">
      <c r="B7" s="170"/>
      <c r="U7" s="173"/>
    </row>
    <row r="8" spans="2:21" ht="15" customHeight="1" x14ac:dyDescent="0.25">
      <c r="B8" s="170"/>
      <c r="U8" s="173"/>
    </row>
    <row r="9" spans="2:21" ht="12.75" customHeight="1" x14ac:dyDescent="0.25">
      <c r="B9" s="170"/>
      <c r="U9" s="173"/>
    </row>
    <row r="10" spans="2:21" ht="24" hidden="1" x14ac:dyDescent="0.4">
      <c r="B10" s="170"/>
      <c r="D10" s="225" t="s">
        <v>1366</v>
      </c>
      <c r="G10" s="226" t="str">
        <f>'Applied Discounts'!C4</f>
        <v>Xylem Water Solutions Deutschland / D</v>
      </c>
      <c r="U10" s="173"/>
    </row>
    <row r="11" spans="2:21" ht="24" x14ac:dyDescent="0.4">
      <c r="B11" s="170"/>
      <c r="D11" s="225" t="s">
        <v>1367</v>
      </c>
      <c r="G11" s="1022" t="s">
        <v>2109</v>
      </c>
      <c r="H11" s="1022"/>
      <c r="I11" s="1022"/>
      <c r="J11" s="1022"/>
      <c r="K11" s="1022"/>
      <c r="U11" s="173"/>
    </row>
    <row r="12" spans="2:21" ht="24" x14ac:dyDescent="0.4">
      <c r="B12" s="170"/>
      <c r="D12" s="225" t="s">
        <v>1368</v>
      </c>
      <c r="G12" s="226" t="str">
        <f>'Applied Discounts'!C5</f>
        <v>EUR</v>
      </c>
      <c r="U12" s="173"/>
    </row>
    <row r="13" spans="2:21" x14ac:dyDescent="0.25">
      <c r="B13" s="170"/>
      <c r="U13" s="173"/>
    </row>
    <row r="14" spans="2:21" ht="24.75" customHeight="1" x14ac:dyDescent="0.25">
      <c r="B14" s="170"/>
      <c r="C14" s="1021" t="s">
        <v>1369</v>
      </c>
      <c r="D14" s="1021"/>
      <c r="E14" s="1021"/>
      <c r="F14" s="1021"/>
      <c r="G14" s="1021"/>
      <c r="H14" s="1021"/>
      <c r="I14" s="1021"/>
      <c r="J14" s="1021"/>
      <c r="K14" s="1021"/>
      <c r="L14" s="1021"/>
      <c r="M14" s="1021"/>
      <c r="N14" s="1021"/>
      <c r="O14" s="1021"/>
      <c r="P14" s="1021"/>
      <c r="U14" s="173"/>
    </row>
    <row r="15" spans="2:21" ht="12" customHeight="1" x14ac:dyDescent="0.25">
      <c r="B15" s="170"/>
      <c r="U15" s="173"/>
    </row>
    <row r="16" spans="2:21" ht="15" customHeight="1" x14ac:dyDescent="0.25">
      <c r="B16" s="170"/>
      <c r="U16" s="173"/>
    </row>
    <row r="17" spans="2:21" ht="15" customHeight="1" x14ac:dyDescent="0.25">
      <c r="B17" s="170"/>
      <c r="U17" s="173"/>
    </row>
    <row r="18" spans="2:21" ht="15" customHeight="1" x14ac:dyDescent="0.25">
      <c r="B18" s="170"/>
      <c r="U18" s="173"/>
    </row>
    <row r="19" spans="2:21" ht="15" customHeight="1" x14ac:dyDescent="0.25">
      <c r="B19" s="170"/>
      <c r="U19" s="173"/>
    </row>
    <row r="20" spans="2:21" ht="15" customHeight="1" x14ac:dyDescent="0.25">
      <c r="B20" s="170"/>
      <c r="U20" s="173"/>
    </row>
    <row r="21" spans="2:21" ht="15" customHeight="1" x14ac:dyDescent="0.25">
      <c r="B21" s="170"/>
      <c r="U21" s="173"/>
    </row>
    <row r="22" spans="2:21" ht="15" customHeight="1" x14ac:dyDescent="0.25">
      <c r="B22" s="170"/>
      <c r="U22" s="173"/>
    </row>
    <row r="23" spans="2:21" ht="15" customHeight="1" x14ac:dyDescent="0.25">
      <c r="B23" s="170"/>
      <c r="U23" s="173"/>
    </row>
    <row r="24" spans="2:21" ht="15" customHeight="1" x14ac:dyDescent="0.25">
      <c r="B24" s="170"/>
      <c r="U24" s="173"/>
    </row>
    <row r="25" spans="2:21" ht="15" customHeight="1" x14ac:dyDescent="0.25">
      <c r="B25" s="170"/>
      <c r="U25" s="173"/>
    </row>
    <row r="26" spans="2:21" ht="15" customHeight="1" x14ac:dyDescent="0.25">
      <c r="B26" s="170"/>
      <c r="U26" s="173"/>
    </row>
    <row r="27" spans="2:21" ht="15" customHeight="1" x14ac:dyDescent="0.25">
      <c r="B27" s="170"/>
      <c r="U27" s="173"/>
    </row>
    <row r="28" spans="2:21" ht="15" customHeight="1" x14ac:dyDescent="0.25">
      <c r="B28" s="170"/>
      <c r="U28" s="173"/>
    </row>
    <row r="29" spans="2:21" ht="15" customHeight="1" x14ac:dyDescent="0.25">
      <c r="B29" s="170"/>
      <c r="U29" s="173"/>
    </row>
    <row r="30" spans="2:21" ht="15" customHeight="1" x14ac:dyDescent="0.25">
      <c r="B30" s="170"/>
      <c r="U30" s="173"/>
    </row>
    <row r="31" spans="2:21" ht="15" customHeight="1" x14ac:dyDescent="0.25">
      <c r="B31" s="170"/>
      <c r="U31" s="173"/>
    </row>
    <row r="32" spans="2:21" ht="15" customHeight="1" x14ac:dyDescent="0.25">
      <c r="B32" s="170"/>
      <c r="U32" s="173"/>
    </row>
    <row r="33" spans="2:21" ht="15" customHeight="1" x14ac:dyDescent="0.25">
      <c r="B33" s="170"/>
      <c r="S33" s="182" t="s">
        <v>1370</v>
      </c>
      <c r="T33" s="183" t="str">
        <f>'Applied Discounts'!C2</f>
        <v>1.0</v>
      </c>
      <c r="U33" s="173"/>
    </row>
    <row r="34" spans="2:21" ht="15" customHeight="1" x14ac:dyDescent="0.25">
      <c r="B34" s="170"/>
      <c r="S34" s="184" t="s">
        <v>1364</v>
      </c>
      <c r="T34" s="185">
        <f>'Applied Discounts'!C3</f>
        <v>46387</v>
      </c>
      <c r="U34" s="173"/>
    </row>
    <row r="35" spans="2:21" ht="15" customHeight="1" x14ac:dyDescent="0.25">
      <c r="B35" s="170"/>
      <c r="U35" s="173"/>
    </row>
    <row r="36" spans="2:21" ht="15" customHeight="1" x14ac:dyDescent="0.25">
      <c r="B36" s="174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6"/>
    </row>
  </sheetData>
  <sheetProtection algorithmName="SHA-512" hashValue="ViQwbhUBqOQUqoU3PLEh1dHyV1S+qo+Vxa1cRiQ6j9vSYit0dRPYmVL+ZEhFHI3LP6K3mA+V6gms/Pw47Kwzzw==" saltValue="EQm5WnmqS1RmQ+TlIfwQrg==" spinCount="100000" sheet="1" objects="1" scenarios="1"/>
  <mergeCells count="3">
    <mergeCell ref="C2:K2"/>
    <mergeCell ref="C14:P14"/>
    <mergeCell ref="G11:K11"/>
  </mergeCells>
  <pageMargins left="0.7" right="0.7" top="0.75" bottom="0.75" header="0.3" footer="0.3"/>
  <pageSetup paperSize="9" scale="66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96DF7-1813-4A1C-86FA-1655FAAF04B0}">
  <sheetPr codeName="Tabelle5">
    <tabColor rgb="FFFFC000"/>
  </sheetPr>
  <dimension ref="B1:C17"/>
  <sheetViews>
    <sheetView zoomScale="130" zoomScaleNormal="130" workbookViewId="0">
      <selection activeCell="G17" sqref="G17"/>
    </sheetView>
  </sheetViews>
  <sheetFormatPr defaultColWidth="11.42578125" defaultRowHeight="15" x14ac:dyDescent="0.25"/>
  <cols>
    <col min="2" max="2" width="25.42578125" customWidth="1"/>
    <col min="3" max="3" width="32" customWidth="1"/>
  </cols>
  <sheetData>
    <row r="1" spans="2:3" ht="15.75" thickBot="1" x14ac:dyDescent="0.3"/>
    <row r="2" spans="2:3" ht="15.75" x14ac:dyDescent="0.25">
      <c r="B2" s="231" t="s">
        <v>1362</v>
      </c>
      <c r="C2" s="230" t="s">
        <v>1363</v>
      </c>
    </row>
    <row r="3" spans="2:3" ht="16.5" thickBot="1" x14ac:dyDescent="0.3">
      <c r="B3" s="232" t="s">
        <v>1364</v>
      </c>
      <c r="C3" s="139">
        <v>46387</v>
      </c>
    </row>
    <row r="4" spans="2:3" ht="15.75" hidden="1" x14ac:dyDescent="0.25">
      <c r="B4" s="585" t="s">
        <v>2099</v>
      </c>
      <c r="C4" s="585" t="s">
        <v>1153</v>
      </c>
    </row>
    <row r="5" spans="2:3" ht="15.75" x14ac:dyDescent="0.25">
      <c r="B5" s="233" t="s">
        <v>1140</v>
      </c>
      <c r="C5" s="634" t="str">
        <f>VLOOKUP($C$4,'Country File'!A:H,4,FALSE)</f>
        <v>EUR</v>
      </c>
    </row>
    <row r="7" spans="2:3" x14ac:dyDescent="0.25">
      <c r="B7" s="1025" t="s">
        <v>1371</v>
      </c>
      <c r="C7" s="1025"/>
    </row>
    <row r="8" spans="2:3" x14ac:dyDescent="0.25">
      <c r="B8" s="1016"/>
      <c r="C8" s="1016"/>
    </row>
    <row r="9" spans="2:3" ht="15.75" x14ac:dyDescent="0.25">
      <c r="B9" s="1017" t="s">
        <v>1</v>
      </c>
      <c r="C9" s="1018" t="s">
        <v>1372</v>
      </c>
    </row>
    <row r="10" spans="2:3" x14ac:dyDescent="0.25">
      <c r="B10" s="537" t="s">
        <v>6</v>
      </c>
      <c r="C10" s="1019">
        <v>0.25</v>
      </c>
    </row>
    <row r="11" spans="2:3" x14ac:dyDescent="0.25">
      <c r="B11" s="537" t="s">
        <v>176</v>
      </c>
      <c r="C11" s="1019">
        <v>0.4</v>
      </c>
    </row>
    <row r="12" spans="2:3" x14ac:dyDescent="0.25">
      <c r="B12" s="537" t="s">
        <v>193</v>
      </c>
      <c r="C12" s="1019">
        <v>0.25</v>
      </c>
    </row>
    <row r="13" spans="2:3" x14ac:dyDescent="0.25">
      <c r="B13" s="537" t="s">
        <v>1359</v>
      </c>
      <c r="C13" s="1019">
        <v>0.2</v>
      </c>
    </row>
    <row r="14" spans="2:3" x14ac:dyDescent="0.25">
      <c r="B14" s="537" t="s">
        <v>331</v>
      </c>
      <c r="C14" s="1019">
        <v>0.25</v>
      </c>
    </row>
    <row r="15" spans="2:3" x14ac:dyDescent="0.25">
      <c r="B15" s="537" t="s">
        <v>1365</v>
      </c>
      <c r="C15" s="1019">
        <v>0.2</v>
      </c>
    </row>
    <row r="16" spans="2:3" x14ac:dyDescent="0.25">
      <c r="B16" s="537" t="s">
        <v>1360</v>
      </c>
      <c r="C16" s="1019">
        <v>0.25</v>
      </c>
    </row>
    <row r="17" spans="2:3" x14ac:dyDescent="0.25">
      <c r="B17" s="537" t="s">
        <v>1361</v>
      </c>
      <c r="C17" s="1019">
        <v>0.35</v>
      </c>
    </row>
  </sheetData>
  <sheetProtection algorithmName="SHA-512" hashValue="3NsfNqtXkXMXreU2ntcMRoniNzF8Z8vqMQAxD6bVqOzu2A8KGzteEd9frAAZlend0fEkN8HFLI9ADBAZegZnhA==" saltValue="AjCMwm9M5lxFzwjYGL2+QQ==" spinCount="100000" sheet="1" objects="1" scenarios="1" selectLockedCells="1" selectUnlockedCells="1"/>
  <mergeCells count="1">
    <mergeCell ref="B7:C7"/>
  </mergeCells>
  <pageMargins left="0.7" right="0.7" top="0.78740157499999996" bottom="0.78740157499999996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11B24C-69BE-4C4A-97EC-B567E6F1E2EC}">
          <x14:formula1>
            <xm:f>'Country File'!$A$2:$A$46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79D9-FC24-4CD7-87E2-14C1E375FC5E}">
  <sheetPr codeName="Tabelle9">
    <tabColor rgb="FFFFC000"/>
    <pageSetUpPr fitToPage="1"/>
  </sheetPr>
  <dimension ref="A1:CF50"/>
  <sheetViews>
    <sheetView zoomScale="130" zoomScaleNormal="130" workbookViewId="0">
      <pane xSplit="5" ySplit="5" topLeftCell="F6" activePane="bottomRight" state="frozen"/>
      <selection activeCell="H34" sqref="H34"/>
      <selection pane="topRight" activeCell="H34" sqref="H34"/>
      <selection pane="bottomLeft" activeCell="H34" sqref="H34"/>
      <selection pane="bottomRight" activeCell="L18" sqref="L18"/>
    </sheetView>
  </sheetViews>
  <sheetFormatPr defaultColWidth="11.42578125" defaultRowHeight="15" customHeight="1" outlineLevelCol="1" x14ac:dyDescent="0.25"/>
  <cols>
    <col min="1" max="1" width="16.28515625" customWidth="1"/>
    <col min="2" max="2" width="9.42578125" customWidth="1"/>
    <col min="3" max="3" width="12.42578125" bestFit="1" customWidth="1"/>
    <col min="4" max="4" width="13.7109375" style="42" customWidth="1"/>
    <col min="5" max="5" width="19.28515625" hidden="1" customWidth="1"/>
    <col min="6" max="6" width="9" style="42" bestFit="1" customWidth="1"/>
    <col min="7" max="7" width="18.28515625" hidden="1" customWidth="1"/>
    <col min="8" max="8" width="6.7109375" bestFit="1" customWidth="1"/>
    <col min="9" max="9" width="11.140625" style="42" customWidth="1"/>
    <col min="10" max="10" width="19" style="42" hidden="1" customWidth="1"/>
    <col min="11" max="11" width="14.7109375" customWidth="1"/>
    <col min="12" max="12" width="10.7109375" customWidth="1"/>
    <col min="13" max="13" width="16.140625" hidden="1" customWidth="1"/>
    <col min="14" max="14" width="15.7109375" bestFit="1" customWidth="1"/>
    <col min="15" max="15" width="8" customWidth="1"/>
    <col min="16" max="16" width="11.28515625" customWidth="1"/>
    <col min="17" max="17" width="15.42578125" hidden="1" customWidth="1"/>
    <col min="18" max="18" width="14.5703125" style="42" customWidth="1"/>
    <col min="19" max="19" width="10.7109375" style="42" customWidth="1"/>
    <col min="20" max="20" width="16.140625" style="42" hidden="1" customWidth="1"/>
    <col min="21" max="21" width="15.7109375" bestFit="1" customWidth="1"/>
    <col min="22" max="22" width="6.7109375" customWidth="1"/>
    <col min="23" max="23" width="11.28515625" customWidth="1"/>
    <col min="24" max="24" width="20.5703125" hidden="1" customWidth="1"/>
    <col min="25" max="25" width="13.42578125" customWidth="1"/>
    <col min="26" max="26" width="10.7109375" customWidth="1"/>
    <col min="27" max="27" width="16.28515625" hidden="1" customWidth="1"/>
    <col min="28" max="28" width="15.7109375" bestFit="1" customWidth="1"/>
    <col min="29" max="29" width="7.5703125" customWidth="1"/>
    <col min="30" max="30" width="10.7109375" customWidth="1"/>
    <col min="31" max="31" width="20.5703125" hidden="1" customWidth="1"/>
    <col min="32" max="32" width="14.85546875" customWidth="1"/>
    <col min="33" max="33" width="10.42578125" customWidth="1"/>
    <col min="34" max="34" width="16.28515625" hidden="1" customWidth="1"/>
    <col min="35" max="35" width="15.7109375" customWidth="1"/>
    <col min="36" max="36" width="6.7109375" customWidth="1"/>
    <col min="37" max="37" width="11.7109375" customWidth="1"/>
    <col min="38" max="38" width="20.5703125" hidden="1" customWidth="1"/>
    <col min="39" max="39" width="14.140625" customWidth="1"/>
    <col min="40" max="40" width="10.5703125" customWidth="1"/>
    <col min="41" max="41" width="16.28515625" hidden="1" customWidth="1"/>
    <col min="42" max="42" width="15.7109375" customWidth="1"/>
    <col min="43" max="43" width="6.7109375" hidden="1" customWidth="1" outlineLevel="1"/>
    <col min="44" max="44" width="10.42578125" hidden="1" customWidth="1" outlineLevel="1"/>
    <col min="45" max="45" width="9.28515625" hidden="1" customWidth="1" outlineLevel="1"/>
    <col min="46" max="46" width="6.7109375" hidden="1" customWidth="1" outlineLevel="1"/>
    <col min="47" max="47" width="10.42578125" hidden="1" customWidth="1" outlineLevel="1"/>
    <col min="48" max="48" width="9.28515625" hidden="1" customWidth="1" outlineLevel="1"/>
    <col min="49" max="49" width="6.7109375" hidden="1" customWidth="1" collapsed="1"/>
    <col min="50" max="50" width="9.28515625" hidden="1" customWidth="1"/>
    <col min="51" max="52" width="9.28515625" style="41" hidden="1" customWidth="1"/>
    <col min="53" max="53" width="6.7109375" bestFit="1" customWidth="1"/>
    <col min="54" max="54" width="10.140625" customWidth="1"/>
    <col min="55" max="55" width="7.5703125" customWidth="1"/>
    <col min="56" max="56" width="21.7109375" customWidth="1"/>
    <col min="57" max="57" width="17.140625" customWidth="1"/>
    <col min="58" max="58" width="14.28515625" customWidth="1"/>
    <col min="59" max="59" width="16.7109375" hidden="1" customWidth="1"/>
    <col min="60" max="60" width="17.42578125" customWidth="1"/>
    <col min="61" max="61" width="11.42578125" customWidth="1"/>
    <col min="62" max="62" width="11.42578125" style="150" customWidth="1"/>
    <col min="63" max="84" width="11.42578125" style="150"/>
  </cols>
  <sheetData>
    <row r="1" spans="1:84" ht="19.5" customHeight="1" x14ac:dyDescent="0.25">
      <c r="AY1"/>
      <c r="AZ1"/>
    </row>
    <row r="2" spans="1:84" s="150" customFormat="1" ht="15.75" customHeight="1" thickBot="1" x14ac:dyDescent="0.3">
      <c r="D2" s="151"/>
      <c r="F2" s="151"/>
      <c r="I2" s="151"/>
      <c r="J2" s="151"/>
      <c r="R2" s="151"/>
      <c r="S2" s="151"/>
      <c r="T2" s="151"/>
    </row>
    <row r="3" spans="1:84" ht="30.75" thickBot="1" x14ac:dyDescent="0.3">
      <c r="A3" s="1026" t="s">
        <v>1</v>
      </c>
      <c r="B3" s="1030"/>
      <c r="C3" s="1032" t="s">
        <v>1373</v>
      </c>
      <c r="D3" s="1030" t="s">
        <v>1374</v>
      </c>
      <c r="E3" s="1030" t="s">
        <v>1375</v>
      </c>
      <c r="F3" s="1028" t="s">
        <v>1376</v>
      </c>
      <c r="G3" s="1030" t="s">
        <v>1377</v>
      </c>
      <c r="H3" s="1044" t="str">
        <f>_xlfn.CONCAT("Prices in ",'Applied Discounts'!$C$5)</f>
        <v>Prices in EUR</v>
      </c>
      <c r="I3" s="1045"/>
      <c r="J3" s="1045"/>
      <c r="K3" s="1045"/>
      <c r="L3" s="1045"/>
      <c r="M3" s="1045"/>
      <c r="N3" s="1045"/>
      <c r="O3" s="1045"/>
      <c r="P3" s="1045"/>
      <c r="Q3" s="1045"/>
      <c r="R3" s="1045"/>
      <c r="S3" s="1045"/>
      <c r="T3" s="1045"/>
      <c r="U3" s="1045"/>
      <c r="V3" s="1045"/>
      <c r="W3" s="1045"/>
      <c r="X3" s="1045"/>
      <c r="Y3" s="1045"/>
      <c r="Z3" s="1045"/>
      <c r="AA3" s="1045"/>
      <c r="AB3" s="1045"/>
      <c r="AC3" s="1045"/>
      <c r="AD3" s="1045"/>
      <c r="AE3" s="1045"/>
      <c r="AF3" s="1045"/>
      <c r="AG3" s="1045"/>
      <c r="AH3" s="1045"/>
      <c r="AI3" s="1045"/>
      <c r="AJ3" s="1045"/>
      <c r="AK3" s="1045"/>
      <c r="AL3" s="1045"/>
      <c r="AM3" s="1045"/>
      <c r="AN3" s="1045"/>
      <c r="AO3" s="1045"/>
      <c r="AP3" s="1045"/>
      <c r="AQ3" s="1045"/>
      <c r="AR3" s="1045"/>
      <c r="AS3" s="1045"/>
      <c r="AT3" s="1045"/>
      <c r="AU3" s="1045"/>
      <c r="AV3" s="1045"/>
      <c r="AW3" s="1045"/>
      <c r="AX3" s="1045"/>
      <c r="AY3" s="1045"/>
      <c r="AZ3" s="1045"/>
      <c r="BA3" s="1045"/>
      <c r="BB3" s="1045"/>
      <c r="BC3" s="1046"/>
      <c r="BD3" s="1034" t="s">
        <v>1378</v>
      </c>
      <c r="BE3" s="440" t="s">
        <v>1379</v>
      </c>
      <c r="BF3" s="238" t="s">
        <v>1380</v>
      </c>
      <c r="BG3" s="239" t="s">
        <v>1381</v>
      </c>
      <c r="BH3" s="239" t="s">
        <v>1382</v>
      </c>
      <c r="BI3" s="326"/>
    </row>
    <row r="4" spans="1:84" ht="15.75" customHeight="1" thickBot="1" x14ac:dyDescent="0.3">
      <c r="A4" s="1027"/>
      <c r="B4" s="1031"/>
      <c r="C4" s="1033"/>
      <c r="D4" s="1031"/>
      <c r="E4" s="1031"/>
      <c r="F4" s="1029"/>
      <c r="G4" s="1031"/>
      <c r="H4" s="1036" t="s">
        <v>1383</v>
      </c>
      <c r="I4" s="1037"/>
      <c r="J4" s="1037"/>
      <c r="K4" s="1037"/>
      <c r="L4" s="1037"/>
      <c r="M4" s="1037"/>
      <c r="N4" s="1038"/>
      <c r="O4" s="1036" t="s">
        <v>1384</v>
      </c>
      <c r="P4" s="1037"/>
      <c r="Q4" s="1037"/>
      <c r="R4" s="1037"/>
      <c r="S4" s="1037"/>
      <c r="T4" s="1037"/>
      <c r="U4" s="1037"/>
      <c r="V4" s="1039" t="s">
        <v>1385</v>
      </c>
      <c r="W4" s="1040"/>
      <c r="X4" s="1040"/>
      <c r="Y4" s="1040"/>
      <c r="Z4" s="1040"/>
      <c r="AA4" s="1040"/>
      <c r="AB4" s="1040"/>
      <c r="AC4" s="1041" t="s">
        <v>1386</v>
      </c>
      <c r="AD4" s="1042"/>
      <c r="AE4" s="1042"/>
      <c r="AF4" s="1042"/>
      <c r="AG4" s="1042"/>
      <c r="AH4" s="1042"/>
      <c r="AI4" s="1043"/>
      <c r="AJ4" s="1036" t="s">
        <v>1387</v>
      </c>
      <c r="AK4" s="1037"/>
      <c r="AL4" s="1037"/>
      <c r="AM4" s="1037"/>
      <c r="AN4" s="1037"/>
      <c r="AO4" s="1037"/>
      <c r="AP4" s="1038"/>
      <c r="AQ4" s="1036" t="s">
        <v>489</v>
      </c>
      <c r="AR4" s="1037"/>
      <c r="AS4" s="1038"/>
      <c r="AT4" s="1036" t="s">
        <v>1388</v>
      </c>
      <c r="AU4" s="1037"/>
      <c r="AV4" s="1038"/>
      <c r="AW4" s="1036" t="s">
        <v>1389</v>
      </c>
      <c r="AX4" s="1037"/>
      <c r="AY4" s="1037"/>
      <c r="AZ4" s="1038"/>
      <c r="BA4" s="1036" t="s">
        <v>1390</v>
      </c>
      <c r="BB4" s="1037"/>
      <c r="BC4" s="1038"/>
      <c r="BD4" s="1035"/>
      <c r="BE4" s="441" t="s">
        <v>1391</v>
      </c>
      <c r="BF4" s="138" t="str">
        <f>'Applied Discounts'!$C$5</f>
        <v>EUR</v>
      </c>
      <c r="BG4" s="229" t="e">
        <f>#REF!</f>
        <v>#REF!</v>
      </c>
      <c r="BH4" s="138" t="str">
        <f>'Applied Discounts'!$C$5</f>
        <v>EUR</v>
      </c>
    </row>
    <row r="5" spans="1:84" s="31" customFormat="1" ht="38.25" customHeight="1" thickBot="1" x14ac:dyDescent="0.3">
      <c r="A5" s="1027"/>
      <c r="B5" s="1031"/>
      <c r="C5" s="1033"/>
      <c r="D5" s="503" t="s">
        <v>1392</v>
      </c>
      <c r="E5" s="1031"/>
      <c r="F5" s="1029"/>
      <c r="G5" s="1031"/>
      <c r="H5" s="512" t="s">
        <v>1393</v>
      </c>
      <c r="I5" s="513" t="s">
        <v>1394</v>
      </c>
      <c r="J5" s="513" t="s">
        <v>1395</v>
      </c>
      <c r="K5" s="513" t="s">
        <v>1396</v>
      </c>
      <c r="L5" s="513" t="s">
        <v>1380</v>
      </c>
      <c r="M5" s="513" t="s">
        <v>1381</v>
      </c>
      <c r="N5" s="515" t="s">
        <v>1382</v>
      </c>
      <c r="O5" s="586" t="s">
        <v>1393</v>
      </c>
      <c r="P5" s="251" t="s">
        <v>1394</v>
      </c>
      <c r="Q5" s="587" t="s">
        <v>1398</v>
      </c>
      <c r="R5" s="251" t="s">
        <v>1396</v>
      </c>
      <c r="S5" s="587" t="s">
        <v>1380</v>
      </c>
      <c r="T5" s="587" t="s">
        <v>1381</v>
      </c>
      <c r="U5" s="588" t="s">
        <v>1382</v>
      </c>
      <c r="V5" s="586" t="s">
        <v>1393</v>
      </c>
      <c r="W5" s="587" t="s">
        <v>1394</v>
      </c>
      <c r="X5" s="624" t="s">
        <v>1395</v>
      </c>
      <c r="Y5" s="587" t="s">
        <v>1396</v>
      </c>
      <c r="Z5" s="587" t="s">
        <v>1380</v>
      </c>
      <c r="AA5" s="587" t="s">
        <v>1381</v>
      </c>
      <c r="AB5" s="588" t="s">
        <v>1382</v>
      </c>
      <c r="AC5" s="623" t="s">
        <v>1393</v>
      </c>
      <c r="AD5" s="587" t="s">
        <v>1394</v>
      </c>
      <c r="AE5" s="587" t="s">
        <v>1395</v>
      </c>
      <c r="AF5" s="587" t="s">
        <v>1396</v>
      </c>
      <c r="AG5" s="587" t="s">
        <v>1380</v>
      </c>
      <c r="AH5" s="587" t="s">
        <v>1381</v>
      </c>
      <c r="AI5" s="588" t="s">
        <v>1382</v>
      </c>
      <c r="AJ5" s="512" t="s">
        <v>1393</v>
      </c>
      <c r="AK5" s="513" t="s">
        <v>1394</v>
      </c>
      <c r="AL5" s="519" t="s">
        <v>1395</v>
      </c>
      <c r="AM5" s="513" t="s">
        <v>1396</v>
      </c>
      <c r="AN5" s="513" t="s">
        <v>1380</v>
      </c>
      <c r="AO5" s="513" t="s">
        <v>1381</v>
      </c>
      <c r="AP5" s="515" t="s">
        <v>1382</v>
      </c>
      <c r="AQ5" s="442" t="s">
        <v>1393</v>
      </c>
      <c r="AR5" s="442" t="s">
        <v>1400</v>
      </c>
      <c r="AS5" s="443" t="s">
        <v>1401</v>
      </c>
      <c r="AT5" s="444" t="s">
        <v>1393</v>
      </c>
      <c r="AU5" s="442" t="s">
        <v>1400</v>
      </c>
      <c r="AV5" s="443" t="s">
        <v>1401</v>
      </c>
      <c r="AW5" s="444"/>
      <c r="AX5" s="442"/>
      <c r="AY5" s="443"/>
      <c r="AZ5" s="442"/>
      <c r="BA5" s="512" t="s">
        <v>1393</v>
      </c>
      <c r="BB5" s="513" t="s">
        <v>1400</v>
      </c>
      <c r="BC5" s="520" t="s">
        <v>1401</v>
      </c>
      <c r="BD5" s="109"/>
      <c r="BE5" s="95"/>
      <c r="BF5" s="95"/>
      <c r="BG5" s="244"/>
      <c r="BH5" s="244"/>
      <c r="BJ5" s="245"/>
      <c r="BK5" s="245"/>
      <c r="BL5" s="245"/>
      <c r="BM5" s="245"/>
      <c r="BN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Y5" s="245"/>
      <c r="BZ5" s="245"/>
      <c r="CA5" s="245"/>
      <c r="CB5" s="245"/>
      <c r="CC5" s="245"/>
      <c r="CD5" s="245"/>
      <c r="CE5" s="245"/>
      <c r="CF5" s="245"/>
    </row>
    <row r="6" spans="1:84" x14ac:dyDescent="0.25">
      <c r="A6" s="113" t="s">
        <v>1402</v>
      </c>
      <c r="B6" s="113" t="s">
        <v>1403</v>
      </c>
      <c r="C6" s="531" t="s">
        <v>1404</v>
      </c>
      <c r="D6" s="445" t="s">
        <v>1405</v>
      </c>
      <c r="E6" s="157">
        <v>1</v>
      </c>
      <c r="F6" s="157" t="s">
        <v>1406</v>
      </c>
      <c r="G6" s="157">
        <v>1</v>
      </c>
      <c r="H6" s="525">
        <v>1</v>
      </c>
      <c r="I6" s="635">
        <f>((VLOOKUP($A6,'pricing overview all products'!$A:$B,2,FALSE))*'Country File'!$T$2)*'Country File'!$P$2</f>
        <v>3940</v>
      </c>
      <c r="J6" s="635">
        <f>((VLOOKUP($A6,'pricing overview all products'!$A:$B,2,FALSE))*'Country File'!$T$3)*'Country File'!$P$2</f>
        <v>3940</v>
      </c>
      <c r="K6" s="636">
        <f>(((VLOOKUP($A6,'pricing overview all products'!$A:$B,2,FALSE))*'Country File'!$T$2)*'Country File'!$P$2)*(1-'Applied Discounts'!$C$14)</f>
        <v>2955</v>
      </c>
      <c r="L6" s="635">
        <f>$H6*I6</f>
        <v>3940</v>
      </c>
      <c r="M6" s="635">
        <f>$H6*J6</f>
        <v>3940</v>
      </c>
      <c r="N6" s="637">
        <f>$H6*K6</f>
        <v>2955</v>
      </c>
      <c r="O6" s="638">
        <v>0</v>
      </c>
      <c r="P6" s="635">
        <f>IFERROR((((VLOOKUP($A6,'pricing overview all products'!$A$1:$M$55,4,FALSE))*'Country File'!$T$2)*'Country File'!$P$2),"N/A")</f>
        <v>780</v>
      </c>
      <c r="Q6" s="635">
        <f>IFERROR((((VLOOKUP($A6,'pricing overview all products'!$A$1:$M$55,4,FALSE))*'Country File'!$T$3)*'Country File'!$P$2),"N/A")</f>
        <v>780</v>
      </c>
      <c r="R6" s="635">
        <f>IFERROR((((VLOOKUP($A6,'pricing overview all products'!$A$1:$M$55,4,FALSE))*'Country File'!$T$2)*'Country File'!$P$2),"N/A")*(1-'Applied Discounts'!$C$14)</f>
        <v>585</v>
      </c>
      <c r="S6" s="635">
        <f>IFERROR(($O6*P6),0)</f>
        <v>0</v>
      </c>
      <c r="T6" s="635">
        <f>IFERROR(($O6*Q6),0)</f>
        <v>0</v>
      </c>
      <c r="U6" s="639">
        <f>IFERROR(($O6*R6),0)</f>
        <v>0</v>
      </c>
      <c r="V6" s="640">
        <v>0</v>
      </c>
      <c r="W6" s="635" t="str">
        <f>IFERROR((((VLOOKUP($A6,'pricing overview all products'!$A$1:$M$55,8,FALSE))*'Country File'!$T$2)*'Country File'!$P$2),"N/A")</f>
        <v>N/A</v>
      </c>
      <c r="X6" s="635" t="str">
        <f>IFERROR((((VLOOKUP($A6,'pricing overview all products'!$A$1:$M$55,8,FALSE))*'Country File'!$T$3)*'Country File'!$P$2),"N/A")</f>
        <v>N/A</v>
      </c>
      <c r="Y6" s="635" t="str">
        <f>IFERROR((((VLOOKUP($A6,'pricing overview all products'!$A$1:$M$55,8,FALSE))*'Country File'!$T$2)*'Country File'!$P$2)*(1-#REF!)*#REF!,"N/A")</f>
        <v>N/A</v>
      </c>
      <c r="Z6" s="635">
        <f>IFERROR(($V6*W6),0)</f>
        <v>0</v>
      </c>
      <c r="AA6" s="635">
        <f>IFERROR(($V6*X6),0)</f>
        <v>0</v>
      </c>
      <c r="AB6" s="639">
        <f>IFERROR(($V6*Y6),0)</f>
        <v>0</v>
      </c>
      <c r="AC6" s="641">
        <v>0</v>
      </c>
      <c r="AD6" s="635" t="str">
        <f>IFERROR((((VLOOKUP($A6,'pricing overview all products'!$A$1:$M$55,6,FALSE))*'Country File'!$T$2)*'Country File'!$P$2),"N/A")</f>
        <v>N/A</v>
      </c>
      <c r="AE6" s="635" t="str">
        <f>IFERROR((((VLOOKUP($A6,'pricing overview all products'!$A$1:$M$55,6,FALSE))*'Country File'!$T$3)*'Country File'!$P$2),"N/A")</f>
        <v>N/A</v>
      </c>
      <c r="AF6" s="635" t="str">
        <f>IFERROR((((VLOOKUP($A6,'pricing overview all products'!$A$1:$M$55,6,FALSE))*'Country File'!$T$2)*'Country File'!$P$2),"N/A")</f>
        <v>N/A</v>
      </c>
      <c r="AG6" s="636">
        <f>IFERROR($AC6*AD6,0)</f>
        <v>0</v>
      </c>
      <c r="AH6" s="636">
        <f>IFERROR(($AC6*AE6),0)</f>
        <v>0</v>
      </c>
      <c r="AI6" s="637">
        <f>IFERROR(($AC6*AF6),0)</f>
        <v>0</v>
      </c>
      <c r="AJ6" s="641">
        <v>0</v>
      </c>
      <c r="AK6" s="635" t="str">
        <f>IFERROR((((VLOOKUP($A6,'pricing overview all products'!$A$1:$M$55,10,FALSE))*'Country File'!$T$2)*'Country File'!$P$2),"N/A")</f>
        <v>N/A</v>
      </c>
      <c r="AL6" s="635" t="str">
        <f>IFERROR((((VLOOKUP($A6,'pricing overview all products'!$A$1:$M$55,10,FALSE))*'Country File'!$T$3)*'Country File'!$P$2),"N/A")</f>
        <v>N/A</v>
      </c>
      <c r="AM6" s="635" t="str">
        <f>IFERROR((((VLOOKUP($A6,'pricing overview all products'!$A$1:$M$55,10,FALSE))*'Country File'!$T$2)*'Country File'!$P$2)*(1-#REF!)*#REF!,"N/A")</f>
        <v>N/A</v>
      </c>
      <c r="AN6" s="635">
        <f>IFERROR(($AJ6*AK6),0)</f>
        <v>0</v>
      </c>
      <c r="AO6" s="635">
        <f>IFERROR(($AJ6*AL6),0)</f>
        <v>0</v>
      </c>
      <c r="AP6" s="639">
        <f>IFERROR(($AJ6*AM6),0)</f>
        <v>0</v>
      </c>
      <c r="AQ6" s="642">
        <v>0</v>
      </c>
      <c r="AR6" s="643" t="str">
        <f>IFERROR((((VLOOKUP($A6,'pricing overview all products'!$A$1:$N$55,12,FALSE))*'Country File'!$T$2)*'Country File'!$P$2),"N/A")</f>
        <v>N/A</v>
      </c>
      <c r="AS6" s="644">
        <f>IFERROR((AQ6*AR6),0)</f>
        <v>0</v>
      </c>
      <c r="AT6" s="645">
        <v>0</v>
      </c>
      <c r="AU6" s="643">
        <f>IFERROR((((VLOOKUP($A6,'pricing overview all products'!$A$1:$N$55,14,FALSE))*'Country File'!$T$2)*'Country File'!$P$2),"N/A")</f>
        <v>0</v>
      </c>
      <c r="AV6" s="644">
        <f>IFERROR((AT6*AU6),0)</f>
        <v>0</v>
      </c>
      <c r="AW6" s="646">
        <v>0</v>
      </c>
      <c r="AX6" s="647" t="s">
        <v>1407</v>
      </c>
      <c r="AY6" s="648">
        <v>0</v>
      </c>
      <c r="AZ6" s="649">
        <f>IFERROR((AX6*AY6),0)</f>
        <v>0</v>
      </c>
      <c r="BA6" s="650">
        <f t="shared" ref="BA6:BA22" si="0">H6</f>
        <v>1</v>
      </c>
      <c r="BB6" s="651">
        <f>IFERROR((((VLOOKUP($BD6,'Packaging cost'!A:C,3,FALSE))*'Country File'!$P$2)),"tbc")</f>
        <v>60</v>
      </c>
      <c r="BC6" s="637">
        <f>IFERROR((BA6*BB6),0)</f>
        <v>60</v>
      </c>
      <c r="BD6" s="652" t="str">
        <f>IF(H6=0,"",'Configurator Codes'!Q3)</f>
        <v>SP02.1e0112200101</v>
      </c>
      <c r="BE6" s="653">
        <f>IFERROR(VLOOKUP(BD6,'Common IDs'!A:C,3,FALSE),"not assigned yet")</f>
        <v>7609000000018</v>
      </c>
      <c r="BF6" s="654">
        <f t="shared" ref="BF6:BF22" si="1">L6+AG6+S6+Z6+AN6+$BC6</f>
        <v>4000</v>
      </c>
      <c r="BG6" s="654">
        <f t="shared" ref="BG6:BG22" si="2">M6+AH6+T6+AA6+AO6+$BC6</f>
        <v>4000</v>
      </c>
      <c r="BH6" s="654">
        <f t="shared" ref="BH6:BH22" si="3">N6+AI6+U6+AB6+AP6+$BC6</f>
        <v>3015</v>
      </c>
    </row>
    <row r="7" spans="1:84" x14ac:dyDescent="0.25">
      <c r="A7" s="98" t="s">
        <v>1408</v>
      </c>
      <c r="B7" s="96" t="s">
        <v>1409</v>
      </c>
      <c r="C7" s="446" t="s">
        <v>1404</v>
      </c>
      <c r="D7" s="447" t="s">
        <v>1410</v>
      </c>
      <c r="E7" s="97">
        <v>1</v>
      </c>
      <c r="F7" s="97" t="s">
        <v>1406</v>
      </c>
      <c r="G7" s="97">
        <v>1</v>
      </c>
      <c r="H7" s="448">
        <v>1</v>
      </c>
      <c r="I7" s="655">
        <f>((VLOOKUP($A7,'pricing overview all products'!$A:$B,2,FALSE))*'Country File'!$T$2)*'Country File'!$P$2</f>
        <v>4670</v>
      </c>
      <c r="J7" s="655">
        <f>((VLOOKUP($A7,'pricing overview all products'!$A:$B,2,FALSE))*'Country File'!$T$3)*'Country File'!$P$2</f>
        <v>4670</v>
      </c>
      <c r="K7" s="656">
        <f>(((VLOOKUP($A7,'pricing overview all products'!$A:$B,2,FALSE))*'Country File'!$T$2)*'Country File'!$P$2)*(1-'Applied Discounts'!$C$14)</f>
        <v>3502.5</v>
      </c>
      <c r="L7" s="655">
        <f t="shared" ref="L7:L22" si="4">$H7*I7</f>
        <v>4670</v>
      </c>
      <c r="M7" s="655">
        <f t="shared" ref="M7:M22" si="5">$H7*J7</f>
        <v>4670</v>
      </c>
      <c r="N7" s="657">
        <f t="shared" ref="N7:N22" si="6">$H7*K7</f>
        <v>3502.5</v>
      </c>
      <c r="O7" s="658">
        <v>0</v>
      </c>
      <c r="P7" s="655">
        <f>IFERROR((((VLOOKUP($A7,'pricing overview all products'!$A$1:$M$55,4,FALSE))*'Country File'!$T$2)*'Country File'!$P$2),"N/A")</f>
        <v>780</v>
      </c>
      <c r="Q7" s="655">
        <f>IFERROR((((VLOOKUP($A7,'pricing overview all products'!$A$1:$M$55,4,FALSE))*'Country File'!$T$3)*'Country File'!$P$2),"N/A")</f>
        <v>780</v>
      </c>
      <c r="R7" s="655">
        <f>IFERROR((((VLOOKUP($A7,'pricing overview all products'!$A$1:$M$55,4,FALSE))*'Country File'!$T$2)*'Country File'!$P$2),"N/A")*(1-'Applied Discounts'!$C$14)</f>
        <v>585</v>
      </c>
      <c r="S7" s="655">
        <f t="shared" ref="S7:S22" si="7">IFERROR(($O7*P7),0)</f>
        <v>0</v>
      </c>
      <c r="T7" s="655">
        <f t="shared" ref="T7:T22" si="8">IFERROR(($O7*Q7),0)</f>
        <v>0</v>
      </c>
      <c r="U7" s="659">
        <f t="shared" ref="U7:U22" si="9">IFERROR(($O7*R7),0)</f>
        <v>0</v>
      </c>
      <c r="V7" s="660">
        <v>0</v>
      </c>
      <c r="W7" s="655" t="str">
        <f>IFERROR((((VLOOKUP($A7,'pricing overview all products'!$A$1:$M$55,8,FALSE))*'Country File'!$T$2)*'Country File'!$P$2),"N/A")</f>
        <v>N/A</v>
      </c>
      <c r="X7" s="655" t="str">
        <f>IFERROR((((VLOOKUP($A7,'pricing overview all products'!$A$1:$M$55,8,FALSE))*'Country File'!$T$3)*'Country File'!$P$2),"N/A")</f>
        <v>N/A</v>
      </c>
      <c r="Y7" s="661" t="str">
        <f>IFERROR((((VLOOKUP($A7,'pricing overview all products'!$A$1:$M$55,8,FALSE))*'Country File'!$T$2)*'Country File'!$P$2)*(1-#REF!)*#REF!,"N/A")</f>
        <v>N/A</v>
      </c>
      <c r="Z7" s="655">
        <f t="shared" ref="Z7:Z22" si="10">IFERROR(($V7*W7),0)</f>
        <v>0</v>
      </c>
      <c r="AA7" s="655">
        <f t="shared" ref="AA7:AA22" si="11">IFERROR(($V7*X7),0)</f>
        <v>0</v>
      </c>
      <c r="AB7" s="659">
        <f t="shared" ref="AB7:AB22" si="12">IFERROR(($V7*Y7),0)</f>
        <v>0</v>
      </c>
      <c r="AC7" s="660">
        <v>0</v>
      </c>
      <c r="AD7" s="655" t="str">
        <f>IFERROR((((VLOOKUP($A7,'pricing overview all products'!$A$1:$M$55,6,FALSE))*'Country File'!$T$2)*'Country File'!$P$2),"N/A")</f>
        <v>N/A</v>
      </c>
      <c r="AE7" s="655" t="str">
        <f>IFERROR((((VLOOKUP($A7,'pricing overview all products'!$A$1:$M$55,6,FALSE))*'Country File'!$T$3)*'Country File'!$P$2),"N/A")</f>
        <v>N/A</v>
      </c>
      <c r="AF7" s="662" t="str">
        <f>IFERROR((((VLOOKUP($A7,'pricing overview all products'!$A$1:$M$55,6,FALSE))*'Country File'!$T$2)*'Country File'!$P$2),"N/A")</f>
        <v>N/A</v>
      </c>
      <c r="AG7" s="656">
        <f t="shared" ref="AG7:AG22" si="13">IFERROR($AC7*AD7,0)</f>
        <v>0</v>
      </c>
      <c r="AH7" s="656">
        <f>IFERROR(($AC7*AE7),0)</f>
        <v>0</v>
      </c>
      <c r="AI7" s="657">
        <f>IFERROR(($AC7*AF7),0)</f>
        <v>0</v>
      </c>
      <c r="AJ7" s="660">
        <v>0</v>
      </c>
      <c r="AK7" s="655" t="str">
        <f>IFERROR((((VLOOKUP($A7,'pricing overview all products'!$A$1:$M$55,10,FALSE))*'Country File'!$T$2)*'Country File'!$P$2),"N/A")</f>
        <v>N/A</v>
      </c>
      <c r="AL7" s="655" t="str">
        <f>IFERROR((((VLOOKUP($A7,'pricing overview all products'!$A$1:$M$55,10,FALSE))*'Country File'!$T$3)*'Country File'!$P$2),"N/A")</f>
        <v>N/A</v>
      </c>
      <c r="AM7" s="661" t="str">
        <f>IFERROR((((VLOOKUP($A7,'pricing overview all products'!$A$1:$M$55,10,FALSE))*'Country File'!$T$2)*'Country File'!$P$2)*(1-#REF!)*#REF!,"N/A")</f>
        <v>N/A</v>
      </c>
      <c r="AN7" s="655">
        <f t="shared" ref="AN7:AN22" si="14">IFERROR(($AJ7*AK7),0)</f>
        <v>0</v>
      </c>
      <c r="AO7" s="655">
        <f t="shared" ref="AO7:AO22" si="15">IFERROR(($AJ7*AL7),0)</f>
        <v>0</v>
      </c>
      <c r="AP7" s="659">
        <f t="shared" ref="AP7:AP22" si="16">IFERROR(($AJ7*AM7),0)</f>
        <v>0</v>
      </c>
      <c r="AQ7" s="663">
        <v>0</v>
      </c>
      <c r="AR7" s="664" t="str">
        <f>IFERROR((((VLOOKUP($A7,'pricing overview all products'!$A$1:$N$55,12,FALSE))*'Country File'!$T$2)*'Country File'!$P$2),"N/A")</f>
        <v>N/A</v>
      </c>
      <c r="AS7" s="665">
        <f t="shared" ref="AS7:AS22" si="17">IFERROR((AQ7*AR7),0)</f>
        <v>0</v>
      </c>
      <c r="AT7" s="666">
        <v>0</v>
      </c>
      <c r="AU7" s="664">
        <f>IFERROR((((VLOOKUP($A7,'pricing overview all products'!$A$1:$N$55,14,FALSE))*'Country File'!$T$2)*'Country File'!$P$2),"N/A")</f>
        <v>0</v>
      </c>
      <c r="AV7" s="665">
        <f t="shared" ref="AV7:AV22" si="18">IFERROR((AT7*AU7),0)</f>
        <v>0</v>
      </c>
      <c r="AW7" s="667">
        <v>0</v>
      </c>
      <c r="AX7" s="668" t="s">
        <v>1411</v>
      </c>
      <c r="AY7" s="669"/>
      <c r="AZ7" s="670">
        <f t="shared" ref="AZ7:AZ22" si="19">IFERROR((AX7*AY7),0)</f>
        <v>0</v>
      </c>
      <c r="BA7" s="671">
        <f t="shared" si="0"/>
        <v>1</v>
      </c>
      <c r="BB7" s="672">
        <f>IFERROR((((VLOOKUP($BD7,'Packaging cost'!A:C,3,FALSE))*'Country File'!$P$2)),"tbc")</f>
        <v>60</v>
      </c>
      <c r="BC7" s="657">
        <f t="shared" ref="BC7:BC22" si="20">IFERROR((BA7*BB7),0)</f>
        <v>60</v>
      </c>
      <c r="BD7" s="673" t="str">
        <f>IF(H7=0,"",'Configurator Codes'!Q4)</f>
        <v>SP05.1e0112200101</v>
      </c>
      <c r="BE7" s="653">
        <f>IFERROR(VLOOKUP(BD7,'Common IDs'!A:C,3,FALSE),"not assigned yet")</f>
        <v>7609000000024</v>
      </c>
      <c r="BF7" s="674">
        <f t="shared" si="1"/>
        <v>4730</v>
      </c>
      <c r="BG7" s="674">
        <f t="shared" si="2"/>
        <v>4730</v>
      </c>
      <c r="BH7" s="674">
        <f t="shared" si="3"/>
        <v>3562.5</v>
      </c>
    </row>
    <row r="8" spans="1:84" x14ac:dyDescent="0.25">
      <c r="A8" s="98" t="s">
        <v>1412</v>
      </c>
      <c r="B8" s="96" t="s">
        <v>1413</v>
      </c>
      <c r="C8" s="446" t="s">
        <v>1404</v>
      </c>
      <c r="D8" s="447" t="s">
        <v>1414</v>
      </c>
      <c r="E8" s="97">
        <v>1</v>
      </c>
      <c r="F8" s="97" t="s">
        <v>1406</v>
      </c>
      <c r="G8" s="97">
        <v>1</v>
      </c>
      <c r="H8" s="448">
        <v>1</v>
      </c>
      <c r="I8" s="655">
        <f>((VLOOKUP($A8,'pricing overview all products'!$A:$B,2,FALSE))*'Country File'!$T$2)*'Country File'!$P$2</f>
        <v>5500</v>
      </c>
      <c r="J8" s="655">
        <f>((VLOOKUP($A8,'pricing overview all products'!$A:$B,2,FALSE))*'Country File'!$T$3)*'Country File'!$P$2</f>
        <v>5500</v>
      </c>
      <c r="K8" s="656">
        <f>(((VLOOKUP($A8,'pricing overview all products'!$A:$B,2,FALSE))*'Country File'!$T$2)*'Country File'!$P$2)*(1-'Applied Discounts'!$C$14)</f>
        <v>4125</v>
      </c>
      <c r="L8" s="655">
        <f t="shared" si="4"/>
        <v>5500</v>
      </c>
      <c r="M8" s="655">
        <f t="shared" si="5"/>
        <v>5500</v>
      </c>
      <c r="N8" s="657">
        <f t="shared" si="6"/>
        <v>4125</v>
      </c>
      <c r="O8" s="658">
        <v>0</v>
      </c>
      <c r="P8" s="655">
        <f>IFERROR((((VLOOKUP($A8,'pricing overview all products'!$A$1:$M$55,4,FALSE))*'Country File'!$T$2)*'Country File'!$P$2),"N/A")</f>
        <v>780</v>
      </c>
      <c r="Q8" s="655">
        <f>IFERROR((((VLOOKUP($A8,'pricing overview all products'!$A$1:$M$55,4,FALSE))*'Country File'!$T$3)*'Country File'!$P$2),"N/A")</f>
        <v>780</v>
      </c>
      <c r="R8" s="655">
        <f>IFERROR((((VLOOKUP($A8,'pricing overview all products'!$A$1:$M$55,4,FALSE))*'Country File'!$T$2)*'Country File'!$P$2),"N/A")*(1-'Applied Discounts'!$C$14)</f>
        <v>585</v>
      </c>
      <c r="S8" s="655">
        <f t="shared" si="7"/>
        <v>0</v>
      </c>
      <c r="T8" s="655">
        <f t="shared" si="8"/>
        <v>0</v>
      </c>
      <c r="U8" s="659">
        <f t="shared" si="9"/>
        <v>0</v>
      </c>
      <c r="V8" s="660">
        <v>0</v>
      </c>
      <c r="W8" s="655" t="str">
        <f>IFERROR((((VLOOKUP($A8,'pricing overview all products'!$A$1:$M$55,8,FALSE))*'Country File'!$T$2)*'Country File'!$P$2),"N/A")</f>
        <v>N/A</v>
      </c>
      <c r="X8" s="655" t="str">
        <f>IFERROR((((VLOOKUP($A8,'pricing overview all products'!$A$1:$M$55,8,FALSE))*'Country File'!$T$3)*'Country File'!$P$2),"N/A")</f>
        <v>N/A</v>
      </c>
      <c r="Y8" s="662" t="str">
        <f>IFERROR((((VLOOKUP($A8,'pricing overview all products'!$A$1:$M$55,8,FALSE))*'Country File'!$T$2)*'Country File'!$P$2)*(1-#REF!)*#REF!,"N/A")</f>
        <v>N/A</v>
      </c>
      <c r="Z8" s="655">
        <f t="shared" si="10"/>
        <v>0</v>
      </c>
      <c r="AA8" s="655">
        <f t="shared" si="11"/>
        <v>0</v>
      </c>
      <c r="AB8" s="659">
        <f t="shared" si="12"/>
        <v>0</v>
      </c>
      <c r="AC8" s="660">
        <v>0</v>
      </c>
      <c r="AD8" s="655" t="str">
        <f>IFERROR((((VLOOKUP($A8,'pricing overview all products'!$A$1:$M$55,6,FALSE))*'Country File'!$T$2)*'Country File'!$P$2),"N/A")</f>
        <v>N/A</v>
      </c>
      <c r="AE8" s="655" t="str">
        <f>IFERROR((((VLOOKUP($A8,'pricing overview all products'!$A$1:$M$55,6,FALSE))*'Country File'!$T$3)*'Country File'!$P$2),"N/A")</f>
        <v>N/A</v>
      </c>
      <c r="AF8" s="662" t="str">
        <f>IFERROR((((VLOOKUP($A8,'pricing overview all products'!$A$1:$M$55,6,FALSE))*'Country File'!$T$2)*'Country File'!$P$2),"N/A")</f>
        <v>N/A</v>
      </c>
      <c r="AG8" s="656">
        <f t="shared" si="13"/>
        <v>0</v>
      </c>
      <c r="AH8" s="656">
        <f t="shared" ref="AH8:AH22" si="21">IFERROR(($AC8*AE8),0)</f>
        <v>0</v>
      </c>
      <c r="AI8" s="657">
        <f t="shared" ref="AI8:AI21" si="22">IFERROR((AC8*AF8),0)</f>
        <v>0</v>
      </c>
      <c r="AJ8" s="660">
        <v>0</v>
      </c>
      <c r="AK8" s="655" t="str">
        <f>IFERROR((((VLOOKUP($A8,'pricing overview all products'!$A$1:$M$55,10,FALSE))*'Country File'!$T$2)*'Country File'!$P$2),"N/A")</f>
        <v>N/A</v>
      </c>
      <c r="AL8" s="655" t="str">
        <f>IFERROR((((VLOOKUP($A8,'pricing overview all products'!$A$1:$M$55,10,FALSE))*'Country File'!$T$3)*'Country File'!$P$2),"N/A")</f>
        <v>N/A</v>
      </c>
      <c r="AM8" s="661" t="str">
        <f>IFERROR((((VLOOKUP($A8,'pricing overview all products'!$A$1:$M$55,10,FALSE))*'Country File'!$T$2)*'Country File'!$P$2)*(1-#REF!)*#REF!,"N/A")</f>
        <v>N/A</v>
      </c>
      <c r="AN8" s="655">
        <f t="shared" si="14"/>
        <v>0</v>
      </c>
      <c r="AO8" s="655">
        <f t="shared" si="15"/>
        <v>0</v>
      </c>
      <c r="AP8" s="659">
        <f t="shared" si="16"/>
        <v>0</v>
      </c>
      <c r="AQ8" s="663">
        <v>0</v>
      </c>
      <c r="AR8" s="664" t="str">
        <f>IFERROR((((VLOOKUP($A8,'pricing overview all products'!$A$1:$N$55,12,FALSE))*'Country File'!$T$2)*'Country File'!$P$2),"N/A")</f>
        <v>N/A</v>
      </c>
      <c r="AS8" s="665">
        <f t="shared" si="17"/>
        <v>0</v>
      </c>
      <c r="AT8" s="666">
        <v>0</v>
      </c>
      <c r="AU8" s="664">
        <f>IFERROR((((VLOOKUP($A8,'pricing overview all products'!$A$1:$N$55,14,FALSE))*'Country File'!$T$2)*'Country File'!$P$2),"N/A")</f>
        <v>0</v>
      </c>
      <c r="AV8" s="665">
        <f t="shared" si="18"/>
        <v>0</v>
      </c>
      <c r="AW8" s="667">
        <v>0</v>
      </c>
      <c r="AX8" s="668" t="s">
        <v>1415</v>
      </c>
      <c r="AY8" s="669"/>
      <c r="AZ8" s="670">
        <f t="shared" si="19"/>
        <v>0</v>
      </c>
      <c r="BA8" s="671">
        <f t="shared" si="0"/>
        <v>1</v>
      </c>
      <c r="BB8" s="672">
        <f>IFERROR((((VLOOKUP($BD8,'Packaging cost'!A:C,3,FALSE))*'Country File'!$P$2)),"tbc")</f>
        <v>60</v>
      </c>
      <c r="BC8" s="657">
        <f t="shared" si="20"/>
        <v>60</v>
      </c>
      <c r="BD8" s="673" t="str">
        <f>IF(H8=0,"",'Configurator Codes'!Q5)</f>
        <v>SP10.1e0112200101</v>
      </c>
      <c r="BE8" s="653">
        <f>IFERROR(VLOOKUP(BD8,'Common IDs'!A:C,3,FALSE),"not assigned yet")</f>
        <v>7609000000032</v>
      </c>
      <c r="BF8" s="674">
        <f>L8+AG8+S8+Z8+AN8+$BC8</f>
        <v>5560</v>
      </c>
      <c r="BG8" s="674">
        <f t="shared" si="2"/>
        <v>5560</v>
      </c>
      <c r="BH8" s="674">
        <f t="shared" si="3"/>
        <v>4185</v>
      </c>
    </row>
    <row r="9" spans="1:84" x14ac:dyDescent="0.25">
      <c r="A9" s="98" t="s">
        <v>1416</v>
      </c>
      <c r="B9" s="96" t="s">
        <v>1417</v>
      </c>
      <c r="C9" s="446" t="s">
        <v>1404</v>
      </c>
      <c r="D9" s="449" t="s">
        <v>1418</v>
      </c>
      <c r="E9" s="97">
        <v>1</v>
      </c>
      <c r="F9" s="97" t="s">
        <v>1406</v>
      </c>
      <c r="G9" s="97">
        <v>1</v>
      </c>
      <c r="H9" s="448">
        <v>1</v>
      </c>
      <c r="I9" s="655">
        <f>((VLOOKUP($A9,'pricing overview all products'!$A:$B,2,FALSE))*'Country File'!$T$2)*'Country File'!$P$2</f>
        <v>7400</v>
      </c>
      <c r="J9" s="655">
        <f>((VLOOKUP($A9,'pricing overview all products'!$A:$B,2,FALSE))*'Country File'!$T$3)*'Country File'!$P$2</f>
        <v>7400</v>
      </c>
      <c r="K9" s="656">
        <f>(((VLOOKUP($A9,'pricing overview all products'!$A:$B,2,FALSE))*'Country File'!$T$2)*'Country File'!$P$2)*(1-'Applied Discounts'!$C$14)</f>
        <v>5550</v>
      </c>
      <c r="L9" s="655">
        <f t="shared" si="4"/>
        <v>7400</v>
      </c>
      <c r="M9" s="655">
        <f t="shared" si="5"/>
        <v>7400</v>
      </c>
      <c r="N9" s="657">
        <f t="shared" si="6"/>
        <v>5550</v>
      </c>
      <c r="O9" s="658">
        <v>0</v>
      </c>
      <c r="P9" s="655">
        <f>IFERROR((((VLOOKUP($A9,'pricing overview all products'!$A$1:$M$55,4,FALSE))*'Country File'!$T$2)*'Country File'!$P$2),"N/A")</f>
        <v>1720</v>
      </c>
      <c r="Q9" s="655">
        <f>IFERROR((((VLOOKUP($A9,'pricing overview all products'!$A$1:$M$55,4,FALSE))*'Country File'!$T$3)*'Country File'!$P$2),"N/A")</f>
        <v>1720</v>
      </c>
      <c r="R9" s="655">
        <f>IFERROR((((VLOOKUP($A9,'pricing overview all products'!$A$1:$M$55,4,FALSE))*'Country File'!$T$2)*'Country File'!$P$2),"N/A")*(1-'Applied Discounts'!$C$14)</f>
        <v>1290</v>
      </c>
      <c r="S9" s="655">
        <f t="shared" si="7"/>
        <v>0</v>
      </c>
      <c r="T9" s="655">
        <f t="shared" si="8"/>
        <v>0</v>
      </c>
      <c r="U9" s="659">
        <f t="shared" si="9"/>
        <v>0</v>
      </c>
      <c r="V9" s="660">
        <v>0</v>
      </c>
      <c r="W9" s="655" t="str">
        <f>IFERROR((((VLOOKUP($A9,'pricing overview all products'!$A$1:$M$55,8,FALSE))*'Country File'!$T$2)*'Country File'!$P$2),"N/A")</f>
        <v>N/A</v>
      </c>
      <c r="X9" s="655" t="str">
        <f>IFERROR((((VLOOKUP($A9,'pricing overview all products'!$A$1:$M$55,8,FALSE))*'Country File'!$T$3)*'Country File'!$P$2),"N/A")</f>
        <v>N/A</v>
      </c>
      <c r="Y9" s="662" t="str">
        <f>IFERROR((((VLOOKUP($A9,'pricing overview all products'!$A$1:$M$55,8,FALSE))*'Country File'!$T$2)*'Country File'!$P$2)*(1-#REF!)*#REF!,"N/A")</f>
        <v>N/A</v>
      </c>
      <c r="Z9" s="655">
        <f t="shared" si="10"/>
        <v>0</v>
      </c>
      <c r="AA9" s="655">
        <f t="shared" si="11"/>
        <v>0</v>
      </c>
      <c r="AB9" s="659">
        <f t="shared" si="12"/>
        <v>0</v>
      </c>
      <c r="AC9" s="658">
        <v>0</v>
      </c>
      <c r="AD9" s="655">
        <f>IFERROR((((VLOOKUP($A9,'pricing overview all products'!$A$1:$M$55,6,FALSE))*'Country File'!$T$2)*'Country File'!$P$2),"N/A")</f>
        <v>6950</v>
      </c>
      <c r="AE9" s="655">
        <f>IFERROR((((VLOOKUP($A9,'pricing overview all products'!$A$1:$M$55,6,FALSE))*'Country File'!$T$3)*'Country File'!$P$2),"N/A")</f>
        <v>6950</v>
      </c>
      <c r="AF9" s="662">
        <f>IFERROR((((VLOOKUP($A9,'pricing overview all products'!$A$1:$M$55,6,FALSE))*'Country File'!$T$2)*'Country File'!$P$2),"N/A")*(1-'Applied Discounts'!$C$14)</f>
        <v>5212.5</v>
      </c>
      <c r="AG9" s="656">
        <f t="shared" si="13"/>
        <v>0</v>
      </c>
      <c r="AH9" s="656">
        <f t="shared" si="21"/>
        <v>0</v>
      </c>
      <c r="AI9" s="657">
        <f t="shared" si="22"/>
        <v>0</v>
      </c>
      <c r="AJ9" s="658">
        <v>0</v>
      </c>
      <c r="AK9" s="655">
        <f>IFERROR((((VLOOKUP($A9,'pricing overview all products'!$A$1:$M$55,10,FALSE))*'Country File'!$T$2)*'Country File'!$P$2),"N/A")</f>
        <v>2030</v>
      </c>
      <c r="AL9" s="655">
        <f>IFERROR((((VLOOKUP($A9,'pricing overview all products'!$A$1:$M$55,10,FALSE))*'Country File'!$T$3)*'Country File'!$P$2),"N/A")</f>
        <v>2030</v>
      </c>
      <c r="AM9" s="662">
        <f>IFERROR((((VLOOKUP($A9,'pricing overview all products'!$A$1:$M$55,10,FALSE))*'Country File'!$T$2)*'Country File'!$P$2),"N/A")*(1-'Applied Discounts'!$C$14)</f>
        <v>1522.5</v>
      </c>
      <c r="AN9" s="655">
        <f t="shared" si="14"/>
        <v>0</v>
      </c>
      <c r="AO9" s="655">
        <f t="shared" si="15"/>
        <v>0</v>
      </c>
      <c r="AP9" s="659">
        <f t="shared" si="16"/>
        <v>0</v>
      </c>
      <c r="AQ9" s="663">
        <v>0</v>
      </c>
      <c r="AR9" s="664" t="str">
        <f>IFERROR((((VLOOKUP($A9,'pricing overview all products'!$A$1:$N$55,12,FALSE))*'Country File'!$T$2)*'Country File'!$P$2),"N/A")</f>
        <v>N/A</v>
      </c>
      <c r="AS9" s="665">
        <f t="shared" si="17"/>
        <v>0</v>
      </c>
      <c r="AT9" s="666">
        <v>0</v>
      </c>
      <c r="AU9" s="664">
        <f>IFERROR((((VLOOKUP($A9,'pricing overview all products'!$A$1:$N$55,14,FALSE))*'Country File'!$T$2)*'Country File'!$P$2),"N/A")</f>
        <v>0</v>
      </c>
      <c r="AV9" s="665">
        <f t="shared" si="18"/>
        <v>0</v>
      </c>
      <c r="AW9" s="667">
        <v>0</v>
      </c>
      <c r="AX9" s="668" t="s">
        <v>1411</v>
      </c>
      <c r="AY9" s="669"/>
      <c r="AZ9" s="670">
        <f t="shared" si="19"/>
        <v>0</v>
      </c>
      <c r="BA9" s="671">
        <f t="shared" si="0"/>
        <v>1</v>
      </c>
      <c r="BB9" s="672">
        <f>IFERROR((((VLOOKUP($BD9,'Packaging cost'!A:C,3,FALSE))*'Country File'!$P$2)),"tbc")</f>
        <v>130</v>
      </c>
      <c r="BC9" s="657">
        <f t="shared" si="20"/>
        <v>130</v>
      </c>
      <c r="BD9" s="673" t="str">
        <f>IF(H9=0,"",'Configurator Codes'!Q6)</f>
        <v>SP22e2112200111</v>
      </c>
      <c r="BE9" s="653">
        <f>IFERROR(VLOOKUP(BD9,'Common IDs'!A:C,3,FALSE),"not assigned yet")</f>
        <v>7609000000002</v>
      </c>
      <c r="BF9" s="674">
        <f t="shared" si="1"/>
        <v>7530</v>
      </c>
      <c r="BG9" s="674">
        <f t="shared" si="2"/>
        <v>7530</v>
      </c>
      <c r="BH9" s="674">
        <f t="shared" si="3"/>
        <v>5680</v>
      </c>
    </row>
    <row r="10" spans="1:84" x14ac:dyDescent="0.25">
      <c r="A10" s="98" t="s">
        <v>1419</v>
      </c>
      <c r="B10" s="96" t="s">
        <v>1420</v>
      </c>
      <c r="C10" s="446" t="s">
        <v>1421</v>
      </c>
      <c r="D10" s="449" t="s">
        <v>1418</v>
      </c>
      <c r="E10" s="97">
        <v>1</v>
      </c>
      <c r="F10" s="97" t="s">
        <v>1406</v>
      </c>
      <c r="G10" s="97">
        <v>1</v>
      </c>
      <c r="H10" s="448">
        <v>1</v>
      </c>
      <c r="I10" s="655">
        <f>((VLOOKUP($A10,'pricing overview all products'!$A:$B,2,FALSE))*'Country File'!$T$2)*'Country File'!$P$2</f>
        <v>8860</v>
      </c>
      <c r="J10" s="655">
        <f>((VLOOKUP($A10,'pricing overview all products'!$A:$B,2,FALSE))*'Country File'!$T$3)*'Country File'!$P$2</f>
        <v>8860</v>
      </c>
      <c r="K10" s="656">
        <f>(((VLOOKUP($A10,'pricing overview all products'!$A:$B,2,FALSE))*'Country File'!$T$2)*'Country File'!$P$2)*(1-'Applied Discounts'!$C$14)</f>
        <v>6645</v>
      </c>
      <c r="L10" s="655">
        <f t="shared" si="4"/>
        <v>8860</v>
      </c>
      <c r="M10" s="655">
        <f t="shared" si="5"/>
        <v>8860</v>
      </c>
      <c r="N10" s="657">
        <f t="shared" si="6"/>
        <v>6645</v>
      </c>
      <c r="O10" s="658">
        <v>0</v>
      </c>
      <c r="P10" s="655">
        <f>IFERROR((((VLOOKUP($A10,'pricing overview all products'!$A$1:$M$55,4,FALSE))*'Country File'!$T$2)*'Country File'!$P$2),"N/A")</f>
        <v>1720</v>
      </c>
      <c r="Q10" s="655">
        <f>IFERROR((((VLOOKUP($A10,'pricing overview all products'!$A$1:$M$55,4,FALSE))*'Country File'!$T$3)*'Country File'!$P$2),"N/A")</f>
        <v>1720</v>
      </c>
      <c r="R10" s="655">
        <f>IFERROR((((VLOOKUP($A10,'pricing overview all products'!$A$1:$M$55,4,FALSE))*'Country File'!$T$2)*'Country File'!$P$2),"N/A")*(1-'Applied Discounts'!$C$14)</f>
        <v>1290</v>
      </c>
      <c r="S10" s="655">
        <f t="shared" si="7"/>
        <v>0</v>
      </c>
      <c r="T10" s="655">
        <f t="shared" si="8"/>
        <v>0</v>
      </c>
      <c r="U10" s="659">
        <f t="shared" si="9"/>
        <v>0</v>
      </c>
      <c r="V10" s="660">
        <v>0</v>
      </c>
      <c r="W10" s="655" t="str">
        <f>IFERROR((((VLOOKUP($A10,'pricing overview all products'!$A$1:$M$55,8,FALSE))*'Country File'!$T$2)*'Country File'!$P$2),"N/A")</f>
        <v>N/A</v>
      </c>
      <c r="X10" s="655" t="str">
        <f>IFERROR((((VLOOKUP($A10,'pricing overview all products'!$A$1:$M$55,8,FALSE))*'Country File'!$T$3)*'Country File'!$P$2),"N/A")</f>
        <v>N/A</v>
      </c>
      <c r="Y10" s="662" t="str">
        <f>IFERROR((((VLOOKUP($A10,'pricing overview all products'!$A$1:$M$55,8,FALSE))*'Country File'!$T$2)*'Country File'!$P$2)*(1-#REF!)*#REF!,"N/A")</f>
        <v>N/A</v>
      </c>
      <c r="Z10" s="655">
        <f t="shared" si="10"/>
        <v>0</v>
      </c>
      <c r="AA10" s="655">
        <f t="shared" si="11"/>
        <v>0</v>
      </c>
      <c r="AB10" s="659">
        <f t="shared" si="12"/>
        <v>0</v>
      </c>
      <c r="AC10" s="658">
        <v>0</v>
      </c>
      <c r="AD10" s="655">
        <f>IFERROR((((VLOOKUP($A10,'pricing overview all products'!$A$1:$M$55,6,FALSE))*'Country File'!$T$2)*'Country File'!$P$2),"N/A")</f>
        <v>6950</v>
      </c>
      <c r="AE10" s="655">
        <f>IFERROR((((VLOOKUP($A10,'pricing overview all products'!$A$1:$M$55,6,FALSE))*'Country File'!$T$3)*'Country File'!$P$2),"N/A")</f>
        <v>6950</v>
      </c>
      <c r="AF10" s="662">
        <f>IFERROR((((VLOOKUP($A10,'pricing overview all products'!$A$1:$M$55,6,FALSE))*'Country File'!$T$2)*'Country File'!$P$2),"N/A")*(1-'Applied Discounts'!$C$14)</f>
        <v>5212.5</v>
      </c>
      <c r="AG10" s="656">
        <f>IFERROR($AC10*AD10,0)</f>
        <v>0</v>
      </c>
      <c r="AH10" s="656">
        <f t="shared" si="21"/>
        <v>0</v>
      </c>
      <c r="AI10" s="657">
        <f t="shared" si="22"/>
        <v>0</v>
      </c>
      <c r="AJ10" s="658">
        <v>0</v>
      </c>
      <c r="AK10" s="655">
        <f>IFERROR((((VLOOKUP($A10,'pricing overview all products'!$A$1:$M$55,10,FALSE))*'Country File'!$T$2)*'Country File'!$P$2),"N/A")</f>
        <v>2030</v>
      </c>
      <c r="AL10" s="655">
        <f>IFERROR((((VLOOKUP($A10,'pricing overview all products'!$A$1:$M$55,10,FALSE))*'Country File'!$T$3)*'Country File'!$P$2),"N/A")</f>
        <v>2030</v>
      </c>
      <c r="AM10" s="662">
        <f>IFERROR((((VLOOKUP($A10,'pricing overview all products'!$A$1:$M$55,10,FALSE))*'Country File'!$T$2)*'Country File'!$P$2),"N/A")*(1-'Applied Discounts'!$C$14)</f>
        <v>1522.5</v>
      </c>
      <c r="AN10" s="655">
        <f t="shared" si="14"/>
        <v>0</v>
      </c>
      <c r="AO10" s="655">
        <f t="shared" si="15"/>
        <v>0</v>
      </c>
      <c r="AP10" s="659">
        <f t="shared" si="16"/>
        <v>0</v>
      </c>
      <c r="AQ10" s="663">
        <v>0</v>
      </c>
      <c r="AR10" s="664" t="str">
        <f>IFERROR((((VLOOKUP($A10,'pricing overview all products'!$A$1:$N$55,12,FALSE))*'Country File'!$T$2)*'Country File'!$P$2),"N/A")</f>
        <v>N/A</v>
      </c>
      <c r="AS10" s="665">
        <f t="shared" si="17"/>
        <v>0</v>
      </c>
      <c r="AT10" s="666">
        <v>0</v>
      </c>
      <c r="AU10" s="664">
        <f>IFERROR((((VLOOKUP($A10,'pricing overview all products'!$A$1:$N$55,14,FALSE))*'Country File'!$T$2)*'Country File'!$P$2),"N/A")</f>
        <v>0</v>
      </c>
      <c r="AV10" s="665">
        <f t="shared" si="18"/>
        <v>0</v>
      </c>
      <c r="AW10" s="667">
        <v>0</v>
      </c>
      <c r="AX10" s="668" t="s">
        <v>1411</v>
      </c>
      <c r="AY10" s="669"/>
      <c r="AZ10" s="670">
        <f t="shared" si="19"/>
        <v>0</v>
      </c>
      <c r="BA10" s="671">
        <f t="shared" si="0"/>
        <v>1</v>
      </c>
      <c r="BB10" s="672">
        <f>IFERROR((((VLOOKUP($BD10,'Packaging cost'!A:C,3,FALSE))*'Country File'!$P$2)),"tbc")</f>
        <v>150</v>
      </c>
      <c r="BC10" s="657">
        <f t="shared" si="20"/>
        <v>150</v>
      </c>
      <c r="BD10" s="673" t="str">
        <f>IF(H10=0,"",'Configurator Codes'!Q7)</f>
        <v>SP35e2112200111</v>
      </c>
      <c r="BE10" s="653">
        <f>IFERROR(VLOOKUP(BD10,'Common IDs'!A:C,3,FALSE),"not assigned yet")</f>
        <v>7609000000015</v>
      </c>
      <c r="BF10" s="674">
        <f t="shared" si="1"/>
        <v>9010</v>
      </c>
      <c r="BG10" s="674">
        <f t="shared" si="2"/>
        <v>9010</v>
      </c>
      <c r="BH10" s="674">
        <f t="shared" si="3"/>
        <v>6795</v>
      </c>
    </row>
    <row r="11" spans="1:84" x14ac:dyDescent="0.25">
      <c r="A11" s="98" t="s">
        <v>1422</v>
      </c>
      <c r="B11" s="96" t="s">
        <v>1423</v>
      </c>
      <c r="C11" s="446" t="s">
        <v>1421</v>
      </c>
      <c r="D11" s="449" t="s">
        <v>1424</v>
      </c>
      <c r="E11" s="97">
        <v>1</v>
      </c>
      <c r="F11" s="97" t="s">
        <v>1406</v>
      </c>
      <c r="G11" s="97">
        <v>1</v>
      </c>
      <c r="H11" s="448">
        <v>1</v>
      </c>
      <c r="I11" s="655">
        <f>((VLOOKUP($A11,'pricing overview all products'!$A:$B,2,FALSE))*'Country File'!$T$2)*'Country File'!$P$2</f>
        <v>11520</v>
      </c>
      <c r="J11" s="655">
        <f>((VLOOKUP($A11,'pricing overview all products'!$A:$B,2,FALSE))*'Country File'!$T$3)*'Country File'!$P$2</f>
        <v>11520</v>
      </c>
      <c r="K11" s="656">
        <f>(((VLOOKUP($A11,'pricing overview all products'!$A:$B,2,FALSE))*'Country File'!$T$2)*'Country File'!$P$2)*(1-'Applied Discounts'!$C$14)</f>
        <v>8640</v>
      </c>
      <c r="L11" s="655">
        <f t="shared" si="4"/>
        <v>11520</v>
      </c>
      <c r="M11" s="655">
        <f t="shared" si="5"/>
        <v>11520</v>
      </c>
      <c r="N11" s="657">
        <f t="shared" si="6"/>
        <v>8640</v>
      </c>
      <c r="O11" s="658">
        <v>0</v>
      </c>
      <c r="P11" s="655">
        <f>IFERROR((((VLOOKUP($A11,'pricing overview all products'!$A$1:$M$55,4,FALSE))*'Country File'!$T$2)*'Country File'!$P$2),"N/A")</f>
        <v>1720</v>
      </c>
      <c r="Q11" s="655">
        <f>IFERROR((((VLOOKUP($A11,'pricing overview all products'!$A$1:$M$55,4,FALSE))*'Country File'!$T$3)*'Country File'!$P$2),"N/A")</f>
        <v>1720</v>
      </c>
      <c r="R11" s="655">
        <f>IFERROR((((VLOOKUP($A11,'pricing overview all products'!$A$1:$M$55,4,FALSE))*'Country File'!$T$2)*'Country File'!$P$2),"N/A")*(1-'Applied Discounts'!$C$14)</f>
        <v>1290</v>
      </c>
      <c r="S11" s="655">
        <f t="shared" si="7"/>
        <v>0</v>
      </c>
      <c r="T11" s="655">
        <f t="shared" si="8"/>
        <v>0</v>
      </c>
      <c r="U11" s="659">
        <f t="shared" si="9"/>
        <v>0</v>
      </c>
      <c r="V11" s="658">
        <v>0</v>
      </c>
      <c r="W11" s="655">
        <f>IFERROR((((VLOOKUP($A11,'pricing overview all products'!$A$1:$M$55,8,FALSE))*'Country File'!$T$2)*'Country File'!$P$2),"N/A")</f>
        <v>2850</v>
      </c>
      <c r="X11" s="655">
        <f>IFERROR((((VLOOKUP($A11,'pricing overview all products'!$A$1:$M$55,8,FALSE))*'Country File'!$T$3)*'Country File'!$P$2),"N/A")</f>
        <v>2850</v>
      </c>
      <c r="Y11" s="655">
        <f>IFERROR((((VLOOKUP($A11,'pricing overview all products'!$A$1:$M$55,8,FALSE))*'Country File'!$T$2)*'Country File'!$P$2),"N/A")*(1-'Applied Discounts'!$C$14)</f>
        <v>2137.5</v>
      </c>
      <c r="Z11" s="655">
        <f>IFERROR(($V11*W11),0)</f>
        <v>0</v>
      </c>
      <c r="AA11" s="655">
        <f t="shared" si="11"/>
        <v>0</v>
      </c>
      <c r="AB11" s="659">
        <f>IFERROR(($V11*Y11),0)</f>
        <v>0</v>
      </c>
      <c r="AC11" s="658">
        <v>0</v>
      </c>
      <c r="AD11" s="655">
        <f>IFERROR((((VLOOKUP($A11,'pricing overview all products'!$A$1:$M$55,6,FALSE))*'Country File'!$T$2)*'Country File'!$P$2),"N/A")</f>
        <v>6950</v>
      </c>
      <c r="AE11" s="655">
        <f>IFERROR((((VLOOKUP($A11,'pricing overview all products'!$A$1:$M$55,6,FALSE))*'Country File'!$T$3)*'Country File'!$P$2),"N/A")</f>
        <v>6950</v>
      </c>
      <c r="AF11" s="662">
        <f>IFERROR((((VLOOKUP($A11,'pricing overview all products'!$A$1:$M$55,6,FALSE))*'Country File'!$T$2)*'Country File'!$P$2),"N/A")*(1-'Applied Discounts'!$C$14)</f>
        <v>5212.5</v>
      </c>
      <c r="AG11" s="656">
        <f t="shared" si="13"/>
        <v>0</v>
      </c>
      <c r="AH11" s="656">
        <f t="shared" si="21"/>
        <v>0</v>
      </c>
      <c r="AI11" s="657">
        <f t="shared" si="22"/>
        <v>0</v>
      </c>
      <c r="AJ11" s="658">
        <v>0</v>
      </c>
      <c r="AK11" s="655">
        <f>IFERROR((((VLOOKUP($A11,'pricing overview all products'!$A$1:$M$55,10,FALSE))*'Country File'!$T$2)*'Country File'!$P$2),"N/A")</f>
        <v>2240</v>
      </c>
      <c r="AL11" s="655">
        <f>IFERROR((((VLOOKUP($A11,'pricing overview all products'!$A$1:$M$55,10,FALSE))*'Country File'!$T$3)*'Country File'!$P$2),"N/A")</f>
        <v>2240</v>
      </c>
      <c r="AM11" s="662">
        <f>IFERROR((((VLOOKUP($A11,'pricing overview all products'!$A$1:$M$55,10,FALSE))*'Country File'!$T$2)*'Country File'!$P$2),"N/A")*(1-'Applied Discounts'!$C$14)</f>
        <v>1680</v>
      </c>
      <c r="AN11" s="655">
        <f t="shared" si="14"/>
        <v>0</v>
      </c>
      <c r="AO11" s="655">
        <f t="shared" si="15"/>
        <v>0</v>
      </c>
      <c r="AP11" s="659">
        <f t="shared" si="16"/>
        <v>0</v>
      </c>
      <c r="AQ11" s="663">
        <v>0</v>
      </c>
      <c r="AR11" s="664" t="str">
        <f>IFERROR((((VLOOKUP($A11,'pricing overview all products'!$A$1:$N$55,12,FALSE))*'Country File'!$T$2)*'Country File'!$P$2),"N/A")</f>
        <v>N/A</v>
      </c>
      <c r="AS11" s="665">
        <f t="shared" si="17"/>
        <v>0</v>
      </c>
      <c r="AT11" s="666">
        <v>0</v>
      </c>
      <c r="AU11" s="664">
        <f>IFERROR((((VLOOKUP($A11,'pricing overview all products'!$A$1:$N$55,14,FALSE))*'Country File'!$T$2)*'Country File'!$P$2),"N/A")</f>
        <v>0</v>
      </c>
      <c r="AV11" s="665">
        <f t="shared" si="18"/>
        <v>0</v>
      </c>
      <c r="AW11" s="667">
        <v>0</v>
      </c>
      <c r="AX11" s="668" t="s">
        <v>1415</v>
      </c>
      <c r="AY11" s="669"/>
      <c r="AZ11" s="670">
        <f t="shared" si="19"/>
        <v>0</v>
      </c>
      <c r="BA11" s="671">
        <f t="shared" si="0"/>
        <v>1</v>
      </c>
      <c r="BB11" s="672">
        <f>IFERROR((((VLOOKUP($BD11,'Packaging cost'!A:C,3,FALSE))*'Country File'!$P$2)),"tbc")</f>
        <v>150</v>
      </c>
      <c r="BC11" s="657">
        <f t="shared" si="20"/>
        <v>150</v>
      </c>
      <c r="BD11" s="673" t="str">
        <f>IF(H11=0,"",'Configurator Codes'!Q9)</f>
        <v>SP95e2112200111</v>
      </c>
      <c r="BE11" s="653">
        <f>IFERROR(VLOOKUP(BD11,'Common IDs'!A:C,3,FALSE),"not assigned yet")</f>
        <v>7609000000017</v>
      </c>
      <c r="BF11" s="674">
        <f t="shared" si="1"/>
        <v>11670</v>
      </c>
      <c r="BG11" s="674">
        <f t="shared" si="2"/>
        <v>11670</v>
      </c>
      <c r="BH11" s="674">
        <f t="shared" si="3"/>
        <v>8790</v>
      </c>
    </row>
    <row r="12" spans="1:84" x14ac:dyDescent="0.25">
      <c r="A12" s="98" t="s">
        <v>1425</v>
      </c>
      <c r="B12" s="96" t="s">
        <v>1426</v>
      </c>
      <c r="C12" s="446" t="s">
        <v>1421</v>
      </c>
      <c r="D12" s="449" t="s">
        <v>1427</v>
      </c>
      <c r="E12" s="97">
        <v>1</v>
      </c>
      <c r="F12" s="97" t="s">
        <v>1406</v>
      </c>
      <c r="G12" s="97">
        <v>1</v>
      </c>
      <c r="H12" s="272">
        <v>1</v>
      </c>
      <c r="I12" s="655">
        <f>((VLOOKUP($A12,'pricing overview all products'!$A:$B,2,FALSE))*'Country File'!$T$2)*'Country File'!$P$2</f>
        <v>19980</v>
      </c>
      <c r="J12" s="655">
        <f>((VLOOKUP($A12,'pricing overview all products'!$A:$B,2,FALSE))*'Country File'!$T$3)*'Country File'!$P$2</f>
        <v>19980</v>
      </c>
      <c r="K12" s="656">
        <f>(((VLOOKUP($A12,'pricing overview all products'!$A:$B,2,FALSE))*'Country File'!$T$2)*'Country File'!$P$2)*(1-'Applied Discounts'!$C$14)</f>
        <v>14985</v>
      </c>
      <c r="L12" s="655">
        <f t="shared" si="4"/>
        <v>19980</v>
      </c>
      <c r="M12" s="655">
        <f t="shared" si="5"/>
        <v>19980</v>
      </c>
      <c r="N12" s="657">
        <f t="shared" si="6"/>
        <v>14985</v>
      </c>
      <c r="O12" s="658">
        <v>0</v>
      </c>
      <c r="P12" s="655">
        <f>IFERROR((((VLOOKUP($A12,'pricing overview all products'!$A$1:$M$55,4,FALSE))*'Country File'!$T$2)*'Country File'!$P$2),"N/A")</f>
        <v>1720</v>
      </c>
      <c r="Q12" s="655">
        <f>IFERROR((((VLOOKUP($A12,'pricing overview all products'!$A$1:$M$55,4,FALSE))*'Country File'!$T$3)*'Country File'!$P$2),"N/A")</f>
        <v>1720</v>
      </c>
      <c r="R12" s="655">
        <f>IFERROR((((VLOOKUP($A12,'pricing overview all products'!$A$1:$M$55,4,FALSE))*'Country File'!$T$2)*'Country File'!$P$2),"N/A")*(1-'Applied Discounts'!$C$14)</f>
        <v>1290</v>
      </c>
      <c r="S12" s="655">
        <f t="shared" si="7"/>
        <v>0</v>
      </c>
      <c r="T12" s="655">
        <f t="shared" si="8"/>
        <v>0</v>
      </c>
      <c r="U12" s="659">
        <f t="shared" si="9"/>
        <v>0</v>
      </c>
      <c r="V12" s="658">
        <v>0</v>
      </c>
      <c r="W12" s="655">
        <f>IFERROR((((VLOOKUP($A12,'pricing overview all products'!$A$1:$M$55,8,FALSE))*'Country File'!$T$2)*'Country File'!$P$2),"N/A")</f>
        <v>3850</v>
      </c>
      <c r="X12" s="655">
        <f>IFERROR((((VLOOKUP($A12,'pricing overview all products'!$A$1:$M$55,8,FALSE))*'Country File'!$T$3)*'Country File'!$P$2),"N/A")</f>
        <v>3850</v>
      </c>
      <c r="Y12" s="655">
        <f>IFERROR((((VLOOKUP($A12,'pricing overview all products'!$A$1:$M$55,8,FALSE))*'Country File'!$T$2)*'Country File'!$P$2),"N/A")*(1-'Applied Discounts'!$C$14)</f>
        <v>2887.5</v>
      </c>
      <c r="Z12" s="655">
        <f t="shared" si="10"/>
        <v>0</v>
      </c>
      <c r="AA12" s="655">
        <f t="shared" si="11"/>
        <v>0</v>
      </c>
      <c r="AB12" s="659">
        <f t="shared" si="12"/>
        <v>0</v>
      </c>
      <c r="AC12" s="658">
        <v>0</v>
      </c>
      <c r="AD12" s="655">
        <f>IFERROR((((VLOOKUP($A12,'pricing overview all products'!$A$1:$M$55,6,FALSE))*'Country File'!$T$2)*'Country File'!$P$2),"N/A")</f>
        <v>6950</v>
      </c>
      <c r="AE12" s="655">
        <f>IFERROR((((VLOOKUP($A12,'pricing overview all products'!$A$1:$M$55,6,FALSE))*'Country File'!$T$3)*'Country File'!$P$2),"N/A")</f>
        <v>6950</v>
      </c>
      <c r="AF12" s="662">
        <f>IFERROR((((VLOOKUP($A12,'pricing overview all products'!$A$1:$M$55,6,FALSE))*'Country File'!$T$2)*'Country File'!$P$2),"N/A")*(1-'Applied Discounts'!$C$14)</f>
        <v>5212.5</v>
      </c>
      <c r="AG12" s="656">
        <f t="shared" si="13"/>
        <v>0</v>
      </c>
      <c r="AH12" s="656">
        <f t="shared" si="21"/>
        <v>0</v>
      </c>
      <c r="AI12" s="657">
        <f t="shared" si="22"/>
        <v>0</v>
      </c>
      <c r="AJ12" s="658">
        <v>0</v>
      </c>
      <c r="AK12" s="655">
        <f>IFERROR((((VLOOKUP($A12,'pricing overview all products'!$A$1:$M$55,10,FALSE))*'Country File'!$T$2)*'Country File'!$P$2),"N/A")</f>
        <v>2760</v>
      </c>
      <c r="AL12" s="655">
        <f>IFERROR((((VLOOKUP($A12,'pricing overview all products'!$A$1:$M$55,10,FALSE))*'Country File'!$T$3)*'Country File'!$P$2),"N/A")</f>
        <v>2760</v>
      </c>
      <c r="AM12" s="662">
        <f>IFERROR((((VLOOKUP($A12,'pricing overview all products'!$A$1:$M$55,10,FALSE))*'Country File'!$T$2)*'Country File'!$P$2),"N/A")*(1-'Applied Discounts'!$C$14)</f>
        <v>2070</v>
      </c>
      <c r="AN12" s="655">
        <f t="shared" si="14"/>
        <v>0</v>
      </c>
      <c r="AO12" s="655">
        <f t="shared" si="15"/>
        <v>0</v>
      </c>
      <c r="AP12" s="659">
        <f t="shared" si="16"/>
        <v>0</v>
      </c>
      <c r="AQ12" s="663">
        <v>0</v>
      </c>
      <c r="AR12" s="664" t="str">
        <f>IFERROR((((VLOOKUP($A12,'pricing overview all products'!$A$1:$N$55,12,FALSE))*'Country File'!$T$2)*'Country File'!$P$2),"N/A")</f>
        <v>N/A</v>
      </c>
      <c r="AS12" s="665">
        <f t="shared" si="17"/>
        <v>0</v>
      </c>
      <c r="AT12" s="666">
        <v>0</v>
      </c>
      <c r="AU12" s="664">
        <f>IFERROR((((VLOOKUP($A12,'pricing overview all products'!$A$1:$N$55,14,FALSE))*'Country File'!$T$2)*'Country File'!$P$2),"N/A")</f>
        <v>0</v>
      </c>
      <c r="AV12" s="665">
        <f t="shared" si="18"/>
        <v>0</v>
      </c>
      <c r="AW12" s="667">
        <v>0</v>
      </c>
      <c r="AX12" s="668" t="s">
        <v>1411</v>
      </c>
      <c r="AY12" s="669"/>
      <c r="AZ12" s="670">
        <f t="shared" si="19"/>
        <v>0</v>
      </c>
      <c r="BA12" s="671">
        <f t="shared" si="0"/>
        <v>1</v>
      </c>
      <c r="BB12" s="672">
        <f>IFERROR((((VLOOKUP($BD12,'Packaging cost'!A:C,3,FALSE))*'Country File'!$P$2)),"tbc")</f>
        <v>230</v>
      </c>
      <c r="BC12" s="657">
        <f t="shared" si="20"/>
        <v>230</v>
      </c>
      <c r="BD12" s="673" t="str">
        <f>IF(H12=0,"",'Configurator Codes'!Q11)</f>
        <v>SP200e2112200111</v>
      </c>
      <c r="BE12" s="653">
        <f>IFERROR(VLOOKUP(BD12,'Common IDs'!A:C,3,FALSE),"not assigned yet")</f>
        <v>7609000000042</v>
      </c>
      <c r="BF12" s="674">
        <f t="shared" si="1"/>
        <v>20210</v>
      </c>
      <c r="BG12" s="674">
        <f t="shared" si="2"/>
        <v>20210</v>
      </c>
      <c r="BH12" s="674">
        <f t="shared" si="3"/>
        <v>15215</v>
      </c>
    </row>
    <row r="13" spans="1:84" x14ac:dyDescent="0.25">
      <c r="A13" s="98" t="s">
        <v>1428</v>
      </c>
      <c r="B13" s="96" t="s">
        <v>1429</v>
      </c>
      <c r="C13" s="446" t="s">
        <v>1404</v>
      </c>
      <c r="D13" s="449" t="s">
        <v>1430</v>
      </c>
      <c r="E13" s="97">
        <v>1</v>
      </c>
      <c r="F13" s="97" t="s">
        <v>1406</v>
      </c>
      <c r="G13" s="97">
        <v>1</v>
      </c>
      <c r="H13" s="448">
        <v>1</v>
      </c>
      <c r="I13" s="655">
        <f>((VLOOKUP($A13,'pricing overview all products'!$A:$B,2,FALSE))*'Country File'!$T$2)*'Country File'!$P$2</f>
        <v>23970</v>
      </c>
      <c r="J13" s="655">
        <f>((VLOOKUP($A13,'pricing overview all products'!$A:$B,2,FALSE))*'Country File'!$T$3)*'Country File'!$P$2</f>
        <v>23970</v>
      </c>
      <c r="K13" s="656">
        <f>(((VLOOKUP($A13,'pricing overview all products'!$A:$B,2,FALSE))*'Country File'!$T$2)*'Country File'!$P$2)*(1-'Applied Discounts'!$C$14)</f>
        <v>17977.5</v>
      </c>
      <c r="L13" s="655">
        <f t="shared" si="4"/>
        <v>23970</v>
      </c>
      <c r="M13" s="655">
        <f t="shared" si="5"/>
        <v>23970</v>
      </c>
      <c r="N13" s="657">
        <f t="shared" si="6"/>
        <v>17977.5</v>
      </c>
      <c r="O13" s="658">
        <v>0</v>
      </c>
      <c r="P13" s="655">
        <f>IFERROR((((VLOOKUP($A13,'pricing overview all products'!$A$1:$M$55,4,FALSE))*'Country File'!$T$2)*'Country File'!$P$2),"N/A")</f>
        <v>1720</v>
      </c>
      <c r="Q13" s="655">
        <f>IFERROR((((VLOOKUP($A13,'pricing overview all products'!$A$1:$M$55,4,FALSE))*'Country File'!$T$3)*'Country File'!$P$2),"N/A")</f>
        <v>1720</v>
      </c>
      <c r="R13" s="655">
        <f>IFERROR((((VLOOKUP($A13,'pricing overview all products'!$A$1:$M$55,4,FALSE))*'Country File'!$T$2)*'Country File'!$P$2),"N/A")*(1-'Applied Discounts'!$C$14)</f>
        <v>1290</v>
      </c>
      <c r="S13" s="655">
        <f t="shared" si="7"/>
        <v>0</v>
      </c>
      <c r="T13" s="655">
        <f t="shared" si="8"/>
        <v>0</v>
      </c>
      <c r="U13" s="659">
        <f t="shared" si="9"/>
        <v>0</v>
      </c>
      <c r="V13" s="658">
        <v>0</v>
      </c>
      <c r="W13" s="655">
        <f>IFERROR((((VLOOKUP($A13,'pricing overview all products'!$A$1:$M$55,8,FALSE))*'Country File'!$T$2)*'Country File'!$P$2),"N/A")</f>
        <v>4850</v>
      </c>
      <c r="X13" s="655">
        <f>IFERROR((((VLOOKUP($A13,'pricing overview all products'!$A$1:$M$55,8,FALSE))*'Country File'!$T$3)*'Country File'!$P$2),"N/A")</f>
        <v>4850</v>
      </c>
      <c r="Y13" s="655">
        <f>IFERROR((((VLOOKUP($A13,'pricing overview all products'!$A$1:$M$55,8,FALSE))*'Country File'!$T$2)*'Country File'!$P$2),"N/A")*(1-'Applied Discounts'!$C$14)</f>
        <v>3637.5</v>
      </c>
      <c r="Z13" s="655">
        <f t="shared" si="10"/>
        <v>0</v>
      </c>
      <c r="AA13" s="655">
        <f t="shared" si="11"/>
        <v>0</v>
      </c>
      <c r="AB13" s="659">
        <f t="shared" si="12"/>
        <v>0</v>
      </c>
      <c r="AC13" s="658">
        <v>0</v>
      </c>
      <c r="AD13" s="655">
        <f>IFERROR((((VLOOKUP($A13,'pricing overview all products'!$A$1:$M$55,6,FALSE))*'Country File'!$T$2)*'Country File'!$P$2),"N/A")</f>
        <v>6950</v>
      </c>
      <c r="AE13" s="655">
        <f>IFERROR((((VLOOKUP($A13,'pricing overview all products'!$A$1:$M$55,6,FALSE))*'Country File'!$T$3)*'Country File'!$P$2),"N/A")</f>
        <v>6950</v>
      </c>
      <c r="AF13" s="662">
        <f>IFERROR((((VLOOKUP($A13,'pricing overview all products'!$A$1:$M$55,6,FALSE))*'Country File'!$T$2)*'Country File'!$P$2),"N/A")*(1-'Applied Discounts'!$C$14)</f>
        <v>5212.5</v>
      </c>
      <c r="AG13" s="656">
        <f t="shared" si="13"/>
        <v>0</v>
      </c>
      <c r="AH13" s="656">
        <f t="shared" si="21"/>
        <v>0</v>
      </c>
      <c r="AI13" s="657">
        <f t="shared" si="22"/>
        <v>0</v>
      </c>
      <c r="AJ13" s="658">
        <v>0</v>
      </c>
      <c r="AK13" s="655">
        <f>IFERROR((((VLOOKUP($A13,'pricing overview all products'!$A$1:$M$55,10,FALSE))*'Country File'!$T$2)*'Country File'!$P$2),"N/A")</f>
        <v>3380</v>
      </c>
      <c r="AL13" s="655">
        <f>IFERROR((((VLOOKUP($A13,'pricing overview all products'!$A$1:$M$55,10,FALSE))*'Country File'!$T$3)*'Country File'!$P$2),"N/A")</f>
        <v>3380</v>
      </c>
      <c r="AM13" s="662">
        <f>IFERROR((((VLOOKUP($A13,'pricing overview all products'!$A$1:$M$55,10,FALSE))*'Country File'!$T$2)*'Country File'!$P$2),"N/A")*(1-'Applied Discounts'!$C$14)</f>
        <v>2535</v>
      </c>
      <c r="AN13" s="655">
        <f t="shared" si="14"/>
        <v>0</v>
      </c>
      <c r="AO13" s="655">
        <f t="shared" si="15"/>
        <v>0</v>
      </c>
      <c r="AP13" s="659">
        <f t="shared" si="16"/>
        <v>0</v>
      </c>
      <c r="AQ13" s="663">
        <v>0</v>
      </c>
      <c r="AR13" s="664" t="str">
        <f>IFERROR((((VLOOKUP($A13,'pricing overview all products'!$A$1:$N$55,12,FALSE))*'Country File'!$T$2)*'Country File'!$P$2),"N/A")</f>
        <v>N/A</v>
      </c>
      <c r="AS13" s="665">
        <f t="shared" si="17"/>
        <v>0</v>
      </c>
      <c r="AT13" s="666">
        <v>0</v>
      </c>
      <c r="AU13" s="664">
        <f>IFERROR((((VLOOKUP($A13,'pricing overview all products'!$A$1:$N$55,14,FALSE))*'Country File'!$T$2)*'Country File'!$P$2),"N/A")</f>
        <v>0</v>
      </c>
      <c r="AV13" s="665">
        <f t="shared" si="18"/>
        <v>0</v>
      </c>
      <c r="AW13" s="667">
        <v>0</v>
      </c>
      <c r="AX13" s="668" t="s">
        <v>1411</v>
      </c>
      <c r="AY13" s="669"/>
      <c r="AZ13" s="670">
        <f t="shared" si="19"/>
        <v>0</v>
      </c>
      <c r="BA13" s="671">
        <f t="shared" si="0"/>
        <v>1</v>
      </c>
      <c r="BB13" s="672">
        <f>IFERROR((((VLOOKUP($BD13,'Packaging cost'!A:C,3,FALSE))*'Country File'!$P$2)),"tbc")</f>
        <v>250</v>
      </c>
      <c r="BC13" s="657">
        <f t="shared" si="20"/>
        <v>250</v>
      </c>
      <c r="BD13" s="673" t="str">
        <f>IF(H13=0,"",'Configurator Codes'!Q13)</f>
        <v>SP280e2112200111</v>
      </c>
      <c r="BE13" s="653">
        <f>IFERROR(VLOOKUP(BD13,'Common IDs'!A:C,3,FALSE),"not assigned yet")</f>
        <v>7600000402508</v>
      </c>
      <c r="BF13" s="674">
        <f t="shared" si="1"/>
        <v>24220</v>
      </c>
      <c r="BG13" s="674">
        <f t="shared" si="2"/>
        <v>24220</v>
      </c>
      <c r="BH13" s="674">
        <f t="shared" si="3"/>
        <v>18227.5</v>
      </c>
    </row>
    <row r="14" spans="1:84" x14ac:dyDescent="0.25">
      <c r="A14" s="98" t="s">
        <v>1431</v>
      </c>
      <c r="B14" s="96" t="s">
        <v>1432</v>
      </c>
      <c r="C14" s="446" t="s">
        <v>1421</v>
      </c>
      <c r="D14" s="449" t="s">
        <v>1433</v>
      </c>
      <c r="E14" s="97">
        <v>1</v>
      </c>
      <c r="F14" s="97" t="s">
        <v>1406</v>
      </c>
      <c r="G14" s="97">
        <v>1</v>
      </c>
      <c r="H14" s="448">
        <v>1</v>
      </c>
      <c r="I14" s="655">
        <f>((VLOOKUP($A14,'pricing overview all products'!$A:$B,2,FALSE))*'Country File'!$T$2)*'Country File'!$P$2</f>
        <v>33250</v>
      </c>
      <c r="J14" s="655">
        <f>((VLOOKUP($A14,'pricing overview all products'!$A:$B,2,FALSE))*'Country File'!$T$3)*'Country File'!$P$2</f>
        <v>33250</v>
      </c>
      <c r="K14" s="656">
        <f>(((VLOOKUP($A14,'pricing overview all products'!$A:$B,2,FALSE))*'Country File'!$T$2)*'Country File'!$P$2)*(1-'Applied Discounts'!$C$14)</f>
        <v>24937.5</v>
      </c>
      <c r="L14" s="655">
        <f>$H14*I14</f>
        <v>33250</v>
      </c>
      <c r="M14" s="655">
        <f t="shared" si="5"/>
        <v>33250</v>
      </c>
      <c r="N14" s="657">
        <f t="shared" si="6"/>
        <v>24937.5</v>
      </c>
      <c r="O14" s="658">
        <v>0</v>
      </c>
      <c r="P14" s="655">
        <f>IFERROR((((VLOOKUP($A14,'pricing overview all products'!$A$1:$M$55,4,FALSE))*'Country File'!$T$2)*'Country File'!$P$2),"N/A")</f>
        <v>1720</v>
      </c>
      <c r="Q14" s="655">
        <f>IFERROR((((VLOOKUP($A14,'pricing overview all products'!$A$1:$M$55,4,FALSE))*'Country File'!$T$3)*'Country File'!$P$2),"N/A")</f>
        <v>1720</v>
      </c>
      <c r="R14" s="655">
        <f>IFERROR((((VLOOKUP($A14,'pricing overview all products'!$A$1:$M$55,4,FALSE))*'Country File'!$T$2)*'Country File'!$P$2),"N/A")*(1-'Applied Discounts'!$C$14)</f>
        <v>1290</v>
      </c>
      <c r="S14" s="655">
        <f t="shared" si="7"/>
        <v>0</v>
      </c>
      <c r="T14" s="655">
        <f t="shared" si="8"/>
        <v>0</v>
      </c>
      <c r="U14" s="659">
        <f t="shared" si="9"/>
        <v>0</v>
      </c>
      <c r="V14" s="658">
        <v>0</v>
      </c>
      <c r="W14" s="655">
        <f>IFERROR((((VLOOKUP($A14,'pricing overview all products'!$A$1:$M$55,8,FALSE))*'Country File'!$T$2)*'Country File'!$P$2),"N/A")</f>
        <v>4850</v>
      </c>
      <c r="X14" s="655">
        <f>IFERROR((((VLOOKUP($A14,'pricing overview all products'!$A$1:$M$55,8,FALSE))*'Country File'!$T$3)*'Country File'!$P$2),"N/A")</f>
        <v>4850</v>
      </c>
      <c r="Y14" s="655">
        <f>IFERROR((((VLOOKUP($A14,'pricing overview all products'!$A$1:$M$55,8,FALSE))*'Country File'!$T$2)*'Country File'!$P$2),"N/A")*(1-'Applied Discounts'!$C$14)</f>
        <v>3637.5</v>
      </c>
      <c r="Z14" s="655">
        <f t="shared" si="10"/>
        <v>0</v>
      </c>
      <c r="AA14" s="655">
        <f t="shared" si="11"/>
        <v>0</v>
      </c>
      <c r="AB14" s="659">
        <f t="shared" si="12"/>
        <v>0</v>
      </c>
      <c r="AC14" s="658">
        <v>0</v>
      </c>
      <c r="AD14" s="655">
        <f>IFERROR((((VLOOKUP($A14,'pricing overview all products'!$A$1:$M$55,6,FALSE))*'Country File'!$T$2)*'Country File'!$P$2),"N/A")</f>
        <v>6950</v>
      </c>
      <c r="AE14" s="655">
        <f>IFERROR((((VLOOKUP($A14,'pricing overview all products'!$A$1:$M$55,6,FALSE))*'Country File'!$T$3)*'Country File'!$P$2),"N/A")</f>
        <v>6950</v>
      </c>
      <c r="AF14" s="662">
        <f>IFERROR((((VLOOKUP($A14,'pricing overview all products'!$A$1:$M$55,6,FALSE))*'Country File'!$T$2)*'Country File'!$P$2),"N/A")*(1-'Applied Discounts'!$C$14)</f>
        <v>5212.5</v>
      </c>
      <c r="AG14" s="656">
        <f t="shared" si="13"/>
        <v>0</v>
      </c>
      <c r="AH14" s="656">
        <f t="shared" si="21"/>
        <v>0</v>
      </c>
      <c r="AI14" s="657">
        <f t="shared" si="22"/>
        <v>0</v>
      </c>
      <c r="AJ14" s="658">
        <v>0</v>
      </c>
      <c r="AK14" s="655">
        <f>IFERROR((((VLOOKUP($A14,'pricing overview all products'!$A$1:$M$55,10,FALSE))*'Country File'!$T$2)*'Country File'!$P$2),"N/A")</f>
        <v>3380</v>
      </c>
      <c r="AL14" s="655">
        <f>IFERROR((((VLOOKUP($A14,'pricing overview all products'!$A$1:$M$55,10,FALSE))*'Country File'!$T$3)*'Country File'!$P$2),"N/A")</f>
        <v>3380</v>
      </c>
      <c r="AM14" s="662">
        <f>IFERROR((((VLOOKUP($A14,'pricing overview all products'!$A$1:$M$55,10,FALSE))*'Country File'!$T$2)*'Country File'!$P$2),"N/A")*(1-'Applied Discounts'!$C$14)</f>
        <v>2535</v>
      </c>
      <c r="AN14" s="655">
        <f t="shared" si="14"/>
        <v>0</v>
      </c>
      <c r="AO14" s="655">
        <f t="shared" si="15"/>
        <v>0</v>
      </c>
      <c r="AP14" s="659">
        <f t="shared" si="16"/>
        <v>0</v>
      </c>
      <c r="AQ14" s="663">
        <v>0</v>
      </c>
      <c r="AR14" s="664" t="str">
        <f>IFERROR((((VLOOKUP($A14,'pricing overview all products'!$A$1:$N$55,12,FALSE))*'Country File'!$T$2)*'Country File'!$P$2),"N/A")</f>
        <v>N/A</v>
      </c>
      <c r="AS14" s="665">
        <f t="shared" si="17"/>
        <v>0</v>
      </c>
      <c r="AT14" s="666">
        <v>0</v>
      </c>
      <c r="AU14" s="664">
        <f>IFERROR((((VLOOKUP($A14,'pricing overview all products'!$A$1:$N$55,14,FALSE))*'Country File'!$T$2)*'Country File'!$P$2),"N/A")</f>
        <v>0</v>
      </c>
      <c r="AV14" s="665">
        <f t="shared" si="18"/>
        <v>0</v>
      </c>
      <c r="AW14" s="667">
        <v>0</v>
      </c>
      <c r="AX14" s="668" t="s">
        <v>1411</v>
      </c>
      <c r="AY14" s="669"/>
      <c r="AZ14" s="670">
        <f t="shared" si="19"/>
        <v>0</v>
      </c>
      <c r="BA14" s="671">
        <f t="shared" si="0"/>
        <v>1</v>
      </c>
      <c r="BB14" s="672">
        <f>IFERROR((((VLOOKUP($BD14,'Packaging cost'!A:C,3,FALSE))*'Country File'!$P$2)),"tbc")</f>
        <v>260</v>
      </c>
      <c r="BC14" s="657">
        <f t="shared" si="20"/>
        <v>260</v>
      </c>
      <c r="BD14" s="673" t="str">
        <f>IF(H14=0,"",'Configurator Codes'!Q15)</f>
        <v>SP400e2112200111</v>
      </c>
      <c r="BE14" s="653" t="str">
        <f>IFERROR(VLOOKUP(BD14,'Common IDs'!A:C,3,FALSE),"not assigned yet")</f>
        <v>not assigned yet</v>
      </c>
      <c r="BF14" s="674">
        <f t="shared" si="1"/>
        <v>33510</v>
      </c>
      <c r="BG14" s="674">
        <f t="shared" si="2"/>
        <v>33510</v>
      </c>
      <c r="BH14" s="674">
        <f t="shared" si="3"/>
        <v>25197.5</v>
      </c>
    </row>
    <row r="15" spans="1:84" x14ac:dyDescent="0.25">
      <c r="A15" s="98" t="s">
        <v>1434</v>
      </c>
      <c r="B15" s="96" t="s">
        <v>1435</v>
      </c>
      <c r="C15" s="446" t="s">
        <v>1436</v>
      </c>
      <c r="D15" s="449" t="s">
        <v>1437</v>
      </c>
      <c r="E15" s="97">
        <v>2</v>
      </c>
      <c r="F15" s="97" t="s">
        <v>1438</v>
      </c>
      <c r="G15" s="97">
        <v>1</v>
      </c>
      <c r="H15" s="448">
        <v>1</v>
      </c>
      <c r="I15" s="655">
        <f>((VLOOKUP($A15,'pricing overview all products'!$A:$B,2,FALSE))*'Country File'!$T$2)*'Country File'!$P$2</f>
        <v>41000</v>
      </c>
      <c r="J15" s="655">
        <f>((VLOOKUP($A15,'pricing overview all products'!$A:$B,2,FALSE))*'Country File'!$T$3)*'Country File'!$P$2</f>
        <v>41000</v>
      </c>
      <c r="K15" s="656">
        <f>(((VLOOKUP($A15,'pricing overview all products'!$A:$B,2,FALSE))*'Country File'!$T$2)*'Country File'!$P$2)*(1-'Applied Discounts'!$C$14)</f>
        <v>30750</v>
      </c>
      <c r="L15" s="655">
        <f t="shared" si="4"/>
        <v>41000</v>
      </c>
      <c r="M15" s="655">
        <f t="shared" si="5"/>
        <v>41000</v>
      </c>
      <c r="N15" s="657">
        <f t="shared" si="6"/>
        <v>30750</v>
      </c>
      <c r="O15" s="658">
        <v>0</v>
      </c>
      <c r="P15" s="655">
        <f>IFERROR((((VLOOKUP($A15,'pricing overview all products'!$A$1:$M$55,4,FALSE))*'Country File'!$T$2)*'Country File'!$P$2),"N/A")</f>
        <v>1980</v>
      </c>
      <c r="Q15" s="655">
        <f>IFERROR((((VLOOKUP($A15,'pricing overview all products'!$A$1:$M$55,4,FALSE))*'Country File'!$T$3)*'Country File'!$P$2),"N/A")</f>
        <v>1980</v>
      </c>
      <c r="R15" s="655">
        <f>IFERROR((((VLOOKUP($A15,'pricing overview all products'!$A$1:$M$55,4,FALSE))*'Country File'!$T$2)*'Country File'!$P$2),"N/A")*(1-'Applied Discounts'!$C$14)</f>
        <v>1485</v>
      </c>
      <c r="S15" s="655">
        <f t="shared" si="7"/>
        <v>0</v>
      </c>
      <c r="T15" s="655">
        <f t="shared" si="8"/>
        <v>0</v>
      </c>
      <c r="U15" s="659">
        <f t="shared" si="9"/>
        <v>0</v>
      </c>
      <c r="V15" s="658">
        <v>0</v>
      </c>
      <c r="W15" s="655">
        <f>IFERROR((((VLOOKUP($A15,'pricing overview all products'!$A$1:$M$55,8,FALSE))*'Country File'!$T$2)*'Country File'!$P$2),"N/A")</f>
        <v>8850</v>
      </c>
      <c r="X15" s="655">
        <f>IFERROR((((VLOOKUP($A15,'pricing overview all products'!$A$1:$M$55,8,FALSE))*'Country File'!$T$3)*'Country File'!$P$2),"N/A")</f>
        <v>8850</v>
      </c>
      <c r="Y15" s="655">
        <f>IFERROR((((VLOOKUP($A15,'pricing overview all products'!$A$1:$M$55,8,FALSE))*'Country File'!$T$2)*'Country File'!$P$2),"N/A")*(1-'Applied Discounts'!$C$14)</f>
        <v>6637.5</v>
      </c>
      <c r="Z15" s="655">
        <f t="shared" si="10"/>
        <v>0</v>
      </c>
      <c r="AA15" s="655">
        <f t="shared" si="11"/>
        <v>0</v>
      </c>
      <c r="AB15" s="659">
        <f t="shared" si="12"/>
        <v>0</v>
      </c>
      <c r="AC15" s="658">
        <v>0</v>
      </c>
      <c r="AD15" s="655">
        <f>IFERROR((((VLOOKUP($A15,'pricing overview all products'!$A$1:$M$55,6,FALSE))*'Country File'!$T$2)*'Country File'!$P$2),"N/A")</f>
        <v>7100</v>
      </c>
      <c r="AE15" s="655">
        <f>IFERROR((((VLOOKUP($A15,'pricing overview all products'!$A$1:$M$55,6,FALSE))*'Country File'!$T$3)*'Country File'!$P$2),"N/A")</f>
        <v>7100</v>
      </c>
      <c r="AF15" s="662">
        <f>IFERROR((((VLOOKUP($A15,'pricing overview all products'!$A$1:$M$55,6,FALSE))*'Country File'!$T$2)*'Country File'!$P$2),"N/A")*(1-'Applied Discounts'!$C$14)</f>
        <v>5325</v>
      </c>
      <c r="AG15" s="656">
        <f t="shared" si="13"/>
        <v>0</v>
      </c>
      <c r="AH15" s="656">
        <f t="shared" si="21"/>
        <v>0</v>
      </c>
      <c r="AI15" s="657">
        <f t="shared" si="22"/>
        <v>0</v>
      </c>
      <c r="AJ15" s="658">
        <v>0</v>
      </c>
      <c r="AK15" s="655">
        <f>IFERROR((((VLOOKUP($A15,'pricing overview all products'!$A$1:$M$55,10,FALSE))*'Country File'!$T$2)*'Country File'!$P$2),"N/A")</f>
        <v>4420</v>
      </c>
      <c r="AL15" s="655">
        <f>IFERROR((((VLOOKUP($A15,'pricing overview all products'!$A$1:$M$55,10,FALSE))*'Country File'!$T$3)*'Country File'!$P$2),"N/A")</f>
        <v>4420</v>
      </c>
      <c r="AM15" s="662">
        <f>IFERROR((((VLOOKUP($A15,'pricing overview all products'!$A$1:$M$55,10,FALSE))*'Country File'!$T$2)*'Country File'!$P$2),"N/A")*(1-'Applied Discounts'!$C$14)</f>
        <v>3315</v>
      </c>
      <c r="AN15" s="655">
        <f t="shared" si="14"/>
        <v>0</v>
      </c>
      <c r="AO15" s="655">
        <f t="shared" si="15"/>
        <v>0</v>
      </c>
      <c r="AP15" s="659">
        <f t="shared" si="16"/>
        <v>0</v>
      </c>
      <c r="AQ15" s="663">
        <v>0</v>
      </c>
      <c r="AR15" s="664" t="str">
        <f>IFERROR((((VLOOKUP($A15,'pricing overview all products'!$A$1:$N$55,12,FALSE))*'Country File'!$T$2)*'Country File'!$P$2),"N/A")</f>
        <v>N/A</v>
      </c>
      <c r="AS15" s="665">
        <f t="shared" si="17"/>
        <v>0</v>
      </c>
      <c r="AT15" s="666">
        <v>0</v>
      </c>
      <c r="AU15" s="664">
        <f>IFERROR((((VLOOKUP($A15,'pricing overview all products'!$A$1:$N$55,14,FALSE))*'Country File'!$T$2)*'Country File'!$P$2),"N/A")</f>
        <v>0</v>
      </c>
      <c r="AV15" s="665">
        <f t="shared" si="18"/>
        <v>0</v>
      </c>
      <c r="AW15" s="667">
        <v>0</v>
      </c>
      <c r="AX15" s="668" t="s">
        <v>1411</v>
      </c>
      <c r="AY15" s="669"/>
      <c r="AZ15" s="670">
        <f t="shared" si="19"/>
        <v>0</v>
      </c>
      <c r="BA15" s="671">
        <f t="shared" si="0"/>
        <v>1</v>
      </c>
      <c r="BB15" s="672">
        <f>IFERROR((((VLOOKUP($BD15,'Packaging cost'!A:C,3,FALSE))*'Country File'!$P$2)),"tbc")</f>
        <v>360</v>
      </c>
      <c r="BC15" s="657">
        <f t="shared" si="20"/>
        <v>360</v>
      </c>
      <c r="BD15" s="673" t="str">
        <f>IF(H15=0,"",'Configurator Codes'!Q16)</f>
        <v>SP650e2212100111</v>
      </c>
      <c r="BE15" s="653">
        <f>IFERROR(VLOOKUP(BD15,'Common IDs'!A:C,3,FALSE),"not assigned yet")</f>
        <v>7600000400186</v>
      </c>
      <c r="BF15" s="674">
        <f t="shared" si="1"/>
        <v>41360</v>
      </c>
      <c r="BG15" s="674">
        <f t="shared" si="2"/>
        <v>41360</v>
      </c>
      <c r="BH15" s="674">
        <f t="shared" si="3"/>
        <v>31110</v>
      </c>
    </row>
    <row r="16" spans="1:84" x14ac:dyDescent="0.25">
      <c r="A16" s="98" t="s">
        <v>1439</v>
      </c>
      <c r="B16" s="96" t="s">
        <v>1440</v>
      </c>
      <c r="C16" s="446" t="s">
        <v>1421</v>
      </c>
      <c r="D16" s="449" t="s">
        <v>1437</v>
      </c>
      <c r="E16" s="97">
        <v>2</v>
      </c>
      <c r="F16" s="97" t="s">
        <v>1438</v>
      </c>
      <c r="G16" s="97">
        <v>1</v>
      </c>
      <c r="H16" s="448">
        <v>1</v>
      </c>
      <c r="I16" s="655">
        <f>((VLOOKUP($A16,'pricing overview all products'!$A:$B,2,FALSE))*'Country File'!$T$2)*'Country File'!$P$2</f>
        <v>49000</v>
      </c>
      <c r="J16" s="655">
        <f>((VLOOKUP($A16,'pricing overview all products'!$A:$B,2,FALSE))*'Country File'!$T$3)*'Country File'!$P$2</f>
        <v>49000</v>
      </c>
      <c r="K16" s="656">
        <f>(((VLOOKUP($A16,'pricing overview all products'!$A:$B,2,FALSE))*'Country File'!$T$2)*'Country File'!$P$2)*(1-'Applied Discounts'!$C$14)</f>
        <v>36750</v>
      </c>
      <c r="L16" s="655">
        <f t="shared" si="4"/>
        <v>49000</v>
      </c>
      <c r="M16" s="655">
        <f t="shared" si="5"/>
        <v>49000</v>
      </c>
      <c r="N16" s="657">
        <f t="shared" si="6"/>
        <v>36750</v>
      </c>
      <c r="O16" s="658">
        <v>0</v>
      </c>
      <c r="P16" s="655">
        <f>IFERROR((((VLOOKUP($A16,'pricing overview all products'!$A$1:$M$55,4,FALSE))*'Country File'!$T$2)*'Country File'!$P$2),"N/A")</f>
        <v>1980</v>
      </c>
      <c r="Q16" s="655">
        <f>IFERROR((((VLOOKUP($A16,'pricing overview all products'!$A$1:$M$55,4,FALSE))*'Country File'!$T$3)*'Country File'!$P$2),"N/A")</f>
        <v>1980</v>
      </c>
      <c r="R16" s="655">
        <f>IFERROR((((VLOOKUP($A16,'pricing overview all products'!$A$1:$M$55,4,FALSE))*'Country File'!$T$2)*'Country File'!$P$2),"N/A")*(1-'Applied Discounts'!$C$14)</f>
        <v>1485</v>
      </c>
      <c r="S16" s="655">
        <f t="shared" si="7"/>
        <v>0</v>
      </c>
      <c r="T16" s="655">
        <f t="shared" si="8"/>
        <v>0</v>
      </c>
      <c r="U16" s="659">
        <f t="shared" si="9"/>
        <v>0</v>
      </c>
      <c r="V16" s="658">
        <v>0</v>
      </c>
      <c r="W16" s="655">
        <f>IFERROR((((VLOOKUP($A16,'pricing overview all products'!$A$1:$M$55,8,FALSE))*'Country File'!$T$2)*'Country File'!$P$2),"N/A")</f>
        <v>8850</v>
      </c>
      <c r="X16" s="655">
        <f>IFERROR((((VLOOKUP($A16,'pricing overview all products'!$A$1:$M$55,8,FALSE))*'Country File'!$T$3)*'Country File'!$P$2),"N/A")</f>
        <v>8850</v>
      </c>
      <c r="Y16" s="655">
        <f>IFERROR((((VLOOKUP($A16,'pricing overview all products'!$A$1:$M$55,8,FALSE))*'Country File'!$T$2)*'Country File'!$P$2),"N/A")*(1-'Applied Discounts'!$C$14)</f>
        <v>6637.5</v>
      </c>
      <c r="Z16" s="655">
        <f t="shared" si="10"/>
        <v>0</v>
      </c>
      <c r="AA16" s="655">
        <f t="shared" si="11"/>
        <v>0</v>
      </c>
      <c r="AB16" s="659">
        <f t="shared" si="12"/>
        <v>0</v>
      </c>
      <c r="AC16" s="658">
        <v>0</v>
      </c>
      <c r="AD16" s="655">
        <f>IFERROR((((VLOOKUP($A16,'pricing overview all products'!$A$1:$M$55,6,FALSE))*'Country File'!$T$2)*'Country File'!$P$2),"N/A")</f>
        <v>7100</v>
      </c>
      <c r="AE16" s="655">
        <f>IFERROR((((VLOOKUP($A16,'pricing overview all products'!$A$1:$M$55,6,FALSE))*'Country File'!$T$3)*'Country File'!$P$2),"N/A")</f>
        <v>7100</v>
      </c>
      <c r="AF16" s="662">
        <f>IFERROR((((VLOOKUP($A16,'pricing overview all products'!$A$1:$M$55,6,FALSE))*'Country File'!$T$2)*'Country File'!$P$2),"N/A")*(1-'Applied Discounts'!$C$14)</f>
        <v>5325</v>
      </c>
      <c r="AG16" s="656">
        <f t="shared" si="13"/>
        <v>0</v>
      </c>
      <c r="AH16" s="656">
        <f t="shared" si="21"/>
        <v>0</v>
      </c>
      <c r="AI16" s="657">
        <f t="shared" si="22"/>
        <v>0</v>
      </c>
      <c r="AJ16" s="658">
        <v>0</v>
      </c>
      <c r="AK16" s="655">
        <f>IFERROR((((VLOOKUP($A16,'pricing overview all products'!$A$1:$M$55,10,FALSE))*'Country File'!$T$2)*'Country File'!$P$2),"N/A")</f>
        <v>4420</v>
      </c>
      <c r="AL16" s="655">
        <f>IFERROR((((VLOOKUP($A16,'pricing overview all products'!$A$1:$M$55,10,FALSE))*'Country File'!$T$3)*'Country File'!$P$2),"N/A")</f>
        <v>4420</v>
      </c>
      <c r="AM16" s="662">
        <f>IFERROR((((VLOOKUP($A16,'pricing overview all products'!$A$1:$M$55,10,FALSE))*'Country File'!$T$2)*'Country File'!$P$2),"N/A")*(1-'Applied Discounts'!$C$14)</f>
        <v>3315</v>
      </c>
      <c r="AN16" s="655">
        <f t="shared" si="14"/>
        <v>0</v>
      </c>
      <c r="AO16" s="655">
        <f t="shared" si="15"/>
        <v>0</v>
      </c>
      <c r="AP16" s="659">
        <f t="shared" si="16"/>
        <v>0</v>
      </c>
      <c r="AQ16" s="663">
        <v>0</v>
      </c>
      <c r="AR16" s="664" t="str">
        <f>IFERROR((((VLOOKUP($A16,'pricing overview all products'!$A$1:$N$55,12,FALSE))*'Country File'!$T$2)*'Country File'!$P$2),"N/A")</f>
        <v>N/A</v>
      </c>
      <c r="AS16" s="665">
        <f t="shared" si="17"/>
        <v>0</v>
      </c>
      <c r="AT16" s="666">
        <v>0</v>
      </c>
      <c r="AU16" s="664">
        <f>IFERROR((((VLOOKUP($A16,'pricing overview all products'!$A$1:$N$55,14,FALSE))*'Country File'!$T$2)*'Country File'!$P$2),"N/A")</f>
        <v>0</v>
      </c>
      <c r="AV16" s="665">
        <f t="shared" si="18"/>
        <v>0</v>
      </c>
      <c r="AW16" s="667">
        <v>0</v>
      </c>
      <c r="AX16" s="668"/>
      <c r="AY16" s="669"/>
      <c r="AZ16" s="670">
        <f t="shared" si="19"/>
        <v>0</v>
      </c>
      <c r="BA16" s="671">
        <f t="shared" si="0"/>
        <v>1</v>
      </c>
      <c r="BB16" s="672">
        <f>IFERROR((((VLOOKUP($BD16,'Packaging cost'!A:C,3,FALSE))*'Country File'!$P$2)),"tbc")</f>
        <v>360</v>
      </c>
      <c r="BC16" s="657">
        <f>IFERROR((BA16*BB16),0)</f>
        <v>360</v>
      </c>
      <c r="BD16" s="673" t="str">
        <f>IF(H16=0,"",'Configurator Codes'!Q17)</f>
        <v>SP660e2212100111</v>
      </c>
      <c r="BE16" s="653" t="str">
        <f>IFERROR(VLOOKUP(BD16,'Common IDs'!A:C,3,FALSE),"not assigned yet")</f>
        <v>not assigned yet</v>
      </c>
      <c r="BF16" s="674">
        <f t="shared" si="1"/>
        <v>49360</v>
      </c>
      <c r="BG16" s="674">
        <f t="shared" si="2"/>
        <v>49360</v>
      </c>
      <c r="BH16" s="674">
        <f t="shared" si="3"/>
        <v>37110</v>
      </c>
    </row>
    <row r="17" spans="1:60" x14ac:dyDescent="0.25">
      <c r="A17" s="98" t="s">
        <v>1441</v>
      </c>
      <c r="B17" s="96" t="s">
        <v>1442</v>
      </c>
      <c r="C17" s="446" t="s">
        <v>1436</v>
      </c>
      <c r="D17" s="449" t="s">
        <v>1437</v>
      </c>
      <c r="E17" s="97">
        <v>2</v>
      </c>
      <c r="F17" s="97" t="s">
        <v>1438</v>
      </c>
      <c r="G17" s="97">
        <v>1</v>
      </c>
      <c r="H17" s="448">
        <v>1</v>
      </c>
      <c r="I17" s="655">
        <f>((VLOOKUP($A17,'pricing overview all products'!$A:$B,2,FALSE))*'Country File'!$T$2)*'Country File'!$P$2</f>
        <v>57000</v>
      </c>
      <c r="J17" s="655">
        <f>((VLOOKUP($A17,'pricing overview all products'!$A:$B,2,FALSE))*'Country File'!$T$3)*'Country File'!$P$2</f>
        <v>57000</v>
      </c>
      <c r="K17" s="656">
        <f>(((VLOOKUP($A17,'pricing overview all products'!$A:$B,2,FALSE))*'Country File'!$T$2)*'Country File'!$P$2)*(1-'Applied Discounts'!$C$14)</f>
        <v>42750</v>
      </c>
      <c r="L17" s="655">
        <f t="shared" ref="L17" si="23">$H17*I17</f>
        <v>57000</v>
      </c>
      <c r="M17" s="655">
        <f t="shared" ref="M17" si="24">$H17*J17</f>
        <v>57000</v>
      </c>
      <c r="N17" s="657">
        <f t="shared" ref="N17" si="25">$H17*K17</f>
        <v>42750</v>
      </c>
      <c r="O17" s="658">
        <v>0</v>
      </c>
      <c r="P17" s="655">
        <f>IFERROR((((VLOOKUP($A17,'pricing overview all products'!$A$1:$M$55,4,FALSE))*'Country File'!$T$2)*'Country File'!$P$2),"N/A")</f>
        <v>1980</v>
      </c>
      <c r="Q17" s="655">
        <f>IFERROR((((VLOOKUP($A17,'pricing overview all products'!$A$1:$M$55,4,FALSE))*'Country File'!$T$3)*'Country File'!$P$2),"N/A")</f>
        <v>1980</v>
      </c>
      <c r="R17" s="655">
        <f>IFERROR((((VLOOKUP($A17,'pricing overview all products'!$A$1:$M$55,4,FALSE))*'Country File'!$T$2)*'Country File'!$P$2),"N/A")*(1-'Applied Discounts'!$C$14)</f>
        <v>1485</v>
      </c>
      <c r="S17" s="655">
        <f t="shared" ref="S17" si="26">IFERROR(($O17*P17),0)</f>
        <v>0</v>
      </c>
      <c r="T17" s="655">
        <f t="shared" ref="T17" si="27">IFERROR(($O17*Q17),0)</f>
        <v>0</v>
      </c>
      <c r="U17" s="659">
        <f t="shared" ref="U17" si="28">IFERROR(($O17*R17),0)</f>
        <v>0</v>
      </c>
      <c r="V17" s="658">
        <v>0</v>
      </c>
      <c r="W17" s="655">
        <f>IFERROR((((VLOOKUP($A17,'pricing overview all products'!$A$1:$M$55,8,FALSE))*'Country File'!$T$2)*'Country File'!$P$2),"N/A")</f>
        <v>8850</v>
      </c>
      <c r="X17" s="655">
        <f>IFERROR((((VLOOKUP($A17,'pricing overview all products'!$A$1:$M$55,8,FALSE))*'Country File'!$T$3)*'Country File'!$P$2),"N/A")</f>
        <v>8850</v>
      </c>
      <c r="Y17" s="655">
        <f>IFERROR((((VLOOKUP($A17,'pricing overview all products'!$A$1:$M$55,8,FALSE))*'Country File'!$T$2)*'Country File'!$P$2),"N/A")*(1-'Applied Discounts'!$C$14)</f>
        <v>6637.5</v>
      </c>
      <c r="Z17" s="655">
        <f t="shared" ref="Z17" si="29">IFERROR(($V17*W17),0)</f>
        <v>0</v>
      </c>
      <c r="AA17" s="655">
        <f t="shared" ref="AA17" si="30">IFERROR(($V17*X17),0)</f>
        <v>0</v>
      </c>
      <c r="AB17" s="659">
        <f t="shared" ref="AB17" si="31">IFERROR(($V17*Y17),0)</f>
        <v>0</v>
      </c>
      <c r="AC17" s="658">
        <v>0</v>
      </c>
      <c r="AD17" s="655">
        <f>IFERROR((((VLOOKUP($A17,'pricing overview all products'!$A$1:$M$55,6,FALSE))*'Country File'!$T$2)*'Country File'!$P$2),"N/A")</f>
        <v>7100</v>
      </c>
      <c r="AE17" s="655">
        <f>IFERROR((((VLOOKUP($A17,'pricing overview all products'!$A$1:$M$55,6,FALSE))*'Country File'!$T$3)*'Country File'!$P$2),"N/A")</f>
        <v>7100</v>
      </c>
      <c r="AF17" s="662">
        <f>IFERROR((((VLOOKUP($A17,'pricing overview all products'!$A$1:$M$55,6,FALSE))*'Country File'!$T$2)*'Country File'!$P$2),"N/A")*(1-'Applied Discounts'!$C$14)</f>
        <v>5325</v>
      </c>
      <c r="AG17" s="656">
        <f t="shared" si="13"/>
        <v>0</v>
      </c>
      <c r="AH17" s="656">
        <f t="shared" si="21"/>
        <v>0</v>
      </c>
      <c r="AI17" s="657">
        <f t="shared" ref="AI17" si="32">IFERROR((AC17*AF17),0)</f>
        <v>0</v>
      </c>
      <c r="AJ17" s="658">
        <v>0</v>
      </c>
      <c r="AK17" s="655">
        <f>IFERROR((((VLOOKUP($A17,'pricing overview all products'!$A$1:$M$55,10,FALSE))*'Country File'!$T$2)*'Country File'!$P$2),"N/A")</f>
        <v>4420</v>
      </c>
      <c r="AL17" s="655">
        <f>IFERROR((((VLOOKUP($A17,'pricing overview all products'!$A$1:$M$55,10,FALSE))*'Country File'!$T$3)*'Country File'!$P$2),"N/A")</f>
        <v>4420</v>
      </c>
      <c r="AM17" s="662">
        <f>IFERROR((((VLOOKUP($A17,'pricing overview all products'!$A$1:$M$55,10,FALSE))*'Country File'!$T$2)*'Country File'!$P$2),"N/A")*(1-'Applied Discounts'!$C$14)</f>
        <v>3315</v>
      </c>
      <c r="AN17" s="655">
        <f t="shared" ref="AN17" si="33">IFERROR(($AJ17*AK17),0)</f>
        <v>0</v>
      </c>
      <c r="AO17" s="655">
        <f t="shared" ref="AO17" si="34">IFERROR(($AJ17*AL17),0)</f>
        <v>0</v>
      </c>
      <c r="AP17" s="659">
        <f t="shared" ref="AP17" si="35">IFERROR(($AJ17*AM17),0)</f>
        <v>0</v>
      </c>
      <c r="AQ17" s="663">
        <v>0</v>
      </c>
      <c r="AR17" s="664" t="str">
        <f>IFERROR((((VLOOKUP($A17,'pricing overview all products'!$A$1:$N$55,12,FALSE))*'Country File'!$T$2)*'Country File'!$P$2),"N/A")</f>
        <v>N/A</v>
      </c>
      <c r="AS17" s="665">
        <f t="shared" ref="AS17" si="36">IFERROR((AQ17*AR17),0)</f>
        <v>0</v>
      </c>
      <c r="AT17" s="666">
        <v>0</v>
      </c>
      <c r="AU17" s="664">
        <f>IFERROR((((VLOOKUP($A17,'pricing overview all products'!$A$1:$N$55,14,FALSE))*'Country File'!$T$2)*'Country File'!$P$2),"N/A")</f>
        <v>0</v>
      </c>
      <c r="AV17" s="665">
        <f t="shared" ref="AV17" si="37">IFERROR((AT17*AU17),0)</f>
        <v>0</v>
      </c>
      <c r="AW17" s="667">
        <v>0</v>
      </c>
      <c r="AX17" s="668"/>
      <c r="AY17" s="669"/>
      <c r="AZ17" s="670">
        <f t="shared" ref="AZ17" si="38">IFERROR((AX17*AY17),0)</f>
        <v>0</v>
      </c>
      <c r="BA17" s="671">
        <f t="shared" si="0"/>
        <v>1</v>
      </c>
      <c r="BB17" s="672">
        <f>IFERROR((((VLOOKUP($BD17,'Packaging cost'!A:C,3,FALSE))*'Country File'!$P$2)),"tbc")</f>
        <v>360</v>
      </c>
      <c r="BC17" s="657">
        <f t="shared" ref="BC17:BC18" si="39">IFERROR((BA17*BB17),0)</f>
        <v>360</v>
      </c>
      <c r="BD17" s="673" t="str">
        <f>IF(H17=0,"",'Configurator Codes'!Q18)</f>
        <v>SP680e2212100111</v>
      </c>
      <c r="BE17" s="653" t="str">
        <f>IFERROR(VLOOKUP(BD17,'Common IDs'!A:C,3,FALSE),"not assigned yet")</f>
        <v>not assigned yet</v>
      </c>
      <c r="BF17" s="674">
        <f t="shared" si="1"/>
        <v>57360</v>
      </c>
      <c r="BG17" s="674">
        <f t="shared" si="2"/>
        <v>57360</v>
      </c>
      <c r="BH17" s="674">
        <f t="shared" si="3"/>
        <v>43110</v>
      </c>
    </row>
    <row r="18" spans="1:60" x14ac:dyDescent="0.25">
      <c r="A18" s="98" t="s">
        <v>1443</v>
      </c>
      <c r="B18" s="96" t="s">
        <v>1444</v>
      </c>
      <c r="C18" s="446" t="s">
        <v>1436</v>
      </c>
      <c r="D18" s="449" t="s">
        <v>1445</v>
      </c>
      <c r="E18" s="97">
        <v>1</v>
      </c>
      <c r="F18" s="97" t="s">
        <v>1438</v>
      </c>
      <c r="G18" s="97">
        <v>1</v>
      </c>
      <c r="H18" s="448">
        <v>1</v>
      </c>
      <c r="I18" s="655">
        <f>((VLOOKUP($A18,'pricing overview all products'!$A:$B,2,FALSE))*'Country File'!$T$2)*'Country File'!$P$2</f>
        <v>62500</v>
      </c>
      <c r="J18" s="655">
        <f>((VLOOKUP($A18,'pricing overview all products'!$A:$B,2,FALSE))*'Country File'!$T$3)*'Country File'!$P$2</f>
        <v>62500</v>
      </c>
      <c r="K18" s="656">
        <f>(((VLOOKUP($A18,'pricing overview all products'!$A:$B,2,FALSE))*'Country File'!$T$2)*'Country File'!$P$2)*(1-'Applied Discounts'!$C$14)</f>
        <v>46875</v>
      </c>
      <c r="L18" s="655">
        <f t="shared" si="4"/>
        <v>62500</v>
      </c>
      <c r="M18" s="655">
        <f t="shared" si="5"/>
        <v>62500</v>
      </c>
      <c r="N18" s="657">
        <f t="shared" si="6"/>
        <v>46875</v>
      </c>
      <c r="O18" s="658">
        <v>0</v>
      </c>
      <c r="P18" s="655">
        <f>IFERROR((((VLOOKUP($A18,'pricing overview all products'!$A$1:$M$55,4,FALSE))*'Country File'!$T$2)*'Country File'!$P$2),"N/A")</f>
        <v>1980</v>
      </c>
      <c r="Q18" s="655">
        <f>IFERROR((((VLOOKUP($A18,'pricing overview all products'!$A$1:$M$55,4,FALSE))*'Country File'!$T$3)*'Country File'!$P$2),"N/A")</f>
        <v>1980</v>
      </c>
      <c r="R18" s="655">
        <f>IFERROR((((VLOOKUP($A18,'pricing overview all products'!$A$1:$M$55,4,FALSE))*'Country File'!$T$2)*'Country File'!$P$2),"N/A")*(1-'Applied Discounts'!$C$14)</f>
        <v>1485</v>
      </c>
      <c r="S18" s="655">
        <f t="shared" si="7"/>
        <v>0</v>
      </c>
      <c r="T18" s="655">
        <f t="shared" si="8"/>
        <v>0</v>
      </c>
      <c r="U18" s="659">
        <f t="shared" si="9"/>
        <v>0</v>
      </c>
      <c r="V18" s="658">
        <v>0</v>
      </c>
      <c r="W18" s="655">
        <f>IFERROR((((VLOOKUP($A18,'pricing overview all products'!$A$1:$M$55,8,FALSE))*'Country File'!$T$2)*'Country File'!$P$2),"N/A")</f>
        <v>10850</v>
      </c>
      <c r="X18" s="655">
        <f>IFERROR((((VLOOKUP($A18,'pricing overview all products'!$A$1:$M$55,8,FALSE))*'Country File'!$T$3)*'Country File'!$P$2),"N/A")</f>
        <v>10850</v>
      </c>
      <c r="Y18" s="655">
        <f>IFERROR((((VLOOKUP($A18,'pricing overview all products'!$A$1:$M$55,8,FALSE))*'Country File'!$T$2)*'Country File'!$P$2),"N/A")*(1-'Applied Discounts'!$C$14)</f>
        <v>8137.5</v>
      </c>
      <c r="Z18" s="655">
        <f t="shared" si="10"/>
        <v>0</v>
      </c>
      <c r="AA18" s="655">
        <f t="shared" si="11"/>
        <v>0</v>
      </c>
      <c r="AB18" s="659">
        <f t="shared" si="12"/>
        <v>0</v>
      </c>
      <c r="AC18" s="658">
        <v>0</v>
      </c>
      <c r="AD18" s="655">
        <f>IFERROR((((VLOOKUP($A18,'pricing overview all products'!$A$1:$M$55,6,FALSE))*'Country File'!$T$2)*'Country File'!$P$2),"N/A")</f>
        <v>7800</v>
      </c>
      <c r="AE18" s="655">
        <f>IFERROR((((VLOOKUP($A18,'pricing overview all products'!$A$1:$M$55,6,FALSE))*'Country File'!$T$3)*'Country File'!$P$2),"N/A")</f>
        <v>7800</v>
      </c>
      <c r="AF18" s="662">
        <f>IFERROR((((VLOOKUP($A18,'pricing overview all products'!$A$1:$M$55,6,FALSE))*'Country File'!$T$2)*'Country File'!$P$2),"N/A")*(1-'Applied Discounts'!$C$14)</f>
        <v>5850</v>
      </c>
      <c r="AG18" s="656">
        <f t="shared" si="13"/>
        <v>0</v>
      </c>
      <c r="AH18" s="656">
        <f t="shared" si="21"/>
        <v>0</v>
      </c>
      <c r="AI18" s="657">
        <f t="shared" si="22"/>
        <v>0</v>
      </c>
      <c r="AJ18" s="658">
        <v>0</v>
      </c>
      <c r="AK18" s="655">
        <f>IFERROR((((VLOOKUP($A18,'pricing overview all products'!$A$1:$M$55,10,FALSE))*'Country File'!$T$2)*'Country File'!$P$2),"N/A")</f>
        <v>5710</v>
      </c>
      <c r="AL18" s="655">
        <f>IFERROR((((VLOOKUP($A18,'pricing overview all products'!$A$1:$M$55,10,FALSE))*'Country File'!$T$3)*'Country File'!$P$2),"N/A")</f>
        <v>5710</v>
      </c>
      <c r="AM18" s="662">
        <f>IFERROR((((VLOOKUP($A18,'pricing overview all products'!$A$1:$M$55,10,FALSE))*'Country File'!$T$2)*'Country File'!$P$2),"N/A")*(1-'Applied Discounts'!$C$14)</f>
        <v>4282.5</v>
      </c>
      <c r="AN18" s="655">
        <f t="shared" si="14"/>
        <v>0</v>
      </c>
      <c r="AO18" s="655">
        <f t="shared" si="15"/>
        <v>0</v>
      </c>
      <c r="AP18" s="659">
        <f t="shared" si="16"/>
        <v>0</v>
      </c>
      <c r="AQ18" s="663">
        <v>0</v>
      </c>
      <c r="AR18" s="664" t="str">
        <f>IFERROR((((VLOOKUP($A18,'pricing overview all products'!$A$1:$N$55,12,FALSE))*'Country File'!$T$2)*'Country File'!$P$2),"N/A")</f>
        <v>N/A</v>
      </c>
      <c r="AS18" s="665">
        <f t="shared" si="17"/>
        <v>0</v>
      </c>
      <c r="AT18" s="666">
        <v>0</v>
      </c>
      <c r="AU18" s="664">
        <f>IFERROR((((VLOOKUP($A18,'pricing overview all products'!$A$1:$N$55,14,FALSE))*'Country File'!$T$2)*'Country File'!$P$2),"N/A")</f>
        <v>0</v>
      </c>
      <c r="AV18" s="665">
        <f t="shared" si="18"/>
        <v>0</v>
      </c>
      <c r="AW18" s="667">
        <v>0</v>
      </c>
      <c r="AX18" s="668" t="s">
        <v>1411</v>
      </c>
      <c r="AY18" s="669"/>
      <c r="AZ18" s="670">
        <f t="shared" si="19"/>
        <v>0</v>
      </c>
      <c r="BA18" s="671">
        <f t="shared" si="0"/>
        <v>1</v>
      </c>
      <c r="BB18" s="672">
        <f>IFERROR((((VLOOKUP($BD18,'Packaging cost'!A:C,3,FALSE))*'Country File'!$P$2)),"tbc")</f>
        <v>470</v>
      </c>
      <c r="BC18" s="657">
        <f t="shared" si="39"/>
        <v>470</v>
      </c>
      <c r="BD18" s="673" t="str">
        <f>IF(H18=0,"",'Configurator Codes'!Q19)</f>
        <v>SP2000e2112100111</v>
      </c>
      <c r="BE18" s="653">
        <f>IFERROR(VLOOKUP(BD18,'Common IDs'!A:C,3,FALSE),"not assigned yet")</f>
        <v>7600000400291</v>
      </c>
      <c r="BF18" s="674">
        <f t="shared" si="1"/>
        <v>62970</v>
      </c>
      <c r="BG18" s="674">
        <f t="shared" si="2"/>
        <v>62970</v>
      </c>
      <c r="BH18" s="674">
        <f t="shared" si="3"/>
        <v>47345</v>
      </c>
    </row>
    <row r="19" spans="1:60" x14ac:dyDescent="0.25">
      <c r="A19" s="98" t="s">
        <v>1446</v>
      </c>
      <c r="B19" s="96" t="s">
        <v>1447</v>
      </c>
      <c r="C19" s="446" t="s">
        <v>1421</v>
      </c>
      <c r="D19" s="449" t="s">
        <v>1445</v>
      </c>
      <c r="E19" s="97">
        <v>1</v>
      </c>
      <c r="F19" s="97" t="s">
        <v>1438</v>
      </c>
      <c r="G19" s="97">
        <v>1</v>
      </c>
      <c r="H19" s="448">
        <v>1</v>
      </c>
      <c r="I19" s="655">
        <f>((VLOOKUP($A19,'pricing overview all products'!$A:$B,2,FALSE))*'Country File'!$T$2)*'Country File'!$P$2</f>
        <v>75000</v>
      </c>
      <c r="J19" s="655">
        <f>((VLOOKUP($A19,'pricing overview all products'!$A:$B,2,FALSE))*'Country File'!$T$3)*'Country File'!$P$2</f>
        <v>75000</v>
      </c>
      <c r="K19" s="656">
        <f>(((VLOOKUP($A19,'pricing overview all products'!$A:$B,2,FALSE))*'Country File'!$T$2)*'Country File'!$P$2)*(1-'Applied Discounts'!$C$14)</f>
        <v>56250</v>
      </c>
      <c r="L19" s="655">
        <f t="shared" si="4"/>
        <v>75000</v>
      </c>
      <c r="M19" s="655">
        <f t="shared" si="5"/>
        <v>75000</v>
      </c>
      <c r="N19" s="657">
        <f t="shared" si="6"/>
        <v>56250</v>
      </c>
      <c r="O19" s="658">
        <v>0</v>
      </c>
      <c r="P19" s="655">
        <f>IFERROR((((VLOOKUP($A19,'pricing overview all products'!$A$1:$M$55,4,FALSE))*'Country File'!$T$2)*'Country File'!$P$2),"N/A")</f>
        <v>3950</v>
      </c>
      <c r="Q19" s="655">
        <f>IFERROR((((VLOOKUP($A19,'pricing overview all products'!$A$1:$M$55,4,FALSE))*'Country File'!$T$3)*'Country File'!$P$2),"N/A")</f>
        <v>3950</v>
      </c>
      <c r="R19" s="655">
        <f>IFERROR((((VLOOKUP($A19,'pricing overview all products'!$A$1:$M$55,4,FALSE))*'Country File'!$T$2)*'Country File'!$P$2),"N/A")*(1-'Applied Discounts'!$C$14)</f>
        <v>2962.5</v>
      </c>
      <c r="S19" s="655">
        <f t="shared" si="7"/>
        <v>0</v>
      </c>
      <c r="T19" s="655">
        <f t="shared" si="8"/>
        <v>0</v>
      </c>
      <c r="U19" s="659">
        <f t="shared" si="9"/>
        <v>0</v>
      </c>
      <c r="V19" s="658">
        <v>0</v>
      </c>
      <c r="W19" s="655">
        <f>IFERROR((((VLOOKUP($A19,'pricing overview all products'!$A$1:$M$55,8,FALSE))*'Country File'!$T$2)*'Country File'!$P$2),"N/A")</f>
        <v>10850</v>
      </c>
      <c r="X19" s="655">
        <f>IFERROR((((VLOOKUP($A19,'pricing overview all products'!$A$1:$M$55,8,FALSE))*'Country File'!$T$3)*'Country File'!$P$2),"N/A")</f>
        <v>10850</v>
      </c>
      <c r="Y19" s="655">
        <f>IFERROR((((VLOOKUP($A19,'pricing overview all products'!$A$1:$M$55,8,FALSE))*'Country File'!$T$2)*'Country File'!$P$2),"N/A")*(1-'Applied Discounts'!$C$14)</f>
        <v>8137.5</v>
      </c>
      <c r="Z19" s="655">
        <f t="shared" si="10"/>
        <v>0</v>
      </c>
      <c r="AA19" s="655">
        <f t="shared" si="11"/>
        <v>0</v>
      </c>
      <c r="AB19" s="659">
        <f t="shared" si="12"/>
        <v>0</v>
      </c>
      <c r="AC19" s="658">
        <v>0</v>
      </c>
      <c r="AD19" s="655">
        <f>IFERROR((((VLOOKUP($A19,'pricing overview all products'!$A$1:$M$55,6,FALSE))*'Country File'!$T$2)*'Country File'!$P$2),"N/A")</f>
        <v>7800</v>
      </c>
      <c r="AE19" s="655">
        <f>IFERROR((((VLOOKUP($A19,'pricing overview all products'!$A$1:$M$55,6,FALSE))*'Country File'!$T$3)*'Country File'!$P$2),"N/A")</f>
        <v>7800</v>
      </c>
      <c r="AF19" s="662">
        <f>IFERROR((((VLOOKUP($A19,'pricing overview all products'!$A$1:$M$55,6,FALSE))*'Country File'!$T$2)*'Country File'!$P$2),"N/A")*(1-'Applied Discounts'!$C$14)</f>
        <v>5850</v>
      </c>
      <c r="AG19" s="656">
        <f t="shared" si="13"/>
        <v>0</v>
      </c>
      <c r="AH19" s="656">
        <f t="shared" si="21"/>
        <v>0</v>
      </c>
      <c r="AI19" s="657">
        <f t="shared" si="22"/>
        <v>0</v>
      </c>
      <c r="AJ19" s="658">
        <v>0</v>
      </c>
      <c r="AK19" s="655">
        <f>IFERROR((((VLOOKUP($A19,'pricing overview all products'!$A$1:$M$55,10,FALSE))*'Country File'!$T$2)*'Country File'!$P$2),"N/A")</f>
        <v>5710</v>
      </c>
      <c r="AL19" s="655">
        <f>IFERROR((((VLOOKUP($A19,'pricing overview all products'!$A$1:$M$55,10,FALSE))*'Country File'!$T$3)*'Country File'!$P$2),"N/A")</f>
        <v>5710</v>
      </c>
      <c r="AM19" s="662">
        <f>IFERROR((((VLOOKUP($A19,'pricing overview all products'!$A$1:$M$55,10,FALSE))*'Country File'!$T$2)*'Country File'!$P$2),"N/A")*(1-'Applied Discounts'!$C$14)</f>
        <v>4282.5</v>
      </c>
      <c r="AN19" s="655">
        <f t="shared" si="14"/>
        <v>0</v>
      </c>
      <c r="AO19" s="655">
        <f t="shared" si="15"/>
        <v>0</v>
      </c>
      <c r="AP19" s="659">
        <f t="shared" si="16"/>
        <v>0</v>
      </c>
      <c r="AQ19" s="663">
        <v>0</v>
      </c>
      <c r="AR19" s="664" t="str">
        <f>IFERROR((((VLOOKUP($A19,'pricing overview all products'!$A$1:$N$55,12,FALSE))*'Country File'!$T$2)*'Country File'!$P$2),"N/A")</f>
        <v>N/A</v>
      </c>
      <c r="AS19" s="665">
        <f t="shared" si="17"/>
        <v>0</v>
      </c>
      <c r="AT19" s="666">
        <v>0</v>
      </c>
      <c r="AU19" s="664">
        <f>IFERROR((((VLOOKUP($A19,'pricing overview all products'!$A$1:$N$55,14,FALSE))*'Country File'!$T$2)*'Country File'!$P$2),"N/A")</f>
        <v>0</v>
      </c>
      <c r="AV19" s="665">
        <f t="shared" si="18"/>
        <v>0</v>
      </c>
      <c r="AW19" s="667">
        <v>0</v>
      </c>
      <c r="AX19" s="668"/>
      <c r="AY19" s="669"/>
      <c r="AZ19" s="670">
        <f t="shared" si="19"/>
        <v>0</v>
      </c>
      <c r="BA19" s="671">
        <f t="shared" si="0"/>
        <v>1</v>
      </c>
      <c r="BB19" s="672">
        <f>IFERROR((((VLOOKUP($BD19,'Packaging cost'!A:C,3,FALSE))*'Country File'!$P$2)),"tbc")</f>
        <v>470</v>
      </c>
      <c r="BC19" s="657">
        <f t="shared" si="20"/>
        <v>470</v>
      </c>
      <c r="BD19" s="673" t="str">
        <f>IF(H19=0,"",'Configurator Codes'!Q20)</f>
        <v>SP2800e2112100111</v>
      </c>
      <c r="BE19" s="653" t="str">
        <f>IFERROR(VLOOKUP(BD19,'Common IDs'!A:C,3,FALSE),"not assigned yet")</f>
        <v>not assigned yet</v>
      </c>
      <c r="BF19" s="674">
        <f t="shared" si="1"/>
        <v>75470</v>
      </c>
      <c r="BG19" s="674">
        <f t="shared" si="2"/>
        <v>75470</v>
      </c>
      <c r="BH19" s="674">
        <f t="shared" si="3"/>
        <v>56720</v>
      </c>
    </row>
    <row r="20" spans="1:60" x14ac:dyDescent="0.25">
      <c r="A20" s="98" t="s">
        <v>1448</v>
      </c>
      <c r="B20" s="96" t="s">
        <v>1449</v>
      </c>
      <c r="C20" s="446" t="s">
        <v>1436</v>
      </c>
      <c r="D20" s="449" t="s">
        <v>1450</v>
      </c>
      <c r="E20" s="97">
        <v>1</v>
      </c>
      <c r="F20" s="97" t="s">
        <v>1438</v>
      </c>
      <c r="G20" s="97">
        <v>1</v>
      </c>
      <c r="H20" s="448">
        <v>1</v>
      </c>
      <c r="I20" s="655">
        <f>((VLOOKUP($A20,'pricing overview all products'!$A:$B,2,FALSE))*'Country File'!$T$2)*'Country File'!$P$2</f>
        <v>97500</v>
      </c>
      <c r="J20" s="655">
        <f>((VLOOKUP($A20,'pricing overview all products'!$A:$B,2,FALSE))*'Country File'!$T$3)*'Country File'!$P$2</f>
        <v>97500</v>
      </c>
      <c r="K20" s="656">
        <f>(((VLOOKUP($A20,'pricing overview all products'!$A:$B,2,FALSE))*'Country File'!$T$2)*'Country File'!$P$2)*(1-'Applied Discounts'!$C$14)</f>
        <v>73125</v>
      </c>
      <c r="L20" s="655">
        <f t="shared" si="4"/>
        <v>97500</v>
      </c>
      <c r="M20" s="655">
        <f t="shared" si="5"/>
        <v>97500</v>
      </c>
      <c r="N20" s="657">
        <f t="shared" si="6"/>
        <v>73125</v>
      </c>
      <c r="O20" s="658">
        <v>0</v>
      </c>
      <c r="P20" s="655">
        <f>IFERROR((((VLOOKUP($A20,'pricing overview all products'!$A$1:$M$55,4,FALSE))*'Country File'!$T$2)*'Country File'!$P$2),"N/A")</f>
        <v>3950</v>
      </c>
      <c r="Q20" s="655">
        <f>IFERROR((((VLOOKUP($A20,'pricing overview all products'!$A$1:$M$55,4,FALSE))*'Country File'!$T$3)*'Country File'!$P$2),"N/A")</f>
        <v>3950</v>
      </c>
      <c r="R20" s="655">
        <f>IFERROR((((VLOOKUP($A20,'pricing overview all products'!$A$1:$M$55,4,FALSE))*'Country File'!$T$2)*'Country File'!$P$2),"N/A")*(1-'Applied Discounts'!$C$14)</f>
        <v>2962.5</v>
      </c>
      <c r="S20" s="655">
        <f t="shared" si="7"/>
        <v>0</v>
      </c>
      <c r="T20" s="655">
        <f t="shared" si="8"/>
        <v>0</v>
      </c>
      <c r="U20" s="659">
        <f t="shared" si="9"/>
        <v>0</v>
      </c>
      <c r="V20" s="658">
        <v>0</v>
      </c>
      <c r="W20" s="655">
        <f>IFERROR((((VLOOKUP($A20,'pricing overview all products'!$A$1:$M$55,8,FALSE))*'Country File'!$T$2)*'Country File'!$P$2),"N/A")</f>
        <v>11850</v>
      </c>
      <c r="X20" s="655">
        <f>IFERROR((((VLOOKUP($A20,'pricing overview all products'!$A$1:$M$55,8,FALSE))*'Country File'!$T$3)*'Country File'!$P$2),"N/A")</f>
        <v>11850</v>
      </c>
      <c r="Y20" s="655">
        <f>IFERROR((((VLOOKUP($A20,'pricing overview all products'!$A$1:$M$55,8,FALSE))*'Country File'!$T$2)*'Country File'!$P$2),"N/A")*(1-'Applied Discounts'!$C$14)</f>
        <v>8887.5</v>
      </c>
      <c r="Z20" s="655">
        <f t="shared" si="10"/>
        <v>0</v>
      </c>
      <c r="AA20" s="655">
        <f t="shared" si="11"/>
        <v>0</v>
      </c>
      <c r="AB20" s="659">
        <f t="shared" si="12"/>
        <v>0</v>
      </c>
      <c r="AC20" s="658">
        <v>0</v>
      </c>
      <c r="AD20" s="655">
        <f>IFERROR((((VLOOKUP($A20,'pricing overview all products'!$A$1:$M$55,6,FALSE))*'Country File'!$T$2)*'Country File'!$P$2),"N/A")</f>
        <v>8650</v>
      </c>
      <c r="AE20" s="655">
        <f>IFERROR((((VLOOKUP($A20,'pricing overview all products'!$A$1:$M$55,6,FALSE))*'Country File'!$T$3)*'Country File'!$P$2),"N/A")</f>
        <v>8650</v>
      </c>
      <c r="AF20" s="662">
        <f>IFERROR((((VLOOKUP($A20,'pricing overview all products'!$A$1:$M$55,6,FALSE))*'Country File'!$T$2)*'Country File'!$P$2),"N/A")*(1-'Applied Discounts'!$C$14)</f>
        <v>6487.5</v>
      </c>
      <c r="AG20" s="656">
        <f t="shared" si="13"/>
        <v>0</v>
      </c>
      <c r="AH20" s="656">
        <f t="shared" si="21"/>
        <v>0</v>
      </c>
      <c r="AI20" s="657">
        <f t="shared" si="22"/>
        <v>0</v>
      </c>
      <c r="AJ20" s="658">
        <v>0</v>
      </c>
      <c r="AK20" s="655">
        <f>IFERROR((((VLOOKUP($A20,'pricing overview all products'!$A$1:$M$55,10,FALSE))*'Country File'!$T$2)*'Country File'!$P$2),"N/A")</f>
        <v>10070</v>
      </c>
      <c r="AL20" s="655">
        <f>IFERROR((((VLOOKUP($A20,'pricing overview all products'!$A$1:$M$55,10,FALSE))*'Country File'!$T$3)*'Country File'!$P$2),"N/A")</f>
        <v>10070</v>
      </c>
      <c r="AM20" s="662">
        <f>IFERROR((((VLOOKUP($A20,'pricing overview all products'!$A$1:$M$55,10,FALSE))*'Country File'!$T$2)*'Country File'!$P$2),"N/A")*(1-'Applied Discounts'!$C$14)</f>
        <v>7552.5</v>
      </c>
      <c r="AN20" s="655">
        <f t="shared" si="14"/>
        <v>0</v>
      </c>
      <c r="AO20" s="655">
        <f t="shared" si="15"/>
        <v>0</v>
      </c>
      <c r="AP20" s="659">
        <f t="shared" si="16"/>
        <v>0</v>
      </c>
      <c r="AQ20" s="663">
        <v>0</v>
      </c>
      <c r="AR20" s="664" t="str">
        <f>IFERROR((((VLOOKUP($A20,'pricing overview all products'!$A$1:$N$55,12,FALSE))*'Country File'!$T$2)*'Country File'!$P$2),"N/A")</f>
        <v>N/A</v>
      </c>
      <c r="AS20" s="665">
        <f t="shared" si="17"/>
        <v>0</v>
      </c>
      <c r="AT20" s="666">
        <v>0</v>
      </c>
      <c r="AU20" s="664">
        <f>IFERROR((((VLOOKUP($A20,'pricing overview all products'!$A$1:$N$55,14,FALSE))*'Country File'!$T$2)*'Country File'!$P$2),"N/A")</f>
        <v>0</v>
      </c>
      <c r="AV20" s="665">
        <f t="shared" si="18"/>
        <v>0</v>
      </c>
      <c r="AW20" s="667">
        <v>0</v>
      </c>
      <c r="AX20" s="668" t="s">
        <v>1411</v>
      </c>
      <c r="AY20" s="669"/>
      <c r="AZ20" s="670">
        <f t="shared" si="19"/>
        <v>0</v>
      </c>
      <c r="BA20" s="671">
        <f t="shared" si="0"/>
        <v>1</v>
      </c>
      <c r="BB20" s="672">
        <f>IFERROR((((VLOOKUP($BD20,'Packaging cost'!A:C,3,FALSE))*'Country File'!$P$2)),"tbc")</f>
        <v>500</v>
      </c>
      <c r="BC20" s="657">
        <f t="shared" si="20"/>
        <v>500</v>
      </c>
      <c r="BD20" s="673" t="str">
        <f>IF(H20=0,"",'Configurator Codes'!Q21)</f>
        <v>SP4000e2112100111</v>
      </c>
      <c r="BE20" s="653">
        <f>IFERROR(VLOOKUP(BD20,'Common IDs'!A:C,3,FALSE),"not assigned yet")</f>
        <v>7600000400428</v>
      </c>
      <c r="BF20" s="674">
        <f t="shared" si="1"/>
        <v>98000</v>
      </c>
      <c r="BG20" s="674">
        <f t="shared" si="2"/>
        <v>98000</v>
      </c>
      <c r="BH20" s="674">
        <f t="shared" si="3"/>
        <v>73625</v>
      </c>
    </row>
    <row r="21" spans="1:60" x14ac:dyDescent="0.25">
      <c r="A21" s="98" t="s">
        <v>1451</v>
      </c>
      <c r="B21" s="96" t="s">
        <v>1452</v>
      </c>
      <c r="C21" s="446" t="s">
        <v>1421</v>
      </c>
      <c r="D21" s="449" t="s">
        <v>1450</v>
      </c>
      <c r="E21" s="97">
        <v>1</v>
      </c>
      <c r="F21" s="97" t="s">
        <v>1438</v>
      </c>
      <c r="G21" s="97">
        <v>1</v>
      </c>
      <c r="H21" s="448">
        <v>1</v>
      </c>
      <c r="I21" s="655">
        <f>((VLOOKUP($A21,'pricing overview all products'!$A:$B,2,FALSE))*'Country File'!$T$2)*'Country File'!$P$2</f>
        <v>115000</v>
      </c>
      <c r="J21" s="655">
        <f>((VLOOKUP($A21,'pricing overview all products'!$A:$B,2,FALSE))*'Country File'!$T$3)*'Country File'!$P$2</f>
        <v>115000</v>
      </c>
      <c r="K21" s="656">
        <f>(((VLOOKUP($A21,'pricing overview all products'!$A:$B,2,FALSE))*'Country File'!$T$2)*'Country File'!$P$2)*(1-'Applied Discounts'!$C$14)</f>
        <v>86250</v>
      </c>
      <c r="L21" s="655">
        <f t="shared" si="4"/>
        <v>115000</v>
      </c>
      <c r="M21" s="655">
        <f t="shared" si="5"/>
        <v>115000</v>
      </c>
      <c r="N21" s="657">
        <f t="shared" si="6"/>
        <v>86250</v>
      </c>
      <c r="O21" s="658">
        <v>0</v>
      </c>
      <c r="P21" s="655">
        <f>IFERROR((((VLOOKUP($A21,'pricing overview all products'!$A$1:$M$55,4,FALSE))*'Country File'!$T$2)*'Country File'!$P$2),"N/A")</f>
        <v>3950</v>
      </c>
      <c r="Q21" s="655">
        <f>IFERROR((((VLOOKUP($A21,'pricing overview all products'!$A$1:$M$55,4,FALSE))*'Country File'!$T$3)*'Country File'!$P$2),"N/A")</f>
        <v>3950</v>
      </c>
      <c r="R21" s="655">
        <f>IFERROR((((VLOOKUP($A21,'pricing overview all products'!$A$1:$M$55,4,FALSE))*'Country File'!$T$2)*'Country File'!$P$2),"N/A")*(1-'Applied Discounts'!$C$14)</f>
        <v>2962.5</v>
      </c>
      <c r="S21" s="655">
        <f t="shared" si="7"/>
        <v>0</v>
      </c>
      <c r="T21" s="655">
        <f t="shared" si="8"/>
        <v>0</v>
      </c>
      <c r="U21" s="659">
        <f t="shared" si="9"/>
        <v>0</v>
      </c>
      <c r="V21" s="658">
        <v>0</v>
      </c>
      <c r="W21" s="655">
        <f>IFERROR((((VLOOKUP($A21,'pricing overview all products'!$A$1:$M$55,8,FALSE))*'Country File'!$T$2)*'Country File'!$P$2),"N/A")</f>
        <v>11850</v>
      </c>
      <c r="X21" s="655">
        <f>IFERROR((((VLOOKUP($A21,'pricing overview all products'!$A$1:$M$55,8,FALSE))*'Country File'!$T$3)*'Country File'!$P$2),"N/A")</f>
        <v>11850</v>
      </c>
      <c r="Y21" s="655">
        <f>IFERROR((((VLOOKUP($A21,'pricing overview all products'!$A$1:$M$55,8,FALSE))*'Country File'!$T$2)*'Country File'!$P$2),"N/A")*(1-'Applied Discounts'!$C$14)</f>
        <v>8887.5</v>
      </c>
      <c r="Z21" s="655">
        <f t="shared" si="10"/>
        <v>0</v>
      </c>
      <c r="AA21" s="655">
        <f t="shared" si="11"/>
        <v>0</v>
      </c>
      <c r="AB21" s="659">
        <f t="shared" si="12"/>
        <v>0</v>
      </c>
      <c r="AC21" s="658">
        <v>0</v>
      </c>
      <c r="AD21" s="655">
        <f>IFERROR((((VLOOKUP($A21,'pricing overview all products'!$A$1:$M$55,6,FALSE))*'Country File'!$T$2)*'Country File'!$P$2),"N/A")</f>
        <v>8650</v>
      </c>
      <c r="AE21" s="655">
        <f>IFERROR((((VLOOKUP($A21,'pricing overview all products'!$A$1:$M$55,6,FALSE))*'Country File'!$T$3)*'Country File'!$P$2),"N/A")</f>
        <v>8650</v>
      </c>
      <c r="AF21" s="662">
        <f>IFERROR((((VLOOKUP($A21,'pricing overview all products'!$A$1:$M$55,6,FALSE))*'Country File'!$T$2)*'Country File'!$P$2),"N/A")*(1-'Applied Discounts'!$C$14)</f>
        <v>6487.5</v>
      </c>
      <c r="AG21" s="656">
        <f t="shared" si="13"/>
        <v>0</v>
      </c>
      <c r="AH21" s="656">
        <f t="shared" si="21"/>
        <v>0</v>
      </c>
      <c r="AI21" s="657">
        <f t="shared" si="22"/>
        <v>0</v>
      </c>
      <c r="AJ21" s="658">
        <v>0</v>
      </c>
      <c r="AK21" s="655">
        <f>IFERROR((((VLOOKUP($A21,'pricing overview all products'!$A$1:$M$55,10,FALSE))*'Country File'!$T$2)*'Country File'!$P$2),"N/A")</f>
        <v>10070</v>
      </c>
      <c r="AL21" s="655">
        <f>IFERROR((((VLOOKUP($A21,'pricing overview all products'!$A$1:$M$55,10,FALSE))*'Country File'!$T$3)*'Country File'!$P$2),"N/A")</f>
        <v>10070</v>
      </c>
      <c r="AM21" s="662">
        <f>IFERROR((((VLOOKUP($A21,'pricing overview all products'!$A$1:$M$55,10,FALSE))*'Country File'!$T$2)*'Country File'!$P$2),"N/A")*(1-'Applied Discounts'!$C$14)</f>
        <v>7552.5</v>
      </c>
      <c r="AN21" s="655">
        <f t="shared" si="14"/>
        <v>0</v>
      </c>
      <c r="AO21" s="655">
        <f t="shared" si="15"/>
        <v>0</v>
      </c>
      <c r="AP21" s="659">
        <f t="shared" si="16"/>
        <v>0</v>
      </c>
      <c r="AQ21" s="675">
        <v>0</v>
      </c>
      <c r="AR21" s="676" t="str">
        <f>IFERROR((((VLOOKUP($A21,'pricing overview all products'!$A$1:$N$55,12,FALSE))*'Country File'!$T$2)*'Country File'!$P$2),"N/A")</f>
        <v>N/A</v>
      </c>
      <c r="AS21" s="677">
        <f t="shared" si="17"/>
        <v>0</v>
      </c>
      <c r="AT21" s="678">
        <v>0</v>
      </c>
      <c r="AU21" s="676">
        <f>IFERROR((((VLOOKUP($A21,'pricing overview all products'!$A$1:$N$55,14,FALSE))*'Country File'!$T$2)*'Country File'!$P$2),"N/A")</f>
        <v>0</v>
      </c>
      <c r="AV21" s="677">
        <f t="shared" si="18"/>
        <v>0</v>
      </c>
      <c r="AW21" s="667">
        <v>0</v>
      </c>
      <c r="AX21" s="668"/>
      <c r="AY21" s="669"/>
      <c r="AZ21" s="679">
        <f t="shared" si="19"/>
        <v>0</v>
      </c>
      <c r="BA21" s="671">
        <f t="shared" si="0"/>
        <v>1</v>
      </c>
      <c r="BB21" s="672">
        <f>IFERROR((((VLOOKUP($BD21,'Packaging cost'!A:C,3,FALSE))*'Country File'!$P$2)),"tbc")</f>
        <v>500</v>
      </c>
      <c r="BC21" s="657">
        <f t="shared" si="20"/>
        <v>500</v>
      </c>
      <c r="BD21" s="673" t="str">
        <f>IF(H21=0,"",'Configurator Codes'!Q22)</f>
        <v>SP4800e2112100111</v>
      </c>
      <c r="BE21" s="653" t="str">
        <f>IFERROR(VLOOKUP(BD21,'Common IDs'!A:C,3,FALSE),"not assigned yet")</f>
        <v>not assigned yet</v>
      </c>
      <c r="BF21" s="674">
        <f t="shared" si="1"/>
        <v>115500</v>
      </c>
      <c r="BG21" s="674">
        <f t="shared" si="2"/>
        <v>115500</v>
      </c>
      <c r="BH21" s="674">
        <f t="shared" si="3"/>
        <v>86750</v>
      </c>
    </row>
    <row r="22" spans="1:60" ht="15.75" thickBot="1" x14ac:dyDescent="0.3">
      <c r="A22" s="101" t="s">
        <v>1453</v>
      </c>
      <c r="B22" s="114" t="s">
        <v>1454</v>
      </c>
      <c r="C22" s="532" t="s">
        <v>1421</v>
      </c>
      <c r="D22" s="450" t="s">
        <v>1455</v>
      </c>
      <c r="E22" s="451">
        <v>1</v>
      </c>
      <c r="F22" s="451" t="s">
        <v>1438</v>
      </c>
      <c r="G22" s="451">
        <v>1</v>
      </c>
      <c r="H22" s="452">
        <v>1</v>
      </c>
      <c r="I22" s="680">
        <f>((VLOOKUP($A22,'pricing overview all products'!$A:$B,2,FALSE))*'Country File'!$T$2)*'Country File'!$P$2</f>
        <v>135000</v>
      </c>
      <c r="J22" s="680">
        <f>((VLOOKUP($A22,'pricing overview all products'!$A:$B,2,FALSE))*'Country File'!$T$3)*'Country File'!$P$2</f>
        <v>135000</v>
      </c>
      <c r="K22" s="681">
        <f>(((VLOOKUP($A22,'pricing overview all products'!$A:$B,2,FALSE))*'Country File'!$T$2)*'Country File'!$P$2)*(1-'Applied Discounts'!$C$14)</f>
        <v>101250</v>
      </c>
      <c r="L22" s="680">
        <f t="shared" si="4"/>
        <v>135000</v>
      </c>
      <c r="M22" s="680">
        <f t="shared" si="5"/>
        <v>135000</v>
      </c>
      <c r="N22" s="682">
        <f t="shared" si="6"/>
        <v>101250</v>
      </c>
      <c r="O22" s="683">
        <v>0</v>
      </c>
      <c r="P22" s="680">
        <f>IFERROR((((VLOOKUP($A22,'pricing overview all products'!$A$1:$M$55,4,FALSE))*'Country File'!$T$2)*'Country File'!$P$2),"N/A")</f>
        <v>8830</v>
      </c>
      <c r="Q22" s="680">
        <f>IFERROR((((VLOOKUP($A22,'pricing overview all products'!$A$1:$M$55,4,FALSE))*'Country File'!$T$3)*'Country File'!$P$2),"N/A")</f>
        <v>8830</v>
      </c>
      <c r="R22" s="680">
        <f>IFERROR((((VLOOKUP($A22,'pricing overview all products'!$A$1:$M$55,4,FALSE))*'Country File'!$T$2)*'Country File'!$P$2),"N/A")*(1-'Applied Discounts'!$C$14)</f>
        <v>6622.5</v>
      </c>
      <c r="S22" s="680">
        <f t="shared" si="7"/>
        <v>0</v>
      </c>
      <c r="T22" s="680">
        <f t="shared" si="8"/>
        <v>0</v>
      </c>
      <c r="U22" s="684">
        <f t="shared" si="9"/>
        <v>0</v>
      </c>
      <c r="V22" s="683">
        <v>0</v>
      </c>
      <c r="W22" s="680">
        <f>IFERROR((((VLOOKUP($A22,'pricing overview all products'!$A$1:$M$55,8,FALSE))*'Country File'!$T$2)*'Country File'!$P$2),"N/A")</f>
        <v>14850</v>
      </c>
      <c r="X22" s="680">
        <f>IFERROR((((VLOOKUP($A22,'pricing overview all products'!$A$1:$M$55,8,FALSE))*'Country File'!$T$3)*'Country File'!$P$2),"N/A")</f>
        <v>14850</v>
      </c>
      <c r="Y22" s="680">
        <f>IFERROR((((VLOOKUP($A22,'pricing overview all products'!$A$1:$M$55,8,FALSE))*'Country File'!$T$2)*'Country File'!$P$2),"N/A")*(1-'Applied Discounts'!$C$14)</f>
        <v>11137.5</v>
      </c>
      <c r="Z22" s="680">
        <f t="shared" si="10"/>
        <v>0</v>
      </c>
      <c r="AA22" s="680">
        <f t="shared" si="11"/>
        <v>0</v>
      </c>
      <c r="AB22" s="684">
        <f t="shared" si="12"/>
        <v>0</v>
      </c>
      <c r="AC22" s="683">
        <v>0</v>
      </c>
      <c r="AD22" s="680">
        <f>IFERROR((((VLOOKUP($A22,'pricing overview all products'!$A$1:$M$55,6,FALSE))*'Country File'!$T$2)*'Country File'!$P$2),"N/A")</f>
        <v>8650</v>
      </c>
      <c r="AE22" s="680">
        <f>IFERROR((((VLOOKUP($A22,'pricing overview all products'!$A$1:$M$55,6,FALSE))*'Country File'!$T$3)*'Country File'!$P$2),"N/A")</f>
        <v>8650</v>
      </c>
      <c r="AF22" s="685">
        <f>IFERROR((((VLOOKUP($A22,'pricing overview all products'!$A$1:$M$55,6,FALSE))*'Country File'!$T$2)*'Country File'!$P$2),"N/A")*(1-'Applied Discounts'!$C$14)</f>
        <v>6487.5</v>
      </c>
      <c r="AG22" s="681">
        <f t="shared" si="13"/>
        <v>0</v>
      </c>
      <c r="AH22" s="681">
        <f t="shared" si="21"/>
        <v>0</v>
      </c>
      <c r="AI22" s="682">
        <f>IFERROR(($AC22*AF22),0)</f>
        <v>0</v>
      </c>
      <c r="AJ22" s="683">
        <v>0</v>
      </c>
      <c r="AK22" s="680">
        <f>IFERROR((((VLOOKUP($A22,'pricing overview all products'!$A$1:$M$55,10,FALSE))*'Country File'!$T$2)*'Country File'!$P$2),"N/A")</f>
        <v>24610</v>
      </c>
      <c r="AL22" s="680">
        <f>IFERROR((((VLOOKUP($A22,'pricing overview all products'!$A$1:$M$55,10,FALSE))*'Country File'!$T$3)*'Country File'!$P$2),"N/A")</f>
        <v>24610</v>
      </c>
      <c r="AM22" s="685">
        <f>IFERROR((((VLOOKUP($A22,'pricing overview all products'!$A$1:$M$55,10,FALSE))*'Country File'!$T$2)*'Country File'!$P$2),"N/A")*(1-'Applied Discounts'!$C$14)</f>
        <v>18457.5</v>
      </c>
      <c r="AN22" s="680">
        <f t="shared" si="14"/>
        <v>0</v>
      </c>
      <c r="AO22" s="680">
        <f t="shared" si="15"/>
        <v>0</v>
      </c>
      <c r="AP22" s="684">
        <f t="shared" si="16"/>
        <v>0</v>
      </c>
      <c r="AQ22" s="686">
        <v>0</v>
      </c>
      <c r="AR22" s="687" t="str">
        <f>IFERROR((((VLOOKUP($A22,'pricing overview all products'!$A$1:$N$55,12,FALSE))*'Country File'!$T$2)*'Country File'!$P$2),"N/A")</f>
        <v>N/A</v>
      </c>
      <c r="AS22" s="687">
        <f t="shared" si="17"/>
        <v>0</v>
      </c>
      <c r="AT22" s="688">
        <v>0</v>
      </c>
      <c r="AU22" s="687">
        <f>IFERROR((((VLOOKUP($A22,'pricing overview all products'!$A$1:$N$55,14,FALSE))*'Country File'!$T$2)*'Country File'!$P$2),"N/A")</f>
        <v>0</v>
      </c>
      <c r="AV22" s="687">
        <f t="shared" si="18"/>
        <v>0</v>
      </c>
      <c r="AW22" s="689">
        <v>0</v>
      </c>
      <c r="AX22" s="690" t="s">
        <v>1411</v>
      </c>
      <c r="AY22" s="691"/>
      <c r="AZ22" s="692">
        <f t="shared" si="19"/>
        <v>0</v>
      </c>
      <c r="BA22" s="693">
        <f t="shared" si="0"/>
        <v>1</v>
      </c>
      <c r="BB22" s="694">
        <f>IFERROR((((VLOOKUP($BD22,'Packaging cost'!A:C,3,FALSE))*'Country File'!$P$2)),"tbc")</f>
        <v>560</v>
      </c>
      <c r="BC22" s="682">
        <f t="shared" si="20"/>
        <v>560</v>
      </c>
      <c r="BD22" s="695" t="str">
        <f>IF(H22=0,"",'Configurator Codes'!Q23)</f>
        <v>SP6000e2112100111</v>
      </c>
      <c r="BE22" s="696" t="str">
        <f>IFERROR(VLOOKUP(BD22,'Common IDs'!A:C,3,FALSE),"not assigned yet")</f>
        <v>not assigned yet</v>
      </c>
      <c r="BF22" s="697">
        <f t="shared" si="1"/>
        <v>135560</v>
      </c>
      <c r="BG22" s="697">
        <f t="shared" si="2"/>
        <v>135560</v>
      </c>
      <c r="BH22" s="697">
        <f t="shared" si="3"/>
        <v>101810</v>
      </c>
    </row>
    <row r="23" spans="1:60" s="150" customFormat="1" x14ac:dyDescent="0.25">
      <c r="D23" s="151"/>
      <c r="F23" s="151"/>
      <c r="I23" s="151"/>
      <c r="J23" s="151"/>
      <c r="R23" s="151"/>
      <c r="S23" s="151"/>
      <c r="T23" s="151"/>
      <c r="AY23" s="155"/>
      <c r="AZ23" s="155"/>
    </row>
    <row r="24" spans="1:60" s="150" customFormat="1" ht="15.75" x14ac:dyDescent="0.25">
      <c r="D24" s="151"/>
      <c r="F24" s="151"/>
      <c r="I24" s="151"/>
      <c r="J24" s="151"/>
      <c r="R24" s="151"/>
      <c r="S24" s="151"/>
      <c r="T24" s="151"/>
      <c r="AC24" s="412" t="s">
        <v>1456</v>
      </c>
      <c r="AY24" s="155"/>
      <c r="AZ24" s="155"/>
    </row>
    <row r="25" spans="1:60" s="150" customFormat="1" x14ac:dyDescent="0.25">
      <c r="D25" s="151"/>
      <c r="F25" s="151"/>
      <c r="I25" s="151"/>
      <c r="J25" s="151"/>
      <c r="R25" s="151"/>
      <c r="S25" s="151"/>
      <c r="T25" s="151"/>
      <c r="AY25" s="155"/>
      <c r="AZ25" s="155"/>
    </row>
    <row r="26" spans="1:60" s="150" customFormat="1" ht="15" customHeight="1" x14ac:dyDescent="0.25">
      <c r="D26" s="151"/>
      <c r="F26" s="151"/>
      <c r="I26" s="151"/>
      <c r="J26" s="151"/>
      <c r="R26" s="151"/>
      <c r="S26" s="151"/>
      <c r="T26" s="151"/>
      <c r="AY26" s="155"/>
      <c r="AZ26" s="155"/>
    </row>
    <row r="27" spans="1:60" s="150" customFormat="1" ht="15" customHeight="1" x14ac:dyDescent="0.25">
      <c r="D27" s="151"/>
      <c r="F27" s="151"/>
      <c r="I27" s="151"/>
      <c r="J27" s="151"/>
      <c r="R27" s="151"/>
      <c r="S27" s="151"/>
      <c r="T27" s="151"/>
      <c r="AY27" s="155"/>
      <c r="AZ27" s="155"/>
    </row>
    <row r="28" spans="1:60" s="150" customFormat="1" ht="15" customHeight="1" x14ac:dyDescent="0.25">
      <c r="D28" s="151"/>
      <c r="F28" s="151"/>
      <c r="I28" s="151"/>
      <c r="J28" s="151"/>
      <c r="R28" s="151"/>
      <c r="S28" s="151"/>
      <c r="T28" s="151"/>
      <c r="AY28" s="155"/>
      <c r="AZ28" s="155"/>
    </row>
    <row r="29" spans="1:60" s="150" customFormat="1" ht="15" customHeight="1" x14ac:dyDescent="0.25">
      <c r="D29" s="151"/>
      <c r="F29" s="151"/>
      <c r="I29" s="151"/>
      <c r="J29" s="151"/>
      <c r="R29" s="151"/>
      <c r="S29" s="151"/>
      <c r="T29" s="151"/>
      <c r="AY29" s="155"/>
      <c r="AZ29" s="155"/>
    </row>
    <row r="30" spans="1:60" s="150" customFormat="1" ht="15" customHeight="1" x14ac:dyDescent="0.25">
      <c r="D30" s="151"/>
      <c r="F30" s="151"/>
      <c r="I30" s="151"/>
      <c r="J30" s="151"/>
      <c r="R30" s="151"/>
      <c r="S30" s="151"/>
      <c r="T30" s="151"/>
      <c r="AY30" s="155"/>
      <c r="AZ30" s="155"/>
    </row>
    <row r="31" spans="1:60" s="150" customFormat="1" ht="15" customHeight="1" x14ac:dyDescent="0.25">
      <c r="D31" s="151"/>
      <c r="F31" s="151"/>
      <c r="I31" s="151"/>
      <c r="J31" s="151"/>
      <c r="R31" s="151"/>
      <c r="S31" s="151"/>
      <c r="T31" s="151"/>
      <c r="AY31" s="155"/>
      <c r="AZ31" s="155"/>
    </row>
    <row r="32" spans="1:60" s="150" customFormat="1" ht="15" customHeight="1" x14ac:dyDescent="0.25">
      <c r="D32" s="151"/>
      <c r="F32" s="151"/>
      <c r="I32" s="151"/>
      <c r="J32" s="151"/>
      <c r="R32" s="151"/>
      <c r="S32" s="151"/>
      <c r="T32" s="151"/>
      <c r="AY32" s="155"/>
      <c r="AZ32" s="155"/>
    </row>
    <row r="33" spans="4:52" s="150" customFormat="1" ht="15" customHeight="1" x14ac:dyDescent="0.25">
      <c r="D33" s="151"/>
      <c r="F33" s="151"/>
      <c r="I33" s="151"/>
      <c r="J33" s="151"/>
      <c r="R33" s="151"/>
      <c r="S33" s="151"/>
      <c r="T33" s="151"/>
      <c r="AY33" s="155"/>
      <c r="AZ33" s="155"/>
    </row>
    <row r="34" spans="4:52" s="150" customFormat="1" ht="15" customHeight="1" x14ac:dyDescent="0.25">
      <c r="D34" s="151"/>
      <c r="F34" s="151"/>
      <c r="I34" s="151"/>
      <c r="J34" s="151"/>
      <c r="R34" s="151"/>
      <c r="S34" s="151"/>
      <c r="T34" s="151"/>
      <c r="AY34" s="155"/>
      <c r="AZ34" s="155"/>
    </row>
    <row r="35" spans="4:52" s="150" customFormat="1" ht="15" customHeight="1" x14ac:dyDescent="0.25">
      <c r="D35" s="151"/>
      <c r="F35" s="151"/>
      <c r="I35" s="151"/>
      <c r="J35" s="151"/>
      <c r="R35" s="151"/>
      <c r="S35" s="151"/>
      <c r="T35" s="151"/>
      <c r="AY35" s="155"/>
      <c r="AZ35" s="155"/>
    </row>
    <row r="36" spans="4:52" s="150" customFormat="1" ht="15" customHeight="1" x14ac:dyDescent="0.25">
      <c r="D36" s="151"/>
      <c r="F36" s="151"/>
      <c r="I36" s="151"/>
      <c r="J36" s="151"/>
      <c r="R36" s="151"/>
      <c r="S36" s="151"/>
      <c r="T36" s="151"/>
      <c r="AY36" s="155"/>
      <c r="AZ36" s="155"/>
    </row>
    <row r="37" spans="4:52" s="150" customFormat="1" ht="15" customHeight="1" x14ac:dyDescent="0.25">
      <c r="D37" s="151"/>
      <c r="F37" s="151"/>
      <c r="I37" s="151"/>
      <c r="J37" s="151"/>
      <c r="R37" s="151"/>
      <c r="S37" s="151"/>
      <c r="T37" s="151"/>
      <c r="AY37" s="155"/>
      <c r="AZ37" s="155"/>
    </row>
    <row r="38" spans="4:52" s="150" customFormat="1" ht="15" customHeight="1" x14ac:dyDescent="0.25">
      <c r="D38" s="151"/>
      <c r="F38" s="151"/>
      <c r="I38" s="151"/>
      <c r="J38" s="151"/>
      <c r="R38" s="151"/>
      <c r="S38" s="151"/>
      <c r="T38" s="151"/>
      <c r="AY38" s="155"/>
      <c r="AZ38" s="155"/>
    </row>
    <row r="39" spans="4:52" s="150" customFormat="1" ht="15" customHeight="1" x14ac:dyDescent="0.25">
      <c r="D39" s="151"/>
      <c r="F39" s="151"/>
      <c r="I39" s="151"/>
      <c r="J39" s="151"/>
      <c r="R39" s="151"/>
      <c r="S39" s="151"/>
      <c r="T39" s="151"/>
      <c r="AY39" s="155"/>
      <c r="AZ39" s="155"/>
    </row>
    <row r="40" spans="4:52" s="150" customFormat="1" ht="15" customHeight="1" x14ac:dyDescent="0.25">
      <c r="D40" s="151"/>
      <c r="F40" s="151"/>
      <c r="I40" s="151"/>
      <c r="J40" s="151"/>
      <c r="R40" s="151"/>
      <c r="S40" s="151"/>
      <c r="T40" s="151"/>
      <c r="AY40" s="155"/>
      <c r="AZ40" s="155"/>
    </row>
    <row r="41" spans="4:52" s="150" customFormat="1" ht="15" customHeight="1" x14ac:dyDescent="0.25">
      <c r="D41" s="151"/>
      <c r="F41" s="151"/>
      <c r="I41" s="151"/>
      <c r="J41" s="151"/>
      <c r="R41" s="151"/>
      <c r="S41" s="151"/>
      <c r="T41" s="151"/>
      <c r="AY41" s="155"/>
      <c r="AZ41" s="155"/>
    </row>
    <row r="42" spans="4:52" s="150" customFormat="1" ht="15" customHeight="1" x14ac:dyDescent="0.25">
      <c r="D42" s="151"/>
      <c r="F42" s="151"/>
      <c r="I42" s="151"/>
      <c r="J42" s="151"/>
      <c r="R42" s="151"/>
      <c r="S42" s="151"/>
      <c r="T42" s="151"/>
      <c r="AY42" s="155"/>
      <c r="AZ42" s="155"/>
    </row>
    <row r="43" spans="4:52" s="150" customFormat="1" ht="15" customHeight="1" x14ac:dyDescent="0.25">
      <c r="D43" s="151"/>
      <c r="F43" s="151"/>
      <c r="I43" s="151"/>
      <c r="J43" s="151"/>
      <c r="R43" s="151"/>
      <c r="S43" s="151"/>
      <c r="T43" s="151"/>
      <c r="AY43" s="155"/>
      <c r="AZ43" s="155"/>
    </row>
    <row r="44" spans="4:52" s="150" customFormat="1" ht="15" customHeight="1" x14ac:dyDescent="0.25">
      <c r="D44" s="151"/>
      <c r="F44" s="151"/>
      <c r="I44" s="151"/>
      <c r="J44" s="151"/>
      <c r="R44" s="151"/>
      <c r="S44" s="151"/>
      <c r="T44" s="151"/>
      <c r="AY44" s="155"/>
      <c r="AZ44" s="155"/>
    </row>
    <row r="45" spans="4:52" s="150" customFormat="1" ht="15" customHeight="1" x14ac:dyDescent="0.25">
      <c r="D45" s="151"/>
      <c r="F45" s="151"/>
      <c r="I45" s="151"/>
      <c r="J45" s="151"/>
      <c r="R45" s="151"/>
      <c r="S45" s="151"/>
      <c r="T45" s="151"/>
      <c r="AY45" s="155"/>
      <c r="AZ45" s="155"/>
    </row>
    <row r="46" spans="4:52" s="150" customFormat="1" ht="15" customHeight="1" x14ac:dyDescent="0.25">
      <c r="D46" s="151"/>
      <c r="F46" s="151"/>
      <c r="I46" s="151"/>
      <c r="J46" s="151"/>
      <c r="R46" s="151"/>
      <c r="S46" s="151"/>
      <c r="T46" s="151"/>
      <c r="AY46" s="155"/>
      <c r="AZ46" s="155"/>
    </row>
    <row r="47" spans="4:52" s="150" customFormat="1" ht="15" customHeight="1" x14ac:dyDescent="0.25">
      <c r="D47" s="151"/>
      <c r="F47" s="151"/>
      <c r="I47" s="151"/>
      <c r="J47" s="151"/>
      <c r="R47" s="151"/>
      <c r="S47" s="151"/>
      <c r="T47" s="151"/>
      <c r="AY47" s="155"/>
      <c r="AZ47" s="155"/>
    </row>
    <row r="48" spans="4:52" s="150" customFormat="1" ht="15" customHeight="1" x14ac:dyDescent="0.25">
      <c r="D48" s="151"/>
      <c r="F48" s="151"/>
      <c r="I48" s="151"/>
      <c r="J48" s="151"/>
      <c r="R48" s="151"/>
      <c r="S48" s="151"/>
      <c r="T48" s="151"/>
      <c r="AY48" s="155"/>
      <c r="AZ48" s="155"/>
    </row>
    <row r="49" spans="4:52" s="150" customFormat="1" ht="15" customHeight="1" x14ac:dyDescent="0.25">
      <c r="D49" s="151"/>
      <c r="F49" s="151"/>
      <c r="I49" s="151"/>
      <c r="J49" s="151"/>
      <c r="R49" s="151"/>
      <c r="S49" s="151"/>
      <c r="T49" s="151"/>
      <c r="AY49" s="155"/>
      <c r="AZ49" s="155"/>
    </row>
    <row r="50" spans="4:52" s="150" customFormat="1" ht="15" customHeight="1" x14ac:dyDescent="0.25">
      <c r="D50" s="151"/>
      <c r="F50" s="151"/>
      <c r="I50" s="151"/>
      <c r="J50" s="151"/>
      <c r="R50" s="151"/>
      <c r="S50" s="151"/>
      <c r="T50" s="151"/>
      <c r="AY50" s="155"/>
      <c r="AZ50" s="155"/>
    </row>
  </sheetData>
  <sheetProtection algorithmName="SHA-512" hashValue="nQMKAe0WyJ68d6uBE9VRgZQL7ssrodtQn0ahXr5T+Y0geelTKI7sTFqJl7SCXAIeD23ZAOkV4xr5+94Ie4+4MQ==" saltValue="CBBUxNOBdK9FpxxzVg/meg==" spinCount="100000" sheet="1" objects="1" scenarios="1"/>
  <dataConsolidate/>
  <mergeCells count="18">
    <mergeCell ref="BD3:BD4"/>
    <mergeCell ref="H4:N4"/>
    <mergeCell ref="AJ4:AP4"/>
    <mergeCell ref="AW4:AZ4"/>
    <mergeCell ref="BA4:BC4"/>
    <mergeCell ref="O4:U4"/>
    <mergeCell ref="V4:AB4"/>
    <mergeCell ref="AQ4:AS4"/>
    <mergeCell ref="AT4:AV4"/>
    <mergeCell ref="AC4:AI4"/>
    <mergeCell ref="H3:BC3"/>
    <mergeCell ref="A3:A5"/>
    <mergeCell ref="F3:F5"/>
    <mergeCell ref="G3:G5"/>
    <mergeCell ref="E3:E5"/>
    <mergeCell ref="C3:C5"/>
    <mergeCell ref="B3:B5"/>
    <mergeCell ref="D3:D4"/>
  </mergeCells>
  <phoneticPr fontId="6" type="noConversion"/>
  <dataValidations count="1">
    <dataValidation type="list" allowBlank="1" showInputMessage="1" showErrorMessage="1" sqref="AX6:AX22" xr:uid="{DC488AA2-CA90-4464-9375-9AD279256387}">
      <formula1>"3m,5m,15m"</formula1>
    </dataValidation>
  </dataValidations>
  <pageMargins left="0.7" right="0.7" top="0.78740157499999996" bottom="0.78740157499999996" header="0.3" footer="0.3"/>
  <pageSetup paperSize="9" scale="34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0CEFD4-340F-4630-9AEE-E3F539653018}">
          <x14:formula1>
            <xm:f>'Drop Downs'!$A$3:$A$4</xm:f>
          </x14:formula1>
          <xm:sqref>D6</xm:sqref>
        </x14:dataValidation>
        <x14:dataValidation type="list" allowBlank="1" showInputMessage="1" showErrorMessage="1" xr:uid="{1E4B9226-1965-4718-AAD7-6A5FD5ED60F5}">
          <x14:formula1>
            <xm:f>'Drop Downs'!$A$7:$A$8</xm:f>
          </x14:formula1>
          <xm:sqref>D7</xm:sqref>
        </x14:dataValidation>
        <x14:dataValidation type="list" allowBlank="1" showInputMessage="1" showErrorMessage="1" xr:uid="{021C5A6C-AB50-43C9-9A76-C7D55FFD1644}">
          <x14:formula1>
            <xm:f>'Drop Downs'!$A$11:$A$12</xm:f>
          </x14:formula1>
          <xm:sqref>D8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5A12-6723-4E7E-8CF1-B193E14E7F47}">
  <sheetPr codeName="Tabelle7">
    <tabColor rgb="FFFFC000"/>
    <pageSetUpPr fitToPage="1"/>
  </sheetPr>
  <dimension ref="A1:EB51"/>
  <sheetViews>
    <sheetView showGridLines="0" zoomScaleNormal="100" workbookViewId="0">
      <pane xSplit="5" ySplit="5" topLeftCell="F6" activePane="bottomRight" state="frozen"/>
      <selection activeCell="H34" sqref="H34"/>
      <selection pane="topRight" activeCell="H34" sqref="H34"/>
      <selection pane="bottomLeft" activeCell="H34" sqref="H34"/>
      <selection pane="bottomRight" activeCell="BB23" sqref="BB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outlineLevelCol="1" x14ac:dyDescent="0.25"/>
  <cols>
    <col min="1" max="1" width="14.28515625" bestFit="1" customWidth="1"/>
    <col min="2" max="2" width="9.28515625" hidden="1" customWidth="1"/>
    <col min="3" max="3" width="11" style="42" customWidth="1"/>
    <col min="4" max="4" width="7.7109375" style="42" customWidth="1"/>
    <col min="5" max="5" width="18.28515625" style="42" hidden="1" customWidth="1"/>
    <col min="6" max="6" width="9.5703125" style="42" customWidth="1"/>
    <col min="7" max="7" width="16.5703125" style="42" hidden="1" customWidth="1"/>
    <col min="8" max="8" width="7.140625" customWidth="1"/>
    <col min="9" max="9" width="11.5703125" customWidth="1"/>
    <col min="10" max="10" width="16.28515625" hidden="1" customWidth="1"/>
    <col min="11" max="11" width="16" customWidth="1"/>
    <col min="12" max="12" width="8.85546875" customWidth="1"/>
    <col min="13" max="13" width="12.85546875" hidden="1" customWidth="1"/>
    <col min="14" max="14" width="14.7109375" customWidth="1"/>
    <col min="15" max="15" width="6.85546875" bestFit="1" customWidth="1"/>
    <col min="16" max="16" width="10.28515625" customWidth="1"/>
    <col min="17" max="17" width="20.7109375" hidden="1" customWidth="1"/>
    <col min="18" max="18" width="17.5703125" customWidth="1"/>
    <col min="19" max="19" width="8.85546875" customWidth="1"/>
    <col min="20" max="20" width="21.28515625" hidden="1" customWidth="1"/>
    <col min="21" max="21" width="11" bestFit="1" customWidth="1"/>
    <col min="22" max="22" width="6.85546875" bestFit="1" customWidth="1"/>
    <col min="23" max="23" width="10.85546875" customWidth="1"/>
    <col min="24" max="24" width="20.5703125" hidden="1" customWidth="1"/>
    <col min="25" max="25" width="15.7109375" customWidth="1"/>
    <col min="26" max="26" width="8.85546875" customWidth="1"/>
    <col min="27" max="27" width="17.5703125" hidden="1" customWidth="1"/>
    <col min="28" max="28" width="11" bestFit="1" customWidth="1"/>
    <col min="29" max="29" width="7.7109375" hidden="1" customWidth="1"/>
    <col min="30" max="30" width="13.7109375" hidden="1" customWidth="1"/>
    <col min="31" max="31" width="20.7109375" hidden="1" customWidth="1"/>
    <col min="32" max="32" width="16" hidden="1" customWidth="1"/>
    <col min="33" max="33" width="13.7109375" hidden="1" customWidth="1"/>
    <col min="34" max="34" width="21.28515625" hidden="1" customWidth="1"/>
    <col min="35" max="35" width="16.7109375" hidden="1" customWidth="1"/>
    <col min="36" max="36" width="6.85546875" bestFit="1" customWidth="1"/>
    <col min="37" max="37" width="10.5703125" customWidth="1"/>
    <col min="38" max="38" width="20.7109375" hidden="1" customWidth="1"/>
    <col min="39" max="39" width="17.7109375" customWidth="1"/>
    <col min="40" max="40" width="8.85546875" customWidth="1"/>
    <col min="41" max="41" width="19" hidden="1" customWidth="1"/>
    <col min="42" max="42" width="11" bestFit="1" customWidth="1"/>
    <col min="43" max="46" width="9.28515625" hidden="1" customWidth="1" outlineLevel="1"/>
    <col min="47" max="47" width="10.42578125" hidden="1" customWidth="1" outlineLevel="1"/>
    <col min="48" max="52" width="9.28515625" hidden="1" customWidth="1" outlineLevel="1"/>
    <col min="53" max="53" width="6.85546875" bestFit="1" customWidth="1" collapsed="1"/>
    <col min="54" max="54" width="7.42578125" customWidth="1"/>
    <col min="55" max="55" width="7.7109375" customWidth="1"/>
    <col min="56" max="56" width="19.7109375" customWidth="1"/>
    <col min="57" max="58" width="15.28515625" customWidth="1"/>
    <col min="59" max="59" width="18.28515625" style="42" hidden="1" customWidth="1"/>
    <col min="60" max="60" width="16.7109375" style="42" customWidth="1"/>
    <col min="61" max="63" width="9.28515625" style="150" customWidth="1"/>
    <col min="64" max="82" width="9.28515625" style="150"/>
  </cols>
  <sheetData>
    <row r="1" spans="1:132" ht="19.5" customHeight="1" x14ac:dyDescent="0.25"/>
    <row r="2" spans="1:132" ht="13.5" customHeight="1" thickBot="1" x14ac:dyDescent="0.3"/>
    <row r="3" spans="1:132" ht="30" customHeight="1" thickBot="1" x14ac:dyDescent="0.3">
      <c r="A3" s="1052" t="s">
        <v>1</v>
      </c>
      <c r="B3" s="4"/>
      <c r="C3" s="1030" t="s">
        <v>1457</v>
      </c>
      <c r="D3" s="1030" t="s">
        <v>1374</v>
      </c>
      <c r="E3" s="109"/>
      <c r="F3" s="1050" t="s">
        <v>1376</v>
      </c>
      <c r="G3" s="4"/>
      <c r="H3" s="1044" t="str">
        <f>_xlfn.CONCAT("Prices in ",'Applied Discounts'!$C$5)</f>
        <v>Prices in EUR</v>
      </c>
      <c r="I3" s="1045"/>
      <c r="J3" s="1045"/>
      <c r="K3" s="1045"/>
      <c r="L3" s="1045"/>
      <c r="M3" s="1045"/>
      <c r="N3" s="1045"/>
      <c r="O3" s="1045"/>
      <c r="P3" s="1045"/>
      <c r="Q3" s="1045"/>
      <c r="R3" s="1045"/>
      <c r="S3" s="1045"/>
      <c r="T3" s="1045"/>
      <c r="U3" s="1045"/>
      <c r="V3" s="1045"/>
      <c r="W3" s="1045"/>
      <c r="X3" s="1045"/>
      <c r="Y3" s="1045"/>
      <c r="Z3" s="1045"/>
      <c r="AA3" s="1045"/>
      <c r="AB3" s="1045"/>
      <c r="AC3" s="1045"/>
      <c r="AD3" s="1045"/>
      <c r="AE3" s="1045"/>
      <c r="AF3" s="1045"/>
      <c r="AG3" s="1045"/>
      <c r="AH3" s="1045"/>
      <c r="AI3" s="1045"/>
      <c r="AJ3" s="1045"/>
      <c r="AK3" s="1045"/>
      <c r="AL3" s="1045"/>
      <c r="AM3" s="1045"/>
      <c r="AN3" s="1045"/>
      <c r="AO3" s="1045"/>
      <c r="AP3" s="1045"/>
      <c r="AQ3" s="1045"/>
      <c r="AR3" s="1045"/>
      <c r="AS3" s="1045"/>
      <c r="AT3" s="1045"/>
      <c r="AU3" s="1045"/>
      <c r="AV3" s="1045"/>
      <c r="AW3" s="1045"/>
      <c r="AX3" s="1045"/>
      <c r="AY3" s="1045"/>
      <c r="AZ3" s="1045"/>
      <c r="BA3" s="1045"/>
      <c r="BB3" s="1045"/>
      <c r="BC3" s="1046"/>
      <c r="BD3" s="1047" t="s">
        <v>1378</v>
      </c>
      <c r="BE3" s="597" t="s">
        <v>1379</v>
      </c>
      <c r="BF3" s="453" t="s">
        <v>1380</v>
      </c>
      <c r="BG3" s="453" t="s">
        <v>1381</v>
      </c>
      <c r="BH3" s="238" t="s">
        <v>1382</v>
      </c>
    </row>
    <row r="4" spans="1:132" ht="15.75" thickBot="1" x14ac:dyDescent="0.3">
      <c r="A4" s="1053"/>
      <c r="B4" s="82"/>
      <c r="C4" s="1031"/>
      <c r="D4" s="1031"/>
      <c r="E4" s="147" t="s">
        <v>1375</v>
      </c>
      <c r="F4" s="1051"/>
      <c r="G4" s="82" t="s">
        <v>1377</v>
      </c>
      <c r="H4" s="1036" t="s">
        <v>1458</v>
      </c>
      <c r="I4" s="1037"/>
      <c r="J4" s="1037"/>
      <c r="K4" s="1037"/>
      <c r="L4" s="1037"/>
      <c r="M4" s="1037"/>
      <c r="N4" s="1038"/>
      <c r="O4" s="1036" t="s">
        <v>1384</v>
      </c>
      <c r="P4" s="1037"/>
      <c r="Q4" s="1037"/>
      <c r="R4" s="1037"/>
      <c r="S4" s="1037"/>
      <c r="T4" s="1037"/>
      <c r="U4" s="1038"/>
      <c r="V4" s="1036" t="s">
        <v>1459</v>
      </c>
      <c r="W4" s="1037"/>
      <c r="X4" s="1037"/>
      <c r="Y4" s="1037"/>
      <c r="Z4" s="1037"/>
      <c r="AA4" s="1037"/>
      <c r="AB4" s="1038"/>
      <c r="AC4" s="1036" t="s">
        <v>1385</v>
      </c>
      <c r="AD4" s="1037"/>
      <c r="AE4" s="1037"/>
      <c r="AF4" s="1037"/>
      <c r="AG4" s="1037"/>
      <c r="AH4" s="1037"/>
      <c r="AI4" s="1038"/>
      <c r="AJ4" s="1036" t="s">
        <v>1387</v>
      </c>
      <c r="AK4" s="1037"/>
      <c r="AL4" s="1037"/>
      <c r="AM4" s="1037"/>
      <c r="AN4" s="1037"/>
      <c r="AO4" s="1037"/>
      <c r="AP4" s="1038"/>
      <c r="AQ4" s="1036" t="s">
        <v>489</v>
      </c>
      <c r="AR4" s="1037"/>
      <c r="AS4" s="1038"/>
      <c r="AT4" s="1036" t="s">
        <v>1388</v>
      </c>
      <c r="AU4" s="1037"/>
      <c r="AV4" s="1038"/>
      <c r="AW4" s="1036" t="s">
        <v>1389</v>
      </c>
      <c r="AX4" s="1037"/>
      <c r="AY4" s="1037"/>
      <c r="AZ4" s="1038"/>
      <c r="BA4" s="1036" t="s">
        <v>1390</v>
      </c>
      <c r="BB4" s="1037"/>
      <c r="BC4" s="1038"/>
      <c r="BD4" s="1048"/>
      <c r="BE4" s="594" t="s">
        <v>1391</v>
      </c>
      <c r="BF4" s="138" t="str">
        <f>'Applied Discounts'!$C$5</f>
        <v>EUR</v>
      </c>
      <c r="BG4" s="598" t="e">
        <f>#REF!</f>
        <v>#REF!</v>
      </c>
      <c r="BH4" s="138" t="str">
        <f>'Applied Discounts'!$C$5</f>
        <v>EUR</v>
      </c>
    </row>
    <row r="5" spans="1:132" s="31" customFormat="1" ht="47.25" customHeight="1" thickBot="1" x14ac:dyDescent="0.3">
      <c r="A5" s="1053"/>
      <c r="B5" s="109"/>
      <c r="C5" s="1031"/>
      <c r="D5" s="1031"/>
      <c r="E5" s="110"/>
      <c r="F5" s="1051"/>
      <c r="G5" s="111"/>
      <c r="H5" s="593" t="s">
        <v>1393</v>
      </c>
      <c r="I5" s="504" t="s">
        <v>1394</v>
      </c>
      <c r="J5" s="513" t="s">
        <v>1398</v>
      </c>
      <c r="K5" s="513" t="s">
        <v>1399</v>
      </c>
      <c r="L5" s="513" t="s">
        <v>1380</v>
      </c>
      <c r="M5" s="513" t="s">
        <v>1381</v>
      </c>
      <c r="N5" s="514" t="s">
        <v>1382</v>
      </c>
      <c r="O5" s="512" t="s">
        <v>1393</v>
      </c>
      <c r="P5" s="504" t="s">
        <v>1394</v>
      </c>
      <c r="Q5" s="513" t="s">
        <v>1398</v>
      </c>
      <c r="R5" s="513" t="s">
        <v>1399</v>
      </c>
      <c r="S5" s="513" t="s">
        <v>1380</v>
      </c>
      <c r="T5" s="513" t="s">
        <v>1381</v>
      </c>
      <c r="U5" s="514" t="s">
        <v>1382</v>
      </c>
      <c r="V5" s="586" t="s">
        <v>1393</v>
      </c>
      <c r="W5" s="251" t="s">
        <v>1394</v>
      </c>
      <c r="X5" s="587" t="s">
        <v>1398</v>
      </c>
      <c r="Y5" s="587" t="s">
        <v>1399</v>
      </c>
      <c r="Z5" s="587" t="s">
        <v>1380</v>
      </c>
      <c r="AA5" s="587" t="s">
        <v>1381</v>
      </c>
      <c r="AB5" s="588" t="s">
        <v>1382</v>
      </c>
      <c r="AC5" s="516" t="s">
        <v>1393</v>
      </c>
      <c r="AD5" s="517" t="s">
        <v>1397</v>
      </c>
      <c r="AE5" s="517" t="s">
        <v>1398</v>
      </c>
      <c r="AF5" s="517" t="s">
        <v>1399</v>
      </c>
      <c r="AG5" s="517" t="s">
        <v>1380</v>
      </c>
      <c r="AH5" s="517" t="s">
        <v>1381</v>
      </c>
      <c r="AI5" s="589" t="s">
        <v>1382</v>
      </c>
      <c r="AJ5" s="512" t="s">
        <v>1393</v>
      </c>
      <c r="AK5" s="504" t="s">
        <v>1394</v>
      </c>
      <c r="AL5" s="513" t="s">
        <v>1398</v>
      </c>
      <c r="AM5" s="513" t="s">
        <v>1399</v>
      </c>
      <c r="AN5" s="513" t="s">
        <v>1380</v>
      </c>
      <c r="AO5" s="513" t="s">
        <v>1381</v>
      </c>
      <c r="AP5" s="515" t="s">
        <v>1382</v>
      </c>
      <c r="AQ5" s="442" t="s">
        <v>1393</v>
      </c>
      <c r="AR5" s="442" t="s">
        <v>1400</v>
      </c>
      <c r="AS5" s="443" t="s">
        <v>1401</v>
      </c>
      <c r="AT5" s="444" t="s">
        <v>1393</v>
      </c>
      <c r="AU5" s="442" t="s">
        <v>1400</v>
      </c>
      <c r="AV5" s="443" t="s">
        <v>1401</v>
      </c>
      <c r="AW5" s="444"/>
      <c r="AX5" s="442"/>
      <c r="AY5" s="443"/>
      <c r="AZ5" s="442"/>
      <c r="BA5" s="586" t="s">
        <v>1393</v>
      </c>
      <c r="BB5" s="587" t="s">
        <v>1400</v>
      </c>
      <c r="BC5" s="625" t="s">
        <v>1401</v>
      </c>
      <c r="BD5" s="1049"/>
      <c r="BE5" s="147"/>
      <c r="BF5" s="82"/>
      <c r="BG5" s="82"/>
      <c r="BH5" s="581"/>
      <c r="BI5" s="245"/>
      <c r="BJ5" s="245"/>
      <c r="BK5" s="245"/>
      <c r="BL5" s="245"/>
      <c r="BM5" s="245"/>
      <c r="BN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Y5" s="245"/>
      <c r="BZ5" s="245"/>
      <c r="CA5" s="245"/>
      <c r="CB5" s="245"/>
      <c r="CC5" s="245"/>
      <c r="CD5" s="245"/>
    </row>
    <row r="6" spans="1:132" x14ac:dyDescent="0.25">
      <c r="A6" s="113" t="s">
        <v>1460</v>
      </c>
      <c r="B6" s="113" t="s">
        <v>1461</v>
      </c>
      <c r="C6" s="526" t="s">
        <v>1462</v>
      </c>
      <c r="D6" s="527" t="s">
        <v>1463</v>
      </c>
      <c r="E6" s="528">
        <v>1</v>
      </c>
      <c r="F6" s="157" t="s">
        <v>1406</v>
      </c>
      <c r="G6" s="157">
        <v>1</v>
      </c>
      <c r="H6" s="590">
        <v>1</v>
      </c>
      <c r="I6" s="698">
        <f>((VLOOKUP($A6,'pricing overview all products'!$A:$B,2,FALSE))*'Country File'!$T$2)*'Country File'!$P$2</f>
        <v>21750</v>
      </c>
      <c r="J6" s="699">
        <f>((VLOOKUP($A6,'pricing overview all products'!$A:$B,2,FALSE))*'Country File'!$T$3)*'Country File'!$P$2</f>
        <v>21750</v>
      </c>
      <c r="K6" s="699">
        <f>(((VLOOKUP($A6,'pricing overview all products'!$A:$B,2,FALSE))*'Country File'!$T$2)*'Country File'!$P$2)*(1-'Applied Discounts'!$C$12)</f>
        <v>16312.5</v>
      </c>
      <c r="L6" s="699">
        <f t="shared" ref="L6:L12" si="0">$H6*I6</f>
        <v>21750</v>
      </c>
      <c r="M6" s="699">
        <f t="shared" ref="M6:M12" si="1">$H6*J6</f>
        <v>21750</v>
      </c>
      <c r="N6" s="700">
        <f t="shared" ref="N6:N12" si="2">$H6*K6</f>
        <v>16312.5</v>
      </c>
      <c r="O6" s="638">
        <v>0</v>
      </c>
      <c r="P6" s="699">
        <f>IFERROR((((VLOOKUP($A6,'pricing overview all products'!$A$1:$M$55,4,FALSE))*'Country File'!$T$2)*'Country File'!$P$2),"N/A")</f>
        <v>1720</v>
      </c>
      <c r="Q6" s="699">
        <f>IFERROR((((VLOOKUP($A6,'pricing overview all products'!$A$1:$M$55,4,FALSE))*'Country File'!$T$3)*'Country File'!$P$2),"N/A")</f>
        <v>1720</v>
      </c>
      <c r="R6" s="699">
        <f>IFERROR((((VLOOKUP($A6,'pricing overview all products'!$A$1:$M$55,4,FALSE))*'Country File'!$T$2)*'Country File'!$P$2)*(1-'Applied Discounts'!$C$12),"N/A")</f>
        <v>1290</v>
      </c>
      <c r="S6" s="699">
        <f t="shared" ref="S6:S12" si="3">IFERROR(($O6*P6),0)</f>
        <v>0</v>
      </c>
      <c r="T6" s="699">
        <f t="shared" ref="T6:T12" si="4">IFERROR(($O6*Q6),0)</f>
        <v>0</v>
      </c>
      <c r="U6" s="700">
        <f t="shared" ref="U6:U12" si="5">IFERROR(($O6*R6),0)</f>
        <v>0</v>
      </c>
      <c r="V6" s="638">
        <v>0</v>
      </c>
      <c r="W6" s="699">
        <f>IFERROR((((VLOOKUP($A6,'pricing overview all products'!$A$1:$M$55,6,FALSE))*'Country File'!$T$2)*'Country File'!$P$2),"N/A")</f>
        <v>6950</v>
      </c>
      <c r="X6" s="699">
        <f>IFERROR((((VLOOKUP($A6,'pricing overview all products'!$A$1:$M$55,6,FALSE))*'Country File'!$T$3)*'Country File'!$P$2),"N/A")</f>
        <v>6950</v>
      </c>
      <c r="Y6" s="699">
        <f>IFERROR((((VLOOKUP($A6,'pricing overview all products'!$A$1:$M$55,6,FALSE))*'Country File'!$T$2)*'Country File'!$P$2)*(1-'Applied Discounts'!$C$12),"N/A")</f>
        <v>5212.5</v>
      </c>
      <c r="Z6" s="699">
        <f t="shared" ref="Z6:AB12" si="6">IFERROR(($V6*W6),0)</f>
        <v>0</v>
      </c>
      <c r="AA6" s="699">
        <f t="shared" si="6"/>
        <v>0</v>
      </c>
      <c r="AB6" s="700">
        <f t="shared" si="6"/>
        <v>0</v>
      </c>
      <c r="AC6" s="701">
        <v>1</v>
      </c>
      <c r="AD6" s="700">
        <f>IFERROR((((VLOOKUP($A6,'pricing overview all products'!$A$1:$M$55,8,FALSE))*'Country File'!$T$2)*'Country File'!$P$2),"N/A")</f>
        <v>0</v>
      </c>
      <c r="AE6" s="700">
        <f>IFERROR((((VLOOKUP($A6,'pricing overview all products'!$A$1:$M$55,8,FALSE))*'Country File'!$T$3)*'Country File'!$P$2),"N/A")</f>
        <v>0</v>
      </c>
      <c r="AF6" s="700">
        <f>IFERROR((((VLOOKUP($A6,'pricing overview all products'!$A$1:$M$55,8,FALSE))*'Country File'!$T$2)*'Country File'!$P$2)*(1-'Applied Discounts'!$C$12),"N/A")</f>
        <v>0</v>
      </c>
      <c r="AG6" s="700">
        <f t="shared" ref="AG6:AG12" si="7">IFERROR(($AC6*AD6),0)</f>
        <v>0</v>
      </c>
      <c r="AH6" s="700">
        <f t="shared" ref="AH6:AH12" si="8">IFERROR(($AC6*AE6),0)</f>
        <v>0</v>
      </c>
      <c r="AI6" s="702">
        <f t="shared" ref="AI6:AI12" si="9">IFERROR(($AC6*AF6),0)</f>
        <v>0</v>
      </c>
      <c r="AJ6" s="638">
        <v>0</v>
      </c>
      <c r="AK6" s="699">
        <f>IFERROR((((VLOOKUP($A6,'pricing overview all products'!$A$1:$M$55,10,FALSE))*'Country File'!$T$2)*'Country File'!$P$2),"N/A")</f>
        <v>3380</v>
      </c>
      <c r="AL6" s="699">
        <f>IFERROR((((VLOOKUP($A6,'pricing overview all products'!$A$1:$M$55,10,FALSE))*'Country File'!$T$3)*'Country File'!$P$2),"N/A")</f>
        <v>3380</v>
      </c>
      <c r="AM6" s="699">
        <f>IFERROR((((VLOOKUP($A6,'pricing overview all products'!$A$1:$M$55,10,FALSE))*'Country File'!$T$2)*'Country File'!$P$2)*(1-'Applied Discounts'!$C$12),"N/A")</f>
        <v>2535</v>
      </c>
      <c r="AN6" s="699">
        <f t="shared" ref="AN6:AN12" si="10">IFERROR(($AJ6*AK6),0)</f>
        <v>0</v>
      </c>
      <c r="AO6" s="699">
        <f t="shared" ref="AO6:AO12" si="11">IFERROR(($AJ6*AL6),0)</f>
        <v>0</v>
      </c>
      <c r="AP6" s="700">
        <f t="shared" ref="AP6:AP12" si="12">IFERROR(($AJ6*AM6),0)</f>
        <v>0</v>
      </c>
      <c r="AQ6" s="642">
        <v>0</v>
      </c>
      <c r="AR6" s="700" t="str">
        <f>IFERROR((((VLOOKUP($A6,'pricing overview all products'!$A$1:$N$55,12,FALSE))*'Country File'!$T$2)*'Country File'!$P$2),"N/A")</f>
        <v>N/A</v>
      </c>
      <c r="AS6" s="700">
        <f t="shared" ref="AS6:AS12" si="13">IFERROR((AQ6*AR6),0)</f>
        <v>0</v>
      </c>
      <c r="AT6" s="645">
        <v>0</v>
      </c>
      <c r="AU6" s="700">
        <f>IFERROR((((VLOOKUP($A6,'pricing overview all products'!$A$1:$N$55,14,FALSE))*'Country File'!$T$2)*'Country File'!$P$2),"N/A")</f>
        <v>0</v>
      </c>
      <c r="AV6" s="700">
        <f t="shared" ref="AV6:AV12" si="14">IFERROR((AT6*AU6),0)</f>
        <v>0</v>
      </c>
      <c r="AW6" s="646">
        <v>0</v>
      </c>
      <c r="AX6" s="647" t="s">
        <v>1411</v>
      </c>
      <c r="AY6" s="703">
        <v>0</v>
      </c>
      <c r="AZ6" s="704">
        <f t="shared" ref="AZ6:AZ11" si="15">IFERROR((AX6*AY6),0)</f>
        <v>0</v>
      </c>
      <c r="BA6" s="650">
        <f t="shared" ref="BA6:BA12" si="16">H6</f>
        <v>1</v>
      </c>
      <c r="BB6" s="699">
        <f>IFERROR((((VLOOKUP($BD6,'Packaging cost'!A:C,3,FALSE))*'Country File'!$P$2)),"tbc")</f>
        <v>245</v>
      </c>
      <c r="BC6" s="700">
        <f t="shared" ref="BC6:BC12" si="17">IFERROR((BA6*BB6),0)</f>
        <v>245</v>
      </c>
      <c r="BD6" s="705" t="str">
        <f>IF(H6=0,"",'Configurator Codes'!L128)</f>
        <v>LBX90e2111200111</v>
      </c>
      <c r="BE6" s="706">
        <f>VLOOKUP(BD6,'Common IDs'!A:C,3,FALSE)</f>
        <v>7600000401232</v>
      </c>
      <c r="BF6" s="707">
        <f t="shared" ref="BF6:BH12" si="18">L6+Z6+S6+AG6+AN6+$BC6</f>
        <v>21995</v>
      </c>
      <c r="BG6" s="707">
        <f t="shared" si="18"/>
        <v>21995</v>
      </c>
      <c r="BH6" s="654">
        <f t="shared" si="18"/>
        <v>16557.5</v>
      </c>
    </row>
    <row r="7" spans="1:132" x14ac:dyDescent="0.25">
      <c r="A7" s="98" t="s">
        <v>1464</v>
      </c>
      <c r="B7" s="96" t="s">
        <v>1465</v>
      </c>
      <c r="C7" s="454" t="s">
        <v>1462</v>
      </c>
      <c r="D7" s="363" t="s">
        <v>1463</v>
      </c>
      <c r="E7" s="449">
        <v>1</v>
      </c>
      <c r="F7" s="97" t="s">
        <v>1438</v>
      </c>
      <c r="G7" s="97">
        <v>1</v>
      </c>
      <c r="H7" s="591">
        <v>1</v>
      </c>
      <c r="I7" s="708">
        <f>((VLOOKUP($A7,'pricing overview all products'!$A:$B,2,FALSE))*'Country File'!$T$2)*'Country File'!$P$2</f>
        <v>30270</v>
      </c>
      <c r="J7" s="709">
        <f>((VLOOKUP($A7,'pricing overview all products'!$A:$B,2,FALSE))*'Country File'!$T$3)*'Country File'!$P$2</f>
        <v>30270</v>
      </c>
      <c r="K7" s="709">
        <f>(((VLOOKUP($A7,'pricing overview all products'!$A:$B,2,FALSE))*'Country File'!$T$2)*'Country File'!$P$2)*(1-'Applied Discounts'!$C$12)</f>
        <v>22702.5</v>
      </c>
      <c r="L7" s="709">
        <f t="shared" si="0"/>
        <v>30270</v>
      </c>
      <c r="M7" s="709">
        <f t="shared" si="1"/>
        <v>30270</v>
      </c>
      <c r="N7" s="710">
        <f t="shared" si="2"/>
        <v>22702.5</v>
      </c>
      <c r="O7" s="658">
        <v>0</v>
      </c>
      <c r="P7" s="709">
        <f>IFERROR((((VLOOKUP($A7,'pricing overview all products'!$A$1:$M$55,4,FALSE))*'Country File'!$T$2)*'Country File'!$P$2),"N/A")</f>
        <v>1980</v>
      </c>
      <c r="Q7" s="709">
        <f>IFERROR((((VLOOKUP($A7,'pricing overview all products'!$A$1:$M$55,4,FALSE))*'Country File'!$T$3)*'Country File'!$P$2),"N/A")</f>
        <v>1980</v>
      </c>
      <c r="R7" s="709">
        <f>IFERROR((((VLOOKUP($A7,'pricing overview all products'!$A$1:$M$55,4,FALSE))*'Country File'!$T$2)*'Country File'!$P$2)*(1-'Applied Discounts'!$C$12),"N/A")</f>
        <v>1485</v>
      </c>
      <c r="S7" s="709">
        <f t="shared" si="3"/>
        <v>0</v>
      </c>
      <c r="T7" s="709">
        <f t="shared" si="4"/>
        <v>0</v>
      </c>
      <c r="U7" s="710">
        <f t="shared" si="5"/>
        <v>0</v>
      </c>
      <c r="V7" s="658">
        <v>0</v>
      </c>
      <c r="W7" s="711">
        <f>IFERROR((((VLOOKUP($A7,'pricing overview all products'!$A$1:$M$55,6,FALSE))*'Country File'!$T$2)*'Country File'!$P$2),"N/A")</f>
        <v>6950</v>
      </c>
      <c r="X7" s="709">
        <f>IFERROR((((VLOOKUP($A7,'pricing overview all products'!$A$1:$M$55,6,FALSE))*'Country File'!$T$3)*'Country File'!$P$2),"N/A")</f>
        <v>6950</v>
      </c>
      <c r="Y7" s="709">
        <f>IFERROR((((VLOOKUP($A7,'pricing overview all products'!$A$1:$M$55,6,FALSE))*'Country File'!$T$2)*'Country File'!$P$2)*(1-'Applied Discounts'!$C$12),"N/A")</f>
        <v>5212.5</v>
      </c>
      <c r="Z7" s="709">
        <f t="shared" si="6"/>
        <v>0</v>
      </c>
      <c r="AA7" s="709">
        <f t="shared" si="6"/>
        <v>0</v>
      </c>
      <c r="AB7" s="710">
        <f t="shared" si="6"/>
        <v>0</v>
      </c>
      <c r="AC7" s="712">
        <v>1</v>
      </c>
      <c r="AD7" s="713">
        <f>IFERROR((((VLOOKUP($A7,'pricing overview all products'!$A$1:$M$55,8,FALSE))*'Country File'!$T$2)*'Country File'!$P$2),"N/A")</f>
        <v>0</v>
      </c>
      <c r="AE7" s="713">
        <f>IFERROR((((VLOOKUP($A7,'pricing overview all products'!$A$1:$M$55,8,FALSE))*'Country File'!$T$3)*'Country File'!$P$2),"N/A")</f>
        <v>0</v>
      </c>
      <c r="AF7" s="713" t="str">
        <f>IFERROR((((VLOOKUP($A7,'pricing overview all products'!$A$1:$M$55,8,FALSE))*'Country File'!$T$2)*'Country File'!$P$2)*(1-#REF!),"N/A")</f>
        <v>N/A</v>
      </c>
      <c r="AG7" s="713">
        <f t="shared" si="7"/>
        <v>0</v>
      </c>
      <c r="AH7" s="713">
        <f t="shared" si="8"/>
        <v>0</v>
      </c>
      <c r="AI7" s="714">
        <f t="shared" si="9"/>
        <v>0</v>
      </c>
      <c r="AJ7" s="658">
        <v>0</v>
      </c>
      <c r="AK7" s="709">
        <f>IFERROR((((VLOOKUP($A7,'pricing overview all products'!$A$1:$M$55,10,FALSE))*'Country File'!$T$2)*'Country File'!$P$2),"N/A")</f>
        <v>3900</v>
      </c>
      <c r="AL7" s="709">
        <f>IFERROR((((VLOOKUP($A7,'pricing overview all products'!$A$1:$M$55,10,FALSE))*'Country File'!$T$3)*'Country File'!$P$2),"N/A")</f>
        <v>3900</v>
      </c>
      <c r="AM7" s="709">
        <f>IFERROR((((VLOOKUP($A7,'pricing overview all products'!$A$1:$M$55,10,FALSE))*'Country File'!$T$2)*'Country File'!$P$2)*(1-'Applied Discounts'!$C$12),"N/A")</f>
        <v>2925</v>
      </c>
      <c r="AN7" s="709">
        <f t="shared" si="10"/>
        <v>0</v>
      </c>
      <c r="AO7" s="709">
        <f t="shared" si="11"/>
        <v>0</v>
      </c>
      <c r="AP7" s="710">
        <f t="shared" si="12"/>
        <v>0</v>
      </c>
      <c r="AQ7" s="663">
        <v>0</v>
      </c>
      <c r="AR7" s="713" t="str">
        <f>IFERROR((((VLOOKUP($A7,'pricing overview all products'!$A$1:$N$55,12,FALSE))*'Country File'!$T$2)*'Country File'!$P$2),"N/A")</f>
        <v>N/A</v>
      </c>
      <c r="AS7" s="713">
        <f t="shared" si="13"/>
        <v>0</v>
      </c>
      <c r="AT7" s="666">
        <v>0</v>
      </c>
      <c r="AU7" s="713">
        <f>IFERROR((((VLOOKUP($A7,'pricing overview all products'!$A$1:$N$55,14,FALSE))*'Country File'!$T$2)*'Country File'!$P$2),"N/A")</f>
        <v>0</v>
      </c>
      <c r="AV7" s="713">
        <f t="shared" si="14"/>
        <v>0</v>
      </c>
      <c r="AW7" s="667">
        <v>0</v>
      </c>
      <c r="AX7" s="668" t="s">
        <v>1411</v>
      </c>
      <c r="AY7" s="715">
        <v>0</v>
      </c>
      <c r="AZ7" s="716">
        <f t="shared" si="15"/>
        <v>0</v>
      </c>
      <c r="BA7" s="671">
        <f t="shared" si="16"/>
        <v>1</v>
      </c>
      <c r="BB7" s="709">
        <f>IFERROR((((VLOOKUP($BD7,'Packaging cost'!A:C,3,FALSE))*'Country File'!$P$2)),"tbc")</f>
        <v>245</v>
      </c>
      <c r="BC7" s="710">
        <f t="shared" si="17"/>
        <v>245</v>
      </c>
      <c r="BD7" s="717" t="str">
        <f>IF(H7=0,"",'Configurator Codes'!L129)</f>
        <v>LBX120e2111100111</v>
      </c>
      <c r="BE7" s="718">
        <f>VLOOKUP(BD7,'Common IDs'!A:C,3,FALSE)</f>
        <v>7600000401240</v>
      </c>
      <c r="BF7" s="719">
        <f t="shared" si="18"/>
        <v>30515</v>
      </c>
      <c r="BG7" s="719">
        <f t="shared" si="18"/>
        <v>30515</v>
      </c>
      <c r="BH7" s="720">
        <f t="shared" si="18"/>
        <v>22947.5</v>
      </c>
    </row>
    <row r="8" spans="1:132" s="28" customFormat="1" x14ac:dyDescent="0.25">
      <c r="A8" s="98" t="s">
        <v>1466</v>
      </c>
      <c r="B8" s="96" t="s">
        <v>1467</v>
      </c>
      <c r="C8" s="454" t="s">
        <v>1462</v>
      </c>
      <c r="D8" s="363" t="s">
        <v>1427</v>
      </c>
      <c r="E8" s="449">
        <v>1</v>
      </c>
      <c r="F8" s="97" t="s">
        <v>1438</v>
      </c>
      <c r="G8" s="97">
        <v>1</v>
      </c>
      <c r="H8" s="591">
        <v>1</v>
      </c>
      <c r="I8" s="708">
        <f>((VLOOKUP($A8,'pricing overview all products'!$A:$B,2,FALSE))*'Country File'!$T$2)*'Country File'!$P$2</f>
        <v>39130</v>
      </c>
      <c r="J8" s="709">
        <f>((VLOOKUP($A8,'pricing overview all products'!$A:$B,2,FALSE))*'Country File'!$T$3)*'Country File'!$P$2</f>
        <v>39130</v>
      </c>
      <c r="K8" s="709">
        <f>(((VLOOKUP($A8,'pricing overview all products'!$A:$B,2,FALSE))*'Country File'!$T$2)*'Country File'!$P$2)*(1-'Applied Discounts'!$C$12)</f>
        <v>29347.5</v>
      </c>
      <c r="L8" s="709">
        <f t="shared" si="0"/>
        <v>39130</v>
      </c>
      <c r="M8" s="709">
        <f t="shared" si="1"/>
        <v>39130</v>
      </c>
      <c r="N8" s="710">
        <f t="shared" si="2"/>
        <v>29347.5</v>
      </c>
      <c r="O8" s="658">
        <v>0</v>
      </c>
      <c r="P8" s="709">
        <f>IFERROR((((VLOOKUP($A8,'pricing overview all products'!$A$1:$M$55,4,FALSE))*'Country File'!$T$2)*'Country File'!$P$2),"N/A")</f>
        <v>1980</v>
      </c>
      <c r="Q8" s="709">
        <f>IFERROR((((VLOOKUP($A8,'pricing overview all products'!$A$1:$M$55,4,FALSE))*'Country File'!$T$3)*'Country File'!$P$2),"N/A")</f>
        <v>1980</v>
      </c>
      <c r="R8" s="709">
        <f>IFERROR((((VLOOKUP($A8,'pricing overview all products'!$A$1:$M$55,4,FALSE))*'Country File'!$T$2)*'Country File'!$P$2)*(1-'Applied Discounts'!$C$12),"N/A")</f>
        <v>1485</v>
      </c>
      <c r="S8" s="709">
        <f t="shared" si="3"/>
        <v>0</v>
      </c>
      <c r="T8" s="709">
        <f t="shared" si="4"/>
        <v>0</v>
      </c>
      <c r="U8" s="710">
        <f t="shared" si="5"/>
        <v>0</v>
      </c>
      <c r="V8" s="658">
        <v>0</v>
      </c>
      <c r="W8" s="711">
        <f>IFERROR((((VLOOKUP($A8,'pricing overview all products'!$A$1:$M$55,6,FALSE))*'Country File'!$T$2)*'Country File'!$P$2),"N/A")</f>
        <v>6950</v>
      </c>
      <c r="X8" s="709">
        <f>IFERROR((((VLOOKUP($A8,'pricing overview all products'!$A$1:$M$55,6,FALSE))*'Country File'!$T$3)*'Country File'!$P$2),"N/A")</f>
        <v>6950</v>
      </c>
      <c r="Y8" s="709">
        <f>IFERROR((((VLOOKUP($A8,'pricing overview all products'!$A$1:$M$55,6,FALSE))*'Country File'!$T$2)*'Country File'!$P$2)*(1-'Applied Discounts'!$C$12),"N/A")</f>
        <v>5212.5</v>
      </c>
      <c r="Z8" s="709">
        <f t="shared" si="6"/>
        <v>0</v>
      </c>
      <c r="AA8" s="709">
        <f t="shared" si="6"/>
        <v>0</v>
      </c>
      <c r="AB8" s="710">
        <f t="shared" si="6"/>
        <v>0</v>
      </c>
      <c r="AC8" s="712">
        <v>1</v>
      </c>
      <c r="AD8" s="713">
        <f>IFERROR((((VLOOKUP($A8,'pricing overview all products'!$A$1:$M$55,8,FALSE))*'Country File'!$T$2)*'Country File'!$P$2),"N/A")</f>
        <v>0</v>
      </c>
      <c r="AE8" s="713">
        <f>IFERROR((((VLOOKUP($A8,'pricing overview all products'!$A$1:$M$55,8,FALSE))*'Country File'!$T$3)*'Country File'!$P$2),"N/A")</f>
        <v>0</v>
      </c>
      <c r="AF8" s="713" t="str">
        <f>IFERROR((((VLOOKUP($A8,'pricing overview all products'!$A$1:$M$55,8,FALSE))*'Country File'!$T$2)*'Country File'!$P$2)*(1-#REF!),"N/A")</f>
        <v>N/A</v>
      </c>
      <c r="AG8" s="713">
        <f t="shared" si="7"/>
        <v>0</v>
      </c>
      <c r="AH8" s="713">
        <f t="shared" si="8"/>
        <v>0</v>
      </c>
      <c r="AI8" s="714">
        <f t="shared" si="9"/>
        <v>0</v>
      </c>
      <c r="AJ8" s="658">
        <v>0</v>
      </c>
      <c r="AK8" s="709">
        <f>IFERROR((((VLOOKUP($A8,'pricing overview all products'!$A$1:$M$55,10,FALSE))*'Country File'!$T$2)*'Country File'!$P$2),"N/A")</f>
        <v>4990</v>
      </c>
      <c r="AL8" s="709">
        <f>IFERROR((((VLOOKUP($A8,'pricing overview all products'!$A$1:$M$55,10,FALSE))*'Country File'!$T$3)*'Country File'!$P$2),"N/A")</f>
        <v>4990</v>
      </c>
      <c r="AM8" s="709">
        <f>IFERROR((((VLOOKUP($A8,'pricing overview all products'!$A$1:$M$55,10,FALSE))*'Country File'!$T$2)*'Country File'!$P$2)*(1-'Applied Discounts'!$C$12),"N/A")</f>
        <v>3742.5</v>
      </c>
      <c r="AN8" s="709">
        <f t="shared" si="10"/>
        <v>0</v>
      </c>
      <c r="AO8" s="709">
        <f t="shared" si="11"/>
        <v>0</v>
      </c>
      <c r="AP8" s="710">
        <f t="shared" si="12"/>
        <v>0</v>
      </c>
      <c r="AQ8" s="663">
        <v>0</v>
      </c>
      <c r="AR8" s="713" t="str">
        <f>IFERROR((((VLOOKUP($A8,'pricing overview all products'!$A$1:$N$55,12,FALSE))*'Country File'!$T$2)*'Country File'!$P$2),"N/A")</f>
        <v>N/A</v>
      </c>
      <c r="AS8" s="713">
        <f t="shared" si="13"/>
        <v>0</v>
      </c>
      <c r="AT8" s="666">
        <v>0</v>
      </c>
      <c r="AU8" s="713">
        <f>IFERROR((((VLOOKUP($A8,'pricing overview all products'!$A$1:$N$55,14,FALSE))*'Country File'!$T$2)*'Country File'!$P$2),"N/A")</f>
        <v>0</v>
      </c>
      <c r="AV8" s="713">
        <f t="shared" si="14"/>
        <v>0</v>
      </c>
      <c r="AW8" s="667">
        <v>0</v>
      </c>
      <c r="AX8" s="668"/>
      <c r="AY8" s="715">
        <v>0</v>
      </c>
      <c r="AZ8" s="716">
        <f t="shared" si="15"/>
        <v>0</v>
      </c>
      <c r="BA8" s="671">
        <f t="shared" si="16"/>
        <v>1</v>
      </c>
      <c r="BB8" s="709">
        <f>IFERROR((((VLOOKUP($BD8,'Packaging cost'!A:C,3,FALSE))*'Country File'!$P$2)),"tbc")</f>
        <v>265</v>
      </c>
      <c r="BC8" s="710">
        <f t="shared" si="17"/>
        <v>265</v>
      </c>
      <c r="BD8" s="717" t="str">
        <f>IF(H8=0,"",'Configurator Codes'!L130)</f>
        <v>LBX200e2111100111</v>
      </c>
      <c r="BE8" s="718">
        <f>VLOOKUP(BD8,'Common IDs'!A:C,3,FALSE)</f>
        <v>7600000401248</v>
      </c>
      <c r="BF8" s="719">
        <f t="shared" si="18"/>
        <v>39395</v>
      </c>
      <c r="BG8" s="719">
        <f t="shared" si="18"/>
        <v>39395</v>
      </c>
      <c r="BH8" s="720">
        <f t="shared" si="18"/>
        <v>29612.5</v>
      </c>
      <c r="BI8" s="150"/>
      <c r="BJ8" s="150"/>
      <c r="BK8" s="150"/>
      <c r="BL8" s="150"/>
      <c r="BM8" s="150"/>
      <c r="BN8" s="150"/>
      <c r="BO8" s="150"/>
      <c r="BP8" s="150"/>
      <c r="BQ8" s="150"/>
      <c r="BR8" s="150"/>
      <c r="BS8" s="150"/>
      <c r="BT8" s="150"/>
      <c r="BU8" s="150"/>
      <c r="BV8" s="150"/>
      <c r="BW8" s="150"/>
      <c r="BX8" s="150"/>
      <c r="BY8" s="150"/>
      <c r="BZ8" s="150"/>
      <c r="CA8" s="150"/>
      <c r="CB8" s="150"/>
      <c r="CC8" s="150"/>
      <c r="CD8" s="150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</row>
    <row r="9" spans="1:132" x14ac:dyDescent="0.25">
      <c r="A9" s="98" t="s">
        <v>1468</v>
      </c>
      <c r="B9" s="96" t="s">
        <v>1469</v>
      </c>
      <c r="C9" s="454" t="s">
        <v>1462</v>
      </c>
      <c r="D9" s="363" t="s">
        <v>1430</v>
      </c>
      <c r="E9" s="449">
        <v>1</v>
      </c>
      <c r="F9" s="97" t="s">
        <v>1438</v>
      </c>
      <c r="G9" s="97">
        <v>1</v>
      </c>
      <c r="H9" s="591">
        <v>1</v>
      </c>
      <c r="I9" s="708">
        <f>((VLOOKUP($A9,'pricing overview all products'!$A:$B,2,FALSE))*'Country File'!$T$2)*'Country File'!$P$2</f>
        <v>53560</v>
      </c>
      <c r="J9" s="709">
        <f>((VLOOKUP($A9,'pricing overview all products'!$A:$B,2,FALSE))*'Country File'!$T$3)*'Country File'!$P$2</f>
        <v>53560</v>
      </c>
      <c r="K9" s="709">
        <f>(((VLOOKUP($A9,'pricing overview all products'!$A:$B,2,FALSE))*'Country File'!$T$2)*'Country File'!$P$2)*(1-'Applied Discounts'!$C$12)</f>
        <v>40170</v>
      </c>
      <c r="L9" s="709">
        <f t="shared" si="0"/>
        <v>53560</v>
      </c>
      <c r="M9" s="709">
        <f t="shared" si="1"/>
        <v>53560</v>
      </c>
      <c r="N9" s="710">
        <f t="shared" si="2"/>
        <v>40170</v>
      </c>
      <c r="O9" s="658">
        <v>0</v>
      </c>
      <c r="P9" s="709">
        <f>IFERROR((((VLOOKUP($A9,'pricing overview all products'!$A$1:$M$55,4,FALSE))*'Country File'!$T$2)*'Country File'!$P$2),"N/A")</f>
        <v>3950</v>
      </c>
      <c r="Q9" s="709">
        <f>IFERROR((((VLOOKUP($A9,'pricing overview all products'!$A$1:$M$55,4,FALSE))*'Country File'!$T$3)*'Country File'!$P$2),"N/A")</f>
        <v>3950</v>
      </c>
      <c r="R9" s="709">
        <f>IFERROR((((VLOOKUP($A9,'pricing overview all products'!$A$1:$M$55,4,FALSE))*'Country File'!$T$2)*'Country File'!$P$2)*(1-'Applied Discounts'!$C$12),"N/A")</f>
        <v>2962.5</v>
      </c>
      <c r="S9" s="709">
        <f t="shared" si="3"/>
        <v>0</v>
      </c>
      <c r="T9" s="709">
        <f t="shared" si="4"/>
        <v>0</v>
      </c>
      <c r="U9" s="710">
        <f t="shared" si="5"/>
        <v>0</v>
      </c>
      <c r="V9" s="658">
        <v>0</v>
      </c>
      <c r="W9" s="711">
        <f>IFERROR((((VLOOKUP($A9,'pricing overview all products'!$A$1:$M$55,6,FALSE))*'Country File'!$T$2)*'Country File'!$P$2),"N/A")</f>
        <v>7800</v>
      </c>
      <c r="X9" s="709">
        <f>IFERROR((((VLOOKUP($A9,'pricing overview all products'!$A$1:$M$55,6,FALSE))*'Country File'!$T$3)*'Country File'!$P$2),"N/A")</f>
        <v>7800</v>
      </c>
      <c r="Y9" s="709">
        <f>IFERROR((((VLOOKUP($A9,'pricing overview all products'!$A$1:$M$55,6,FALSE))*'Country File'!$T$2)*'Country File'!$P$2)*(1-'Applied Discounts'!$C$12),"N/A")</f>
        <v>5850</v>
      </c>
      <c r="Z9" s="709">
        <f t="shared" si="6"/>
        <v>0</v>
      </c>
      <c r="AA9" s="709">
        <f t="shared" si="6"/>
        <v>0</v>
      </c>
      <c r="AB9" s="710">
        <f t="shared" si="6"/>
        <v>0</v>
      </c>
      <c r="AC9" s="712">
        <v>1</v>
      </c>
      <c r="AD9" s="713">
        <f>IFERROR((((VLOOKUP($A9,'pricing overview all products'!$A$1:$M$55,8,FALSE))*'Country File'!$T$2)*'Country File'!$P$2),"N/A")</f>
        <v>0</v>
      </c>
      <c r="AE9" s="713">
        <f>IFERROR((((VLOOKUP($A9,'pricing overview all products'!$A$1:$M$55,8,FALSE))*'Country File'!$T$3)*'Country File'!$P$2),"N/A")</f>
        <v>0</v>
      </c>
      <c r="AF9" s="713" t="str">
        <f>IFERROR((((VLOOKUP($A9,'pricing overview all products'!$A$1:$M$55,8,FALSE))*'Country File'!$T$2)*'Country File'!$P$2)*(1-#REF!),"N/A")</f>
        <v>N/A</v>
      </c>
      <c r="AG9" s="713">
        <f t="shared" si="7"/>
        <v>0</v>
      </c>
      <c r="AH9" s="713">
        <f t="shared" si="8"/>
        <v>0</v>
      </c>
      <c r="AI9" s="714">
        <f t="shared" si="9"/>
        <v>0</v>
      </c>
      <c r="AJ9" s="658">
        <v>0</v>
      </c>
      <c r="AK9" s="709">
        <f>IFERROR((((VLOOKUP($A9,'pricing overview all products'!$A$1:$M$55,10,FALSE))*'Country File'!$T$2)*'Country File'!$P$2),"N/A")</f>
        <v>6960</v>
      </c>
      <c r="AL9" s="709">
        <f>IFERROR((((VLOOKUP($A9,'pricing overview all products'!$A$1:$M$55,10,FALSE))*'Country File'!$T$3)*'Country File'!$P$2),"N/A")</f>
        <v>6960</v>
      </c>
      <c r="AM9" s="709">
        <f>IFERROR((((VLOOKUP($A9,'pricing overview all products'!$A$1:$M$55,10,FALSE))*'Country File'!$T$2)*'Country File'!$P$2)*(1-'Applied Discounts'!$C$12),"N/A")</f>
        <v>5220</v>
      </c>
      <c r="AN9" s="709">
        <f t="shared" si="10"/>
        <v>0</v>
      </c>
      <c r="AO9" s="709">
        <f t="shared" si="11"/>
        <v>0</v>
      </c>
      <c r="AP9" s="710">
        <f t="shared" si="12"/>
        <v>0</v>
      </c>
      <c r="AQ9" s="663">
        <v>0</v>
      </c>
      <c r="AR9" s="713" t="str">
        <f>IFERROR((((VLOOKUP($A9,'pricing overview all products'!$A$1:$N$55,12,FALSE))*'Country File'!$T$2)*'Country File'!$P$2),"N/A")</f>
        <v>N/A</v>
      </c>
      <c r="AS9" s="713">
        <f t="shared" si="13"/>
        <v>0</v>
      </c>
      <c r="AT9" s="666">
        <v>0</v>
      </c>
      <c r="AU9" s="713">
        <f>IFERROR((((VLOOKUP($A9,'pricing overview all products'!$A$1:$N$55,14,FALSE))*'Country File'!$T$2)*'Country File'!$P$2),"N/A")</f>
        <v>0</v>
      </c>
      <c r="AV9" s="713">
        <f t="shared" si="14"/>
        <v>0</v>
      </c>
      <c r="AW9" s="667">
        <v>0</v>
      </c>
      <c r="AX9" s="668" t="s">
        <v>1415</v>
      </c>
      <c r="AY9" s="715">
        <v>0</v>
      </c>
      <c r="AZ9" s="716">
        <f t="shared" si="15"/>
        <v>0</v>
      </c>
      <c r="BA9" s="671">
        <f t="shared" si="16"/>
        <v>1</v>
      </c>
      <c r="BB9" s="709">
        <f>IFERROR((((VLOOKUP($BD9,'Packaging cost'!A:C,3,FALSE))*'Country File'!$P$2)),"tbc")</f>
        <v>350</v>
      </c>
      <c r="BC9" s="710">
        <f t="shared" si="17"/>
        <v>350</v>
      </c>
      <c r="BD9" s="717" t="str">
        <f>IF(H9=0,"",'Configurator Codes'!L131)</f>
        <v>LBX400e2111100111</v>
      </c>
      <c r="BE9" s="718">
        <f>VLOOKUP(BD9,'Common IDs'!A:C,3,FALSE)</f>
        <v>7600000401256</v>
      </c>
      <c r="BF9" s="719">
        <f t="shared" si="18"/>
        <v>53910</v>
      </c>
      <c r="BG9" s="719">
        <f t="shared" si="18"/>
        <v>53910</v>
      </c>
      <c r="BH9" s="720">
        <f t="shared" si="18"/>
        <v>40520</v>
      </c>
    </row>
    <row r="10" spans="1:132" x14ac:dyDescent="0.25">
      <c r="A10" s="98" t="s">
        <v>1470</v>
      </c>
      <c r="B10" s="96" t="s">
        <v>1471</v>
      </c>
      <c r="C10" s="454" t="s">
        <v>1462</v>
      </c>
      <c r="D10" s="363" t="s">
        <v>1433</v>
      </c>
      <c r="E10" s="449">
        <v>1</v>
      </c>
      <c r="F10" s="97" t="s">
        <v>1438</v>
      </c>
      <c r="G10" s="97">
        <v>1</v>
      </c>
      <c r="H10" s="591">
        <v>1</v>
      </c>
      <c r="I10" s="708">
        <f>((VLOOKUP($A10,'pricing overview all products'!$A:$B,2,FALSE))*'Country File'!$T$2)*'Country File'!$P$2</f>
        <v>66650</v>
      </c>
      <c r="J10" s="709">
        <f>((VLOOKUP($A10,'pricing overview all products'!$A:$B,2,FALSE))*'Country File'!$T$3)*'Country File'!$P$2</f>
        <v>66650</v>
      </c>
      <c r="K10" s="709">
        <f>(((VLOOKUP($A10,'pricing overview all products'!$A:$B,2,FALSE))*'Country File'!$T$2)*'Country File'!$P$2)*(1-'Applied Discounts'!$C$12)</f>
        <v>49987.5</v>
      </c>
      <c r="L10" s="709">
        <f t="shared" si="0"/>
        <v>66650</v>
      </c>
      <c r="M10" s="709">
        <f t="shared" si="1"/>
        <v>66650</v>
      </c>
      <c r="N10" s="710">
        <f t="shared" si="2"/>
        <v>49987.5</v>
      </c>
      <c r="O10" s="658">
        <v>0</v>
      </c>
      <c r="P10" s="709">
        <f>IFERROR((((VLOOKUP($A10,'pricing overview all products'!$A$1:$M$55,4,FALSE))*'Country File'!$T$2)*'Country File'!$P$2),"N/A")</f>
        <v>3950</v>
      </c>
      <c r="Q10" s="709">
        <f>IFERROR((((VLOOKUP($A10,'pricing overview all products'!$A$1:$M$55,4,FALSE))*'Country File'!$T$3)*'Country File'!$P$2),"N/A")</f>
        <v>3950</v>
      </c>
      <c r="R10" s="709">
        <f>IFERROR((((VLOOKUP($A10,'pricing overview all products'!$A$1:$M$55,4,FALSE))*'Country File'!$T$2)*'Country File'!$P$2)*(1-'Applied Discounts'!$C$12),"N/A")</f>
        <v>2962.5</v>
      </c>
      <c r="S10" s="709">
        <f t="shared" si="3"/>
        <v>0</v>
      </c>
      <c r="T10" s="709">
        <f t="shared" si="4"/>
        <v>0</v>
      </c>
      <c r="U10" s="710">
        <f t="shared" si="5"/>
        <v>0</v>
      </c>
      <c r="V10" s="658">
        <v>0</v>
      </c>
      <c r="W10" s="711">
        <f>IFERROR((((VLOOKUP($A10,'pricing overview all products'!$A$1:$M$55,6,FALSE))*'Country File'!$T$2)*'Country File'!$P$2),"N/A")</f>
        <v>7800</v>
      </c>
      <c r="X10" s="709">
        <f>IFERROR((((VLOOKUP($A10,'pricing overview all products'!$A$1:$M$55,6,FALSE))*'Country File'!$T$3)*'Country File'!$P$2),"N/A")</f>
        <v>7800</v>
      </c>
      <c r="Y10" s="709">
        <f>IFERROR((((VLOOKUP($A10,'pricing overview all products'!$A$1:$M$55,6,FALSE))*'Country File'!$T$2)*'Country File'!$P$2)*(1-'Applied Discounts'!$C$12),"N/A")</f>
        <v>5850</v>
      </c>
      <c r="Z10" s="709">
        <f t="shared" si="6"/>
        <v>0</v>
      </c>
      <c r="AA10" s="709">
        <f t="shared" si="6"/>
        <v>0</v>
      </c>
      <c r="AB10" s="710">
        <f t="shared" si="6"/>
        <v>0</v>
      </c>
      <c r="AC10" s="712">
        <v>1</v>
      </c>
      <c r="AD10" s="713">
        <f>IFERROR((((VLOOKUP($A10,'pricing overview all products'!$A$1:$M$55,8,FALSE))*'Country File'!$T$2)*'Country File'!$P$2),"N/A")</f>
        <v>0</v>
      </c>
      <c r="AE10" s="713">
        <f>IFERROR((((VLOOKUP($A10,'pricing overview all products'!$A$1:$M$55,8,FALSE))*'Country File'!$T$3)*'Country File'!$P$2),"N/A")</f>
        <v>0</v>
      </c>
      <c r="AF10" s="713" t="str">
        <f>IFERROR((((VLOOKUP($A10,'pricing overview all products'!$A$1:$M$55,8,FALSE))*'Country File'!$T$2)*'Country File'!$P$2)*(1-#REF!),"N/A")</f>
        <v>N/A</v>
      </c>
      <c r="AG10" s="713">
        <f t="shared" si="7"/>
        <v>0</v>
      </c>
      <c r="AH10" s="713">
        <f t="shared" si="8"/>
        <v>0</v>
      </c>
      <c r="AI10" s="714">
        <f t="shared" si="9"/>
        <v>0</v>
      </c>
      <c r="AJ10" s="658">
        <v>0</v>
      </c>
      <c r="AK10" s="709">
        <f>IFERROR((((VLOOKUP($A10,'pricing overview all products'!$A$1:$M$55,10,FALSE))*'Country File'!$T$2)*'Country File'!$P$2),"N/A")</f>
        <v>10070</v>
      </c>
      <c r="AL10" s="709">
        <f>IFERROR((((VLOOKUP($A10,'pricing overview all products'!$A$1:$M$55,10,FALSE))*'Country File'!$T$3)*'Country File'!$P$2),"N/A")</f>
        <v>10070</v>
      </c>
      <c r="AM10" s="709">
        <f>IFERROR((((VLOOKUP($A10,'pricing overview all products'!$A$1:$M$55,10,FALSE))*'Country File'!$T$2)*'Country File'!$P$2)*(1-'Applied Discounts'!$C$12),"N/A")</f>
        <v>7552.5</v>
      </c>
      <c r="AN10" s="709">
        <f t="shared" si="10"/>
        <v>0</v>
      </c>
      <c r="AO10" s="709">
        <f t="shared" si="11"/>
        <v>0</v>
      </c>
      <c r="AP10" s="710">
        <f t="shared" si="12"/>
        <v>0</v>
      </c>
      <c r="AQ10" s="663">
        <v>0</v>
      </c>
      <c r="AR10" s="713" t="str">
        <f>IFERROR((((VLOOKUP($A10,'pricing overview all products'!$A$1:$N$55,12,FALSE))*'Country File'!$T$2)*'Country File'!$P$2),"N/A")</f>
        <v>N/A</v>
      </c>
      <c r="AS10" s="713">
        <f t="shared" si="13"/>
        <v>0</v>
      </c>
      <c r="AT10" s="666">
        <v>0</v>
      </c>
      <c r="AU10" s="713">
        <f>IFERROR((((VLOOKUP($A10,'pricing overview all products'!$A$1:$N$55,14,FALSE))*'Country File'!$T$2)*'Country File'!$P$2),"N/A")</f>
        <v>0</v>
      </c>
      <c r="AV10" s="713">
        <f t="shared" si="14"/>
        <v>0</v>
      </c>
      <c r="AW10" s="667">
        <v>0</v>
      </c>
      <c r="AX10" s="668" t="s">
        <v>1411</v>
      </c>
      <c r="AY10" s="715">
        <v>0</v>
      </c>
      <c r="AZ10" s="716">
        <f t="shared" si="15"/>
        <v>0</v>
      </c>
      <c r="BA10" s="671">
        <f t="shared" si="16"/>
        <v>1</v>
      </c>
      <c r="BB10" s="709">
        <f>IFERROR((((VLOOKUP($BD10,'Packaging cost'!A:C,3,FALSE))*'Country File'!$P$2)),"tbc")</f>
        <v>380</v>
      </c>
      <c r="BC10" s="710">
        <f t="shared" si="17"/>
        <v>380</v>
      </c>
      <c r="BD10" s="717" t="str">
        <f>IF(H10=0,"",'Configurator Codes'!L132)</f>
        <v>LBX550e2111100111</v>
      </c>
      <c r="BE10" s="718">
        <f>VLOOKUP(BD10,'Common IDs'!A:C,3,FALSE)</f>
        <v>7600000401272</v>
      </c>
      <c r="BF10" s="719">
        <f t="shared" si="18"/>
        <v>67030</v>
      </c>
      <c r="BG10" s="719">
        <f t="shared" si="18"/>
        <v>67030</v>
      </c>
      <c r="BH10" s="720">
        <f t="shared" si="18"/>
        <v>50367.5</v>
      </c>
    </row>
    <row r="11" spans="1:132" x14ac:dyDescent="0.25">
      <c r="A11" s="98" t="s">
        <v>1472</v>
      </c>
      <c r="B11" s="96" t="s">
        <v>1473</v>
      </c>
      <c r="C11" s="454" t="s">
        <v>1474</v>
      </c>
      <c r="D11" s="363" t="s">
        <v>1475</v>
      </c>
      <c r="E11" s="449">
        <v>1</v>
      </c>
      <c r="F11" s="97" t="s">
        <v>1438</v>
      </c>
      <c r="G11" s="97">
        <v>1</v>
      </c>
      <c r="H11" s="591">
        <v>1</v>
      </c>
      <c r="I11" s="708">
        <f>((VLOOKUP($A11,'pricing overview all products'!$A:$B,2,FALSE))*'Country File'!$T$2)*'Country File'!$P$2</f>
        <v>83540</v>
      </c>
      <c r="J11" s="709">
        <f>((VLOOKUP($A11,'pricing overview all products'!$A:$B,2,FALSE))*'Country File'!$T$3)*'Country File'!$P$2</f>
        <v>83540</v>
      </c>
      <c r="K11" s="709">
        <f>(((VLOOKUP($A11,'pricing overview all products'!$A:$B,2,FALSE))*'Country File'!$T$2)*'Country File'!$P$2)*(1-'Applied Discounts'!$C$12)</f>
        <v>62655</v>
      </c>
      <c r="L11" s="709">
        <f t="shared" si="0"/>
        <v>83540</v>
      </c>
      <c r="M11" s="709">
        <f t="shared" si="1"/>
        <v>83540</v>
      </c>
      <c r="N11" s="710">
        <f t="shared" si="2"/>
        <v>62655</v>
      </c>
      <c r="O11" s="658">
        <v>0</v>
      </c>
      <c r="P11" s="709">
        <f>IFERROR((((VLOOKUP($A11,'pricing overview all products'!$A$1:$M$55,4,FALSE))*'Country File'!$T$2)*'Country File'!$P$2),"N/A")</f>
        <v>3950</v>
      </c>
      <c r="Q11" s="709">
        <f>IFERROR((((VLOOKUP($A11,'pricing overview all products'!$A$1:$M$55,4,FALSE))*'Country File'!$T$3)*'Country File'!$P$2),"N/A")</f>
        <v>3950</v>
      </c>
      <c r="R11" s="709">
        <f>IFERROR((((VLOOKUP($A11,'pricing overview all products'!$A$1:$M$55,4,FALSE))*'Country File'!$T$2)*'Country File'!$P$2)*(1-'Applied Discounts'!$C$12),"N/A")</f>
        <v>2962.5</v>
      </c>
      <c r="S11" s="709">
        <f t="shared" si="3"/>
        <v>0</v>
      </c>
      <c r="T11" s="709">
        <f t="shared" si="4"/>
        <v>0</v>
      </c>
      <c r="U11" s="710">
        <f t="shared" si="5"/>
        <v>0</v>
      </c>
      <c r="V11" s="658">
        <v>0</v>
      </c>
      <c r="W11" s="711">
        <f>IFERROR((((VLOOKUP($A11,'pricing overview all products'!$A$1:$M$55,6,FALSE))*'Country File'!$T$2)*'Country File'!$P$2),"N/A")</f>
        <v>7800</v>
      </c>
      <c r="X11" s="709">
        <f>IFERROR((((VLOOKUP($A11,'pricing overview all products'!$A$1:$M$55,6,FALSE))*'Country File'!$T$3)*'Country File'!$P$2),"N/A")</f>
        <v>7800</v>
      </c>
      <c r="Y11" s="709">
        <f>IFERROR((((VLOOKUP($A11,'pricing overview all products'!$A$1:$M$55,6,FALSE))*'Country File'!$T$2)*'Country File'!$P$2)*(1-'Applied Discounts'!$C$12),"N/A")</f>
        <v>5850</v>
      </c>
      <c r="Z11" s="709">
        <f t="shared" si="6"/>
        <v>0</v>
      </c>
      <c r="AA11" s="709">
        <f t="shared" si="6"/>
        <v>0</v>
      </c>
      <c r="AB11" s="710">
        <f t="shared" si="6"/>
        <v>0</v>
      </c>
      <c r="AC11" s="712">
        <v>1</v>
      </c>
      <c r="AD11" s="713">
        <f>IFERROR((((VLOOKUP($A11,'pricing overview all products'!$A$1:$M$55,8,FALSE))*'Country File'!$T$2)*'Country File'!$P$2),"N/A")</f>
        <v>0</v>
      </c>
      <c r="AE11" s="713">
        <f>IFERROR((((VLOOKUP($A11,'pricing overview all products'!$A$1:$M$55,8,FALSE))*'Country File'!$T$3)*'Country File'!$P$2),"N/A")</f>
        <v>0</v>
      </c>
      <c r="AF11" s="713" t="str">
        <f>IFERROR((((VLOOKUP($A11,'pricing overview all products'!$A$1:$M$55,8,FALSE))*'Country File'!$T$2)*'Country File'!$P$2)*(1-#REF!),"N/A")</f>
        <v>N/A</v>
      </c>
      <c r="AG11" s="713">
        <f t="shared" si="7"/>
        <v>0</v>
      </c>
      <c r="AH11" s="713">
        <f t="shared" si="8"/>
        <v>0</v>
      </c>
      <c r="AI11" s="714">
        <f t="shared" si="9"/>
        <v>0</v>
      </c>
      <c r="AJ11" s="658">
        <v>0</v>
      </c>
      <c r="AK11" s="709">
        <f>IFERROR((((VLOOKUP($A11,'pricing overview all products'!$A$1:$M$55,10,FALSE))*'Country File'!$T$2)*'Country File'!$P$2),"N/A")</f>
        <v>13400</v>
      </c>
      <c r="AL11" s="709">
        <f>IFERROR((((VLOOKUP($A11,'pricing overview all products'!$A$1:$M$55,10,FALSE))*'Country File'!$T$3)*'Country File'!$P$2),"N/A")</f>
        <v>13400</v>
      </c>
      <c r="AM11" s="709">
        <f>IFERROR((((VLOOKUP($A11,'pricing overview all products'!$A$1:$M$55,10,FALSE))*'Country File'!$T$2)*'Country File'!$P$2)*(1-'Applied Discounts'!$C$12),"N/A")</f>
        <v>10050</v>
      </c>
      <c r="AN11" s="709">
        <f t="shared" si="10"/>
        <v>0</v>
      </c>
      <c r="AO11" s="709">
        <f t="shared" si="11"/>
        <v>0</v>
      </c>
      <c r="AP11" s="710">
        <f t="shared" si="12"/>
        <v>0</v>
      </c>
      <c r="AQ11" s="663">
        <v>0</v>
      </c>
      <c r="AR11" s="713" t="str">
        <f>IFERROR((((VLOOKUP($A11,'pricing overview all products'!$A$1:$N$55,12,FALSE))*'Country File'!$T$2)*'Country File'!$P$2),"N/A")</f>
        <v>N/A</v>
      </c>
      <c r="AS11" s="713">
        <f t="shared" si="13"/>
        <v>0</v>
      </c>
      <c r="AT11" s="666">
        <v>0</v>
      </c>
      <c r="AU11" s="713">
        <f>IFERROR((((VLOOKUP($A11,'pricing overview all products'!$A$1:$N$55,14,FALSE))*'Country File'!$T$2)*'Country File'!$P$2),"N/A")</f>
        <v>0</v>
      </c>
      <c r="AV11" s="713">
        <f t="shared" si="14"/>
        <v>0</v>
      </c>
      <c r="AW11" s="667">
        <v>0</v>
      </c>
      <c r="AX11" s="668" t="s">
        <v>1411</v>
      </c>
      <c r="AY11" s="715">
        <v>0</v>
      </c>
      <c r="AZ11" s="716">
        <f t="shared" si="15"/>
        <v>0</v>
      </c>
      <c r="BA11" s="671">
        <f t="shared" si="16"/>
        <v>1</v>
      </c>
      <c r="BB11" s="709">
        <f>IFERROR((((VLOOKUP($BD11,'Packaging cost'!A:C,3,FALSE))*'Country File'!$P$2)),"tbc")</f>
        <v>480</v>
      </c>
      <c r="BC11" s="710">
        <f t="shared" si="17"/>
        <v>480</v>
      </c>
      <c r="BD11" s="717" t="str">
        <f>IF(H11=0,"",'Configurator Codes'!L133)</f>
        <v>LBX850e2101100111</v>
      </c>
      <c r="BE11" s="718">
        <f>VLOOKUP(BD11,'Common IDs'!A:C,3,FALSE)</f>
        <v>7600000401300</v>
      </c>
      <c r="BF11" s="719">
        <f t="shared" si="18"/>
        <v>84020</v>
      </c>
      <c r="BG11" s="719">
        <f t="shared" si="18"/>
        <v>84020</v>
      </c>
      <c r="BH11" s="720">
        <f t="shared" si="18"/>
        <v>63135</v>
      </c>
    </row>
    <row r="12" spans="1:132" ht="15.75" thickBot="1" x14ac:dyDescent="0.3">
      <c r="A12" s="101" t="s">
        <v>1476</v>
      </c>
      <c r="B12" s="114" t="s">
        <v>1477</v>
      </c>
      <c r="C12" s="529" t="s">
        <v>1474</v>
      </c>
      <c r="D12" s="530" t="s">
        <v>1445</v>
      </c>
      <c r="E12" s="450">
        <v>1</v>
      </c>
      <c r="F12" s="451" t="s">
        <v>1438</v>
      </c>
      <c r="G12" s="451">
        <v>1</v>
      </c>
      <c r="H12" s="592">
        <v>1</v>
      </c>
      <c r="I12" s="721">
        <f>((VLOOKUP($A12,'pricing overview all products'!$A:$B,2,FALSE))*'Country File'!$T$2)*'Country File'!$P$2</f>
        <v>119850</v>
      </c>
      <c r="J12" s="722">
        <f>((VLOOKUP($A12,'pricing overview all products'!$A:$B,2,FALSE))*'Country File'!$T$3)*'Country File'!$P$2</f>
        <v>119850</v>
      </c>
      <c r="K12" s="722">
        <f>(((VLOOKUP($A12,'pricing overview all products'!$A:$B,2,FALSE))*'Country File'!$T$2)*'Country File'!$P$2)*(1-'Applied Discounts'!$C$12)</f>
        <v>89887.5</v>
      </c>
      <c r="L12" s="722">
        <f t="shared" si="0"/>
        <v>119850</v>
      </c>
      <c r="M12" s="722">
        <f t="shared" si="1"/>
        <v>119850</v>
      </c>
      <c r="N12" s="723">
        <f t="shared" si="2"/>
        <v>89887.5</v>
      </c>
      <c r="O12" s="683">
        <v>0</v>
      </c>
      <c r="P12" s="722">
        <f>IFERROR((((VLOOKUP($A12,'pricing overview all products'!$A$1:$M$55,4,FALSE))*'Country File'!$T$2)*'Country File'!$P$2),"N/A")</f>
        <v>8830</v>
      </c>
      <c r="Q12" s="722">
        <f>IFERROR((((VLOOKUP($A12,'pricing overview all products'!$A$1:$M$55,4,FALSE))*'Country File'!$T$3)*'Country File'!$P$2),"N/A")</f>
        <v>8830</v>
      </c>
      <c r="R12" s="722">
        <f>IFERROR((((VLOOKUP($A12,'pricing overview all products'!$A$1:$M$55,4,FALSE))*'Country File'!$T$2)*'Country File'!$P$2)*(1-'Applied Discounts'!$C$12),"N/A")</f>
        <v>6622.5</v>
      </c>
      <c r="S12" s="722">
        <f t="shared" si="3"/>
        <v>0</v>
      </c>
      <c r="T12" s="722">
        <f t="shared" si="4"/>
        <v>0</v>
      </c>
      <c r="U12" s="723">
        <f t="shared" si="5"/>
        <v>0</v>
      </c>
      <c r="V12" s="683">
        <v>0</v>
      </c>
      <c r="W12" s="724">
        <f>IFERROR((((VLOOKUP($A12,'pricing overview all products'!$A$1:$M$55,6,FALSE))*'Country File'!$T$2)*'Country File'!$P$2),"N/A")</f>
        <v>8650</v>
      </c>
      <c r="X12" s="722">
        <f>IFERROR((((VLOOKUP($A12,'pricing overview all products'!$A$1:$M$55,6,FALSE))*'Country File'!$T$3)*'Country File'!$P$2),"N/A")</f>
        <v>8650</v>
      </c>
      <c r="Y12" s="722">
        <f>IFERROR((((VLOOKUP($A12,'pricing overview all products'!$A$1:$M$55,6,FALSE))*'Country File'!$T$2)*'Country File'!$P$2)*(1-'Applied Discounts'!$C$12),"N/A")</f>
        <v>6487.5</v>
      </c>
      <c r="Z12" s="722">
        <f t="shared" si="6"/>
        <v>0</v>
      </c>
      <c r="AA12" s="722">
        <f t="shared" si="6"/>
        <v>0</v>
      </c>
      <c r="AB12" s="723">
        <f t="shared" si="6"/>
        <v>0</v>
      </c>
      <c r="AC12" s="725">
        <v>1</v>
      </c>
      <c r="AD12" s="726">
        <f>IFERROR((((VLOOKUP($A12,'pricing overview all products'!$A$1:$M$55,8,FALSE))*'Country File'!$T$2)*'Country File'!$P$2),"N/A")</f>
        <v>0</v>
      </c>
      <c r="AE12" s="726">
        <f>IFERROR((((VLOOKUP($A12,'pricing overview all products'!$A$1:$M$55,8,FALSE))*'Country File'!$T$3)*'Country File'!$P$2),"N/A")</f>
        <v>0</v>
      </c>
      <c r="AF12" s="726" t="str">
        <f>IFERROR((((VLOOKUP($A12,'pricing overview all products'!$A$1:$M$55,8,FALSE))*'Country File'!$T$2)*'Country File'!$P$2)*(1-#REF!),"N/A")</f>
        <v>N/A</v>
      </c>
      <c r="AG12" s="726">
        <f t="shared" si="7"/>
        <v>0</v>
      </c>
      <c r="AH12" s="726">
        <f t="shared" si="8"/>
        <v>0</v>
      </c>
      <c r="AI12" s="727">
        <f t="shared" si="9"/>
        <v>0</v>
      </c>
      <c r="AJ12" s="683">
        <v>0</v>
      </c>
      <c r="AK12" s="722">
        <f>IFERROR((((VLOOKUP($A12,'pricing overview all products'!$A$1:$M$55,10,FALSE))*'Country File'!$T$2)*'Country File'!$P$2),"N/A")</f>
        <v>24610</v>
      </c>
      <c r="AL12" s="722">
        <f>IFERROR((((VLOOKUP($A12,'pricing overview all products'!$A$1:$M$55,10,FALSE))*'Country File'!$T$3)*'Country File'!$P$2),"N/A")</f>
        <v>24610</v>
      </c>
      <c r="AM12" s="722">
        <f>IFERROR((((VLOOKUP($A12,'pricing overview all products'!$A$1:$M$55,10,FALSE))*'Country File'!$T$2)*'Country File'!$P$2)*(1-'Applied Discounts'!$C$12),"N/A")</f>
        <v>18457.5</v>
      </c>
      <c r="AN12" s="722">
        <f t="shared" si="10"/>
        <v>0</v>
      </c>
      <c r="AO12" s="722">
        <f t="shared" si="11"/>
        <v>0</v>
      </c>
      <c r="AP12" s="723">
        <f t="shared" si="12"/>
        <v>0</v>
      </c>
      <c r="AQ12" s="686">
        <v>0</v>
      </c>
      <c r="AR12" s="726" t="str">
        <f>IFERROR((((VLOOKUP($A12,'pricing overview all products'!$A$1:$N$55,12,FALSE))*'Country File'!$T$2)*'Country File'!$P$2),"N/A")</f>
        <v>N/A</v>
      </c>
      <c r="AS12" s="726">
        <f t="shared" si="13"/>
        <v>0</v>
      </c>
      <c r="AT12" s="688">
        <v>0</v>
      </c>
      <c r="AU12" s="726">
        <f>IFERROR((((VLOOKUP($A12,'pricing overview all products'!$A$1:$N$55,14,FALSE))*'Country File'!$T$2)*'Country File'!$P$2),"N/A")</f>
        <v>0</v>
      </c>
      <c r="AV12" s="726">
        <f t="shared" si="14"/>
        <v>0</v>
      </c>
      <c r="AW12" s="728">
        <v>0</v>
      </c>
      <c r="AX12" s="729" t="s">
        <v>1411</v>
      </c>
      <c r="AY12" s="730">
        <v>0</v>
      </c>
      <c r="AZ12" s="731">
        <f t="shared" ref="AZ12" si="19">IFERROR((AX12*AY12),0)</f>
        <v>0</v>
      </c>
      <c r="BA12" s="693">
        <f t="shared" si="16"/>
        <v>1</v>
      </c>
      <c r="BB12" s="722">
        <f>IFERROR((((VLOOKUP($BD12,'Packaging cost'!A:C,3,FALSE))*'Country File'!$P$2)),"tbc")</f>
        <v>590</v>
      </c>
      <c r="BC12" s="723">
        <f t="shared" si="17"/>
        <v>590</v>
      </c>
      <c r="BD12" s="732" t="str">
        <f>IF(H12=0,"",'Configurator Codes'!L135)</f>
        <v>LBX1500e2101100111</v>
      </c>
      <c r="BE12" s="733">
        <f>VLOOKUP(BD12,'Common IDs'!A:C,3,FALSE)</f>
        <v>7600000401311</v>
      </c>
      <c r="BF12" s="734">
        <f t="shared" si="18"/>
        <v>120440</v>
      </c>
      <c r="BG12" s="734">
        <f t="shared" si="18"/>
        <v>120440</v>
      </c>
      <c r="BH12" s="735">
        <f t="shared" si="18"/>
        <v>90477.5</v>
      </c>
    </row>
    <row r="13" spans="1:132" s="150" customFormat="1" x14ac:dyDescent="0.25">
      <c r="C13" s="151"/>
      <c r="D13" s="151"/>
      <c r="E13" s="151"/>
      <c r="F13" s="151"/>
      <c r="G13" s="151"/>
      <c r="BG13" s="151"/>
      <c r="BH13" s="151"/>
    </row>
    <row r="14" spans="1:132" s="150" customFormat="1" x14ac:dyDescent="0.25">
      <c r="C14" s="151"/>
      <c r="D14" s="151"/>
      <c r="E14" s="151"/>
      <c r="F14" s="151"/>
      <c r="G14" s="151"/>
      <c r="BG14" s="151"/>
      <c r="BH14" s="151"/>
    </row>
    <row r="15" spans="1:132" s="150" customFormat="1" x14ac:dyDescent="0.25">
      <c r="C15" s="151"/>
      <c r="D15" s="151"/>
      <c r="E15" s="151"/>
      <c r="F15" s="151"/>
      <c r="G15" s="151"/>
      <c r="BG15" s="151"/>
      <c r="BH15" s="151"/>
    </row>
    <row r="16" spans="1:132" s="150" customFormat="1" x14ac:dyDescent="0.25">
      <c r="C16" s="151"/>
      <c r="D16" s="151"/>
      <c r="E16" s="151"/>
      <c r="F16" s="151"/>
      <c r="G16" s="151"/>
      <c r="BG16" s="151"/>
      <c r="BH16" s="151"/>
    </row>
    <row r="17" spans="3:60" s="150" customFormat="1" x14ac:dyDescent="0.25">
      <c r="C17" s="151"/>
      <c r="D17" s="151"/>
      <c r="E17" s="151"/>
      <c r="F17" s="151"/>
      <c r="G17" s="151"/>
      <c r="BG17" s="151"/>
      <c r="BH17" s="151"/>
    </row>
    <row r="18" spans="3:60" s="150" customFormat="1" x14ac:dyDescent="0.25">
      <c r="C18" s="151"/>
      <c r="D18" s="151"/>
      <c r="E18" s="151"/>
      <c r="F18" s="151"/>
      <c r="G18" s="151"/>
      <c r="BG18" s="151"/>
      <c r="BH18" s="151"/>
    </row>
    <row r="19" spans="3:60" s="150" customFormat="1" x14ac:dyDescent="0.25">
      <c r="C19" s="151"/>
      <c r="D19" s="151"/>
      <c r="E19" s="151"/>
      <c r="F19" s="151"/>
      <c r="G19" s="151"/>
      <c r="BG19" s="151"/>
      <c r="BH19" s="151"/>
    </row>
    <row r="20" spans="3:60" s="150" customFormat="1" x14ac:dyDescent="0.25">
      <c r="C20" s="151"/>
      <c r="D20" s="151"/>
      <c r="E20" s="151"/>
      <c r="F20" s="151"/>
      <c r="G20" s="151"/>
      <c r="BG20" s="151"/>
      <c r="BH20" s="151"/>
    </row>
    <row r="21" spans="3:60" s="150" customFormat="1" x14ac:dyDescent="0.25">
      <c r="C21" s="151"/>
      <c r="D21" s="151"/>
      <c r="E21" s="151"/>
      <c r="F21" s="151"/>
      <c r="G21" s="151"/>
      <c r="BG21" s="151"/>
      <c r="BH21" s="151"/>
    </row>
    <row r="22" spans="3:60" s="150" customFormat="1" x14ac:dyDescent="0.25">
      <c r="C22" s="151"/>
      <c r="D22" s="151"/>
      <c r="E22" s="151"/>
      <c r="F22" s="151"/>
      <c r="G22" s="151"/>
      <c r="BG22" s="151"/>
      <c r="BH22" s="151"/>
    </row>
    <row r="23" spans="3:60" s="150" customFormat="1" x14ac:dyDescent="0.25">
      <c r="C23" s="151"/>
      <c r="D23" s="151"/>
      <c r="E23" s="151"/>
      <c r="F23" s="151"/>
      <c r="G23" s="151"/>
      <c r="BG23" s="151"/>
      <c r="BH23" s="151"/>
    </row>
    <row r="24" spans="3:60" s="150" customFormat="1" x14ac:dyDescent="0.25">
      <c r="C24" s="151"/>
      <c r="D24" s="151"/>
      <c r="E24" s="151"/>
      <c r="F24" s="151"/>
      <c r="G24" s="151"/>
      <c r="BG24" s="151"/>
      <c r="BH24" s="151"/>
    </row>
    <row r="25" spans="3:60" s="150" customFormat="1" x14ac:dyDescent="0.25">
      <c r="C25" s="151"/>
      <c r="D25" s="151"/>
      <c r="E25" s="151"/>
      <c r="F25" s="151"/>
      <c r="G25" s="151"/>
      <c r="BG25" s="151"/>
      <c r="BH25" s="151"/>
    </row>
    <row r="26" spans="3:60" s="150" customFormat="1" x14ac:dyDescent="0.25">
      <c r="C26" s="151"/>
      <c r="D26" s="151"/>
      <c r="E26" s="151"/>
      <c r="F26" s="151"/>
      <c r="G26" s="151"/>
      <c r="BG26" s="151"/>
      <c r="BH26" s="151"/>
    </row>
    <row r="27" spans="3:60" s="150" customFormat="1" x14ac:dyDescent="0.25">
      <c r="C27" s="151"/>
      <c r="D27" s="151"/>
      <c r="E27" s="151"/>
      <c r="F27" s="151"/>
      <c r="G27" s="151"/>
      <c r="BG27" s="151"/>
      <c r="BH27" s="151"/>
    </row>
    <row r="28" spans="3:60" s="150" customFormat="1" x14ac:dyDescent="0.25">
      <c r="C28" s="151"/>
      <c r="D28" s="151"/>
      <c r="E28" s="151"/>
      <c r="F28" s="151"/>
      <c r="G28" s="151"/>
      <c r="BG28" s="151"/>
      <c r="BH28" s="151"/>
    </row>
    <row r="29" spans="3:60" s="150" customFormat="1" x14ac:dyDescent="0.25">
      <c r="C29" s="151"/>
      <c r="D29" s="151"/>
      <c r="E29" s="151"/>
      <c r="F29" s="151"/>
      <c r="G29" s="151"/>
      <c r="BG29" s="151"/>
      <c r="BH29" s="151"/>
    </row>
    <row r="30" spans="3:60" s="150" customFormat="1" x14ac:dyDescent="0.25">
      <c r="C30" s="151"/>
      <c r="D30" s="151"/>
      <c r="E30" s="151"/>
      <c r="F30" s="151"/>
      <c r="G30" s="151"/>
      <c r="BG30" s="151"/>
      <c r="BH30" s="151"/>
    </row>
    <row r="31" spans="3:60" s="150" customFormat="1" x14ac:dyDescent="0.25">
      <c r="C31" s="151"/>
      <c r="D31" s="151"/>
      <c r="E31" s="151"/>
      <c r="F31" s="151"/>
      <c r="G31" s="151"/>
      <c r="BG31" s="151"/>
      <c r="BH31" s="151"/>
    </row>
    <row r="32" spans="3:60" s="150" customFormat="1" x14ac:dyDescent="0.25">
      <c r="C32" s="151"/>
      <c r="D32" s="151"/>
      <c r="E32" s="151"/>
      <c r="F32" s="151"/>
      <c r="G32" s="151"/>
      <c r="BG32" s="151"/>
      <c r="BH32" s="151"/>
    </row>
    <row r="33" spans="3:60" s="150" customFormat="1" x14ac:dyDescent="0.25">
      <c r="C33" s="151"/>
      <c r="D33" s="151"/>
      <c r="E33" s="151"/>
      <c r="F33" s="151"/>
      <c r="G33" s="151"/>
      <c r="BG33" s="151"/>
      <c r="BH33" s="151"/>
    </row>
    <row r="34" spans="3:60" s="150" customFormat="1" x14ac:dyDescent="0.25">
      <c r="C34" s="151"/>
      <c r="D34" s="151"/>
      <c r="E34" s="151"/>
      <c r="F34" s="151"/>
      <c r="G34" s="151"/>
      <c r="BG34" s="151"/>
      <c r="BH34" s="151"/>
    </row>
    <row r="35" spans="3:60" s="150" customFormat="1" x14ac:dyDescent="0.25">
      <c r="C35" s="151"/>
      <c r="D35" s="151"/>
      <c r="E35" s="151"/>
      <c r="F35" s="151"/>
      <c r="G35" s="151"/>
      <c r="BG35" s="151"/>
      <c r="BH35" s="151"/>
    </row>
    <row r="36" spans="3:60" s="150" customFormat="1" x14ac:dyDescent="0.25">
      <c r="C36" s="151"/>
      <c r="D36" s="151"/>
      <c r="E36" s="151"/>
      <c r="F36" s="151"/>
      <c r="G36" s="151"/>
      <c r="BG36" s="151"/>
      <c r="BH36" s="151"/>
    </row>
    <row r="37" spans="3:60" s="150" customFormat="1" x14ac:dyDescent="0.25">
      <c r="C37" s="151"/>
      <c r="D37" s="151"/>
      <c r="E37" s="151"/>
      <c r="F37" s="151"/>
      <c r="G37" s="151"/>
      <c r="BG37" s="151"/>
      <c r="BH37" s="151"/>
    </row>
    <row r="38" spans="3:60" s="150" customFormat="1" x14ac:dyDescent="0.25">
      <c r="C38" s="151"/>
      <c r="D38" s="151"/>
      <c r="E38" s="151"/>
      <c r="F38" s="151"/>
      <c r="G38" s="151"/>
      <c r="BG38" s="151"/>
      <c r="BH38" s="151"/>
    </row>
    <row r="39" spans="3:60" s="150" customFormat="1" x14ac:dyDescent="0.25">
      <c r="C39" s="151"/>
      <c r="D39" s="151"/>
      <c r="E39" s="151"/>
      <c r="F39" s="151"/>
      <c r="G39" s="151"/>
      <c r="BG39" s="151"/>
      <c r="BH39" s="151"/>
    </row>
    <row r="40" spans="3:60" s="150" customFormat="1" x14ac:dyDescent="0.25">
      <c r="C40" s="151"/>
      <c r="D40" s="151"/>
      <c r="E40" s="151"/>
      <c r="F40" s="151"/>
      <c r="G40" s="151"/>
      <c r="BG40" s="151"/>
      <c r="BH40" s="151"/>
    </row>
    <row r="41" spans="3:60" s="150" customFormat="1" x14ac:dyDescent="0.25">
      <c r="C41" s="151"/>
      <c r="D41" s="151"/>
      <c r="E41" s="151"/>
      <c r="F41" s="151"/>
      <c r="G41" s="151"/>
      <c r="BG41" s="151"/>
      <c r="BH41" s="151"/>
    </row>
    <row r="42" spans="3:60" s="150" customFormat="1" x14ac:dyDescent="0.25">
      <c r="C42" s="151"/>
      <c r="D42" s="151"/>
      <c r="E42" s="151"/>
      <c r="F42" s="151"/>
      <c r="G42" s="151"/>
      <c r="BG42" s="151"/>
      <c r="BH42" s="151"/>
    </row>
    <row r="43" spans="3:60" s="150" customFormat="1" x14ac:dyDescent="0.25">
      <c r="C43" s="151"/>
      <c r="D43" s="151"/>
      <c r="E43" s="151"/>
      <c r="F43" s="151"/>
      <c r="G43" s="151"/>
      <c r="BG43" s="151"/>
      <c r="BH43" s="151"/>
    </row>
    <row r="44" spans="3:60" s="150" customFormat="1" x14ac:dyDescent="0.25">
      <c r="C44" s="151"/>
      <c r="D44" s="151"/>
      <c r="E44" s="151"/>
      <c r="F44" s="151"/>
      <c r="G44" s="151"/>
      <c r="BG44" s="151"/>
      <c r="BH44" s="151"/>
    </row>
    <row r="45" spans="3:60" s="150" customFormat="1" x14ac:dyDescent="0.25">
      <c r="C45" s="151"/>
      <c r="D45" s="151"/>
      <c r="E45" s="151"/>
      <c r="F45" s="151"/>
      <c r="G45" s="151"/>
      <c r="BG45" s="151"/>
      <c r="BH45" s="151"/>
    </row>
    <row r="46" spans="3:60" s="150" customFormat="1" x14ac:dyDescent="0.25">
      <c r="C46" s="151"/>
      <c r="D46" s="151"/>
      <c r="E46" s="151"/>
      <c r="F46" s="151"/>
      <c r="G46" s="151"/>
      <c r="BG46" s="151"/>
      <c r="BH46" s="151"/>
    </row>
    <row r="47" spans="3:60" s="150" customFormat="1" x14ac:dyDescent="0.25">
      <c r="C47" s="151"/>
      <c r="D47" s="151"/>
      <c r="E47" s="151"/>
      <c r="F47" s="151"/>
      <c r="G47" s="151"/>
      <c r="BG47" s="151"/>
      <c r="BH47" s="151"/>
    </row>
    <row r="48" spans="3:60" s="150" customFormat="1" x14ac:dyDescent="0.25">
      <c r="C48" s="151"/>
      <c r="D48" s="151"/>
      <c r="E48" s="151"/>
      <c r="F48" s="151"/>
      <c r="G48" s="151"/>
      <c r="BG48" s="151"/>
      <c r="BH48" s="151"/>
    </row>
    <row r="49" spans="3:60" s="150" customFormat="1" x14ac:dyDescent="0.25">
      <c r="C49" s="151"/>
      <c r="D49" s="151"/>
      <c r="E49" s="151"/>
      <c r="F49" s="151"/>
      <c r="G49" s="151"/>
      <c r="BG49" s="151"/>
      <c r="BH49" s="151"/>
    </row>
    <row r="50" spans="3:60" s="150" customFormat="1" x14ac:dyDescent="0.25">
      <c r="C50" s="151"/>
      <c r="D50" s="151"/>
      <c r="E50" s="151"/>
      <c r="F50" s="151"/>
      <c r="G50" s="151"/>
      <c r="BG50" s="151"/>
      <c r="BH50" s="151"/>
    </row>
    <row r="51" spans="3:60" s="150" customFormat="1" x14ac:dyDescent="0.25">
      <c r="C51" s="151"/>
      <c r="D51" s="151"/>
      <c r="E51" s="151"/>
      <c r="F51" s="151"/>
      <c r="G51" s="151"/>
      <c r="BG51" s="151"/>
      <c r="BH51" s="151"/>
    </row>
  </sheetData>
  <sheetProtection algorithmName="SHA-512" hashValue="Gi8/A9puyeEapdgsUtRFqEeY7TXl1f0d3IqmNBXzH0ybW/hnqANU/H5K6DjcqNh05VshpmVDx+R3NE8YkbOvIw==" saltValue="pcapjdSl2cC0uG8MdTT8+w==" spinCount="100000" sheet="1" objects="1" scenarios="1"/>
  <dataConsolidate/>
  <mergeCells count="15">
    <mergeCell ref="BD3:BD5"/>
    <mergeCell ref="D3:D5"/>
    <mergeCell ref="F3:F5"/>
    <mergeCell ref="A3:A5"/>
    <mergeCell ref="BA4:BC4"/>
    <mergeCell ref="H4:N4"/>
    <mergeCell ref="O4:U4"/>
    <mergeCell ref="AC4:AI4"/>
    <mergeCell ref="AJ4:AP4"/>
    <mergeCell ref="AQ4:AS4"/>
    <mergeCell ref="AT4:AV4"/>
    <mergeCell ref="AW4:AZ4"/>
    <mergeCell ref="V4:AB4"/>
    <mergeCell ref="C3:C5"/>
    <mergeCell ref="H3:BC3"/>
  </mergeCells>
  <dataValidations count="1">
    <dataValidation type="list" allowBlank="1" showInputMessage="1" showErrorMessage="1" sqref="AX6:AX12" xr:uid="{65EB47C7-951E-4999-869F-17C67B3A6299}">
      <formula1>"3m,5m,15m"</formula1>
    </dataValidation>
  </dataValidations>
  <pageMargins left="0.7" right="0.7" top="0.75" bottom="0.75" header="0.3" footer="0.3"/>
  <pageSetup paperSize="9" scale="41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5CBD-848C-4855-AD03-3D86D9BE0674}">
  <sheetPr codeName="Tabelle51">
    <tabColor rgb="FFFFC000"/>
    <pageSetUpPr fitToPage="1"/>
  </sheetPr>
  <dimension ref="A2:CG64"/>
  <sheetViews>
    <sheetView zoomScaleNormal="100" workbookViewId="0">
      <pane xSplit="4" ySplit="5" topLeftCell="E6" activePane="bottomRight" state="frozen"/>
      <selection activeCell="H34" sqref="H34"/>
      <selection pane="topRight" activeCell="H34" sqref="H34"/>
      <selection pane="bottomLeft" activeCell="H34" sqref="H34"/>
      <selection pane="bottomRight" activeCell="AU19" sqref="AU19"/>
    </sheetView>
  </sheetViews>
  <sheetFormatPr defaultColWidth="9.28515625" defaultRowHeight="15" outlineLevelCol="1" x14ac:dyDescent="0.25"/>
  <cols>
    <col min="1" max="1" width="14.28515625" bestFit="1" customWidth="1"/>
    <col min="2" max="2" width="0" hidden="1" customWidth="1"/>
    <col min="3" max="3" width="5.5703125" customWidth="1"/>
    <col min="5" max="5" width="21.42578125" customWidth="1"/>
    <col min="6" max="6" width="20.42578125" hidden="1" customWidth="1"/>
    <col min="7" max="7" width="16.5703125" hidden="1" customWidth="1"/>
    <col min="8" max="8" width="7.5703125" customWidth="1"/>
    <col min="9" max="9" width="11.140625" customWidth="1"/>
    <col min="10" max="10" width="20.5703125" hidden="1" customWidth="1"/>
    <col min="11" max="11" width="16" customWidth="1"/>
    <col min="12" max="12" width="10.7109375" customWidth="1"/>
    <col min="13" max="13" width="16.42578125" hidden="1" customWidth="1"/>
    <col min="14" max="14" width="16" bestFit="1" customWidth="1"/>
    <col min="15" max="15" width="6.85546875" bestFit="1" customWidth="1"/>
    <col min="16" max="16" width="12" customWidth="1"/>
    <col min="17" max="17" width="17.5703125" hidden="1" customWidth="1"/>
    <col min="18" max="18" width="16" customWidth="1"/>
    <col min="19" max="19" width="10.7109375" customWidth="1"/>
    <col min="20" max="20" width="16.42578125" hidden="1" customWidth="1"/>
    <col min="21" max="21" width="16" bestFit="1" customWidth="1"/>
    <col min="22" max="22" width="9.28515625" hidden="1" customWidth="1"/>
    <col min="23" max="23" width="13.7109375" hidden="1" customWidth="1"/>
    <col min="24" max="24" width="20.7109375" hidden="1" customWidth="1"/>
    <col min="25" max="25" width="10.5703125" hidden="1" customWidth="1"/>
    <col min="26" max="26" width="13.7109375" hidden="1" customWidth="1"/>
    <col min="27" max="27" width="21.28515625" hidden="1" customWidth="1"/>
    <col min="28" max="28" width="9.28515625" hidden="1" customWidth="1"/>
    <col min="29" max="35" width="11.42578125" hidden="1" customWidth="1"/>
    <col min="36" max="36" width="9.28515625" hidden="1" customWidth="1" outlineLevel="1"/>
    <col min="37" max="37" width="10.42578125" hidden="1" customWidth="1" outlineLevel="1"/>
    <col min="38" max="39" width="9.28515625" hidden="1" customWidth="1" outlineLevel="1"/>
    <col min="40" max="40" width="10.42578125" hidden="1" customWidth="1" outlineLevel="1"/>
    <col min="41" max="44" width="9.28515625" hidden="1" customWidth="1" outlineLevel="1"/>
    <col min="45" max="45" width="2.28515625" hidden="1" customWidth="1" outlineLevel="1"/>
    <col min="46" max="46" width="6.85546875" bestFit="1" customWidth="1" collapsed="1"/>
    <col min="47" max="47" width="12.5703125" customWidth="1"/>
    <col min="48" max="48" width="17.7109375" hidden="1" customWidth="1"/>
    <col min="49" max="49" width="16" customWidth="1"/>
    <col min="50" max="50" width="10.7109375" customWidth="1"/>
    <col min="51" max="51" width="17.28515625" hidden="1" customWidth="1"/>
    <col min="52" max="52" width="16" bestFit="1" customWidth="1"/>
    <col min="53" max="53" width="6.85546875" bestFit="1" customWidth="1"/>
    <col min="54" max="54" width="7.5703125" customWidth="1"/>
    <col min="55" max="55" width="8" customWidth="1"/>
    <col min="56" max="56" width="18.5703125" customWidth="1"/>
    <col min="57" max="57" width="15.5703125" customWidth="1"/>
    <col min="58" max="58" width="11.42578125" customWidth="1"/>
    <col min="59" max="59" width="20.7109375" hidden="1" customWidth="1"/>
    <col min="60" max="60" width="17.5703125" style="44" customWidth="1"/>
    <col min="61" max="62" width="9.28515625" style="150" customWidth="1"/>
    <col min="63" max="85" width="9.28515625" style="150"/>
  </cols>
  <sheetData>
    <row r="2" spans="1:85" ht="15.75" thickBot="1" x14ac:dyDescent="0.3"/>
    <row r="3" spans="1:85" ht="30.75" thickBot="1" x14ac:dyDescent="0.3">
      <c r="A3" s="1056" t="s">
        <v>1</v>
      </c>
      <c r="B3" s="1072"/>
      <c r="C3" s="1059" t="s">
        <v>1457</v>
      </c>
      <c r="D3" s="1062" t="s">
        <v>1374</v>
      </c>
      <c r="E3" s="1062" t="s">
        <v>1478</v>
      </c>
      <c r="F3" s="109"/>
      <c r="G3" s="4"/>
      <c r="H3" s="1044" t="str">
        <f>_xlfn.CONCAT("Prices in ",'Applied Discounts'!$C$5)</f>
        <v>Prices in EUR</v>
      </c>
      <c r="I3" s="1045"/>
      <c r="J3" s="1045"/>
      <c r="K3" s="1045"/>
      <c r="L3" s="1045"/>
      <c r="M3" s="1045"/>
      <c r="N3" s="1045"/>
      <c r="O3" s="1045"/>
      <c r="P3" s="1045"/>
      <c r="Q3" s="1045"/>
      <c r="R3" s="1045"/>
      <c r="S3" s="1045"/>
      <c r="T3" s="1045"/>
      <c r="U3" s="1045"/>
      <c r="V3" s="1045"/>
      <c r="W3" s="1045"/>
      <c r="X3" s="1045"/>
      <c r="Y3" s="1045"/>
      <c r="Z3" s="1045"/>
      <c r="AA3" s="1045"/>
      <c r="AB3" s="1045"/>
      <c r="AC3" s="1045"/>
      <c r="AD3" s="1045"/>
      <c r="AE3" s="1045"/>
      <c r="AF3" s="1045"/>
      <c r="AG3" s="1045"/>
      <c r="AH3" s="1045"/>
      <c r="AI3" s="1045"/>
      <c r="AJ3" s="1045"/>
      <c r="AK3" s="1045"/>
      <c r="AL3" s="1045"/>
      <c r="AM3" s="1045"/>
      <c r="AN3" s="1045"/>
      <c r="AO3" s="1045"/>
      <c r="AP3" s="1045"/>
      <c r="AQ3" s="1045"/>
      <c r="AR3" s="1045"/>
      <c r="AS3" s="1045"/>
      <c r="AT3" s="1045"/>
      <c r="AU3" s="1045"/>
      <c r="AV3" s="1045"/>
      <c r="AW3" s="1045"/>
      <c r="AX3" s="1045"/>
      <c r="AY3" s="1045"/>
      <c r="AZ3" s="1045"/>
      <c r="BA3" s="1045"/>
      <c r="BB3" s="1045"/>
      <c r="BC3" s="1046"/>
      <c r="BD3" s="1054" t="s">
        <v>1378</v>
      </c>
      <c r="BE3" s="440" t="s">
        <v>1379</v>
      </c>
      <c r="BF3" s="238" t="s">
        <v>1380</v>
      </c>
      <c r="BG3" s="239" t="s">
        <v>1381</v>
      </c>
      <c r="BH3" s="239" t="s">
        <v>1382</v>
      </c>
    </row>
    <row r="4" spans="1:85" ht="15.75" thickBot="1" x14ac:dyDescent="0.3">
      <c r="A4" s="1057"/>
      <c r="B4" s="1073"/>
      <c r="C4" s="1060"/>
      <c r="D4" s="1063"/>
      <c r="E4" s="1063"/>
      <c r="F4" s="249" t="s">
        <v>1479</v>
      </c>
      <c r="G4" s="5" t="s">
        <v>1377</v>
      </c>
      <c r="H4" s="1066" t="s">
        <v>1383</v>
      </c>
      <c r="I4" s="1067"/>
      <c r="J4" s="1067"/>
      <c r="K4" s="1067"/>
      <c r="L4" s="1067"/>
      <c r="M4" s="1067"/>
      <c r="N4" s="1068"/>
      <c r="O4" s="1066" t="s">
        <v>1384</v>
      </c>
      <c r="P4" s="1067"/>
      <c r="Q4" s="1067"/>
      <c r="R4" s="1067"/>
      <c r="S4" s="1067"/>
      <c r="T4" s="1067"/>
      <c r="U4" s="1068"/>
      <c r="V4" s="1069" t="s">
        <v>1385</v>
      </c>
      <c r="W4" s="1070"/>
      <c r="X4" s="1070"/>
      <c r="Y4" s="1070"/>
      <c r="Z4" s="1070"/>
      <c r="AA4" s="1070"/>
      <c r="AB4" s="1071"/>
      <c r="AC4" s="1069" t="s">
        <v>1387</v>
      </c>
      <c r="AD4" s="1070"/>
      <c r="AE4" s="1070"/>
      <c r="AF4" s="1070"/>
      <c r="AG4" s="1070"/>
      <c r="AH4" s="1070"/>
      <c r="AI4" s="1071"/>
      <c r="AJ4" s="1069" t="s">
        <v>489</v>
      </c>
      <c r="AK4" s="1070"/>
      <c r="AL4" s="1071"/>
      <c r="AM4" s="1069" t="s">
        <v>1388</v>
      </c>
      <c r="AN4" s="1070"/>
      <c r="AO4" s="1071"/>
      <c r="AP4" s="1066" t="s">
        <v>1389</v>
      </c>
      <c r="AQ4" s="1067"/>
      <c r="AR4" s="1067"/>
      <c r="AS4" s="1067"/>
      <c r="AT4" s="1074" t="s">
        <v>1459</v>
      </c>
      <c r="AU4" s="1075"/>
      <c r="AV4" s="1075"/>
      <c r="AW4" s="1075"/>
      <c r="AX4" s="1075"/>
      <c r="AY4" s="1075"/>
      <c r="AZ4" s="1076"/>
      <c r="BA4" s="1039" t="s">
        <v>1390</v>
      </c>
      <c r="BB4" s="1040"/>
      <c r="BC4" s="1065"/>
      <c r="BD4" s="1055"/>
      <c r="BE4" s="594" t="s">
        <v>1391</v>
      </c>
      <c r="BF4" s="138" t="str">
        <f>'Applied Discounts'!$C$5</f>
        <v>EUR</v>
      </c>
      <c r="BG4" s="256" t="e">
        <f>#REF!</f>
        <v>#REF!</v>
      </c>
      <c r="BH4" s="138" t="str">
        <f>'Applied Discounts'!$C$5</f>
        <v>EUR</v>
      </c>
    </row>
    <row r="5" spans="1:85" s="31" customFormat="1" ht="39.75" customHeight="1" thickBot="1" x14ac:dyDescent="0.3">
      <c r="A5" s="1058"/>
      <c r="B5" s="511"/>
      <c r="C5" s="1061"/>
      <c r="D5" s="1064"/>
      <c r="E5" s="1064"/>
      <c r="F5" s="110"/>
      <c r="G5" s="110"/>
      <c r="H5" s="512" t="s">
        <v>1393</v>
      </c>
      <c r="I5" s="504" t="s">
        <v>1394</v>
      </c>
      <c r="J5" s="513" t="s">
        <v>1398</v>
      </c>
      <c r="K5" s="513" t="s">
        <v>1399</v>
      </c>
      <c r="L5" s="513" t="s">
        <v>1380</v>
      </c>
      <c r="M5" s="513" t="s">
        <v>1381</v>
      </c>
      <c r="N5" s="515" t="s">
        <v>1382</v>
      </c>
      <c r="O5" s="512" t="s">
        <v>1393</v>
      </c>
      <c r="P5" s="504" t="s">
        <v>1394</v>
      </c>
      <c r="Q5" s="513" t="s">
        <v>1398</v>
      </c>
      <c r="R5" s="513" t="s">
        <v>1399</v>
      </c>
      <c r="S5" s="513" t="s">
        <v>1380</v>
      </c>
      <c r="T5" s="513" t="s">
        <v>1381</v>
      </c>
      <c r="U5" s="515" t="s">
        <v>1382</v>
      </c>
      <c r="V5" s="516" t="s">
        <v>1393</v>
      </c>
      <c r="W5" s="517" t="s">
        <v>1397</v>
      </c>
      <c r="X5" s="517" t="s">
        <v>1398</v>
      </c>
      <c r="Y5" s="517" t="s">
        <v>1399</v>
      </c>
      <c r="Z5" s="517" t="s">
        <v>1380</v>
      </c>
      <c r="AA5" s="517" t="s">
        <v>1381</v>
      </c>
      <c r="AB5" s="518" t="s">
        <v>1382</v>
      </c>
      <c r="AC5" s="512" t="s">
        <v>1393</v>
      </c>
      <c r="AD5" s="517" t="s">
        <v>1397</v>
      </c>
      <c r="AE5" s="517" t="s">
        <v>1398</v>
      </c>
      <c r="AF5" s="517" t="s">
        <v>1399</v>
      </c>
      <c r="AG5" s="517" t="s">
        <v>1380</v>
      </c>
      <c r="AH5" s="517" t="s">
        <v>1381</v>
      </c>
      <c r="AI5" s="518" t="s">
        <v>1382</v>
      </c>
      <c r="AJ5" s="512" t="s">
        <v>1393</v>
      </c>
      <c r="AK5" s="443" t="s">
        <v>1400</v>
      </c>
      <c r="AL5" s="443" t="s">
        <v>1401</v>
      </c>
      <c r="AM5" s="444" t="s">
        <v>1393</v>
      </c>
      <c r="AN5" s="442" t="s">
        <v>1400</v>
      </c>
      <c r="AO5" s="443" t="s">
        <v>1401</v>
      </c>
      <c r="AP5" s="444"/>
      <c r="AQ5" s="442"/>
      <c r="AR5" s="443"/>
      <c r="AS5" s="442"/>
      <c r="AT5" s="512" t="s">
        <v>1393</v>
      </c>
      <c r="AU5" s="504" t="s">
        <v>1394</v>
      </c>
      <c r="AV5" s="513" t="s">
        <v>1398</v>
      </c>
      <c r="AW5" s="513" t="s">
        <v>1399</v>
      </c>
      <c r="AX5" s="513" t="s">
        <v>1380</v>
      </c>
      <c r="AY5" s="513" t="s">
        <v>1381</v>
      </c>
      <c r="AZ5" s="515" t="s">
        <v>1382</v>
      </c>
      <c r="BA5" s="586" t="s">
        <v>1393</v>
      </c>
      <c r="BB5" s="587" t="s">
        <v>1400</v>
      </c>
      <c r="BC5" s="625" t="s">
        <v>1401</v>
      </c>
      <c r="BD5" s="1055"/>
      <c r="BE5" s="582"/>
      <c r="BF5" s="581"/>
      <c r="BG5" s="507"/>
      <c r="BH5" s="507"/>
      <c r="BI5" s="245"/>
      <c r="BJ5" s="245"/>
      <c r="BK5" s="245"/>
      <c r="BL5" s="245"/>
      <c r="BM5" s="245"/>
      <c r="BN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Y5" s="245"/>
      <c r="BZ5" s="245"/>
      <c r="CA5" s="245"/>
      <c r="CB5" s="245"/>
      <c r="CC5" s="245"/>
      <c r="CD5" s="245"/>
      <c r="CE5" s="245"/>
      <c r="CF5" s="245"/>
      <c r="CG5" s="245"/>
    </row>
    <row r="6" spans="1:85" x14ac:dyDescent="0.25">
      <c r="A6" s="521" t="s">
        <v>1480</v>
      </c>
      <c r="B6" s="522" t="s">
        <v>1481</v>
      </c>
      <c r="C6" s="523" t="s">
        <v>1462</v>
      </c>
      <c r="D6" s="524" t="s">
        <v>1418</v>
      </c>
      <c r="E6" s="455" t="s">
        <v>1482</v>
      </c>
      <c r="F6" s="456"/>
      <c r="G6" s="457">
        <v>1</v>
      </c>
      <c r="H6" s="525">
        <v>1</v>
      </c>
      <c r="I6" s="635">
        <f>((VLOOKUP($A6,'pricing overview all products'!$A:$B,2,FALSE))*'Country File'!$T$2)*'Country File'!$P$2</f>
        <v>9360</v>
      </c>
      <c r="J6" s="635">
        <f>((VLOOKUP($A6,'pricing overview all products'!$A:$B,2,FALSE))*'Country File'!$T$3)*'Country File'!$P$2</f>
        <v>9360</v>
      </c>
      <c r="K6" s="635">
        <f>(((VLOOKUP($A6,'pricing overview all products'!$A:$B,2,FALSE))*'Country File'!$T$2)*'Country File'!$P$2)*(1-'Applied Discounts'!$C$10)</f>
        <v>7020</v>
      </c>
      <c r="L6" s="635">
        <f>$H6*I6</f>
        <v>9360</v>
      </c>
      <c r="M6" s="635">
        <f>$H6*J6</f>
        <v>9360</v>
      </c>
      <c r="N6" s="639">
        <f>$H6*K6</f>
        <v>7020</v>
      </c>
      <c r="O6" s="736">
        <v>0</v>
      </c>
      <c r="P6" s="635">
        <f>IFERROR((((VLOOKUP($A6,'pricing overview all products'!$A$1:$M$55,4,FALSE))*'Country File'!$T$2)*'Country File'!$P$2),"N/A")</f>
        <v>1720</v>
      </c>
      <c r="Q6" s="635">
        <f>IFERROR((((VLOOKUP($A6,'pricing overview all products'!$A$1:$M$55,4,FALSE))*'Country File'!$T$3)*'Country File'!$P$2),"N/A")</f>
        <v>1720</v>
      </c>
      <c r="R6" s="635">
        <f>IFERROR((((VLOOKUP($A6,'pricing overview all products'!$A$1:$M$55,4,FALSE))*'Country File'!$T$2)*'Country File'!$P$2)*(1-'Applied Discounts'!$C$10),"N/A")</f>
        <v>1290</v>
      </c>
      <c r="S6" s="635">
        <f>IFERROR(($O6*P6),0)</f>
        <v>0</v>
      </c>
      <c r="T6" s="635">
        <f>IFERROR(($O6*Q6),0)</f>
        <v>0</v>
      </c>
      <c r="U6" s="639">
        <f>IFERROR(($O6*R6),0)</f>
        <v>0</v>
      </c>
      <c r="V6" s="737">
        <v>0</v>
      </c>
      <c r="W6" s="639">
        <f>IFERROR((((VLOOKUP($A6,'pricing overview all products'!$A$1:$M$55,8,FALSE))*'Country File'!$T$2)*'Country File'!$P$2),"N/A")</f>
        <v>0</v>
      </c>
      <c r="X6" s="639">
        <f>IFERROR((((VLOOKUP($A6,'pricing overview all products'!$A$1:$M$55,8,FALSE))*'Country File'!$T$3)*'Country File'!$P$2),"N/A")</f>
        <v>0</v>
      </c>
      <c r="Y6" s="639" t="str">
        <f>IFERROR((((VLOOKUP($A6,'pricing overview all products'!$A$1:$M$55,8,FALSE))*'Country File'!$T$2)*'Country File'!$P$2)*(1-#REF!),"N/A")</f>
        <v>N/A</v>
      </c>
      <c r="Z6" s="639">
        <f>IFERROR(($V6*W6),0)</f>
        <v>0</v>
      </c>
      <c r="AA6" s="639">
        <f>IFERROR(($V6*X6),0)</f>
        <v>0</v>
      </c>
      <c r="AB6" s="639">
        <f>IFERROR(($V6*Y6),0)</f>
        <v>0</v>
      </c>
      <c r="AC6" s="738">
        <v>0</v>
      </c>
      <c r="AD6" s="639" t="str">
        <f>IFERROR((((VLOOKUP($A6,'pricing overview all products'!$A$1:$M$55,10,FALSE))*'Country File'!$T$2)*'Country File'!$P$2),"N/A")</f>
        <v>N/A</v>
      </c>
      <c r="AE6" s="639" t="str">
        <f>IFERROR((((VLOOKUP($A6,'pricing overview all products'!$A$1:$M$55,10,FALSE))*'Country File'!$T$3)*'Country File'!$P$2),"N/A")</f>
        <v>N/A</v>
      </c>
      <c r="AF6" s="639" t="str">
        <f>IFERROR((((VLOOKUP($A6,'pricing overview all products'!$A$1:$M$55,10,FALSE))*'Country File'!$T$2)*'Country File'!$P$2)*(1-#REF!),"N/A")</f>
        <v>N/A</v>
      </c>
      <c r="AG6" s="639">
        <f>IFERROR(($AC6*AD6),0)</f>
        <v>0</v>
      </c>
      <c r="AH6" s="639">
        <f>IFERROR(($AC6*AE6),0)</f>
        <v>0</v>
      </c>
      <c r="AI6" s="639">
        <f>IFERROR(($AC6*AF6),0)</f>
        <v>0</v>
      </c>
      <c r="AJ6" s="739">
        <v>0</v>
      </c>
      <c r="AK6" s="639" t="str">
        <f>IFERROR((((VLOOKUP($A6,'pricing overview all products'!$A$1:$N$55,12,FALSE))*'Country File'!$T$2)*'Country File'!$P$2),"N/A")</f>
        <v>N/A</v>
      </c>
      <c r="AL6" s="639">
        <f>IFERROR((AJ6*AK6),0)</f>
        <v>0</v>
      </c>
      <c r="AM6" s="739">
        <v>0</v>
      </c>
      <c r="AN6" s="639">
        <f>IFERROR((((VLOOKUP($A6,'pricing overview all products'!$A$1:$N$55,14,FALSE))*'Country File'!$T$2)*'Country File'!$P$2),"N/A")</f>
        <v>0</v>
      </c>
      <c r="AO6" s="639">
        <f>IFERROR((AM6*AN6),0)</f>
        <v>0</v>
      </c>
      <c r="AP6" s="740">
        <v>0</v>
      </c>
      <c r="AQ6" s="648" t="s">
        <v>1407</v>
      </c>
      <c r="AR6" s="648"/>
      <c r="AS6" s="741">
        <f t="shared" ref="AS6:AS10" si="0">AP6*AR6</f>
        <v>0</v>
      </c>
      <c r="AT6" s="638">
        <v>0</v>
      </c>
      <c r="AU6" s="635">
        <f>IFERROR((((VLOOKUP($A6,'pricing overview all products'!$A$1:$M$55,6,FALSE))*'Country File'!$T$2)*'Country File'!$P$2),"N/A")</f>
        <v>6950</v>
      </c>
      <c r="AV6" s="635">
        <f>IFERROR((((VLOOKUP($A6,'pricing overview all products'!$A$1:$M$55,6,FALSE))*'Country File'!$T$3)*'Country File'!$P$2),"N/A")</f>
        <v>6950</v>
      </c>
      <c r="AW6" s="635">
        <f>IFERROR((((VLOOKUP($A6,'pricing overview all products'!$A$1:$M$55,6,FALSE))*'Country File'!$T$2)*'Country File'!$P$2)*(1-'Applied Discounts'!$C$10),"N/A")</f>
        <v>5212.5</v>
      </c>
      <c r="AX6" s="635">
        <f t="shared" ref="AX6:AZ10" si="1">IFERROR(($AT6*AU6),0)</f>
        <v>0</v>
      </c>
      <c r="AY6" s="635">
        <f t="shared" si="1"/>
        <v>0</v>
      </c>
      <c r="AZ6" s="639">
        <f t="shared" si="1"/>
        <v>0</v>
      </c>
      <c r="BA6" s="739">
        <f>H6</f>
        <v>1</v>
      </c>
      <c r="BB6" s="635">
        <f>IFERROR((((VLOOKUP($BD6,'Packaging cost'!A:C,3,FALSE))*'Country File'!$P$2)),"tbc")</f>
        <v>160</v>
      </c>
      <c r="BC6" s="639">
        <f>IFERROR((BA6*BB6),0)</f>
        <v>160</v>
      </c>
      <c r="BD6" s="742" t="str">
        <f>IF(H6=0,"",'Configurator Codes'!L143)</f>
        <v>AC27e2132210111</v>
      </c>
      <c r="BE6" s="743">
        <f>VLOOKUP(BD6,'Common IDs'!A:C,3,FALSE)</f>
        <v>7600000401318</v>
      </c>
      <c r="BF6" s="654">
        <f t="shared" ref="BF6:BH10" si="2">L6+AX6+S6+Z6+AG6+$BC6</f>
        <v>9520</v>
      </c>
      <c r="BG6" s="744">
        <f t="shared" si="2"/>
        <v>9520</v>
      </c>
      <c r="BH6" s="744">
        <f t="shared" si="2"/>
        <v>7180</v>
      </c>
    </row>
    <row r="7" spans="1:85" x14ac:dyDescent="0.25">
      <c r="A7" s="458" t="s">
        <v>1483</v>
      </c>
      <c r="B7" s="164" t="s">
        <v>1484</v>
      </c>
      <c r="C7" s="459" t="s">
        <v>1462</v>
      </c>
      <c r="D7" s="460" t="s">
        <v>1463</v>
      </c>
      <c r="E7" s="461" t="s">
        <v>1482</v>
      </c>
      <c r="F7" s="462"/>
      <c r="G7" s="463">
        <v>1</v>
      </c>
      <c r="H7" s="448">
        <v>1</v>
      </c>
      <c r="I7" s="655">
        <f>((VLOOKUP($A7,'pricing overview all products'!$A:$B,2,FALSE))*'Country File'!$T$2)*'Country File'!$P$2</f>
        <v>10890</v>
      </c>
      <c r="J7" s="655">
        <f>((VLOOKUP($A7,'pricing overview all products'!$A:$B,2,FALSE))*'Country File'!$T$3)*'Country File'!$P$2</f>
        <v>10890</v>
      </c>
      <c r="K7" s="655">
        <f>(((VLOOKUP($A7,'pricing overview all products'!$A:$B,2,FALSE))*'Country File'!$T$2)*'Country File'!$P$2)*(1-'Applied Discounts'!$C$10)</f>
        <v>8167.5</v>
      </c>
      <c r="L7" s="655">
        <f t="shared" ref="L7:L10" si="3">$H7*I7</f>
        <v>10890</v>
      </c>
      <c r="M7" s="655">
        <f t="shared" ref="M7:M10" si="4">$H7*J7</f>
        <v>10890</v>
      </c>
      <c r="N7" s="659">
        <f t="shared" ref="N7:N10" si="5">$H7*K7</f>
        <v>8167.5</v>
      </c>
      <c r="O7" s="745">
        <v>0</v>
      </c>
      <c r="P7" s="655">
        <f>IFERROR((((VLOOKUP($A7,'pricing overview all products'!$A$1:$M$55,4,FALSE))*'Country File'!$T$2)*'Country File'!$P$2),"N/A")</f>
        <v>1720</v>
      </c>
      <c r="Q7" s="655">
        <f>IFERROR((((VLOOKUP($A7,'pricing overview all products'!$A$1:$M$55,4,FALSE))*'Country File'!$T$3)*'Country File'!$P$2),"N/A")</f>
        <v>1720</v>
      </c>
      <c r="R7" s="655">
        <f>IFERROR((((VLOOKUP($A7,'pricing overview all products'!$A$1:$M$55,4,FALSE))*'Country File'!$T$2)*'Country File'!$P$2)*(1-'Applied Discounts'!$C$10),"N/A")</f>
        <v>1290</v>
      </c>
      <c r="S7" s="655">
        <f t="shared" ref="S7:S10" si="6">IFERROR(($O7*P7),0)</f>
        <v>0</v>
      </c>
      <c r="T7" s="655">
        <f t="shared" ref="T7:T10" si="7">IFERROR(($O7*Q7),0)</f>
        <v>0</v>
      </c>
      <c r="U7" s="659">
        <f t="shared" ref="U7:U10" si="8">IFERROR(($O7*R7),0)</f>
        <v>0</v>
      </c>
      <c r="V7" s="746">
        <v>0</v>
      </c>
      <c r="W7" s="747">
        <f>IFERROR((((VLOOKUP($A7,'pricing overview all products'!$A$1:$M$55,8,FALSE))*'Country File'!$T$2)*'Country File'!$P$2),"N/A")</f>
        <v>0</v>
      </c>
      <c r="X7" s="747">
        <f>IFERROR((((VLOOKUP($A7,'pricing overview all products'!$A$1:$M$55,8,FALSE))*'Country File'!$T$3)*'Country File'!$P$2),"N/A")</f>
        <v>0</v>
      </c>
      <c r="Y7" s="747" t="str">
        <f>IFERROR((((VLOOKUP($A7,'pricing overview all products'!$A$1:$M$55,8,FALSE))*'Country File'!$T$2)*'Country File'!$P$2)*(1-#REF!),"N/A")</f>
        <v>N/A</v>
      </c>
      <c r="Z7" s="747">
        <f t="shared" ref="Z7:Z10" si="9">IFERROR(($V7*W7),0)</f>
        <v>0</v>
      </c>
      <c r="AA7" s="747">
        <f t="shared" ref="AA7:AA10" si="10">IFERROR(($V7*X7),0)</f>
        <v>0</v>
      </c>
      <c r="AB7" s="747">
        <f t="shared" ref="AB7:AB10" si="11">IFERROR(($V7*Y7),0)</f>
        <v>0</v>
      </c>
      <c r="AC7" s="748">
        <v>0</v>
      </c>
      <c r="AD7" s="747" t="str">
        <f>IFERROR((((VLOOKUP($A7,'pricing overview all products'!$A$1:$M$55,10,FALSE))*'Country File'!$T$2)*'Country File'!$P$2),"N/A")</f>
        <v>N/A</v>
      </c>
      <c r="AE7" s="747" t="str">
        <f>IFERROR((((VLOOKUP($A7,'pricing overview all products'!$A$1:$M$55,10,FALSE))*'Country File'!$T$3)*'Country File'!$P$2),"N/A")</f>
        <v>N/A</v>
      </c>
      <c r="AF7" s="747" t="str">
        <f>IFERROR((((VLOOKUP($A7,'pricing overview all products'!$A$1:$M$55,10,FALSE))*'Country File'!$T$2)*'Country File'!$P$2)*(1-#REF!),"N/A")</f>
        <v>N/A</v>
      </c>
      <c r="AG7" s="747">
        <f t="shared" ref="AG7:AG10" si="12">IFERROR(($AC7*AD7),0)</f>
        <v>0</v>
      </c>
      <c r="AH7" s="747">
        <f t="shared" ref="AH7:AH10" si="13">IFERROR(($AC7*AE7),0)</f>
        <v>0</v>
      </c>
      <c r="AI7" s="747">
        <f t="shared" ref="AI7:AI10" si="14">IFERROR(($AC7*AF7),0)</f>
        <v>0</v>
      </c>
      <c r="AJ7" s="749">
        <v>0</v>
      </c>
      <c r="AK7" s="747" t="str">
        <f>IFERROR((((VLOOKUP($A7,'pricing overview all products'!$A$1:$N$55,12,FALSE))*'Country File'!$T$2)*'Country File'!$P$2),"N/A")</f>
        <v>N/A</v>
      </c>
      <c r="AL7" s="747">
        <f t="shared" ref="AL7:AL10" si="15">IFERROR((AJ7*AK7),0)</f>
        <v>0</v>
      </c>
      <c r="AM7" s="749">
        <v>0</v>
      </c>
      <c r="AN7" s="747">
        <f>IFERROR((((VLOOKUP($A7,'pricing overview all products'!$A$1:$N$55,14,FALSE))*'Country File'!$T$2)*'Country File'!$P$2),"N/A")</f>
        <v>0</v>
      </c>
      <c r="AO7" s="747">
        <f t="shared" ref="AO7:AO10" si="16">IFERROR((AM7*AN7),0)</f>
        <v>0</v>
      </c>
      <c r="AP7" s="750">
        <v>0</v>
      </c>
      <c r="AQ7" s="669" t="s">
        <v>1411</v>
      </c>
      <c r="AR7" s="669"/>
      <c r="AS7" s="751">
        <f t="shared" si="0"/>
        <v>0</v>
      </c>
      <c r="AT7" s="658">
        <v>0</v>
      </c>
      <c r="AU7" s="655">
        <f>IFERROR((((VLOOKUP($A7,'pricing overview all products'!$A$1:$M$55,6,FALSE))*'Country File'!$T$2)*'Country File'!$P$2),"N/A")</f>
        <v>6950</v>
      </c>
      <c r="AV7" s="655">
        <f>IFERROR((((VLOOKUP($A7,'pricing overview all products'!$A$1:$M$55,6,FALSE))*'Country File'!$T$3)*'Country File'!$P$2),"N/A")</f>
        <v>6950</v>
      </c>
      <c r="AW7" s="655">
        <f>IFERROR((((VLOOKUP($A7,'pricing overview all products'!$A$1:$M$55,6,FALSE))*'Country File'!$T$2)*'Country File'!$P$2)*(1-'Applied Discounts'!$C$10),"N/A")</f>
        <v>5212.5</v>
      </c>
      <c r="AX7" s="655">
        <f t="shared" si="1"/>
        <v>0</v>
      </c>
      <c r="AY7" s="655">
        <f t="shared" si="1"/>
        <v>0</v>
      </c>
      <c r="AZ7" s="659">
        <f t="shared" si="1"/>
        <v>0</v>
      </c>
      <c r="BA7" s="752">
        <f>H7</f>
        <v>1</v>
      </c>
      <c r="BB7" s="655">
        <f>IFERROR((((VLOOKUP($BD7,'Packaging cost'!A:C,3,FALSE))*'Country File'!$P$2)),"tbc")</f>
        <v>190</v>
      </c>
      <c r="BC7" s="659">
        <f t="shared" ref="BC7:BC10" si="17">IFERROR((BA7*BB7),0)</f>
        <v>190</v>
      </c>
      <c r="BD7" s="753" t="str">
        <f>IF(H7=0,"",'Configurator Codes'!L144)</f>
        <v>AC160e2132210111</v>
      </c>
      <c r="BE7" s="754">
        <f>VLOOKUP(BD7,'Common IDs'!A:C,3,FALSE)</f>
        <v>7600000401300</v>
      </c>
      <c r="BF7" s="720">
        <f t="shared" si="2"/>
        <v>11080</v>
      </c>
      <c r="BG7" s="755">
        <f t="shared" si="2"/>
        <v>11080</v>
      </c>
      <c r="BH7" s="755">
        <f t="shared" si="2"/>
        <v>8357.5</v>
      </c>
    </row>
    <row r="8" spans="1:85" x14ac:dyDescent="0.25">
      <c r="A8" s="458" t="s">
        <v>1485</v>
      </c>
      <c r="B8" s="164" t="s">
        <v>1486</v>
      </c>
      <c r="C8" s="459" t="s">
        <v>1462</v>
      </c>
      <c r="D8" s="460" t="s">
        <v>1430</v>
      </c>
      <c r="E8" s="461" t="s">
        <v>1482</v>
      </c>
      <c r="F8" s="462"/>
      <c r="G8" s="463">
        <v>1</v>
      </c>
      <c r="H8" s="448">
        <v>1</v>
      </c>
      <c r="I8" s="655">
        <f>((VLOOKUP($A8,'pricing overview all products'!$A:$B,2,FALSE))*'Country File'!$T$2)*'Country File'!$P$2</f>
        <v>13490</v>
      </c>
      <c r="J8" s="655">
        <f>((VLOOKUP($A8,'pricing overview all products'!$A:$B,2,FALSE))*'Country File'!$T$3)*'Country File'!$P$2</f>
        <v>13490</v>
      </c>
      <c r="K8" s="655">
        <f>(((VLOOKUP($A8,'pricing overview all products'!$A:$B,2,FALSE))*'Country File'!$T$2)*'Country File'!$P$2)*(1-'Applied Discounts'!$C$10)</f>
        <v>10117.5</v>
      </c>
      <c r="L8" s="655">
        <f t="shared" si="3"/>
        <v>13490</v>
      </c>
      <c r="M8" s="655">
        <f t="shared" si="4"/>
        <v>13490</v>
      </c>
      <c r="N8" s="659">
        <f t="shared" si="5"/>
        <v>10117.5</v>
      </c>
      <c r="O8" s="745">
        <v>0</v>
      </c>
      <c r="P8" s="655">
        <f>IFERROR((((VLOOKUP($A8,'pricing overview all products'!$A$1:$M$55,4,FALSE))*'Country File'!$T$2)*'Country File'!$P$2),"N/A")</f>
        <v>1720</v>
      </c>
      <c r="Q8" s="655">
        <f>IFERROR((((VLOOKUP($A8,'pricing overview all products'!$A$1:$M$55,4,FALSE))*'Country File'!$T$3)*'Country File'!$P$2),"N/A")</f>
        <v>1720</v>
      </c>
      <c r="R8" s="655">
        <f>IFERROR((((VLOOKUP($A8,'pricing overview all products'!$A$1:$M$55,4,FALSE))*'Country File'!$T$2)*'Country File'!$P$2)*(1-'Applied Discounts'!$C$10),"N/A")</f>
        <v>1290</v>
      </c>
      <c r="S8" s="655">
        <f t="shared" si="6"/>
        <v>0</v>
      </c>
      <c r="T8" s="655">
        <f t="shared" si="7"/>
        <v>0</v>
      </c>
      <c r="U8" s="659">
        <f t="shared" si="8"/>
        <v>0</v>
      </c>
      <c r="V8" s="746">
        <v>0</v>
      </c>
      <c r="W8" s="747">
        <f>IFERROR((((VLOOKUP($A8,'pricing overview all products'!$A$1:$M$55,8,FALSE))*'Country File'!$T$2)*'Country File'!$P$2),"N/A")</f>
        <v>0</v>
      </c>
      <c r="X8" s="747">
        <f>IFERROR((((VLOOKUP($A8,'pricing overview all products'!$A$1:$M$55,8,FALSE))*'Country File'!$T$3)*'Country File'!$P$2),"N/A")</f>
        <v>0</v>
      </c>
      <c r="Y8" s="747" t="str">
        <f>IFERROR((((VLOOKUP($A8,'pricing overview all products'!$A$1:$M$55,8,FALSE))*'Country File'!$T$2)*'Country File'!$P$2)*(1-#REF!),"N/A")</f>
        <v>N/A</v>
      </c>
      <c r="Z8" s="747">
        <f t="shared" si="9"/>
        <v>0</v>
      </c>
      <c r="AA8" s="747">
        <f t="shared" si="10"/>
        <v>0</v>
      </c>
      <c r="AB8" s="747">
        <f t="shared" si="11"/>
        <v>0</v>
      </c>
      <c r="AC8" s="748">
        <v>0</v>
      </c>
      <c r="AD8" s="747" t="str">
        <f>IFERROR((((VLOOKUP($A8,'pricing overview all products'!$A$1:$M$55,10,FALSE))*'Country File'!$T$2)*'Country File'!$P$2),"N/A")</f>
        <v>N/A</v>
      </c>
      <c r="AE8" s="747" t="str">
        <f>IFERROR((((VLOOKUP($A8,'pricing overview all products'!$A$1:$M$55,10,FALSE))*'Country File'!$T$3)*'Country File'!$P$2),"N/A")</f>
        <v>N/A</v>
      </c>
      <c r="AF8" s="747" t="str">
        <f>IFERROR((((VLOOKUP($A8,'pricing overview all products'!$A$1:$M$55,10,FALSE))*'Country File'!$T$2)*'Country File'!$P$2)*(1-#REF!),"N/A")</f>
        <v>N/A</v>
      </c>
      <c r="AG8" s="747">
        <f t="shared" si="12"/>
        <v>0</v>
      </c>
      <c r="AH8" s="747">
        <f t="shared" si="13"/>
        <v>0</v>
      </c>
      <c r="AI8" s="747">
        <f t="shared" si="14"/>
        <v>0</v>
      </c>
      <c r="AJ8" s="749">
        <v>0</v>
      </c>
      <c r="AK8" s="747" t="str">
        <f>IFERROR((((VLOOKUP($A8,'pricing overview all products'!$A$1:$N$55,12,FALSE))*'Country File'!$T$2)*'Country File'!$P$2),"N/A")</f>
        <v>N/A</v>
      </c>
      <c r="AL8" s="747">
        <f t="shared" si="15"/>
        <v>0</v>
      </c>
      <c r="AM8" s="749">
        <v>0</v>
      </c>
      <c r="AN8" s="747">
        <f>IFERROR((((VLOOKUP($A8,'pricing overview all products'!$A$1:$N$55,14,FALSE))*'Country File'!$T$2)*'Country File'!$P$2),"N/A")</f>
        <v>0</v>
      </c>
      <c r="AO8" s="747">
        <f t="shared" si="16"/>
        <v>0</v>
      </c>
      <c r="AP8" s="750">
        <v>0</v>
      </c>
      <c r="AQ8" s="669" t="s">
        <v>1415</v>
      </c>
      <c r="AR8" s="669"/>
      <c r="AS8" s="751">
        <f t="shared" si="0"/>
        <v>0</v>
      </c>
      <c r="AT8" s="658">
        <v>0</v>
      </c>
      <c r="AU8" s="655">
        <f>IFERROR((((VLOOKUP($A8,'pricing overview all products'!$A$1:$M$55,6,FALSE))*'Country File'!$T$2)*'Country File'!$P$2),"N/A")</f>
        <v>6950</v>
      </c>
      <c r="AV8" s="655">
        <f>IFERROR((((VLOOKUP($A8,'pricing overview all products'!$A$1:$M$55,6,FALSE))*'Country File'!$T$3)*'Country File'!$P$2),"N/A")</f>
        <v>6950</v>
      </c>
      <c r="AW8" s="655">
        <f>IFERROR((((VLOOKUP($A8,'pricing overview all products'!$A$1:$M$55,6,FALSE))*'Country File'!$T$2)*'Country File'!$P$2)*(1-'Applied Discounts'!$C$10),"N/A")</f>
        <v>5212.5</v>
      </c>
      <c r="AX8" s="655">
        <f t="shared" si="1"/>
        <v>0</v>
      </c>
      <c r="AY8" s="655">
        <f t="shared" si="1"/>
        <v>0</v>
      </c>
      <c r="AZ8" s="659">
        <f t="shared" si="1"/>
        <v>0</v>
      </c>
      <c r="BA8" s="752">
        <f>H8</f>
        <v>1</v>
      </c>
      <c r="BB8" s="655">
        <f>IFERROR((((VLOOKUP($BD8,'Packaging cost'!A:C,3,FALSE))*'Country File'!$P$2)),"tbc")</f>
        <v>190</v>
      </c>
      <c r="BC8" s="659">
        <f t="shared" si="17"/>
        <v>190</v>
      </c>
      <c r="BD8" s="753" t="str">
        <f>IF(H8=0,"",'Configurator Codes'!L145)</f>
        <v>AC260e2132210111</v>
      </c>
      <c r="BE8" s="754">
        <f>VLOOKUP(BD8,'Common IDs'!A:C,3,FALSE)</f>
        <v>7600000401310</v>
      </c>
      <c r="BF8" s="720">
        <f t="shared" si="2"/>
        <v>13680</v>
      </c>
      <c r="BG8" s="755">
        <f t="shared" si="2"/>
        <v>13680</v>
      </c>
      <c r="BH8" s="755">
        <f t="shared" si="2"/>
        <v>10307.5</v>
      </c>
    </row>
    <row r="9" spans="1:85" x14ac:dyDescent="0.25">
      <c r="A9" s="458" t="s">
        <v>1487</v>
      </c>
      <c r="B9" s="164" t="s">
        <v>1488</v>
      </c>
      <c r="C9" s="459" t="s">
        <v>1462</v>
      </c>
      <c r="D9" s="460" t="s">
        <v>1433</v>
      </c>
      <c r="E9" s="461" t="s">
        <v>1482</v>
      </c>
      <c r="F9" s="462"/>
      <c r="G9" s="463">
        <v>1</v>
      </c>
      <c r="H9" s="448">
        <v>1</v>
      </c>
      <c r="I9" s="655">
        <f>((VLOOKUP($A9,'pricing overview all products'!$A:$B,2,FALSE))*'Country File'!$T$2)*'Country File'!$P$2</f>
        <v>18760</v>
      </c>
      <c r="J9" s="655">
        <f>((VLOOKUP($A9,'pricing overview all products'!$A:$B,2,FALSE))*'Country File'!$T$3)*'Country File'!$P$2</f>
        <v>18760</v>
      </c>
      <c r="K9" s="655">
        <f>(((VLOOKUP($A9,'pricing overview all products'!$A:$B,2,FALSE))*'Country File'!$T$2)*'Country File'!$P$2)*(1-'Applied Discounts'!$C$10)</f>
        <v>14070</v>
      </c>
      <c r="L9" s="655">
        <f t="shared" si="3"/>
        <v>18760</v>
      </c>
      <c r="M9" s="655">
        <f t="shared" si="4"/>
        <v>18760</v>
      </c>
      <c r="N9" s="659">
        <f t="shared" si="5"/>
        <v>14070</v>
      </c>
      <c r="O9" s="745">
        <v>0</v>
      </c>
      <c r="P9" s="655">
        <f>IFERROR((((VLOOKUP($A9,'pricing overview all products'!$A$1:$M$55,4,FALSE))*'Country File'!$T$2)*'Country File'!$P$2),"N/A")</f>
        <v>1720</v>
      </c>
      <c r="Q9" s="655">
        <f>IFERROR((((VLOOKUP($A9,'pricing overview all products'!$A$1:$M$55,4,FALSE))*'Country File'!$T$3)*'Country File'!$P$2),"N/A")</f>
        <v>1720</v>
      </c>
      <c r="R9" s="655">
        <f>IFERROR((((VLOOKUP($A9,'pricing overview all products'!$A$1:$M$55,4,FALSE))*'Country File'!$T$2)*'Country File'!$P$2)*(1-'Applied Discounts'!$C$10),"N/A")</f>
        <v>1290</v>
      </c>
      <c r="S9" s="655">
        <f t="shared" si="6"/>
        <v>0</v>
      </c>
      <c r="T9" s="655">
        <f t="shared" si="7"/>
        <v>0</v>
      </c>
      <c r="U9" s="659">
        <f t="shared" si="8"/>
        <v>0</v>
      </c>
      <c r="V9" s="746">
        <v>0</v>
      </c>
      <c r="W9" s="747">
        <f>IFERROR((((VLOOKUP($A9,'pricing overview all products'!$A$1:$M$55,8,FALSE))*'Country File'!$T$2)*'Country File'!$P$2),"N/A")</f>
        <v>0</v>
      </c>
      <c r="X9" s="747">
        <f>IFERROR((((VLOOKUP($A9,'pricing overview all products'!$A$1:$M$55,8,FALSE))*'Country File'!$T$3)*'Country File'!$P$2),"N/A")</f>
        <v>0</v>
      </c>
      <c r="Y9" s="747" t="str">
        <f>IFERROR((((VLOOKUP($A9,'pricing overview all products'!$A$1:$M$55,8,FALSE))*'Country File'!$T$2)*'Country File'!$P$2)*(1-#REF!),"N/A")</f>
        <v>N/A</v>
      </c>
      <c r="Z9" s="747">
        <f t="shared" si="9"/>
        <v>0</v>
      </c>
      <c r="AA9" s="747">
        <f t="shared" si="10"/>
        <v>0</v>
      </c>
      <c r="AB9" s="747">
        <f t="shared" si="11"/>
        <v>0</v>
      </c>
      <c r="AC9" s="748">
        <v>0</v>
      </c>
      <c r="AD9" s="747" t="str">
        <f>IFERROR((((VLOOKUP($A9,'pricing overview all products'!$A$1:$M$55,10,FALSE))*'Country File'!$T$2)*'Country File'!$P$2),"N/A")</f>
        <v>N/A</v>
      </c>
      <c r="AE9" s="747" t="str">
        <f>IFERROR((((VLOOKUP($A9,'pricing overview all products'!$A$1:$M$55,10,FALSE))*'Country File'!$T$3)*'Country File'!$P$2),"N/A")</f>
        <v>N/A</v>
      </c>
      <c r="AF9" s="747" t="str">
        <f>IFERROR((((VLOOKUP($A9,'pricing overview all products'!$A$1:$M$55,10,FALSE))*'Country File'!$T$2)*'Country File'!$P$2)*(1-#REF!),"N/A")</f>
        <v>N/A</v>
      </c>
      <c r="AG9" s="747">
        <f t="shared" si="12"/>
        <v>0</v>
      </c>
      <c r="AH9" s="747">
        <f t="shared" si="13"/>
        <v>0</v>
      </c>
      <c r="AI9" s="747">
        <f t="shared" si="14"/>
        <v>0</v>
      </c>
      <c r="AJ9" s="749">
        <v>0</v>
      </c>
      <c r="AK9" s="747" t="str">
        <f>IFERROR((((VLOOKUP($A9,'pricing overview all products'!$A$1:$N$55,12,FALSE))*'Country File'!$T$2)*'Country File'!$P$2),"N/A")</f>
        <v>N/A</v>
      </c>
      <c r="AL9" s="747">
        <f t="shared" si="15"/>
        <v>0</v>
      </c>
      <c r="AM9" s="749">
        <v>0</v>
      </c>
      <c r="AN9" s="747">
        <f>IFERROR((((VLOOKUP($A9,'pricing overview all products'!$A$1:$N$55,14,FALSE))*'Country File'!$T$2)*'Country File'!$P$2),"N/A")</f>
        <v>0</v>
      </c>
      <c r="AO9" s="747">
        <f t="shared" si="16"/>
        <v>0</v>
      </c>
      <c r="AP9" s="750">
        <v>0</v>
      </c>
      <c r="AQ9" s="669" t="s">
        <v>1411</v>
      </c>
      <c r="AR9" s="669"/>
      <c r="AS9" s="751">
        <f t="shared" si="0"/>
        <v>0</v>
      </c>
      <c r="AT9" s="658">
        <v>0</v>
      </c>
      <c r="AU9" s="655">
        <f>IFERROR((((VLOOKUP($A9,'pricing overview all products'!$A$1:$M$55,6,FALSE))*'Country File'!$T$2)*'Country File'!$P$2),"N/A")</f>
        <v>6950</v>
      </c>
      <c r="AV9" s="655">
        <f>IFERROR((((VLOOKUP($A9,'pricing overview all products'!$A$1:$M$55,6,FALSE))*'Country File'!$T$3)*'Country File'!$P$2),"N/A")</f>
        <v>6950</v>
      </c>
      <c r="AW9" s="655">
        <f>IFERROR((((VLOOKUP($A9,'pricing overview all products'!$A$1:$M$55,6,FALSE))*'Country File'!$T$2)*'Country File'!$P$2)*(1-'Applied Discounts'!$C$10),"N/A")</f>
        <v>5212.5</v>
      </c>
      <c r="AX9" s="655">
        <f t="shared" si="1"/>
        <v>0</v>
      </c>
      <c r="AY9" s="655">
        <f t="shared" si="1"/>
        <v>0</v>
      </c>
      <c r="AZ9" s="659">
        <f t="shared" si="1"/>
        <v>0</v>
      </c>
      <c r="BA9" s="752">
        <f>H9</f>
        <v>1</v>
      </c>
      <c r="BB9" s="655">
        <f>IFERROR((((VLOOKUP($BD9,'Packaging cost'!A:C,3,FALSE))*'Country File'!$P$2)),"tbc")</f>
        <v>230</v>
      </c>
      <c r="BC9" s="659">
        <f t="shared" si="17"/>
        <v>230</v>
      </c>
      <c r="BD9" s="753" t="str">
        <f>IF(H9=0,"",'Configurator Codes'!L146)</f>
        <v>AC460e2132210111</v>
      </c>
      <c r="BE9" s="754">
        <f>VLOOKUP(BD9,'Common IDs'!A:C,3,FALSE)</f>
        <v>7600000401326</v>
      </c>
      <c r="BF9" s="720">
        <f t="shared" si="2"/>
        <v>18990</v>
      </c>
      <c r="BG9" s="755">
        <f t="shared" si="2"/>
        <v>18990</v>
      </c>
      <c r="BH9" s="755">
        <f t="shared" si="2"/>
        <v>14300</v>
      </c>
    </row>
    <row r="10" spans="1:85" ht="15.75" thickBot="1" x14ac:dyDescent="0.3">
      <c r="A10" s="464" t="s">
        <v>1489</v>
      </c>
      <c r="B10" s="165" t="s">
        <v>1490</v>
      </c>
      <c r="C10" s="465" t="s">
        <v>1462</v>
      </c>
      <c r="D10" s="466" t="s">
        <v>1491</v>
      </c>
      <c r="E10" s="467" t="s">
        <v>1482</v>
      </c>
      <c r="F10" s="468"/>
      <c r="G10" s="469">
        <v>1</v>
      </c>
      <c r="H10" s="452">
        <v>1</v>
      </c>
      <c r="I10" s="680">
        <f>((VLOOKUP($A10,'pricing overview all products'!$A:$B,2,FALSE))*'Country File'!$T$2)*'Country File'!$P$2</f>
        <v>24140</v>
      </c>
      <c r="J10" s="680">
        <f>((VLOOKUP($A10,'pricing overview all products'!$A:$B,2,FALSE))*'Country File'!$T$3)*'Country File'!$P$2</f>
        <v>24140</v>
      </c>
      <c r="K10" s="680">
        <f>(((VLOOKUP($A10,'pricing overview all products'!$A:$B,2,FALSE))*'Country File'!$T$2)*'Country File'!$P$2)*(1-'Applied Discounts'!$C$10)</f>
        <v>18105</v>
      </c>
      <c r="L10" s="680">
        <f t="shared" si="3"/>
        <v>24140</v>
      </c>
      <c r="M10" s="680">
        <f t="shared" si="4"/>
        <v>24140</v>
      </c>
      <c r="N10" s="684">
        <f t="shared" si="5"/>
        <v>18105</v>
      </c>
      <c r="O10" s="756">
        <v>0</v>
      </c>
      <c r="P10" s="680">
        <f>IFERROR((((VLOOKUP($A10,'pricing overview all products'!$A$1:$M$55,4,FALSE))*'Country File'!$T$2)*'Country File'!$P$2),"N/A")</f>
        <v>1980</v>
      </c>
      <c r="Q10" s="680">
        <f>IFERROR((((VLOOKUP($A10,'pricing overview all products'!$A$1:$M$55,4,FALSE))*'Country File'!$T$3)*'Country File'!$P$2),"N/A")</f>
        <v>1980</v>
      </c>
      <c r="R10" s="680">
        <f>IFERROR((((VLOOKUP($A10,'pricing overview all products'!$A$1:$M$55,4,FALSE))*'Country File'!$T$2)*'Country File'!$P$2)*(1-'Applied Discounts'!$C$10),"N/A")</f>
        <v>1485</v>
      </c>
      <c r="S10" s="680">
        <f t="shared" si="6"/>
        <v>0</v>
      </c>
      <c r="T10" s="680">
        <f t="shared" si="7"/>
        <v>0</v>
      </c>
      <c r="U10" s="684">
        <f t="shared" si="8"/>
        <v>0</v>
      </c>
      <c r="V10" s="757">
        <v>0</v>
      </c>
      <c r="W10" s="758">
        <f>IFERROR((((VLOOKUP($A10,'pricing overview all products'!$A$1:$M$55,8,FALSE))*'Country File'!$T$2)*'Country File'!$P$2),"N/A")</f>
        <v>0</v>
      </c>
      <c r="X10" s="758">
        <f>IFERROR((((VLOOKUP($A10,'pricing overview all products'!$A$1:$M$55,8,FALSE))*'Country File'!$T$3)*'Country File'!$P$2),"N/A")</f>
        <v>0</v>
      </c>
      <c r="Y10" s="758" t="str">
        <f>IFERROR((((VLOOKUP($A10,'pricing overview all products'!$A$1:$M$55,8,FALSE))*'Country File'!$T$2)*'Country File'!$P$2)*(1-#REF!),"N/A")</f>
        <v>N/A</v>
      </c>
      <c r="Z10" s="758">
        <f t="shared" si="9"/>
        <v>0</v>
      </c>
      <c r="AA10" s="758">
        <f t="shared" si="10"/>
        <v>0</v>
      </c>
      <c r="AB10" s="758">
        <f t="shared" si="11"/>
        <v>0</v>
      </c>
      <c r="AC10" s="759">
        <v>0</v>
      </c>
      <c r="AD10" s="758" t="str">
        <f>IFERROR((((VLOOKUP($A10,'pricing overview all products'!$A$1:$M$55,10,FALSE))*'Country File'!$T$2)*'Country File'!$P$2),"N/A")</f>
        <v>N/A</v>
      </c>
      <c r="AE10" s="758" t="str">
        <f>IFERROR((((VLOOKUP($A10,'pricing overview all products'!$A$1:$M$55,10,FALSE))*'Country File'!$T$3)*'Country File'!$P$2),"N/A")</f>
        <v>N/A</v>
      </c>
      <c r="AF10" s="758" t="str">
        <f>IFERROR((((VLOOKUP($A10,'pricing overview all products'!$A$1:$M$55,10,FALSE))*'Country File'!$T$2)*'Country File'!$P$2)*(1-#REF!),"N/A")</f>
        <v>N/A</v>
      </c>
      <c r="AG10" s="758">
        <f t="shared" si="12"/>
        <v>0</v>
      </c>
      <c r="AH10" s="758">
        <f t="shared" si="13"/>
        <v>0</v>
      </c>
      <c r="AI10" s="758">
        <f t="shared" si="14"/>
        <v>0</v>
      </c>
      <c r="AJ10" s="760">
        <v>0</v>
      </c>
      <c r="AK10" s="758" t="str">
        <f>IFERROR((((VLOOKUP($A10,'pricing overview all products'!$A$1:$N$55,12,FALSE))*'Country File'!$T$2)*'Country File'!$P$2),"N/A")</f>
        <v>N/A</v>
      </c>
      <c r="AL10" s="758">
        <f t="shared" si="15"/>
        <v>0</v>
      </c>
      <c r="AM10" s="760">
        <v>0</v>
      </c>
      <c r="AN10" s="758">
        <f>IFERROR((((VLOOKUP($A10,'pricing overview all products'!$A$1:$N$55,14,FALSE))*'Country File'!$T$2)*'Country File'!$P$2),"N/A")</f>
        <v>0</v>
      </c>
      <c r="AO10" s="758">
        <f t="shared" si="16"/>
        <v>0</v>
      </c>
      <c r="AP10" s="761">
        <v>0</v>
      </c>
      <c r="AQ10" s="762" t="s">
        <v>1411</v>
      </c>
      <c r="AR10" s="762"/>
      <c r="AS10" s="763">
        <f t="shared" si="0"/>
        <v>0</v>
      </c>
      <c r="AT10" s="683">
        <v>0</v>
      </c>
      <c r="AU10" s="680">
        <f>IFERROR((((VLOOKUP($A10,'pricing overview all products'!$A$1:$M$55,6,FALSE))*'Country File'!$T$2)*'Country File'!$P$2),"N/A")</f>
        <v>6950</v>
      </c>
      <c r="AV10" s="680">
        <f>IFERROR((((VLOOKUP($A10,'pricing overview all products'!$A$1:$M$55,6,FALSE))*'Country File'!$T$3)*'Country File'!$P$2),"N/A")</f>
        <v>6950</v>
      </c>
      <c r="AW10" s="680">
        <f>IFERROR((((VLOOKUP($A10,'pricing overview all products'!$A$1:$M$55,6,FALSE))*'Country File'!$T$2)*'Country File'!$P$2)*(1-'Applied Discounts'!$C$10),"N/A")</f>
        <v>5212.5</v>
      </c>
      <c r="AX10" s="680">
        <f t="shared" si="1"/>
        <v>0</v>
      </c>
      <c r="AY10" s="680">
        <f t="shared" si="1"/>
        <v>0</v>
      </c>
      <c r="AZ10" s="684">
        <f t="shared" si="1"/>
        <v>0</v>
      </c>
      <c r="BA10" s="764">
        <f>H10</f>
        <v>1</v>
      </c>
      <c r="BB10" s="680">
        <f>IFERROR((((VLOOKUP($BD10,'Packaging cost'!A:C,3,FALSE))*'Country File'!$P$2)),"tbc")</f>
        <v>280</v>
      </c>
      <c r="BC10" s="684">
        <f t="shared" si="17"/>
        <v>280</v>
      </c>
      <c r="BD10" s="765" t="str">
        <f>IF(H10=0,"",'Configurator Codes'!L147)</f>
        <v>AC660e2132210111</v>
      </c>
      <c r="BE10" s="766">
        <f>VLOOKUP(BD10,'Common IDs'!A:C,3,FALSE)</f>
        <v>7600000401334</v>
      </c>
      <c r="BF10" s="735">
        <f t="shared" si="2"/>
        <v>24420</v>
      </c>
      <c r="BG10" s="767">
        <f t="shared" si="2"/>
        <v>24420</v>
      </c>
      <c r="BH10" s="767">
        <f t="shared" si="2"/>
        <v>18385</v>
      </c>
    </row>
    <row r="11" spans="1:85" s="150" customFormat="1" x14ac:dyDescent="0.25">
      <c r="BH11" s="152"/>
    </row>
    <row r="12" spans="1:85" s="150" customFormat="1" x14ac:dyDescent="0.25">
      <c r="A12" s="161" t="s">
        <v>1492</v>
      </c>
      <c r="C12" s="162"/>
      <c r="BH12" s="152"/>
    </row>
    <row r="13" spans="1:85" s="150" customFormat="1" x14ac:dyDescent="0.25">
      <c r="BH13" s="152"/>
    </row>
    <row r="14" spans="1:85" s="150" customFormat="1" x14ac:dyDescent="0.25">
      <c r="A14" s="161"/>
      <c r="BH14" s="152"/>
    </row>
    <row r="15" spans="1:85" s="150" customFormat="1" x14ac:dyDescent="0.25">
      <c r="BH15" s="152"/>
    </row>
    <row r="16" spans="1:85" s="150" customFormat="1" x14ac:dyDescent="0.25">
      <c r="BH16" s="152"/>
    </row>
    <row r="17" spans="60:60" s="150" customFormat="1" x14ac:dyDescent="0.25">
      <c r="BH17" s="152"/>
    </row>
    <row r="18" spans="60:60" s="150" customFormat="1" x14ac:dyDescent="0.25">
      <c r="BH18" s="152"/>
    </row>
    <row r="19" spans="60:60" s="150" customFormat="1" x14ac:dyDescent="0.25">
      <c r="BH19" s="152"/>
    </row>
    <row r="20" spans="60:60" s="150" customFormat="1" x14ac:dyDescent="0.25">
      <c r="BH20" s="152"/>
    </row>
    <row r="21" spans="60:60" s="150" customFormat="1" x14ac:dyDescent="0.25">
      <c r="BH21" s="152"/>
    </row>
    <row r="22" spans="60:60" s="150" customFormat="1" x14ac:dyDescent="0.25">
      <c r="BH22" s="152"/>
    </row>
    <row r="23" spans="60:60" s="150" customFormat="1" x14ac:dyDescent="0.25">
      <c r="BH23" s="152"/>
    </row>
    <row r="24" spans="60:60" s="150" customFormat="1" x14ac:dyDescent="0.25">
      <c r="BH24" s="152"/>
    </row>
    <row r="25" spans="60:60" s="150" customFormat="1" x14ac:dyDescent="0.25">
      <c r="BH25" s="152"/>
    </row>
    <row r="26" spans="60:60" s="150" customFormat="1" x14ac:dyDescent="0.25">
      <c r="BH26" s="152"/>
    </row>
    <row r="27" spans="60:60" s="150" customFormat="1" x14ac:dyDescent="0.25">
      <c r="BH27" s="152"/>
    </row>
    <row r="28" spans="60:60" s="150" customFormat="1" x14ac:dyDescent="0.25">
      <c r="BH28" s="152"/>
    </row>
    <row r="29" spans="60:60" s="150" customFormat="1" x14ac:dyDescent="0.25">
      <c r="BH29" s="152"/>
    </row>
    <row r="30" spans="60:60" s="150" customFormat="1" x14ac:dyDescent="0.25">
      <c r="BH30" s="152"/>
    </row>
    <row r="31" spans="60:60" s="150" customFormat="1" x14ac:dyDescent="0.25">
      <c r="BH31" s="152"/>
    </row>
    <row r="32" spans="60:60" s="150" customFormat="1" x14ac:dyDescent="0.25">
      <c r="BH32" s="152"/>
    </row>
    <row r="33" spans="60:60" s="150" customFormat="1" x14ac:dyDescent="0.25">
      <c r="BH33" s="152"/>
    </row>
    <row r="34" spans="60:60" s="150" customFormat="1" x14ac:dyDescent="0.25">
      <c r="BH34" s="152"/>
    </row>
    <row r="35" spans="60:60" s="150" customFormat="1" x14ac:dyDescent="0.25">
      <c r="BH35" s="152"/>
    </row>
    <row r="36" spans="60:60" s="150" customFormat="1" x14ac:dyDescent="0.25">
      <c r="BH36" s="152"/>
    </row>
    <row r="37" spans="60:60" s="150" customFormat="1" x14ac:dyDescent="0.25">
      <c r="BH37" s="152"/>
    </row>
    <row r="38" spans="60:60" s="150" customFormat="1" x14ac:dyDescent="0.25">
      <c r="BH38" s="152"/>
    </row>
    <row r="39" spans="60:60" s="150" customFormat="1" x14ac:dyDescent="0.25">
      <c r="BH39" s="152"/>
    </row>
    <row r="40" spans="60:60" s="150" customFormat="1" x14ac:dyDescent="0.25">
      <c r="BH40" s="152"/>
    </row>
    <row r="41" spans="60:60" s="150" customFormat="1" x14ac:dyDescent="0.25">
      <c r="BH41" s="152"/>
    </row>
    <row r="42" spans="60:60" s="150" customFormat="1" x14ac:dyDescent="0.25">
      <c r="BH42" s="152"/>
    </row>
    <row r="43" spans="60:60" s="150" customFormat="1" x14ac:dyDescent="0.25">
      <c r="BH43" s="152"/>
    </row>
    <row r="44" spans="60:60" s="150" customFormat="1" x14ac:dyDescent="0.25">
      <c r="BH44" s="152"/>
    </row>
    <row r="45" spans="60:60" s="150" customFormat="1" x14ac:dyDescent="0.25">
      <c r="BH45" s="152"/>
    </row>
    <row r="46" spans="60:60" s="150" customFormat="1" x14ac:dyDescent="0.25">
      <c r="BH46" s="152"/>
    </row>
    <row r="47" spans="60:60" s="150" customFormat="1" x14ac:dyDescent="0.25">
      <c r="BH47" s="152"/>
    </row>
    <row r="48" spans="60:60" s="150" customFormat="1" x14ac:dyDescent="0.25">
      <c r="BH48" s="152"/>
    </row>
    <row r="49" spans="60:60" s="150" customFormat="1" x14ac:dyDescent="0.25">
      <c r="BH49" s="152"/>
    </row>
    <row r="50" spans="60:60" s="150" customFormat="1" x14ac:dyDescent="0.25">
      <c r="BH50" s="152"/>
    </row>
    <row r="51" spans="60:60" s="150" customFormat="1" x14ac:dyDescent="0.25">
      <c r="BH51" s="152"/>
    </row>
    <row r="52" spans="60:60" s="150" customFormat="1" x14ac:dyDescent="0.25">
      <c r="BH52" s="152"/>
    </row>
    <row r="53" spans="60:60" s="150" customFormat="1" x14ac:dyDescent="0.25">
      <c r="BH53" s="152"/>
    </row>
    <row r="54" spans="60:60" s="150" customFormat="1" x14ac:dyDescent="0.25">
      <c r="BH54" s="152"/>
    </row>
    <row r="55" spans="60:60" s="150" customFormat="1" x14ac:dyDescent="0.25">
      <c r="BH55" s="152"/>
    </row>
    <row r="56" spans="60:60" s="150" customFormat="1" x14ac:dyDescent="0.25">
      <c r="BH56" s="152"/>
    </row>
    <row r="57" spans="60:60" s="150" customFormat="1" x14ac:dyDescent="0.25">
      <c r="BH57" s="152"/>
    </row>
    <row r="58" spans="60:60" s="150" customFormat="1" x14ac:dyDescent="0.25">
      <c r="BH58" s="152"/>
    </row>
    <row r="59" spans="60:60" s="150" customFormat="1" x14ac:dyDescent="0.25">
      <c r="BH59" s="152"/>
    </row>
    <row r="60" spans="60:60" s="150" customFormat="1" x14ac:dyDescent="0.25">
      <c r="BH60" s="152"/>
    </row>
    <row r="61" spans="60:60" s="150" customFormat="1" x14ac:dyDescent="0.25">
      <c r="BH61" s="152"/>
    </row>
    <row r="62" spans="60:60" s="150" customFormat="1" x14ac:dyDescent="0.25">
      <c r="BH62" s="152"/>
    </row>
    <row r="63" spans="60:60" s="150" customFormat="1" x14ac:dyDescent="0.25">
      <c r="BH63" s="152"/>
    </row>
    <row r="64" spans="60:60" s="150" customFormat="1" x14ac:dyDescent="0.25">
      <c r="BH64" s="152"/>
    </row>
  </sheetData>
  <sheetProtection algorithmName="SHA-512" hashValue="sagZNbmFOGXyzGFULtF3/ciZZDuK3wU5s4q2ibnOIewVZdcgTlpy2NW6QUP1vFhvbviwq/bmubGWQmMLp76gcg==" saltValue="jjZ7JH/NqGncXF+3/vDQZQ==" spinCount="100000" sheet="1" objects="1" scenarios="1"/>
  <mergeCells count="16">
    <mergeCell ref="BD3:BD5"/>
    <mergeCell ref="A3:A5"/>
    <mergeCell ref="C3:C5"/>
    <mergeCell ref="D3:D5"/>
    <mergeCell ref="E3:E5"/>
    <mergeCell ref="BA4:BC4"/>
    <mergeCell ref="H4:N4"/>
    <mergeCell ref="O4:U4"/>
    <mergeCell ref="V4:AB4"/>
    <mergeCell ref="AC4:AI4"/>
    <mergeCell ref="AJ4:AL4"/>
    <mergeCell ref="AM4:AO4"/>
    <mergeCell ref="AP4:AS4"/>
    <mergeCell ref="B3:B4"/>
    <mergeCell ref="AT4:AZ4"/>
    <mergeCell ref="H3:BC3"/>
  </mergeCells>
  <phoneticPr fontId="6" type="noConversion"/>
  <dataValidations count="1">
    <dataValidation type="list" allowBlank="1" showInputMessage="1" showErrorMessage="1" sqref="AQ6:AQ10" xr:uid="{2109FC7D-6D7C-408A-8B24-29B483B40131}">
      <formula1>"3m,5m,15m"</formula1>
    </dataValidation>
  </dataValidations>
  <pageMargins left="0.7" right="0.7" top="0.75" bottom="0.75" header="0.3" footer="0.3"/>
  <pageSetup paperSize="9" scale="41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3ED8-6CC8-4FB9-B3E5-4F27DEBE8B04}">
  <sheetPr codeName="Tabelle10">
    <tabColor rgb="FFFFC000"/>
    <pageSetUpPr fitToPage="1"/>
  </sheetPr>
  <dimension ref="A2:BX140"/>
  <sheetViews>
    <sheetView showGridLines="0" zoomScaleNormal="100" workbookViewId="0">
      <pane xSplit="3" ySplit="5" topLeftCell="D6" activePane="bottomRight" state="frozen"/>
      <selection activeCell="H34" sqref="H34"/>
      <selection pane="topRight" activeCell="H34" sqref="H34"/>
      <selection pane="bottomLeft" activeCell="H34" sqref="H34"/>
      <selection pane="bottomRight" activeCell="BC1" sqref="BC1:BC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outlineLevelCol="2" x14ac:dyDescent="0.25"/>
  <cols>
    <col min="1" max="1" width="14.28515625" bestFit="1" customWidth="1"/>
    <col min="2" max="3" width="9.28515625" hidden="1" customWidth="1"/>
    <col min="4" max="4" width="20.28515625" customWidth="1"/>
    <col min="5" max="5" width="20.42578125" hidden="1" customWidth="1"/>
    <col min="6" max="6" width="10.7109375" hidden="1" customWidth="1"/>
    <col min="7" max="7" width="16.5703125" hidden="1" customWidth="1"/>
    <col min="8" max="8" width="6.85546875" bestFit="1" customWidth="1"/>
    <col min="9" max="9" width="11.28515625" customWidth="1"/>
    <col min="10" max="10" width="20.5703125" hidden="1" customWidth="1"/>
    <col min="11" max="11" width="16" customWidth="1"/>
    <col min="12" max="12" width="10.7109375" customWidth="1"/>
    <col min="13" max="13" width="21.28515625" hidden="1" customWidth="1"/>
    <col min="14" max="14" width="16" bestFit="1" customWidth="1"/>
    <col min="15" max="15" width="9.28515625" hidden="1" customWidth="1" outlineLevel="1"/>
    <col min="16" max="16" width="13.7109375" hidden="1" customWidth="1" outlineLevel="1"/>
    <col min="17" max="17" width="20.7109375" hidden="1" customWidth="1" outlineLevel="1"/>
    <col min="18" max="18" width="10.42578125" hidden="1" customWidth="1" outlineLevel="1"/>
    <col min="19" max="19" width="13.7109375" hidden="1" customWidth="1" outlineLevel="1"/>
    <col min="20" max="20" width="21.28515625" hidden="1" customWidth="1" outlineLevel="1"/>
    <col min="21" max="24" width="9.28515625" hidden="1" customWidth="1" outlineLevel="1"/>
    <col min="25" max="27" width="10.42578125" hidden="1" customWidth="1" outlineLevel="1"/>
    <col min="28" max="31" width="9.28515625" hidden="1" customWidth="1" outlineLevel="1"/>
    <col min="32" max="34" width="10.42578125" hidden="1" customWidth="1" outlineLevel="1"/>
    <col min="35" max="36" width="9.28515625" hidden="1" customWidth="1" outlineLevel="1"/>
    <col min="37" max="37" width="10.42578125" hidden="1" customWidth="1" outlineLevel="1"/>
    <col min="38" max="38" width="9.28515625" hidden="1" customWidth="1" outlineLevel="1"/>
    <col min="39" max="39" width="9.28515625" hidden="1" customWidth="1" outlineLevel="2"/>
    <col min="40" max="40" width="10.42578125" hidden="1" customWidth="1" outlineLevel="2"/>
    <col min="41" max="42" width="9.28515625" hidden="1" customWidth="1" outlineLevel="2"/>
    <col min="43" max="43" width="10.42578125" hidden="1" customWidth="1" outlineLevel="2"/>
    <col min="44" max="45" width="9.28515625" hidden="1" customWidth="1" outlineLevel="2"/>
    <col min="46" max="47" width="10.42578125" hidden="1" customWidth="1" outlineLevel="2"/>
    <col min="48" max="48" width="9.28515625" hidden="1" customWidth="1" outlineLevel="2"/>
    <col min="49" max="49" width="6.85546875" bestFit="1" customWidth="1" collapsed="1"/>
    <col min="50" max="50" width="7.7109375" customWidth="1"/>
    <col min="51" max="51" width="7.42578125" customWidth="1"/>
    <col min="52" max="52" width="17" customWidth="1"/>
    <col min="53" max="53" width="15.7109375" customWidth="1"/>
    <col min="54" max="54" width="14" customWidth="1"/>
    <col min="55" max="55" width="19.5703125" hidden="1" customWidth="1"/>
    <col min="56" max="56" width="16.28515625" customWidth="1"/>
    <col min="57" max="61" width="9.28515625" style="150" customWidth="1"/>
    <col min="62" max="76" width="9.28515625" style="150"/>
  </cols>
  <sheetData>
    <row r="2" spans="1:76" ht="15" customHeight="1" thickBot="1" x14ac:dyDescent="0.3"/>
    <row r="3" spans="1:76" ht="45.75" thickBot="1" x14ac:dyDescent="0.3">
      <c r="A3" s="1030" t="s">
        <v>1</v>
      </c>
      <c r="B3" s="4"/>
      <c r="C3" s="4"/>
      <c r="D3" s="1030" t="s">
        <v>1374</v>
      </c>
      <c r="E3" s="4"/>
      <c r="F3" s="1050" t="s">
        <v>1376</v>
      </c>
      <c r="G3" s="4"/>
      <c r="H3" s="1079" t="str">
        <f>_xlfn.CONCAT("Prices in ",'Applied Discounts'!$C$5)</f>
        <v>Prices in EUR</v>
      </c>
      <c r="I3" s="1080"/>
      <c r="J3" s="1080"/>
      <c r="K3" s="1080"/>
      <c r="L3" s="1080"/>
      <c r="M3" s="1080"/>
      <c r="N3" s="1080"/>
      <c r="O3" s="1080"/>
      <c r="P3" s="1080"/>
      <c r="Q3" s="1080"/>
      <c r="R3" s="1080"/>
      <c r="S3" s="1080"/>
      <c r="T3" s="1080"/>
      <c r="U3" s="1080"/>
      <c r="V3" s="1080"/>
      <c r="W3" s="1080"/>
      <c r="X3" s="1080"/>
      <c r="Y3" s="1080"/>
      <c r="Z3" s="1080"/>
      <c r="AA3" s="1080"/>
      <c r="AB3" s="1080"/>
      <c r="AC3" s="1080"/>
      <c r="AD3" s="1080"/>
      <c r="AE3" s="1080"/>
      <c r="AF3" s="1080"/>
      <c r="AG3" s="1080"/>
      <c r="AH3" s="1080"/>
      <c r="AI3" s="1080"/>
      <c r="AJ3" s="1080"/>
      <c r="AK3" s="1080"/>
      <c r="AL3" s="1080"/>
      <c r="AM3" s="1080"/>
      <c r="AN3" s="1080"/>
      <c r="AO3" s="1080"/>
      <c r="AP3" s="1080"/>
      <c r="AQ3" s="1080"/>
      <c r="AR3" s="1080"/>
      <c r="AS3" s="1080"/>
      <c r="AT3" s="1080"/>
      <c r="AU3" s="1080"/>
      <c r="AV3" s="1080"/>
      <c r="AW3" s="1045"/>
      <c r="AX3" s="1045"/>
      <c r="AY3" s="1045"/>
      <c r="AZ3" s="1047" t="s">
        <v>1378</v>
      </c>
      <c r="BA3" s="595" t="s">
        <v>1379</v>
      </c>
      <c r="BB3" s="246" t="s">
        <v>1380</v>
      </c>
      <c r="BC3" s="239" t="s">
        <v>1381</v>
      </c>
      <c r="BD3" s="239" t="s">
        <v>1382</v>
      </c>
    </row>
    <row r="4" spans="1:76" ht="15.75" thickBot="1" x14ac:dyDescent="0.3">
      <c r="A4" s="1031"/>
      <c r="B4" s="5"/>
      <c r="C4" s="106" t="s">
        <v>1479</v>
      </c>
      <c r="D4" s="1078"/>
      <c r="E4" s="103" t="s">
        <v>1375</v>
      </c>
      <c r="F4" s="1051"/>
      <c r="G4" s="5" t="s">
        <v>1377</v>
      </c>
      <c r="H4" s="1036" t="s">
        <v>1383</v>
      </c>
      <c r="I4" s="1037"/>
      <c r="J4" s="1037"/>
      <c r="K4" s="1037"/>
      <c r="L4" s="1037"/>
      <c r="M4" s="1037"/>
      <c r="N4" s="1038"/>
      <c r="O4" s="1041" t="s">
        <v>1493</v>
      </c>
      <c r="P4" s="1042"/>
      <c r="Q4" s="1042"/>
      <c r="R4" s="1042"/>
      <c r="S4" s="1042"/>
      <c r="T4" s="1042"/>
      <c r="U4" s="1043"/>
      <c r="V4" s="137"/>
      <c r="W4" s="137"/>
      <c r="X4" s="1041" t="s">
        <v>1384</v>
      </c>
      <c r="Y4" s="1042"/>
      <c r="Z4" s="1042"/>
      <c r="AA4" s="1042"/>
      <c r="AB4" s="1043"/>
      <c r="AC4" s="1041" t="s">
        <v>1385</v>
      </c>
      <c r="AD4" s="1042"/>
      <c r="AE4" s="1042"/>
      <c r="AF4" s="1042"/>
      <c r="AG4" s="1042"/>
      <c r="AH4" s="1042"/>
      <c r="AI4" s="1043"/>
      <c r="AJ4" s="1041" t="s">
        <v>1387</v>
      </c>
      <c r="AK4" s="1042"/>
      <c r="AL4" s="1043"/>
      <c r="AM4" s="1041" t="s">
        <v>489</v>
      </c>
      <c r="AN4" s="1042"/>
      <c r="AO4" s="1043"/>
      <c r="AP4" s="1041" t="s">
        <v>1388</v>
      </c>
      <c r="AQ4" s="1042"/>
      <c r="AR4" s="1043"/>
      <c r="AS4" s="1041" t="s">
        <v>1389</v>
      </c>
      <c r="AT4" s="1042"/>
      <c r="AU4" s="1042"/>
      <c r="AV4" s="1042"/>
      <c r="AW4" s="1039" t="s">
        <v>1390</v>
      </c>
      <c r="AX4" s="1040"/>
      <c r="AY4" s="1040"/>
      <c r="AZ4" s="1048"/>
      <c r="BA4" s="596" t="s">
        <v>1391</v>
      </c>
      <c r="BB4" s="138" t="str">
        <f>'Applied Discounts'!$C$5</f>
        <v>EUR</v>
      </c>
      <c r="BC4" s="549" t="e">
        <f>#REF!</f>
        <v>#REF!</v>
      </c>
      <c r="BD4" s="138" t="str">
        <f>'Applied Discounts'!$C$5</f>
        <v>EUR</v>
      </c>
    </row>
    <row r="5" spans="1:76" s="31" customFormat="1" ht="30.75" customHeight="1" thickBot="1" x14ac:dyDescent="0.3">
      <c r="A5" s="1031"/>
      <c r="B5" s="109"/>
      <c r="C5" s="109"/>
      <c r="D5" s="503" t="s">
        <v>1494</v>
      </c>
      <c r="E5" s="110"/>
      <c r="F5" s="1051"/>
      <c r="G5" s="110"/>
      <c r="H5" s="241" t="s">
        <v>1393</v>
      </c>
      <c r="I5" s="504" t="s">
        <v>1394</v>
      </c>
      <c r="J5" s="504" t="s">
        <v>1398</v>
      </c>
      <c r="K5" s="504" t="s">
        <v>1399</v>
      </c>
      <c r="L5" s="504" t="s">
        <v>1380</v>
      </c>
      <c r="M5" s="504" t="s">
        <v>1381</v>
      </c>
      <c r="N5" s="505" t="s">
        <v>1382</v>
      </c>
      <c r="O5" s="268" t="s">
        <v>1393</v>
      </c>
      <c r="P5" s="241" t="s">
        <v>1394</v>
      </c>
      <c r="Q5" s="241" t="s">
        <v>1395</v>
      </c>
      <c r="R5" s="241" t="s">
        <v>1400</v>
      </c>
      <c r="S5" s="241" t="s">
        <v>1495</v>
      </c>
      <c r="T5" s="241" t="s">
        <v>1496</v>
      </c>
      <c r="U5" s="241" t="s">
        <v>1401</v>
      </c>
      <c r="V5" s="241" t="s">
        <v>1479</v>
      </c>
      <c r="W5" s="241" t="s">
        <v>1479</v>
      </c>
      <c r="X5" s="241" t="s">
        <v>1393</v>
      </c>
      <c r="Y5" s="13" t="s">
        <v>1400</v>
      </c>
      <c r="Z5" s="13" t="s">
        <v>1479</v>
      </c>
      <c r="AA5" s="13" t="s">
        <v>1479</v>
      </c>
      <c r="AB5" s="13" t="s">
        <v>1401</v>
      </c>
      <c r="AC5" s="241" t="s">
        <v>1393</v>
      </c>
      <c r="AD5" s="241" t="s">
        <v>1394</v>
      </c>
      <c r="AE5" s="241" t="s">
        <v>1395</v>
      </c>
      <c r="AF5" s="241" t="s">
        <v>1400</v>
      </c>
      <c r="AG5" s="241" t="s">
        <v>1495</v>
      </c>
      <c r="AH5" s="241" t="s">
        <v>1496</v>
      </c>
      <c r="AI5" s="241" t="s">
        <v>1401</v>
      </c>
      <c r="AJ5" s="241" t="s">
        <v>1393</v>
      </c>
      <c r="AK5" s="13" t="s">
        <v>1400</v>
      </c>
      <c r="AL5" s="13" t="s">
        <v>1401</v>
      </c>
      <c r="AM5" s="241" t="s">
        <v>1393</v>
      </c>
      <c r="AN5" s="13" t="s">
        <v>1400</v>
      </c>
      <c r="AO5" s="13" t="s">
        <v>1401</v>
      </c>
      <c r="AP5" s="241" t="s">
        <v>1393</v>
      </c>
      <c r="AQ5" s="13" t="s">
        <v>1400</v>
      </c>
      <c r="AR5" s="13" t="s">
        <v>1401</v>
      </c>
      <c r="AS5" s="241" t="s">
        <v>1393</v>
      </c>
      <c r="AT5" s="13"/>
      <c r="AU5" s="13" t="s">
        <v>1400</v>
      </c>
      <c r="AV5" s="11" t="s">
        <v>1401</v>
      </c>
      <c r="AW5" s="242" t="s">
        <v>1393</v>
      </c>
      <c r="AX5" s="251" t="s">
        <v>1400</v>
      </c>
      <c r="AY5" s="248" t="s">
        <v>1401</v>
      </c>
      <c r="AZ5" s="1077"/>
      <c r="BA5" s="509"/>
      <c r="BB5" s="510"/>
      <c r="BC5" s="507"/>
      <c r="BD5" s="507"/>
      <c r="BE5" s="245"/>
      <c r="BF5" s="245"/>
      <c r="BG5" s="245"/>
      <c r="BH5" s="245"/>
      <c r="BI5" s="245"/>
      <c r="BJ5" s="245"/>
      <c r="BK5" s="245"/>
      <c r="BL5" s="245"/>
      <c r="BM5" s="245"/>
      <c r="BN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</row>
    <row r="6" spans="1:76" x14ac:dyDescent="0.25">
      <c r="A6" s="349" t="s">
        <v>1497</v>
      </c>
      <c r="B6" s="350" t="s">
        <v>1498</v>
      </c>
      <c r="C6" s="351"/>
      <c r="D6" s="352" t="s">
        <v>1499</v>
      </c>
      <c r="E6" s="86">
        <v>1</v>
      </c>
      <c r="F6" s="87" t="s">
        <v>1406</v>
      </c>
      <c r="G6" s="177">
        <v>1</v>
      </c>
      <c r="H6" s="508">
        <v>1</v>
      </c>
      <c r="I6" s="768">
        <f>((VLOOKUP($A6,'pricing overview all products'!$A:$B,2,FALSE))*'Country File'!$T$2)*'Country File'!$P$2</f>
        <v>7760</v>
      </c>
      <c r="J6" s="768">
        <f>((VLOOKUP($A6,'pricing overview all products'!$A:$B,2,FALSE))*'Country File'!$T$3)*'Country File'!$P$2</f>
        <v>7760</v>
      </c>
      <c r="K6" s="768">
        <f>(((VLOOKUP($A6,'pricing overview all products'!$A:$B,2,FALSE))*'Country File'!$T$2)*'Country File'!$P$2)*(1-'Applied Discounts'!$C$15)</f>
        <v>6208</v>
      </c>
      <c r="L6" s="768">
        <f>$H6*I6</f>
        <v>7760</v>
      </c>
      <c r="M6" s="768">
        <f>$H6*J6</f>
        <v>7760</v>
      </c>
      <c r="N6" s="769">
        <f>$H6*K6</f>
        <v>6208</v>
      </c>
      <c r="O6" s="770">
        <v>0</v>
      </c>
      <c r="P6" s="769" t="str">
        <f>IFERROR((((VLOOKUP($A6,'pricing overview all products'!$A$1:$M$55,6,FALSE))*'Country File'!$T$2)*'Country File'!$P$2),"N/A")</f>
        <v>N/A</v>
      </c>
      <c r="Q6" s="769" t="str">
        <f>IFERROR((((VLOOKUP($A6,'pricing overview all products'!$A$1:$M$55,6,FALSE))*'Country File'!$T$3)*'Country File'!$P$2),"N/A")</f>
        <v>N/A</v>
      </c>
      <c r="R6" s="769" t="str">
        <f>IFERROR((((VLOOKUP($A6,'pricing overview all products'!$A$1:$M$55,6,FALSE))*'Country File'!$T$2)*'Country File'!$P$2)*(1-#REF!),"N/A")</f>
        <v>N/A</v>
      </c>
      <c r="S6" s="769">
        <f>IFERROR(($O6*P6),0)</f>
        <v>0</v>
      </c>
      <c r="T6" s="769">
        <f>IFERROR(($O6*Q6),0)</f>
        <v>0</v>
      </c>
      <c r="U6" s="769">
        <f>IFERROR(($O6*R6),0)</f>
        <v>0</v>
      </c>
      <c r="V6" s="771"/>
      <c r="W6" s="771"/>
      <c r="X6" s="772">
        <v>0</v>
      </c>
      <c r="Y6" s="769" t="str">
        <f>IFERROR((((VLOOKUP($A6,'pricing overview all products'!$A$1:$M$55,4,FALSE))*'Country File'!$T$2)*'Country File'!$P$2),"N/A")</f>
        <v>N/A</v>
      </c>
      <c r="Z6" s="769"/>
      <c r="AA6" s="769"/>
      <c r="AB6" s="769">
        <f>IFERROR((X6*Y6),0)</f>
        <v>0</v>
      </c>
      <c r="AC6" s="773">
        <v>0</v>
      </c>
      <c r="AD6" s="769">
        <f>IFERROR((((VLOOKUP($A6,'pricing overview all products'!$A$1:$M$55,8,FALSE))*'Country File'!$T$2)*'Country File'!$P$2),"N/A")</f>
        <v>0</v>
      </c>
      <c r="AE6" s="769">
        <f>IFERROR((((VLOOKUP($A6,'pricing overview all products'!$A$1:$M$55,8,FALSE))*'Country File'!$T$3)*'Country File'!$P$2),"N/A")</f>
        <v>0</v>
      </c>
      <c r="AF6" s="769" t="str">
        <f>IFERROR((((VLOOKUP($A6,'pricing overview all products'!$A$1:$M$55,8,FALSE))*'Country File'!$T$2)*'Country File'!$P$2)*(1-#REF!),"N/A")</f>
        <v>N/A</v>
      </c>
      <c r="AG6" s="769"/>
      <c r="AH6" s="769"/>
      <c r="AI6" s="769">
        <f>IFERROR((AC6*AF6),0)</f>
        <v>0</v>
      </c>
      <c r="AJ6" s="773">
        <v>0</v>
      </c>
      <c r="AK6" s="769" t="str">
        <f>IFERROR((((VLOOKUP($A6,'pricing overview all products'!$A$1:$M$55,10,FALSE))*'Country File'!$T$2)*'Country File'!$P$2),"N/A")</f>
        <v>N/A</v>
      </c>
      <c r="AL6" s="769">
        <f>IFERROR((AJ6*AK6),0)</f>
        <v>0</v>
      </c>
      <c r="AM6" s="773">
        <v>0</v>
      </c>
      <c r="AN6" s="769" t="str">
        <f>IFERROR((((VLOOKUP($A6,'pricing overview all products'!$A$1:$N$55,12,FALSE))*'Country File'!$T$2)*'Country File'!$P$2),"N/A")</f>
        <v>N/A</v>
      </c>
      <c r="AO6" s="769">
        <f>IFERROR((AM6*AN6),0)</f>
        <v>0</v>
      </c>
      <c r="AP6" s="773">
        <v>0</v>
      </c>
      <c r="AQ6" s="769">
        <f>IFERROR((((VLOOKUP($A6,'pricing overview all products'!$A$1:$N$55,14,FALSE))*'Country File'!$T$2)*'Country File'!$P$2),"N/A")</f>
        <v>0</v>
      </c>
      <c r="AR6" s="769">
        <f>IFERROR((AP6*AQ6),0)</f>
        <v>0</v>
      </c>
      <c r="AS6" s="774">
        <v>0</v>
      </c>
      <c r="AT6" s="775" t="s">
        <v>1407</v>
      </c>
      <c r="AU6" s="775"/>
      <c r="AV6" s="776">
        <f t="shared" ref="AV6:AV11" si="0">IF(AT6="3m",$R$25,IF(AT6="5m",$R$26,IF(AT6="15m",$R$27,"Failure")))</f>
        <v>0</v>
      </c>
      <c r="AW6" s="777">
        <f>H6</f>
        <v>1</v>
      </c>
      <c r="AX6" s="768">
        <f>IFERROR((((VLOOKUP($AZ6,'Packaging cost'!A:C,3,FALSE))*'Country File'!$P$2)),"tbc")</f>
        <v>60</v>
      </c>
      <c r="AY6" s="769">
        <f>IFERROR((AW6*AX6),0)</f>
        <v>60</v>
      </c>
      <c r="AZ6" s="778" t="str">
        <f>IF(H6=0,"",'Configurator Codes'!L152)</f>
        <v>SP02i3122200102</v>
      </c>
      <c r="BA6" s="779">
        <f>VLOOKUP(AZ6,'Common IDs'!A:C,3,FALSE)</f>
        <v>7600000400631</v>
      </c>
      <c r="BB6" s="744">
        <f>L6+$AY6</f>
        <v>7820</v>
      </c>
      <c r="BC6" s="744">
        <f>M6+$AY6</f>
        <v>7820</v>
      </c>
      <c r="BD6" s="744">
        <f>N6+$AY6</f>
        <v>6268</v>
      </c>
    </row>
    <row r="7" spans="1:76" x14ac:dyDescent="0.25">
      <c r="A7" s="353" t="s">
        <v>1500</v>
      </c>
      <c r="B7" s="354" t="s">
        <v>1501</v>
      </c>
      <c r="C7" s="355"/>
      <c r="D7" s="356" t="s">
        <v>1499</v>
      </c>
      <c r="E7" s="85">
        <v>1</v>
      </c>
      <c r="F7" s="84" t="s">
        <v>1406</v>
      </c>
      <c r="G7" s="102">
        <v>1</v>
      </c>
      <c r="H7" s="240">
        <v>1</v>
      </c>
      <c r="I7" s="662">
        <f>((VLOOKUP($A7,'pricing overview all products'!$A:$B,2,FALSE))*'Country File'!$T$2)*'Country File'!$P$2</f>
        <v>8325</v>
      </c>
      <c r="J7" s="662">
        <f>((VLOOKUP($A7,'pricing overview all products'!$A:$B,2,FALSE))*'Country File'!$T$3)*'Country File'!$P$2</f>
        <v>8325</v>
      </c>
      <c r="K7" s="662">
        <f>(((VLOOKUP($A7,'pricing overview all products'!$A:$B,2,FALSE))*'Country File'!$T$2)*'Country File'!$P$2)*(1-'Applied Discounts'!$C$15)</f>
        <v>6660</v>
      </c>
      <c r="L7" s="662">
        <f t="shared" ref="L7:L12" si="1">$H7*I7</f>
        <v>8325</v>
      </c>
      <c r="M7" s="662">
        <f t="shared" ref="M7:M12" si="2">$H7*J7</f>
        <v>8325</v>
      </c>
      <c r="N7" s="780">
        <f t="shared" ref="N7:N12" si="3">$H7*K7</f>
        <v>6660</v>
      </c>
      <c r="O7" s="781">
        <v>0</v>
      </c>
      <c r="P7" s="782" t="str">
        <f>IFERROR((((VLOOKUP($A7,'pricing overview all products'!$A$1:$M$55,6,FALSE))*'Country File'!$T$2)*'Country File'!$P$2),"N/A")</f>
        <v>N/A</v>
      </c>
      <c r="Q7" s="782" t="str">
        <f>IFERROR((((VLOOKUP($A7,'pricing overview all products'!$A$1:$M$55,6,FALSE))*'Country File'!$T$3)*'Country File'!$P$2),"N/A")</f>
        <v>N/A</v>
      </c>
      <c r="R7" s="782" t="str">
        <f>IFERROR((((VLOOKUP($A7,'pricing overview all products'!$A$1:$M$55,6,FALSE))*'Country File'!$T$2)*'Country File'!$P$2)*(1-#REF!),"N/A")</f>
        <v>N/A</v>
      </c>
      <c r="S7" s="782">
        <f t="shared" ref="S7:S12" si="4">IFERROR(($O7*P7),0)</f>
        <v>0</v>
      </c>
      <c r="T7" s="782">
        <f t="shared" ref="T7:T12" si="5">IFERROR(($O7*Q7),0)</f>
        <v>0</v>
      </c>
      <c r="U7" s="782">
        <f t="shared" ref="U7:U12" si="6">IFERROR(($O7*R7),0)</f>
        <v>0</v>
      </c>
      <c r="V7" s="783"/>
      <c r="W7" s="783"/>
      <c r="X7" s="784">
        <v>0</v>
      </c>
      <c r="Y7" s="782" t="str">
        <f>IFERROR((((VLOOKUP($A7,'pricing overview all products'!$A$1:$M$55,4,FALSE))*'Country File'!$T$2)*'Country File'!$P$2),"N/A")</f>
        <v>N/A</v>
      </c>
      <c r="Z7" s="782"/>
      <c r="AA7" s="782"/>
      <c r="AB7" s="782">
        <f t="shared" ref="AB7:AB8" si="7">IFERROR((X7*Y7),0)</f>
        <v>0</v>
      </c>
      <c r="AC7" s="785">
        <v>0</v>
      </c>
      <c r="AD7" s="786"/>
      <c r="AE7" s="786"/>
      <c r="AF7" s="782">
        <f>IFERROR((((VLOOKUP($A7,'pricing overview all products'!$A$1:$M$55,8,FALSE))*'Country File'!$T$2)*'Country File'!$P$2),"N/A")</f>
        <v>0</v>
      </c>
      <c r="AG7" s="782"/>
      <c r="AH7" s="782"/>
      <c r="AI7" s="782">
        <f t="shared" ref="AI7:AI9" si="8">IFERROR((AC7*AF7),0)</f>
        <v>0</v>
      </c>
      <c r="AJ7" s="785">
        <v>0</v>
      </c>
      <c r="AK7" s="782" t="str">
        <f>IFERROR((((VLOOKUP($A7,'pricing overview all products'!$A$1:$M$55,10,FALSE))*'Country File'!$T$2)*'Country File'!$P$2),"N/A")</f>
        <v>N/A</v>
      </c>
      <c r="AL7" s="782">
        <f t="shared" ref="AL7:AL9" si="9">IFERROR((AJ7*AK7),0)</f>
        <v>0</v>
      </c>
      <c r="AM7" s="785">
        <v>0</v>
      </c>
      <c r="AN7" s="782" t="str">
        <f>IFERROR((((VLOOKUP($A7,'pricing overview all products'!$A$1:$N$55,12,FALSE))*'Country File'!$T$2)*'Country File'!$P$2),"N/A")</f>
        <v>N/A</v>
      </c>
      <c r="AO7" s="782">
        <f t="shared" ref="AO7:AO12" si="10">IFERROR((AM7*AN7),0)</f>
        <v>0</v>
      </c>
      <c r="AP7" s="785">
        <v>0</v>
      </c>
      <c r="AQ7" s="782">
        <f>IFERROR((((VLOOKUP($A7,'pricing overview all products'!$A$1:$N$55,14,FALSE))*'Country File'!$T$2)*'Country File'!$P$2),"N/A")</f>
        <v>0</v>
      </c>
      <c r="AR7" s="782">
        <f t="shared" ref="AR7:AR12" si="11">IFERROR((AP7*AQ7),0)</f>
        <v>0</v>
      </c>
      <c r="AS7" s="787">
        <v>0</v>
      </c>
      <c r="AT7" s="788" t="s">
        <v>1411</v>
      </c>
      <c r="AU7" s="788"/>
      <c r="AV7" s="789">
        <f t="shared" si="0"/>
        <v>0</v>
      </c>
      <c r="AW7" s="790">
        <f t="shared" ref="AW7:AW12" si="12">H7</f>
        <v>1</v>
      </c>
      <c r="AX7" s="662">
        <f>IFERROR((((VLOOKUP($AZ7,'Packaging cost'!A:C,3,FALSE))*'Country File'!$P$2)),"tbc")</f>
        <v>60</v>
      </c>
      <c r="AY7" s="780">
        <f t="shared" ref="AY7:AY12" si="13">IFERROR((AW7*AX7),0)</f>
        <v>60</v>
      </c>
      <c r="AZ7" s="791" t="str">
        <f>IF(H7=0,"",'Configurator Codes'!L153)</f>
        <v>SP05i3122200102</v>
      </c>
      <c r="BA7" s="792">
        <f>VLOOKUP(AZ7,'Common IDs'!A:C,3,FALSE)</f>
        <v>7600000400632</v>
      </c>
      <c r="BB7" s="755">
        <f t="shared" ref="BB7:BB12" si="14">L7+$AY7</f>
        <v>8385</v>
      </c>
      <c r="BC7" s="755">
        <f t="shared" ref="BC7:BC12" si="15">M7+$AY7</f>
        <v>8385</v>
      </c>
      <c r="BD7" s="755">
        <f t="shared" ref="BD7:BD12" si="16">N7+$AY7</f>
        <v>6720</v>
      </c>
    </row>
    <row r="8" spans="1:76" x14ac:dyDescent="0.25">
      <c r="A8" s="353" t="s">
        <v>1502</v>
      </c>
      <c r="B8" s="354" t="s">
        <v>1503</v>
      </c>
      <c r="C8" s="355"/>
      <c r="D8" s="356" t="s">
        <v>1499</v>
      </c>
      <c r="E8" s="85">
        <v>1</v>
      </c>
      <c r="F8" s="84" t="s">
        <v>1406</v>
      </c>
      <c r="G8" s="102">
        <v>1</v>
      </c>
      <c r="H8" s="240">
        <v>1</v>
      </c>
      <c r="I8" s="662">
        <f>((VLOOKUP($A8,'pricing overview all products'!$A:$B,2,FALSE))*'Country File'!$T$2)*'Country File'!$P$2</f>
        <v>9198</v>
      </c>
      <c r="J8" s="662">
        <f>((VLOOKUP($A8,'pricing overview all products'!$A:$B,2,FALSE))*'Country File'!$T$3)*'Country File'!$P$2</f>
        <v>9198</v>
      </c>
      <c r="K8" s="662">
        <f>(((VLOOKUP($A8,'pricing overview all products'!$A:$B,2,FALSE))*'Country File'!$T$2)*'Country File'!$P$2)*(1-'Applied Discounts'!$C$15)</f>
        <v>7358.4000000000005</v>
      </c>
      <c r="L8" s="662">
        <f t="shared" si="1"/>
        <v>9198</v>
      </c>
      <c r="M8" s="662">
        <f t="shared" si="2"/>
        <v>9198</v>
      </c>
      <c r="N8" s="780">
        <f t="shared" si="3"/>
        <v>7358.4000000000005</v>
      </c>
      <c r="O8" s="781">
        <v>0</v>
      </c>
      <c r="P8" s="782" t="str">
        <f>IFERROR((((VLOOKUP($A8,'pricing overview all products'!$A$1:$M$55,6,FALSE))*'Country File'!$T$2)*'Country File'!$P$2),"N/A")</f>
        <v>N/A</v>
      </c>
      <c r="Q8" s="782" t="str">
        <f>IFERROR((((VLOOKUP($A8,'pricing overview all products'!$A$1:$M$55,6,FALSE))*'Country File'!$T$3)*'Country File'!$P$2),"N/A")</f>
        <v>N/A</v>
      </c>
      <c r="R8" s="782" t="str">
        <f>IFERROR((((VLOOKUP($A8,'pricing overview all products'!$A$1:$M$55,6,FALSE))*'Country File'!$T$2)*'Country File'!$P$2)*(1-#REF!),"N/A")</f>
        <v>N/A</v>
      </c>
      <c r="S8" s="782">
        <f t="shared" si="4"/>
        <v>0</v>
      </c>
      <c r="T8" s="782">
        <f t="shared" si="5"/>
        <v>0</v>
      </c>
      <c r="U8" s="782">
        <f t="shared" si="6"/>
        <v>0</v>
      </c>
      <c r="V8" s="783"/>
      <c r="W8" s="783"/>
      <c r="X8" s="784">
        <v>0</v>
      </c>
      <c r="Y8" s="782" t="str">
        <f>IFERROR((((VLOOKUP($A8,'pricing overview all products'!$A$1:$M$55,4,FALSE))*'Country File'!$T$2)*'Country File'!$P$2),"N/A")</f>
        <v>N/A</v>
      </c>
      <c r="Z8" s="782"/>
      <c r="AA8" s="782"/>
      <c r="AB8" s="782">
        <f t="shared" si="7"/>
        <v>0</v>
      </c>
      <c r="AC8" s="785">
        <v>0</v>
      </c>
      <c r="AD8" s="786"/>
      <c r="AE8" s="786"/>
      <c r="AF8" s="782">
        <f>IFERROR((((VLOOKUP($A8,'pricing overview all products'!$A$1:$M$55,8,FALSE))*'Country File'!$T$2)*'Country File'!$P$2),"N/A")</f>
        <v>0</v>
      </c>
      <c r="AG8" s="782"/>
      <c r="AH8" s="782"/>
      <c r="AI8" s="782">
        <f t="shared" si="8"/>
        <v>0</v>
      </c>
      <c r="AJ8" s="785">
        <v>0</v>
      </c>
      <c r="AK8" s="782" t="str">
        <f>IFERROR((((VLOOKUP($A8,'pricing overview all products'!$A$1:$M$55,10,FALSE))*'Country File'!$T$2)*'Country File'!$P$2),"N/A")</f>
        <v>N/A</v>
      </c>
      <c r="AL8" s="782">
        <f t="shared" si="9"/>
        <v>0</v>
      </c>
      <c r="AM8" s="785">
        <v>0</v>
      </c>
      <c r="AN8" s="782" t="str">
        <f>IFERROR((((VLOOKUP($A8,'pricing overview all products'!$A$1:$N$55,12,FALSE))*'Country File'!$T$2)*'Country File'!$P$2),"N/A")</f>
        <v>N/A</v>
      </c>
      <c r="AO8" s="782">
        <f t="shared" si="10"/>
        <v>0</v>
      </c>
      <c r="AP8" s="785">
        <v>0</v>
      </c>
      <c r="AQ8" s="782">
        <f>IFERROR((((VLOOKUP($A8,'pricing overview all products'!$A$1:$N$55,14,FALSE))*'Country File'!$T$2)*'Country File'!$P$2),"N/A")</f>
        <v>0</v>
      </c>
      <c r="AR8" s="782">
        <f t="shared" si="11"/>
        <v>0</v>
      </c>
      <c r="AS8" s="787">
        <v>0</v>
      </c>
      <c r="AT8" s="788" t="s">
        <v>1415</v>
      </c>
      <c r="AU8" s="788"/>
      <c r="AV8" s="789">
        <f t="shared" si="0"/>
        <v>0</v>
      </c>
      <c r="AW8" s="790">
        <f t="shared" si="12"/>
        <v>1</v>
      </c>
      <c r="AX8" s="662">
        <f>IFERROR((((VLOOKUP($AZ8,'Packaging cost'!A:C,3,FALSE))*'Country File'!$P$2)),"tbc")</f>
        <v>60</v>
      </c>
      <c r="AY8" s="780">
        <f t="shared" si="13"/>
        <v>60</v>
      </c>
      <c r="AZ8" s="791" t="str">
        <f>IF(H8=0,"",'Configurator Codes'!L154)</f>
        <v>SP10i3122200102</v>
      </c>
      <c r="BA8" s="792">
        <f>VLOOKUP(AZ8,'Common IDs'!A:C,3,FALSE)</f>
        <v>7600000400633</v>
      </c>
      <c r="BB8" s="755">
        <f t="shared" si="14"/>
        <v>9258</v>
      </c>
      <c r="BC8" s="755">
        <f t="shared" si="15"/>
        <v>9258</v>
      </c>
      <c r="BD8" s="755">
        <f t="shared" si="16"/>
        <v>7418.4000000000005</v>
      </c>
    </row>
    <row r="9" spans="1:76" x14ac:dyDescent="0.25">
      <c r="A9" s="353" t="s">
        <v>1504</v>
      </c>
      <c r="B9" s="354" t="s">
        <v>1505</v>
      </c>
      <c r="C9" s="355"/>
      <c r="D9" s="356" t="s">
        <v>1499</v>
      </c>
      <c r="E9" s="190">
        <v>1</v>
      </c>
      <c r="F9" s="84" t="s">
        <v>1438</v>
      </c>
      <c r="G9" s="255">
        <v>1</v>
      </c>
      <c r="H9" s="240">
        <v>1</v>
      </c>
      <c r="I9" s="662">
        <f>((VLOOKUP($A9,'pricing overview all products'!$A:$B,2,FALSE))*'Country File'!$T$2)*'Country File'!$P$2</f>
        <v>10350</v>
      </c>
      <c r="J9" s="662">
        <f>((VLOOKUP($A9,'pricing overview all products'!$A:$B,2,FALSE))*'Country File'!$T$3)*'Country File'!$P$2</f>
        <v>10350</v>
      </c>
      <c r="K9" s="662">
        <f>(((VLOOKUP($A9,'pricing overview all products'!$A:$B,2,FALSE))*'Country File'!$T$2)*'Country File'!$P$2)*(1-'Applied Discounts'!$C$15)</f>
        <v>8280</v>
      </c>
      <c r="L9" s="662">
        <f t="shared" si="1"/>
        <v>10350</v>
      </c>
      <c r="M9" s="662">
        <f t="shared" si="2"/>
        <v>10350</v>
      </c>
      <c r="N9" s="780">
        <f t="shared" si="3"/>
        <v>8280</v>
      </c>
      <c r="O9" s="781">
        <v>0</v>
      </c>
      <c r="P9" s="780" t="str">
        <f>IFERROR((((VLOOKUP($A9,'pricing overview all products'!$A$1:$M$55,6,FALSE))*'Country File'!$T$2)*'Country File'!$P$2),"N/A")</f>
        <v>N/A</v>
      </c>
      <c r="Q9" s="780" t="str">
        <f>IFERROR((((VLOOKUP($A9,'pricing overview all products'!$A$1:$M$55,6,FALSE))*'Country File'!$T$3)*'Country File'!$P$2),"N/A")</f>
        <v>N/A</v>
      </c>
      <c r="R9" s="780" t="str">
        <f>IFERROR((((VLOOKUP($A9,'pricing overview all products'!$A$1:$M$55,6,FALSE))*'Country File'!$T$2)*'Country File'!$P$2)*(1-#REF!),"N/A")</f>
        <v>N/A</v>
      </c>
      <c r="S9" s="780">
        <f t="shared" si="4"/>
        <v>0</v>
      </c>
      <c r="T9" s="780">
        <f t="shared" si="5"/>
        <v>0</v>
      </c>
      <c r="U9" s="780">
        <f t="shared" si="6"/>
        <v>0</v>
      </c>
      <c r="V9" s="783"/>
      <c r="W9" s="783"/>
      <c r="X9" s="784">
        <v>0</v>
      </c>
      <c r="Y9" s="780" t="str">
        <f>IFERROR((((VLOOKUP($A9,'pricing overview all products'!$A$1:$M$55,4,FALSE))*'Country File'!$T$2)*'Country File'!$P$2),"N/A")</f>
        <v>N/A</v>
      </c>
      <c r="Z9" s="780"/>
      <c r="AA9" s="780"/>
      <c r="AB9" s="780">
        <f t="shared" ref="AB9:AB12" si="17">IFERROR((X9*Y9),0)</f>
        <v>0</v>
      </c>
      <c r="AC9" s="785">
        <v>0</v>
      </c>
      <c r="AD9" s="786"/>
      <c r="AE9" s="786"/>
      <c r="AF9" s="780">
        <f>IFERROR((((VLOOKUP($A9,'pricing overview all products'!$A$1:$M$55,8,FALSE))*'Country File'!$T$2)*'Country File'!$P$2),"N/A")</f>
        <v>0</v>
      </c>
      <c r="AG9" s="780"/>
      <c r="AH9" s="780"/>
      <c r="AI9" s="780">
        <f t="shared" si="8"/>
        <v>0</v>
      </c>
      <c r="AJ9" s="785">
        <v>0</v>
      </c>
      <c r="AK9" s="780" t="str">
        <f>IFERROR((((VLOOKUP($A9,'pricing overview all products'!$A$1:$M$55,10,FALSE))*'Country File'!$T$2)*'Country File'!$P$2),"N/A")</f>
        <v>N/A</v>
      </c>
      <c r="AL9" s="780">
        <f t="shared" si="9"/>
        <v>0</v>
      </c>
      <c r="AM9" s="785">
        <v>0</v>
      </c>
      <c r="AN9" s="780" t="str">
        <f>IFERROR((((VLOOKUP($A9,'pricing overview all products'!$A$1:$N$55,12,FALSE))*'Country File'!$T$2)*'Country File'!$P$2),"N/A")</f>
        <v>N/A</v>
      </c>
      <c r="AO9" s="780">
        <f t="shared" si="10"/>
        <v>0</v>
      </c>
      <c r="AP9" s="785">
        <v>0</v>
      </c>
      <c r="AQ9" s="780">
        <f>IFERROR((((VLOOKUP($A9,'pricing overview all products'!$A$1:$N$55,14,FALSE))*'Country File'!$T$2)*'Country File'!$P$2),"N/A")</f>
        <v>0</v>
      </c>
      <c r="AR9" s="780">
        <f t="shared" si="11"/>
        <v>0</v>
      </c>
      <c r="AS9" s="787">
        <v>0</v>
      </c>
      <c r="AT9" s="788" t="s">
        <v>1415</v>
      </c>
      <c r="AU9" s="793"/>
      <c r="AV9" s="789">
        <f t="shared" si="0"/>
        <v>0</v>
      </c>
      <c r="AW9" s="790">
        <f t="shared" si="12"/>
        <v>1</v>
      </c>
      <c r="AX9" s="662">
        <f>IFERROR((((VLOOKUP($AZ9,'Packaging cost'!A:C,3,FALSE))*'Country File'!$P$2)),"tbc")</f>
        <v>150</v>
      </c>
      <c r="AY9" s="780">
        <f t="shared" si="13"/>
        <v>150</v>
      </c>
      <c r="AZ9" s="791" t="str">
        <f>IF(H9=0,"",'Configurator Codes'!L155)</f>
        <v>SP15i3122100102</v>
      </c>
      <c r="BA9" s="792">
        <f>VLOOKUP(AZ9,'Common IDs'!A:C,3,FALSE)</f>
        <v>7600000400622</v>
      </c>
      <c r="BB9" s="755">
        <f t="shared" si="14"/>
        <v>10500</v>
      </c>
      <c r="BC9" s="755">
        <f t="shared" si="15"/>
        <v>10500</v>
      </c>
      <c r="BD9" s="755">
        <f t="shared" si="16"/>
        <v>8430</v>
      </c>
    </row>
    <row r="10" spans="1:76" x14ac:dyDescent="0.25">
      <c r="A10" s="353" t="s">
        <v>1506</v>
      </c>
      <c r="B10" s="354" t="s">
        <v>1507</v>
      </c>
      <c r="C10" s="355"/>
      <c r="D10" s="356" t="s">
        <v>1499</v>
      </c>
      <c r="E10" s="85">
        <v>1</v>
      </c>
      <c r="F10" s="84" t="s">
        <v>1438</v>
      </c>
      <c r="G10" s="102">
        <v>1</v>
      </c>
      <c r="H10" s="240">
        <v>1</v>
      </c>
      <c r="I10" s="662">
        <f>((VLOOKUP($A10,'pricing overview all products'!$A:$B,2,FALSE))*'Country File'!$T$2)*'Country File'!$P$2</f>
        <v>11920</v>
      </c>
      <c r="J10" s="662">
        <f>((VLOOKUP($A10,'pricing overview all products'!$A:$B,2,FALSE))*'Country File'!$T$3)*'Country File'!$P$2</f>
        <v>11920</v>
      </c>
      <c r="K10" s="662">
        <f>(((VLOOKUP($A10,'pricing overview all products'!$A:$B,2,FALSE))*'Country File'!$T$2)*'Country File'!$P$2)*(1-'Applied Discounts'!$C$15)</f>
        <v>9536</v>
      </c>
      <c r="L10" s="662">
        <f t="shared" si="1"/>
        <v>11920</v>
      </c>
      <c r="M10" s="662">
        <f t="shared" si="2"/>
        <v>11920</v>
      </c>
      <c r="N10" s="780">
        <f t="shared" si="3"/>
        <v>9536</v>
      </c>
      <c r="O10" s="781">
        <v>0</v>
      </c>
      <c r="P10" s="780" t="str">
        <f>IFERROR((((VLOOKUP($A10,'pricing overview all products'!$A$1:$M$55,6,FALSE))*'Country File'!$T$2)*'Country File'!$P$2),"N/A")</f>
        <v>N/A</v>
      </c>
      <c r="Q10" s="780" t="str">
        <f>IFERROR((((VLOOKUP($A10,'pricing overview all products'!$A$1:$M$55,6,FALSE))*'Country File'!$T$3)*'Country File'!$P$2),"N/A")</f>
        <v>N/A</v>
      </c>
      <c r="R10" s="780" t="str">
        <f>IFERROR((((VLOOKUP($A10,'pricing overview all products'!$A$1:$M$55,6,FALSE))*'Country File'!$T$2)*'Country File'!$P$2)*(1-#REF!),"N/A")</f>
        <v>N/A</v>
      </c>
      <c r="S10" s="780">
        <f t="shared" si="4"/>
        <v>0</v>
      </c>
      <c r="T10" s="780">
        <f t="shared" si="5"/>
        <v>0</v>
      </c>
      <c r="U10" s="780">
        <f t="shared" si="6"/>
        <v>0</v>
      </c>
      <c r="V10" s="783"/>
      <c r="W10" s="783"/>
      <c r="X10" s="784">
        <v>0</v>
      </c>
      <c r="Y10" s="780" t="str">
        <f>IFERROR((((VLOOKUP($A10,'pricing overview all products'!$A$1:$M$55,4,FALSE))*'Country File'!$T$2)*'Country File'!$P$2),"N/A")</f>
        <v>N/A</v>
      </c>
      <c r="Z10" s="780"/>
      <c r="AA10" s="780"/>
      <c r="AB10" s="780">
        <f t="shared" si="17"/>
        <v>0</v>
      </c>
      <c r="AC10" s="785">
        <v>0</v>
      </c>
      <c r="AD10" s="786"/>
      <c r="AE10" s="786"/>
      <c r="AF10" s="780">
        <f>IFERROR((((VLOOKUP($A10,'pricing overview all products'!$A$1:$M$55,8,FALSE))*'Country File'!$T$2)*'Country File'!$P$2),"N/A")</f>
        <v>0</v>
      </c>
      <c r="AG10" s="780"/>
      <c r="AH10" s="780"/>
      <c r="AI10" s="780">
        <f t="shared" ref="AI10:AI12" si="18">IFERROR((AC10*AF10),0)</f>
        <v>0</v>
      </c>
      <c r="AJ10" s="785">
        <v>0</v>
      </c>
      <c r="AK10" s="780" t="str">
        <f>IFERROR((((VLOOKUP($A10,'pricing overview all products'!$A$1:$M$55,10,FALSE))*'Country File'!$T$2)*'Country File'!$P$2),"N/A")</f>
        <v>N/A</v>
      </c>
      <c r="AL10" s="780">
        <f t="shared" ref="AL10:AL12" si="19">IFERROR((AJ10*AK10),0)</f>
        <v>0</v>
      </c>
      <c r="AM10" s="785">
        <v>0</v>
      </c>
      <c r="AN10" s="780" t="str">
        <f>IFERROR((((VLOOKUP($A10,'pricing overview all products'!$A$1:$N$55,12,FALSE))*'Country File'!$T$2)*'Country File'!$P$2),"N/A")</f>
        <v>N/A</v>
      </c>
      <c r="AO10" s="780">
        <f t="shared" si="10"/>
        <v>0</v>
      </c>
      <c r="AP10" s="785">
        <v>0</v>
      </c>
      <c r="AQ10" s="780">
        <f>IFERROR((((VLOOKUP($A10,'pricing overview all products'!$A$1:$N$55,14,FALSE))*'Country File'!$T$2)*'Country File'!$P$2),"N/A")</f>
        <v>0</v>
      </c>
      <c r="AR10" s="780">
        <f t="shared" si="11"/>
        <v>0</v>
      </c>
      <c r="AS10" s="787">
        <v>0</v>
      </c>
      <c r="AT10" s="788" t="s">
        <v>1411</v>
      </c>
      <c r="AU10" s="793"/>
      <c r="AV10" s="789">
        <f t="shared" si="0"/>
        <v>0</v>
      </c>
      <c r="AW10" s="790">
        <f t="shared" si="12"/>
        <v>1</v>
      </c>
      <c r="AX10" s="662">
        <f>IFERROR((((VLOOKUP($AZ10,'Packaging cost'!A:C,3,FALSE))*'Country File'!$P$2)),"tbc")</f>
        <v>180</v>
      </c>
      <c r="AY10" s="780">
        <f t="shared" si="13"/>
        <v>180</v>
      </c>
      <c r="AZ10" s="791" t="str">
        <f>IF(H10=0,"",'Configurator Codes'!L156)</f>
        <v>SP30i3122100102</v>
      </c>
      <c r="BA10" s="792">
        <f>VLOOKUP(AZ10,'Common IDs'!A:C,3,FALSE)</f>
        <v>7600000400621</v>
      </c>
      <c r="BB10" s="755">
        <f t="shared" si="14"/>
        <v>12100</v>
      </c>
      <c r="BC10" s="755">
        <f t="shared" si="15"/>
        <v>12100</v>
      </c>
      <c r="BD10" s="755">
        <f t="shared" si="16"/>
        <v>9716</v>
      </c>
    </row>
    <row r="11" spans="1:76" x14ac:dyDescent="0.25">
      <c r="A11" s="353" t="s">
        <v>1508</v>
      </c>
      <c r="B11" s="354" t="s">
        <v>1509</v>
      </c>
      <c r="C11" s="355"/>
      <c r="D11" s="356" t="s">
        <v>1499</v>
      </c>
      <c r="E11" s="85">
        <v>1</v>
      </c>
      <c r="F11" s="84" t="s">
        <v>1438</v>
      </c>
      <c r="G11" s="102">
        <v>1</v>
      </c>
      <c r="H11" s="240">
        <v>1</v>
      </c>
      <c r="I11" s="662">
        <f>((VLOOKUP($A11,'pricing overview all products'!$A:$B,2,FALSE))*'Country File'!$T$2)*'Country File'!$P$2</f>
        <v>13430</v>
      </c>
      <c r="J11" s="662">
        <f>((VLOOKUP($A11,'pricing overview all products'!$A:$B,2,FALSE))*'Country File'!$T$3)*'Country File'!$P$2</f>
        <v>13430</v>
      </c>
      <c r="K11" s="662">
        <f>(((VLOOKUP($A11,'pricing overview all products'!$A:$B,2,FALSE))*'Country File'!$T$2)*'Country File'!$P$2)*(1-'Applied Discounts'!$C$15)</f>
        <v>10744</v>
      </c>
      <c r="L11" s="662">
        <f t="shared" si="1"/>
        <v>13430</v>
      </c>
      <c r="M11" s="662">
        <f t="shared" si="2"/>
        <v>13430</v>
      </c>
      <c r="N11" s="780">
        <f t="shared" si="3"/>
        <v>10744</v>
      </c>
      <c r="O11" s="781">
        <v>0</v>
      </c>
      <c r="P11" s="780" t="str">
        <f>IFERROR((((VLOOKUP($A11,'pricing overview all products'!$A$1:$M$55,6,FALSE))*'Country File'!$T$2)*'Country File'!$P$2),"N/A")</f>
        <v>N/A</v>
      </c>
      <c r="Q11" s="780" t="str">
        <f>IFERROR((((VLOOKUP($A11,'pricing overview all products'!$A$1:$M$55,6,FALSE))*'Country File'!$T$3)*'Country File'!$P$2),"N/A")</f>
        <v>N/A</v>
      </c>
      <c r="R11" s="780" t="str">
        <f>IFERROR((((VLOOKUP($A11,'pricing overview all products'!$A$1:$M$55,6,FALSE))*'Country File'!$T$2)*'Country File'!$P$2)*(1-#REF!),"N/A")</f>
        <v>N/A</v>
      </c>
      <c r="S11" s="780">
        <f t="shared" si="4"/>
        <v>0</v>
      </c>
      <c r="T11" s="780">
        <f t="shared" si="5"/>
        <v>0</v>
      </c>
      <c r="U11" s="780">
        <f t="shared" si="6"/>
        <v>0</v>
      </c>
      <c r="V11" s="783"/>
      <c r="W11" s="783"/>
      <c r="X11" s="784">
        <v>0</v>
      </c>
      <c r="Y11" s="780" t="str">
        <f>IFERROR((((VLOOKUP($A11,'pricing overview all products'!$A$1:$M$55,4,FALSE))*'Country File'!$T$2)*'Country File'!$P$2),"N/A")</f>
        <v>N/A</v>
      </c>
      <c r="Z11" s="780"/>
      <c r="AA11" s="780"/>
      <c r="AB11" s="780">
        <f t="shared" si="17"/>
        <v>0</v>
      </c>
      <c r="AC11" s="785">
        <v>0</v>
      </c>
      <c r="AD11" s="786"/>
      <c r="AE11" s="786"/>
      <c r="AF11" s="780">
        <f>IFERROR((((VLOOKUP($A11,'pricing overview all products'!$A$1:$M$55,8,FALSE))*'Country File'!$T$2)*'Country File'!$P$2),"N/A")</f>
        <v>0</v>
      </c>
      <c r="AG11" s="780"/>
      <c r="AH11" s="780"/>
      <c r="AI11" s="780">
        <f t="shared" si="18"/>
        <v>0</v>
      </c>
      <c r="AJ11" s="785">
        <v>0</v>
      </c>
      <c r="AK11" s="780" t="str">
        <f>IFERROR((((VLOOKUP($A11,'pricing overview all products'!$A$1:$M$55,10,FALSE))*'Country File'!$T$2)*'Country File'!$P$2),"N/A")</f>
        <v>N/A</v>
      </c>
      <c r="AL11" s="780">
        <f t="shared" si="19"/>
        <v>0</v>
      </c>
      <c r="AM11" s="785">
        <v>0</v>
      </c>
      <c r="AN11" s="780" t="str">
        <f>IFERROR((((VLOOKUP($A11,'pricing overview all products'!$A$1:$N$55,12,FALSE))*'Country File'!$T$2)*'Country File'!$P$2),"N/A")</f>
        <v>N/A</v>
      </c>
      <c r="AO11" s="780">
        <f t="shared" si="10"/>
        <v>0</v>
      </c>
      <c r="AP11" s="785">
        <v>0</v>
      </c>
      <c r="AQ11" s="780">
        <f>IFERROR((((VLOOKUP($A11,'pricing overview all products'!$A$1:$N$55,14,FALSE))*'Country File'!$T$2)*'Country File'!$P$2),"N/A")</f>
        <v>0</v>
      </c>
      <c r="AR11" s="780">
        <f t="shared" si="11"/>
        <v>0</v>
      </c>
      <c r="AS11" s="787">
        <v>0</v>
      </c>
      <c r="AT11" s="788" t="s">
        <v>1411</v>
      </c>
      <c r="AU11" s="793"/>
      <c r="AV11" s="789">
        <f t="shared" si="0"/>
        <v>0</v>
      </c>
      <c r="AW11" s="790">
        <f t="shared" si="12"/>
        <v>1</v>
      </c>
      <c r="AX11" s="662">
        <f>IFERROR((((VLOOKUP($AZ11,'Packaging cost'!A:C,3,FALSE))*'Country File'!$P$2)),"tbc")</f>
        <v>180</v>
      </c>
      <c r="AY11" s="780">
        <f t="shared" si="13"/>
        <v>180</v>
      </c>
      <c r="AZ11" s="791" t="str">
        <f>IF(H11=0,"",'Configurator Codes'!L157)</f>
        <v>SP50i3122100102</v>
      </c>
      <c r="BA11" s="792">
        <f>VLOOKUP(AZ11,'Common IDs'!A:C,3,FALSE)</f>
        <v>7600000400624</v>
      </c>
      <c r="BB11" s="755">
        <f t="shared" si="14"/>
        <v>13610</v>
      </c>
      <c r="BC11" s="755">
        <f t="shared" si="15"/>
        <v>13610</v>
      </c>
      <c r="BD11" s="755">
        <f t="shared" si="16"/>
        <v>10924</v>
      </c>
    </row>
    <row r="12" spans="1:76" ht="15.75" thickBot="1" x14ac:dyDescent="0.3">
      <c r="A12" s="357" t="s">
        <v>1510</v>
      </c>
      <c r="B12" s="358" t="s">
        <v>1511</v>
      </c>
      <c r="C12" s="359"/>
      <c r="D12" s="360" t="s">
        <v>1499</v>
      </c>
      <c r="E12" s="93">
        <v>1</v>
      </c>
      <c r="F12" s="90" t="s">
        <v>1438</v>
      </c>
      <c r="G12" s="178">
        <v>1</v>
      </c>
      <c r="H12" s="254">
        <v>1</v>
      </c>
      <c r="I12" s="685">
        <f>((VLOOKUP($A12,'pricing overview all products'!$A:$B,2,FALSE))*'Country File'!$T$2)*'Country File'!$P$2</f>
        <v>19000</v>
      </c>
      <c r="J12" s="685">
        <f>((VLOOKUP($A12,'pricing overview all products'!$A:$B,2,FALSE))*'Country File'!$T$3)*'Country File'!$P$2</f>
        <v>19000</v>
      </c>
      <c r="K12" s="685">
        <f>(((VLOOKUP($A12,'pricing overview all products'!$A:$B,2,FALSE))*'Country File'!$T$2)*'Country File'!$P$2)*(1-'Applied Discounts'!$C$15)</f>
        <v>15200</v>
      </c>
      <c r="L12" s="685">
        <f t="shared" si="1"/>
        <v>19000</v>
      </c>
      <c r="M12" s="685">
        <f t="shared" si="2"/>
        <v>19000</v>
      </c>
      <c r="N12" s="794">
        <f t="shared" si="3"/>
        <v>15200</v>
      </c>
      <c r="O12" s="795">
        <v>0</v>
      </c>
      <c r="P12" s="796" t="str">
        <f>IFERROR((((VLOOKUP($A12,'pricing overview all products'!$A$1:$M$55,6,FALSE))*'Country File'!$T$2)*'Country File'!$P$2),"N/A")</f>
        <v>N/A</v>
      </c>
      <c r="Q12" s="796" t="str">
        <f>IFERROR((((VLOOKUP($A12,'pricing overview all products'!$A$1:$M$55,6,FALSE))*'Country File'!$T$3)*'Country File'!$P$2),"N/A")</f>
        <v>N/A</v>
      </c>
      <c r="R12" s="796" t="str">
        <f>IFERROR((((VLOOKUP($A12,'pricing overview all products'!$A$1:$M$55,6,FALSE))*'Country File'!$T$2)*'Country File'!$P$2)*(1-#REF!),"N/A")</f>
        <v>N/A</v>
      </c>
      <c r="S12" s="796">
        <f t="shared" si="4"/>
        <v>0</v>
      </c>
      <c r="T12" s="796">
        <f t="shared" si="5"/>
        <v>0</v>
      </c>
      <c r="U12" s="796">
        <f t="shared" si="6"/>
        <v>0</v>
      </c>
      <c r="V12" s="797"/>
      <c r="W12" s="797"/>
      <c r="X12" s="798">
        <v>0</v>
      </c>
      <c r="Y12" s="796" t="str">
        <f>IFERROR((((VLOOKUP($A12,'pricing overview all products'!$A$1:$M$55,4,FALSE))*'Country File'!$T$2)*'Country File'!$P$2),"N/A")</f>
        <v>N/A</v>
      </c>
      <c r="Z12" s="796"/>
      <c r="AA12" s="796"/>
      <c r="AB12" s="796">
        <f t="shared" si="17"/>
        <v>0</v>
      </c>
      <c r="AC12" s="799">
        <v>0</v>
      </c>
      <c r="AD12" s="800"/>
      <c r="AE12" s="800"/>
      <c r="AF12" s="796">
        <f>IFERROR((((VLOOKUP($A12,'pricing overview all products'!$A$1:$M$55,8,FALSE))*'Country File'!$T$2)*'Country File'!$P$2),"N/A")</f>
        <v>0</v>
      </c>
      <c r="AG12" s="796"/>
      <c r="AH12" s="796"/>
      <c r="AI12" s="796">
        <f t="shared" si="18"/>
        <v>0</v>
      </c>
      <c r="AJ12" s="799">
        <v>0</v>
      </c>
      <c r="AK12" s="796" t="str">
        <f>IFERROR((((VLOOKUP($A12,'pricing overview all products'!$A$1:$M$55,10,FALSE))*'Country File'!$T$2)*'Country File'!$P$2),"N/A")</f>
        <v>N/A</v>
      </c>
      <c r="AL12" s="796">
        <f t="shared" si="19"/>
        <v>0</v>
      </c>
      <c r="AM12" s="799">
        <v>0</v>
      </c>
      <c r="AN12" s="796" t="str">
        <f>IFERROR((((VLOOKUP($A12,'pricing overview all products'!$A$1:$N$55,12,FALSE))*'Country File'!$T$2)*'Country File'!$P$2),"N/A")</f>
        <v>N/A</v>
      </c>
      <c r="AO12" s="796">
        <f t="shared" si="10"/>
        <v>0</v>
      </c>
      <c r="AP12" s="799">
        <v>0</v>
      </c>
      <c r="AQ12" s="796">
        <f>IFERROR((((VLOOKUP($A12,'pricing overview all products'!$A$1:$N$55,14,FALSE))*'Country File'!$T$2)*'Country File'!$P$2),"N/A")</f>
        <v>0</v>
      </c>
      <c r="AR12" s="796">
        <f t="shared" si="11"/>
        <v>0</v>
      </c>
      <c r="AS12" s="801">
        <v>0</v>
      </c>
      <c r="AT12" s="802"/>
      <c r="AU12" s="802"/>
      <c r="AV12" s="803"/>
      <c r="AW12" s="804">
        <f t="shared" si="12"/>
        <v>1</v>
      </c>
      <c r="AX12" s="685">
        <f>IFERROR((((VLOOKUP($AZ12,'Packaging cost'!A:C,3,FALSE))*'Country File'!$P$2)),"tbc")</f>
        <v>180</v>
      </c>
      <c r="AY12" s="794">
        <f t="shared" si="13"/>
        <v>180</v>
      </c>
      <c r="AZ12" s="805" t="str">
        <f>IF(H12=0,"",'Configurator Codes'!L158)</f>
        <v>SP90i3122100102</v>
      </c>
      <c r="BA12" s="806">
        <f>VLOOKUP(AZ12,'Common IDs'!A:C,3,FALSE)</f>
        <v>7600000400626</v>
      </c>
      <c r="BB12" s="767">
        <f t="shared" si="14"/>
        <v>19180</v>
      </c>
      <c r="BC12" s="767">
        <f t="shared" si="15"/>
        <v>19180</v>
      </c>
      <c r="BD12" s="767">
        <f t="shared" si="16"/>
        <v>15380</v>
      </c>
    </row>
    <row r="13" spans="1:76" s="150" customFormat="1" x14ac:dyDescent="0.25"/>
    <row r="14" spans="1:76" s="150" customFormat="1" x14ac:dyDescent="0.25">
      <c r="A14" s="161"/>
    </row>
    <row r="15" spans="1:76" s="150" customFormat="1" x14ac:dyDescent="0.25"/>
    <row r="16" spans="1:76" s="150" customFormat="1" x14ac:dyDescent="0.25"/>
    <row r="17" s="150" customFormat="1" x14ac:dyDescent="0.25"/>
    <row r="18" s="150" customFormat="1" x14ac:dyDescent="0.25"/>
    <row r="19" s="150" customFormat="1" x14ac:dyDescent="0.25"/>
    <row r="20" s="150" customFormat="1" x14ac:dyDescent="0.25"/>
    <row r="21" s="150" customFormat="1" x14ac:dyDescent="0.25"/>
    <row r="22" s="150" customFormat="1" x14ac:dyDescent="0.25"/>
    <row r="23" s="150" customFormat="1" x14ac:dyDescent="0.25"/>
    <row r="24" s="150" customFormat="1" x14ac:dyDescent="0.25"/>
    <row r="25" s="150" customFormat="1" x14ac:dyDescent="0.25"/>
    <row r="26" s="150" customFormat="1" x14ac:dyDescent="0.25"/>
    <row r="27" s="150" customFormat="1" x14ac:dyDescent="0.25"/>
    <row r="28" s="150" customFormat="1" x14ac:dyDescent="0.25"/>
    <row r="29" s="150" customFormat="1" x14ac:dyDescent="0.25"/>
    <row r="30" s="150" customFormat="1" x14ac:dyDescent="0.25"/>
    <row r="31" s="150" customFormat="1" x14ac:dyDescent="0.25"/>
    <row r="32" s="150" customFormat="1" x14ac:dyDescent="0.25"/>
    <row r="33" s="150" customFormat="1" x14ac:dyDescent="0.25"/>
    <row r="34" s="150" customFormat="1" x14ac:dyDescent="0.25"/>
    <row r="35" s="150" customFormat="1" x14ac:dyDescent="0.25"/>
    <row r="36" s="150" customFormat="1" x14ac:dyDescent="0.25"/>
    <row r="37" s="150" customFormat="1" x14ac:dyDescent="0.25"/>
    <row r="38" s="150" customFormat="1" x14ac:dyDescent="0.25"/>
    <row r="39" s="150" customFormat="1" x14ac:dyDescent="0.25"/>
    <row r="40" s="150" customFormat="1" x14ac:dyDescent="0.25"/>
    <row r="41" s="150" customFormat="1" x14ac:dyDescent="0.25"/>
    <row r="42" s="150" customFormat="1" x14ac:dyDescent="0.25"/>
    <row r="43" s="150" customFormat="1" x14ac:dyDescent="0.25"/>
    <row r="44" s="150" customFormat="1" x14ac:dyDescent="0.25"/>
    <row r="45" s="150" customFormat="1" x14ac:dyDescent="0.25"/>
    <row r="46" s="150" customFormat="1" x14ac:dyDescent="0.25"/>
    <row r="47" s="150" customFormat="1" x14ac:dyDescent="0.25"/>
    <row r="48" s="150" customFormat="1" x14ac:dyDescent="0.25"/>
    <row r="49" s="150" customFormat="1" x14ac:dyDescent="0.25"/>
    <row r="50" s="150" customFormat="1" x14ac:dyDescent="0.25"/>
    <row r="51" s="150" customFormat="1" x14ac:dyDescent="0.25"/>
    <row r="52" s="150" customFormat="1" x14ac:dyDescent="0.25"/>
    <row r="53" s="150" customFormat="1" x14ac:dyDescent="0.25"/>
    <row r="54" s="150" customFormat="1" x14ac:dyDescent="0.25"/>
    <row r="55" s="150" customFormat="1" x14ac:dyDescent="0.25"/>
    <row r="56" s="150" customFormat="1" x14ac:dyDescent="0.25"/>
    <row r="57" s="150" customFormat="1" x14ac:dyDescent="0.25"/>
    <row r="58" s="150" customFormat="1" x14ac:dyDescent="0.25"/>
    <row r="59" s="150" customFormat="1" x14ac:dyDescent="0.25"/>
    <row r="60" s="150" customFormat="1" x14ac:dyDescent="0.25"/>
    <row r="61" s="150" customFormat="1" x14ac:dyDescent="0.25"/>
    <row r="62" s="150" customFormat="1" x14ac:dyDescent="0.25"/>
    <row r="63" s="150" customFormat="1" x14ac:dyDescent="0.25"/>
    <row r="64" s="150" customFormat="1" x14ac:dyDescent="0.25"/>
    <row r="65" s="150" customFormat="1" x14ac:dyDescent="0.25"/>
    <row r="66" s="150" customFormat="1" x14ac:dyDescent="0.25"/>
    <row r="67" s="150" customFormat="1" x14ac:dyDescent="0.25"/>
    <row r="68" s="150" customFormat="1" x14ac:dyDescent="0.25"/>
    <row r="69" s="150" customFormat="1" x14ac:dyDescent="0.25"/>
    <row r="70" s="150" customFormat="1" x14ac:dyDescent="0.25"/>
    <row r="71" s="150" customFormat="1" x14ac:dyDescent="0.25"/>
    <row r="72" s="150" customFormat="1" x14ac:dyDescent="0.25"/>
    <row r="73" s="150" customFormat="1" x14ac:dyDescent="0.25"/>
    <row r="74" s="150" customFormat="1" x14ac:dyDescent="0.25"/>
    <row r="75" s="150" customFormat="1" x14ac:dyDescent="0.25"/>
    <row r="76" s="150" customFormat="1" x14ac:dyDescent="0.25"/>
    <row r="77" s="150" customFormat="1" x14ac:dyDescent="0.25"/>
    <row r="78" s="150" customFormat="1" x14ac:dyDescent="0.25"/>
    <row r="79" s="150" customFormat="1" x14ac:dyDescent="0.25"/>
    <row r="80" s="150" customFormat="1" x14ac:dyDescent="0.25"/>
    <row r="81" s="150" customFormat="1" x14ac:dyDescent="0.25"/>
    <row r="82" s="150" customFormat="1" x14ac:dyDescent="0.25"/>
    <row r="83" s="150" customFormat="1" x14ac:dyDescent="0.25"/>
    <row r="84" s="150" customFormat="1" x14ac:dyDescent="0.25"/>
    <row r="85" s="150" customFormat="1" x14ac:dyDescent="0.25"/>
    <row r="86" s="150" customFormat="1" x14ac:dyDescent="0.25"/>
    <row r="87" s="150" customFormat="1" x14ac:dyDescent="0.25"/>
    <row r="88" s="150" customFormat="1" x14ac:dyDescent="0.25"/>
    <row r="89" s="150" customFormat="1" x14ac:dyDescent="0.25"/>
    <row r="90" s="150" customFormat="1" x14ac:dyDescent="0.25"/>
    <row r="91" s="150" customFormat="1" x14ac:dyDescent="0.25"/>
    <row r="92" s="150" customFormat="1" x14ac:dyDescent="0.25"/>
    <row r="93" s="150" customFormat="1" x14ac:dyDescent="0.25"/>
    <row r="94" s="150" customFormat="1" x14ac:dyDescent="0.25"/>
    <row r="95" s="150" customFormat="1" x14ac:dyDescent="0.25"/>
    <row r="96" s="150" customFormat="1" x14ac:dyDescent="0.25"/>
    <row r="97" s="150" customFormat="1" x14ac:dyDescent="0.25"/>
    <row r="98" s="150" customFormat="1" x14ac:dyDescent="0.25"/>
    <row r="99" s="150" customFormat="1" x14ac:dyDescent="0.25"/>
    <row r="100" s="150" customFormat="1" x14ac:dyDescent="0.25"/>
    <row r="101" s="150" customFormat="1" x14ac:dyDescent="0.25"/>
    <row r="102" s="150" customFormat="1" x14ac:dyDescent="0.25"/>
    <row r="103" s="150" customFormat="1" x14ac:dyDescent="0.25"/>
    <row r="104" s="150" customFormat="1" x14ac:dyDescent="0.25"/>
    <row r="105" s="150" customFormat="1" x14ac:dyDescent="0.25"/>
    <row r="106" s="150" customFormat="1" x14ac:dyDescent="0.25"/>
    <row r="107" s="150" customFormat="1" x14ac:dyDescent="0.25"/>
    <row r="108" s="150" customFormat="1" x14ac:dyDescent="0.25"/>
    <row r="109" s="150" customFormat="1" x14ac:dyDescent="0.25"/>
    <row r="110" s="150" customFormat="1" x14ac:dyDescent="0.25"/>
    <row r="111" s="150" customFormat="1" x14ac:dyDescent="0.25"/>
    <row r="112" s="150" customFormat="1" x14ac:dyDescent="0.25"/>
    <row r="113" s="150" customFormat="1" x14ac:dyDescent="0.25"/>
    <row r="114" s="150" customFormat="1" x14ac:dyDescent="0.25"/>
    <row r="115" s="150" customFormat="1" x14ac:dyDescent="0.25"/>
    <row r="116" s="150" customFormat="1" x14ac:dyDescent="0.25"/>
    <row r="117" s="150" customFormat="1" x14ac:dyDescent="0.25"/>
    <row r="118" s="150" customFormat="1" x14ac:dyDescent="0.25"/>
    <row r="119" s="150" customFormat="1" x14ac:dyDescent="0.25"/>
    <row r="120" s="150" customFormat="1" x14ac:dyDescent="0.25"/>
    <row r="121" s="150" customFormat="1" x14ac:dyDescent="0.25"/>
    <row r="122" s="150" customFormat="1" x14ac:dyDescent="0.25"/>
    <row r="123" s="150" customFormat="1" x14ac:dyDescent="0.25"/>
    <row r="124" s="150" customFormat="1" x14ac:dyDescent="0.25"/>
    <row r="125" s="150" customFormat="1" x14ac:dyDescent="0.25"/>
    <row r="126" s="150" customFormat="1" x14ac:dyDescent="0.25"/>
    <row r="127" s="150" customFormat="1" x14ac:dyDescent="0.25"/>
    <row r="128" s="150" customFormat="1" x14ac:dyDescent="0.25"/>
    <row r="129" s="150" customFormat="1" x14ac:dyDescent="0.25"/>
    <row r="130" s="150" customFormat="1" x14ac:dyDescent="0.25"/>
    <row r="131" s="150" customFormat="1" x14ac:dyDescent="0.25"/>
    <row r="132" s="150" customFormat="1" x14ac:dyDescent="0.25"/>
    <row r="133" s="150" customFormat="1" x14ac:dyDescent="0.25"/>
    <row r="134" s="150" customFormat="1" x14ac:dyDescent="0.25"/>
    <row r="135" s="150" customFormat="1" x14ac:dyDescent="0.25"/>
    <row r="136" s="150" customFormat="1" x14ac:dyDescent="0.25"/>
    <row r="137" s="150" customFormat="1" x14ac:dyDescent="0.25"/>
    <row r="138" s="150" customFormat="1" x14ac:dyDescent="0.25"/>
    <row r="139" s="150" customFormat="1" x14ac:dyDescent="0.25"/>
    <row r="140" s="150" customFormat="1" x14ac:dyDescent="0.25"/>
  </sheetData>
  <sheetProtection algorithmName="SHA-512" hashValue="HU+EOvIBxHK78MMSteC5AWXFTMsUBvYSxIcWCvZvzPebY3+QNnS3iMKUXK2Ow4iTX/0rMmXjX3ngYTXz8CAPlA==" saltValue="VSoEElTxDTt2se0v2+ZtEA==" spinCount="100000" sheet="1" objects="1" scenarios="1"/>
  <mergeCells count="14">
    <mergeCell ref="AZ3:AZ5"/>
    <mergeCell ref="D3:D4"/>
    <mergeCell ref="A3:A5"/>
    <mergeCell ref="F3:F5"/>
    <mergeCell ref="AJ4:AL4"/>
    <mergeCell ref="H3:AY3"/>
    <mergeCell ref="H4:N4"/>
    <mergeCell ref="O4:U4"/>
    <mergeCell ref="AM4:AO4"/>
    <mergeCell ref="AP4:AR4"/>
    <mergeCell ref="AS4:AV4"/>
    <mergeCell ref="AW4:AY4"/>
    <mergeCell ref="X4:AB4"/>
    <mergeCell ref="AC4:AI4"/>
  </mergeCells>
  <dataValidations count="1">
    <dataValidation type="list" allowBlank="1" showInputMessage="1" showErrorMessage="1" sqref="AT6:AT12" xr:uid="{8831EEB6-788F-4A98-B4BC-1CD2F7CD12F1}">
      <formula1>"3m,5m,15m"</formula1>
    </dataValidation>
  </dataValidations>
  <pageMargins left="0.7" right="0.7" top="0.75" bottom="0.75" header="0.3" footer="0.3"/>
  <pageSetup paperSize="9" scale="66" fitToHeight="0" orientation="landscape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E4E2F2D-3C89-428E-B85E-0767EBAE3C64}">
          <x14:formula1>
            <xm:f>'Drop Downs'!$C$57:$C$58</xm:f>
          </x14:formula1>
          <xm:sqref>D6</xm:sqref>
        </x14:dataValidation>
        <x14:dataValidation type="list" allowBlank="1" showInputMessage="1" showErrorMessage="1" xr:uid="{1AAE5C66-540B-455B-AFBD-C002531945B2}">
          <x14:formula1>
            <xm:f>'Drop Downs'!$C$61:$C$62</xm:f>
          </x14:formula1>
          <xm:sqref>D7</xm:sqref>
        </x14:dataValidation>
        <x14:dataValidation type="list" allowBlank="1" showInputMessage="1" showErrorMessage="1" xr:uid="{431397D9-F101-42B7-866C-95C85EDD0750}">
          <x14:formula1>
            <xm:f>'Drop Downs'!$C$65:$C$66</xm:f>
          </x14:formula1>
          <xm:sqref>D8</xm:sqref>
        </x14:dataValidation>
        <x14:dataValidation type="list" allowBlank="1" showInputMessage="1" showErrorMessage="1" xr:uid="{D0BE8C88-BE6C-41F6-8415-6C9AD002C3C8}">
          <x14:formula1>
            <xm:f>'Drop Downs'!$C$69:$C$70</xm:f>
          </x14:formula1>
          <xm:sqref>D10</xm:sqref>
        </x14:dataValidation>
        <x14:dataValidation type="list" allowBlank="1" showInputMessage="1" showErrorMessage="1" xr:uid="{B2AD0752-6C07-44CC-9620-2464D919E57A}">
          <x14:formula1>
            <xm:f>'Drop Downs'!$C$73:$C$74</xm:f>
          </x14:formula1>
          <xm:sqref>D11</xm:sqref>
        </x14:dataValidation>
        <x14:dataValidation type="list" allowBlank="1" showInputMessage="1" showErrorMessage="1" xr:uid="{EBF9D09C-E6BF-44C9-9B2D-6AE8A349F285}">
          <x14:formula1>
            <xm:f>'Drop Downs'!$C$77:$C$78</xm:f>
          </x14:formula1>
          <xm:sqref>D12</xm:sqref>
        </x14:dataValidation>
        <x14:dataValidation type="list" allowBlank="1" showInputMessage="1" showErrorMessage="1" xr:uid="{AE0C0058-B683-47DE-AA78-872E1B21DECD}">
          <x14:formula1>
            <xm:f>'Drop Downs'!$C$81:$C$82</xm:f>
          </x14:formula1>
          <xm:sqref>D9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BA5F-2524-416F-8BC0-DF81C2F082B2}">
  <sheetPr codeName="Tabelle8">
    <tabColor rgb="FFFFC000"/>
    <pageSetUpPr fitToPage="1"/>
  </sheetPr>
  <dimension ref="A2:BL30"/>
  <sheetViews>
    <sheetView showGridLines="0" zoomScaleNormal="100" workbookViewId="0">
      <pane xSplit="3" ySplit="5" topLeftCell="D6" activePane="bottomRight" state="frozen"/>
      <selection activeCell="H34" sqref="H34"/>
      <selection pane="topRight" activeCell="H34" sqref="H34"/>
      <selection pane="bottomLeft" activeCell="H34" sqref="H34"/>
      <selection pane="bottomRight" activeCell="N18" sqref="N18"/>
    </sheetView>
  </sheetViews>
  <sheetFormatPr defaultColWidth="9.28515625" defaultRowHeight="15" outlineLevelCol="1" x14ac:dyDescent="0.25"/>
  <cols>
    <col min="1" max="1" width="14.28515625" bestFit="1" customWidth="1"/>
    <col min="2" max="3" width="9.28515625" hidden="1" customWidth="1"/>
    <col min="4" max="4" width="20.28515625" customWidth="1"/>
    <col min="5" max="5" width="9.28515625" hidden="1" customWidth="1"/>
    <col min="6" max="6" width="15.28515625" hidden="1" customWidth="1"/>
    <col min="7" max="7" width="16.5703125" hidden="1" customWidth="1"/>
    <col min="8" max="8" width="7.42578125" customWidth="1"/>
    <col min="9" max="9" width="11.85546875" customWidth="1"/>
    <col min="10" max="10" width="17" hidden="1" customWidth="1"/>
    <col min="11" max="11" width="17.140625" customWidth="1"/>
    <col min="12" max="12" width="10.7109375" customWidth="1"/>
    <col min="13" max="13" width="16.28515625" hidden="1" customWidth="1"/>
    <col min="14" max="14" width="15.7109375" bestFit="1" customWidth="1"/>
    <col min="15" max="15" width="13.28515625" customWidth="1"/>
    <col min="16" max="16" width="10.85546875" customWidth="1"/>
    <col min="17" max="17" width="15.42578125" hidden="1" customWidth="1"/>
    <col min="18" max="18" width="15.7109375" customWidth="1"/>
    <col min="19" max="19" width="10.7109375" customWidth="1"/>
    <col min="20" max="20" width="16.7109375" hidden="1" customWidth="1"/>
    <col min="21" max="21" width="15.7109375" bestFit="1" customWidth="1"/>
    <col min="22" max="22" width="6.7109375" hidden="1" customWidth="1" outlineLevel="1"/>
    <col min="23" max="23" width="10.42578125" hidden="1" customWidth="1" outlineLevel="1"/>
    <col min="24" max="24" width="9.28515625" hidden="1" customWidth="1" outlineLevel="1"/>
    <col min="25" max="25" width="6.7109375" hidden="1" customWidth="1" outlineLevel="1"/>
    <col min="26" max="26" width="10.42578125" hidden="1" customWidth="1" outlineLevel="1"/>
    <col min="27" max="27" width="9.28515625" hidden="1" customWidth="1" outlineLevel="1"/>
    <col min="28" max="28" width="6.7109375" hidden="1" customWidth="1" outlineLevel="1"/>
    <col min="29" max="29" width="10.42578125" hidden="1" customWidth="1" outlineLevel="1"/>
    <col min="30" max="31" width="9.28515625" hidden="1" customWidth="1" outlineLevel="1"/>
    <col min="32" max="32" width="10.42578125" hidden="1" customWidth="1" outlineLevel="1"/>
    <col min="33" max="38" width="9.28515625" hidden="1" customWidth="1" outlineLevel="1"/>
    <col min="39" max="39" width="10.42578125" hidden="1" customWidth="1" outlineLevel="1"/>
    <col min="40" max="40" width="9.28515625" hidden="1" customWidth="1" outlineLevel="1"/>
    <col min="41" max="41" width="6.85546875" bestFit="1" customWidth="1" collapsed="1"/>
    <col min="42" max="42" width="8.85546875" customWidth="1"/>
    <col min="43" max="43" width="7.5703125" customWidth="1"/>
    <col min="44" max="45" width="17.5703125" customWidth="1"/>
    <col min="46" max="46" width="14.140625" customWidth="1"/>
    <col min="47" max="47" width="16.42578125" hidden="1" customWidth="1"/>
    <col min="48" max="48" width="13.140625" customWidth="1"/>
    <col min="49" max="52" width="9.28515625" style="150" customWidth="1"/>
    <col min="53" max="64" width="9.28515625" style="150"/>
  </cols>
  <sheetData>
    <row r="2" spans="1:64" ht="14.25" customHeight="1" thickBot="1" x14ac:dyDescent="0.3"/>
    <row r="3" spans="1:64" ht="45.75" thickBot="1" x14ac:dyDescent="0.3">
      <c r="A3" s="1030" t="s">
        <v>1</v>
      </c>
      <c r="B3" s="4"/>
      <c r="C3" s="4"/>
      <c r="D3" s="1030" t="s">
        <v>1374</v>
      </c>
      <c r="E3" s="4"/>
      <c r="F3" s="4"/>
      <c r="G3" s="4"/>
      <c r="H3" s="1083" t="str">
        <f>_xlfn.CONCAT("Prices in ",'Applied Discounts'!$C$5)</f>
        <v>Prices in EUR</v>
      </c>
      <c r="I3" s="1084"/>
      <c r="J3" s="1084"/>
      <c r="K3" s="1084"/>
      <c r="L3" s="1084"/>
      <c r="M3" s="1084"/>
      <c r="N3" s="1084"/>
      <c r="O3" s="1084"/>
      <c r="P3" s="1084"/>
      <c r="Q3" s="1084"/>
      <c r="R3" s="1084"/>
      <c r="S3" s="1084"/>
      <c r="T3" s="1084"/>
      <c r="U3" s="1084"/>
      <c r="V3" s="1084"/>
      <c r="W3" s="1084"/>
      <c r="X3" s="1084"/>
      <c r="Y3" s="1084"/>
      <c r="Z3" s="1084"/>
      <c r="AA3" s="1084"/>
      <c r="AB3" s="1084"/>
      <c r="AC3" s="1084"/>
      <c r="AD3" s="1084"/>
      <c r="AE3" s="1084"/>
      <c r="AF3" s="1084"/>
      <c r="AG3" s="1084"/>
      <c r="AH3" s="1084"/>
      <c r="AI3" s="1084"/>
      <c r="AJ3" s="1084"/>
      <c r="AK3" s="1084"/>
      <c r="AL3" s="1084"/>
      <c r="AM3" s="1084"/>
      <c r="AN3" s="1084"/>
      <c r="AO3" s="1085"/>
      <c r="AP3" s="1085"/>
      <c r="AQ3" s="1085"/>
      <c r="AR3" s="1047" t="s">
        <v>1378</v>
      </c>
      <c r="AS3" s="153"/>
      <c r="AT3" s="402" t="s">
        <v>1380</v>
      </c>
      <c r="AU3" s="403" t="s">
        <v>1381</v>
      </c>
      <c r="AV3" s="403" t="s">
        <v>1382</v>
      </c>
    </row>
    <row r="4" spans="1:64" ht="15.75" thickBot="1" x14ac:dyDescent="0.3">
      <c r="A4" s="1078"/>
      <c r="B4" s="5"/>
      <c r="C4" s="106" t="s">
        <v>1479</v>
      </c>
      <c r="D4" s="1078"/>
      <c r="E4" s="106" t="s">
        <v>1479</v>
      </c>
      <c r="F4" s="82" t="s">
        <v>1376</v>
      </c>
      <c r="G4" s="5" t="s">
        <v>1377</v>
      </c>
      <c r="H4" s="1066" t="s">
        <v>1512</v>
      </c>
      <c r="I4" s="1067"/>
      <c r="J4" s="1067"/>
      <c r="K4" s="1067"/>
      <c r="L4" s="1067"/>
      <c r="M4" s="1067"/>
      <c r="N4" s="1068"/>
      <c r="O4" s="1066" t="s">
        <v>1513</v>
      </c>
      <c r="P4" s="1067"/>
      <c r="Q4" s="1067"/>
      <c r="R4" s="1067"/>
      <c r="S4" s="1067"/>
      <c r="T4" s="1067"/>
      <c r="U4" s="1068"/>
      <c r="V4" s="1069" t="s">
        <v>1514</v>
      </c>
      <c r="W4" s="1070"/>
      <c r="X4" s="1071"/>
      <c r="Y4" s="1069" t="s">
        <v>1514</v>
      </c>
      <c r="Z4" s="1070"/>
      <c r="AA4" s="1071"/>
      <c r="AB4" s="1069" t="s">
        <v>1514</v>
      </c>
      <c r="AC4" s="1070"/>
      <c r="AD4" s="1071"/>
      <c r="AE4" s="1069" t="s">
        <v>1514</v>
      </c>
      <c r="AF4" s="1070"/>
      <c r="AG4" s="1071"/>
      <c r="AH4" s="1069" t="s">
        <v>1514</v>
      </c>
      <c r="AI4" s="1070"/>
      <c r="AJ4" s="1071"/>
      <c r="AK4" s="1069" t="s">
        <v>1514</v>
      </c>
      <c r="AL4" s="1070"/>
      <c r="AM4" s="1070"/>
      <c r="AN4" s="1070"/>
      <c r="AO4" s="1081" t="s">
        <v>1390</v>
      </c>
      <c r="AP4" s="1082"/>
      <c r="AQ4" s="1082"/>
      <c r="AR4" s="1048"/>
      <c r="AS4" s="154" t="s">
        <v>1391</v>
      </c>
      <c r="AT4" s="138" t="str">
        <f>'Applied Discounts'!$C$5</f>
        <v>EUR</v>
      </c>
      <c r="AU4" s="256" t="e">
        <f>#REF!</f>
        <v>#REF!</v>
      </c>
      <c r="AV4" s="138" t="str">
        <f>'Applied Discounts'!$C$5</f>
        <v>EUR</v>
      </c>
    </row>
    <row r="5" spans="1:64" s="31" customFormat="1" ht="31.5" customHeight="1" thickBot="1" x14ac:dyDescent="0.3">
      <c r="A5" s="502"/>
      <c r="B5" s="95"/>
      <c r="C5" s="109"/>
      <c r="D5" s="503" t="s">
        <v>1494</v>
      </c>
      <c r="E5" s="110"/>
      <c r="F5" s="110"/>
      <c r="G5" s="110"/>
      <c r="H5" s="241" t="s">
        <v>1393</v>
      </c>
      <c r="I5" s="504" t="s">
        <v>1394</v>
      </c>
      <c r="J5" s="504" t="s">
        <v>1395</v>
      </c>
      <c r="K5" s="504" t="s">
        <v>1396</v>
      </c>
      <c r="L5" s="504" t="s">
        <v>1380</v>
      </c>
      <c r="M5" s="504" t="s">
        <v>1381</v>
      </c>
      <c r="N5" s="505" t="s">
        <v>1382</v>
      </c>
      <c r="O5" s="180" t="s">
        <v>1494</v>
      </c>
      <c r="P5" s="504" t="s">
        <v>1397</v>
      </c>
      <c r="Q5" s="504" t="s">
        <v>1398</v>
      </c>
      <c r="R5" s="504" t="s">
        <v>1399</v>
      </c>
      <c r="S5" s="504" t="s">
        <v>1380</v>
      </c>
      <c r="T5" s="504" t="s">
        <v>1381</v>
      </c>
      <c r="U5" s="505" t="s">
        <v>1382</v>
      </c>
      <c r="V5" s="268" t="s">
        <v>1393</v>
      </c>
      <c r="W5" s="13" t="s">
        <v>1400</v>
      </c>
      <c r="X5" s="13" t="s">
        <v>1401</v>
      </c>
      <c r="Y5" s="241" t="s">
        <v>1393</v>
      </c>
      <c r="Z5" s="13" t="s">
        <v>1400</v>
      </c>
      <c r="AA5" s="13" t="s">
        <v>1401</v>
      </c>
      <c r="AB5" s="241" t="s">
        <v>1393</v>
      </c>
      <c r="AC5" s="13" t="s">
        <v>1400</v>
      </c>
      <c r="AD5" s="13" t="s">
        <v>1401</v>
      </c>
      <c r="AE5" s="241" t="s">
        <v>1393</v>
      </c>
      <c r="AF5" s="13" t="s">
        <v>1400</v>
      </c>
      <c r="AG5" s="13" t="s">
        <v>1401</v>
      </c>
      <c r="AH5" s="241" t="s">
        <v>1393</v>
      </c>
      <c r="AI5" s="13" t="s">
        <v>1400</v>
      </c>
      <c r="AJ5" s="13" t="s">
        <v>1401</v>
      </c>
      <c r="AK5" s="241" t="s">
        <v>1393</v>
      </c>
      <c r="AL5" s="13"/>
      <c r="AM5" s="13" t="s">
        <v>1400</v>
      </c>
      <c r="AN5" s="13" t="s">
        <v>1401</v>
      </c>
      <c r="AO5" s="258" t="s">
        <v>1393</v>
      </c>
      <c r="AP5" s="619" t="s">
        <v>1400</v>
      </c>
      <c r="AQ5" s="9" t="s">
        <v>1401</v>
      </c>
      <c r="AR5" s="1077"/>
      <c r="AS5" s="11"/>
      <c r="AT5" s="506"/>
      <c r="AU5" s="507"/>
      <c r="AV5" s="507"/>
      <c r="AW5" s="245"/>
      <c r="AX5" s="245"/>
      <c r="AY5" s="245"/>
      <c r="AZ5" s="245"/>
      <c r="BA5" s="245"/>
      <c r="BB5" s="245"/>
      <c r="BC5" s="245"/>
      <c r="BD5" s="245"/>
      <c r="BE5" s="245"/>
      <c r="BF5" s="245"/>
      <c r="BG5" s="245"/>
      <c r="BH5" s="245"/>
      <c r="BI5" s="245"/>
      <c r="BJ5" s="245"/>
      <c r="BK5" s="245"/>
      <c r="BL5" s="245"/>
    </row>
    <row r="6" spans="1:64" x14ac:dyDescent="0.25">
      <c r="A6" s="113" t="s">
        <v>1516</v>
      </c>
      <c r="B6" s="113" t="s">
        <v>1517</v>
      </c>
      <c r="C6" s="113"/>
      <c r="D6" s="260" t="s">
        <v>1499</v>
      </c>
      <c r="E6" s="261"/>
      <c r="F6" s="261"/>
      <c r="G6" s="261"/>
      <c r="H6" s="508">
        <v>1</v>
      </c>
      <c r="I6" s="768">
        <f>IF($D6="TriClamp DIN32676",(VLOOKUP(PureTube!$A6,'pricing overview all products'!$A:$B,2,FALSE)+'pricing overview all products'!$S38),VLOOKUP(PureTube!$A6,'pricing overview all products'!$A:$B,2,FALSE))*('Country File'!$T$2)*'Country File'!$P$2</f>
        <v>23370</v>
      </c>
      <c r="J6" s="768">
        <f>IF($D6="TriClamp DIN32676",(VLOOKUP(PureTube!$A6,'pricing overview all products'!$A:$B,2,FALSE)+'pricing overview all products'!$S38),VLOOKUP(PureTube!$A6,'pricing overview all products'!$A:$B,2,FALSE))*('Country File'!$T$3)*'Country File'!$P$2</f>
        <v>23370</v>
      </c>
      <c r="K6" s="768">
        <f>IF($D6="TriClamp DIN32676",(VLOOKUP(PureTube!$A6,'pricing overview all products'!$A:$B,2,FALSE)+'pricing overview all products'!$S38),VLOOKUP(PureTube!$A6,'pricing overview all products'!$A:$B,2,FALSE))*('Country File'!$T$3)*'Country File'!$P$2*(1-'Applied Discounts'!$C$13)</f>
        <v>18696</v>
      </c>
      <c r="L6" s="768">
        <f>$H6*I6</f>
        <v>23370</v>
      </c>
      <c r="M6" s="768">
        <f>$H6*J6</f>
        <v>23370</v>
      </c>
      <c r="N6" s="769">
        <f>$H6*K6</f>
        <v>18696</v>
      </c>
      <c r="O6" s="807" t="s">
        <v>1515</v>
      </c>
      <c r="P6" s="808">
        <f>IFERROR((((VLOOKUP($A6,'pricing overview all products'!$A$1:$Q$55,17,FALSE))*'Country File'!$T$2)*'Country File'!$P$2),"N/A")</f>
        <v>1670</v>
      </c>
      <c r="Q6" s="768">
        <f>IFERROR((((VLOOKUP($A6,'pricing overview all products'!$A$1:$Q$55,17,FALSE))*'Country File'!$T$3)*'Country File'!$P$2),"N/A")</f>
        <v>1670</v>
      </c>
      <c r="R6" s="768">
        <f>IFERROR((((VLOOKUP($A6,'pricing overview all products'!$A$1:$Q$55,17,FALSE))*'Country File'!$T$2)*'Country File'!$P$2)*(1-'Applied Discounts'!$C$13),"N/A")</f>
        <v>1336</v>
      </c>
      <c r="S6" s="768">
        <f>IF($O6="YES",P6,0)</f>
        <v>0</v>
      </c>
      <c r="T6" s="768">
        <f>IF($O6="YES",Q6,0)</f>
        <v>0</v>
      </c>
      <c r="U6" s="769">
        <f>IF($O6="YES",R6,0)*H6</f>
        <v>0</v>
      </c>
      <c r="V6" s="809"/>
      <c r="W6" s="809"/>
      <c r="X6" s="809"/>
      <c r="Y6" s="809"/>
      <c r="Z6" s="809"/>
      <c r="AA6" s="809"/>
      <c r="AB6" s="809"/>
      <c r="AC6" s="809"/>
      <c r="AD6" s="809"/>
      <c r="AE6" s="809"/>
      <c r="AF6" s="809"/>
      <c r="AG6" s="809"/>
      <c r="AH6" s="809"/>
      <c r="AI6" s="809"/>
      <c r="AJ6" s="809"/>
      <c r="AK6" s="809"/>
      <c r="AL6" s="809"/>
      <c r="AM6" s="809"/>
      <c r="AN6" s="809"/>
      <c r="AO6" s="810">
        <f>H6</f>
        <v>1</v>
      </c>
      <c r="AP6" s="769" t="str">
        <f>IFERROR((((VLOOKUP($AR6,'Packaging cost'!A:C,3,FALSE))*'Country File'!$P$2))*#REF!,"tbc")</f>
        <v>tbc</v>
      </c>
      <c r="AQ6" s="771">
        <f>IFERROR((AO6*AP6),0)</f>
        <v>0</v>
      </c>
      <c r="AR6" s="811" t="str">
        <f>IF(H6=0,"",'Configurator Codes'!K163)</f>
        <v>PT60000</v>
      </c>
      <c r="AS6" s="812">
        <f>VLOOKUP(AR6,'Common IDs'!A:C,3,FALSE)</f>
        <v>7600000403228</v>
      </c>
      <c r="AT6" s="654">
        <f>L6+S6+$AQ6</f>
        <v>23370</v>
      </c>
      <c r="AU6" s="744">
        <f t="shared" ref="AT6:AV8" si="0">M6+T6+$AQ6</f>
        <v>23370</v>
      </c>
      <c r="AV6" s="744">
        <f t="shared" si="0"/>
        <v>18696</v>
      </c>
    </row>
    <row r="7" spans="1:64" x14ac:dyDescent="0.25">
      <c r="A7" s="98" t="s">
        <v>1518</v>
      </c>
      <c r="B7" s="96" t="s">
        <v>1519</v>
      </c>
      <c r="C7" s="96"/>
      <c r="D7" s="262" t="s">
        <v>1499</v>
      </c>
      <c r="E7" s="263"/>
      <c r="F7" s="263"/>
      <c r="G7" s="263"/>
      <c r="H7" s="240">
        <v>1</v>
      </c>
      <c r="I7" s="662">
        <f>IF($D7="TriClamp DIN32676",(VLOOKUP(PureTube!$A7,'pricing overview all products'!$A:$B,2,FALSE)+'pricing overview all products'!$S39),VLOOKUP(PureTube!$A7,'pricing overview all products'!$A:$B,2,FALSE))*('Country File'!$T$2)*'Country File'!$P$2</f>
        <v>28900</v>
      </c>
      <c r="J7" s="662">
        <f>IF($D7="TriClamp DIN32676",(VLOOKUP(PureTube!$A7,'pricing overview all products'!$A:$B,2,FALSE)+'pricing overview all products'!$S39),VLOOKUP(PureTube!$A7,'pricing overview all products'!$A:$B,2,FALSE))*('Country File'!$T$3)*'Country File'!$P$2</f>
        <v>28900</v>
      </c>
      <c r="K7" s="662">
        <f>IF($D7="TriClamp DIN32676",(VLOOKUP(PureTube!$A7,'pricing overview all products'!$A:$B,2,FALSE)+'pricing overview all products'!$S39),VLOOKUP(PureTube!$A7,'pricing overview all products'!$A:$B,2,FALSE))*('Country File'!$T$3)*'Country File'!$P$2*(1-'Applied Discounts'!$C$13)</f>
        <v>23120</v>
      </c>
      <c r="L7" s="662">
        <f t="shared" ref="L7:L8" si="1">$H7*I7</f>
        <v>28900</v>
      </c>
      <c r="M7" s="662">
        <f t="shared" ref="M7:M8" si="2">$H7*J7</f>
        <v>28900</v>
      </c>
      <c r="N7" s="780">
        <f t="shared" ref="N7:N8" si="3">$H7*K7</f>
        <v>23120</v>
      </c>
      <c r="O7" s="813" t="s">
        <v>1515</v>
      </c>
      <c r="P7" s="814">
        <f>IFERROR((((VLOOKUP($A7,'pricing overview all products'!$A$1:$Q$55,17,FALSE))*'Country File'!$T$2)*'Country File'!$P$2),"N/A")</f>
        <v>4990</v>
      </c>
      <c r="Q7" s="662">
        <f>IFERROR((((VLOOKUP($A7,'pricing overview all products'!$A$1:$Q$55,17,FALSE))*'Country File'!$T$3)*'Country File'!$P$2),"N/A")</f>
        <v>4990</v>
      </c>
      <c r="R7" s="662">
        <f>IFERROR((((VLOOKUP($A7,'pricing overview all products'!$A$1:$Q$55,17,FALSE))*'Country File'!$T$2)*'Country File'!$P$2)*(1-'Applied Discounts'!$C$13),"N/A")</f>
        <v>3992</v>
      </c>
      <c r="S7" s="662">
        <f t="shared" ref="S7:S8" si="4">IF($O7="YES",P7,0)</f>
        <v>0</v>
      </c>
      <c r="T7" s="662">
        <f t="shared" ref="T7:T8" si="5">IF($O7="YES",Q7,0)</f>
        <v>0</v>
      </c>
      <c r="U7" s="780">
        <f>IF($O7="YES",R7,0)*H7</f>
        <v>0</v>
      </c>
      <c r="V7" s="815"/>
      <c r="W7" s="815"/>
      <c r="X7" s="815"/>
      <c r="Y7" s="815"/>
      <c r="Z7" s="815"/>
      <c r="AA7" s="815"/>
      <c r="AB7" s="815"/>
      <c r="AC7" s="815"/>
      <c r="AD7" s="815"/>
      <c r="AE7" s="815"/>
      <c r="AF7" s="815"/>
      <c r="AG7" s="815"/>
      <c r="AH7" s="815"/>
      <c r="AI7" s="815"/>
      <c r="AJ7" s="815"/>
      <c r="AK7" s="815"/>
      <c r="AL7" s="815"/>
      <c r="AM7" s="815"/>
      <c r="AN7" s="815"/>
      <c r="AO7" s="816">
        <f t="shared" ref="AO7:AO8" si="6">H7</f>
        <v>1</v>
      </c>
      <c r="AP7" s="780" t="str">
        <f>IFERROR((((VLOOKUP($AR7,'Packaging cost'!A:C,3,FALSE))*'Country File'!$P$2))*#REF!,"tbc")</f>
        <v>tbc</v>
      </c>
      <c r="AQ7" s="817">
        <f t="shared" ref="AQ7:AQ8" si="7">IFERROR((AO7*AP7),0)</f>
        <v>0</v>
      </c>
      <c r="AR7" s="818" t="str">
        <f>IF(H7=0,"",'Configurator Codes'!K164)</f>
        <v>PT80000</v>
      </c>
      <c r="AS7" s="718">
        <f>VLOOKUP(AR7,'Common IDs'!A:C,3,FALSE)</f>
        <v>7600000403234</v>
      </c>
      <c r="AT7" s="720">
        <f t="shared" si="0"/>
        <v>28900</v>
      </c>
      <c r="AU7" s="755">
        <f t="shared" si="0"/>
        <v>28900</v>
      </c>
      <c r="AV7" s="755">
        <f t="shared" si="0"/>
        <v>23120</v>
      </c>
    </row>
    <row r="8" spans="1:64" ht="15.75" thickBot="1" x14ac:dyDescent="0.3">
      <c r="A8" s="101" t="s">
        <v>1520</v>
      </c>
      <c r="B8" s="114" t="s">
        <v>1521</v>
      </c>
      <c r="C8" s="114"/>
      <c r="D8" s="264" t="s">
        <v>1499</v>
      </c>
      <c r="E8" s="265"/>
      <c r="F8" s="265"/>
      <c r="G8" s="265"/>
      <c r="H8" s="254">
        <v>1</v>
      </c>
      <c r="I8" s="685">
        <f>IF($D8="TriClamp DIN32676",(VLOOKUP(PureTube!$A8,'pricing overview all products'!$A:$B,2,FALSE)+'pricing overview all products'!$S40),VLOOKUP(PureTube!$A8,'pricing overview all products'!$A:$B,2,FALSE))*('Country File'!$T$2)*'Country File'!$P$2</f>
        <v>37380</v>
      </c>
      <c r="J8" s="685">
        <f>IF($D8="TriClamp DIN32676",(VLOOKUP(PureTube!$A8,'pricing overview all products'!$A:$B,2,FALSE)+'pricing overview all products'!$S40),VLOOKUP(PureTube!$A8,'pricing overview all products'!$A:$B,2,FALSE))*('Country File'!$T$3)*'Country File'!$P$2</f>
        <v>37380</v>
      </c>
      <c r="K8" s="685">
        <f>IF($D8="TriClamp DIN32676",(VLOOKUP(PureTube!$A8,'pricing overview all products'!$A:$B,2,FALSE)+'pricing overview all products'!$S40),VLOOKUP(PureTube!$A8,'pricing overview all products'!$A:$B,2,FALSE))*('Country File'!$T$3)*'Country File'!$P$2*(1-'Applied Discounts'!$C$13)</f>
        <v>29904</v>
      </c>
      <c r="L8" s="685">
        <f t="shared" si="1"/>
        <v>37380</v>
      </c>
      <c r="M8" s="685">
        <f t="shared" si="2"/>
        <v>37380</v>
      </c>
      <c r="N8" s="794">
        <f t="shared" si="3"/>
        <v>29904</v>
      </c>
      <c r="O8" s="819" t="s">
        <v>1515</v>
      </c>
      <c r="P8" s="820">
        <f>IFERROR((((VLOOKUP($A8,'pricing overview all products'!$A$1:$Q$55,17,FALSE))*'Country File'!$T$2)*'Country File'!$P$2),"N/A")</f>
        <v>4990</v>
      </c>
      <c r="Q8" s="685">
        <f>IFERROR((((VLOOKUP($A8,'pricing overview all products'!$A$1:$Q$55,17,FALSE))*'Country File'!$T$3)*'Country File'!$P$2),"N/A")</f>
        <v>4990</v>
      </c>
      <c r="R8" s="685">
        <f>IFERROR((((VLOOKUP($A8,'pricing overview all products'!$A$1:$Q$55,17,FALSE))*'Country File'!$T$2)*'Country File'!$P$2)*(1-'Applied Discounts'!$C$13),"N/A")</f>
        <v>3992</v>
      </c>
      <c r="S8" s="685">
        <f t="shared" si="4"/>
        <v>0</v>
      </c>
      <c r="T8" s="685">
        <f t="shared" si="5"/>
        <v>0</v>
      </c>
      <c r="U8" s="794">
        <f>IF($O8="YES",R8,0)*H8</f>
        <v>0</v>
      </c>
      <c r="V8" s="821"/>
      <c r="W8" s="821"/>
      <c r="X8" s="821"/>
      <c r="Y8" s="821"/>
      <c r="Z8" s="821"/>
      <c r="AA8" s="821"/>
      <c r="AB8" s="821"/>
      <c r="AC8" s="821"/>
      <c r="AD8" s="821"/>
      <c r="AE8" s="821"/>
      <c r="AF8" s="821"/>
      <c r="AG8" s="821"/>
      <c r="AH8" s="821"/>
      <c r="AI8" s="821"/>
      <c r="AJ8" s="821"/>
      <c r="AK8" s="821"/>
      <c r="AL8" s="821"/>
      <c r="AM8" s="821"/>
      <c r="AN8" s="821"/>
      <c r="AO8" s="820">
        <f t="shared" si="6"/>
        <v>1</v>
      </c>
      <c r="AP8" s="796" t="str">
        <f>IFERROR((((VLOOKUP($AR8,'Packaging cost'!A:C,3,FALSE))*'Country File'!$P$2))*#REF!,"tbc")</f>
        <v>tbc</v>
      </c>
      <c r="AQ8" s="796">
        <f t="shared" si="7"/>
        <v>0</v>
      </c>
      <c r="AR8" s="822" t="str">
        <f>IF(H8=0,"",'Configurator Codes'!K165)</f>
        <v>PT100000</v>
      </c>
      <c r="AS8" s="823">
        <f>VLOOKUP(AR8,'Common IDs'!A:C,3,FALSE)</f>
        <v>7600000403222</v>
      </c>
      <c r="AT8" s="735">
        <f t="shared" si="0"/>
        <v>37380</v>
      </c>
      <c r="AU8" s="767">
        <f t="shared" si="0"/>
        <v>37380</v>
      </c>
      <c r="AV8" s="767">
        <f t="shared" si="0"/>
        <v>29904</v>
      </c>
    </row>
    <row r="9" spans="1:64" s="150" customFormat="1" x14ac:dyDescent="0.25"/>
    <row r="10" spans="1:64" s="150" customFormat="1" x14ac:dyDescent="0.25"/>
    <row r="11" spans="1:64" s="150" customFormat="1" x14ac:dyDescent="0.25"/>
    <row r="12" spans="1:64" s="150" customFormat="1" x14ac:dyDescent="0.25"/>
    <row r="13" spans="1:64" s="150" customFormat="1" x14ac:dyDescent="0.25"/>
    <row r="14" spans="1:64" s="150" customFormat="1" x14ac:dyDescent="0.25"/>
    <row r="15" spans="1:64" s="150" customFormat="1" x14ac:dyDescent="0.25"/>
    <row r="16" spans="1:64" s="150" customFormat="1" x14ac:dyDescent="0.25"/>
    <row r="17" s="150" customFormat="1" x14ac:dyDescent="0.25"/>
    <row r="18" s="150" customFormat="1" x14ac:dyDescent="0.25"/>
    <row r="19" s="150" customFormat="1" x14ac:dyDescent="0.25"/>
    <row r="20" s="150" customFormat="1" x14ac:dyDescent="0.25"/>
    <row r="21" s="150" customFormat="1" x14ac:dyDescent="0.25"/>
    <row r="22" s="150" customFormat="1" x14ac:dyDescent="0.25"/>
    <row r="23" s="150" customFormat="1" x14ac:dyDescent="0.25"/>
    <row r="24" s="150" customFormat="1" x14ac:dyDescent="0.25"/>
    <row r="25" s="150" customFormat="1" x14ac:dyDescent="0.25"/>
    <row r="26" s="150" customFormat="1" x14ac:dyDescent="0.25"/>
    <row r="27" s="150" customFormat="1" x14ac:dyDescent="0.25"/>
    <row r="28" s="150" customFormat="1" x14ac:dyDescent="0.25"/>
    <row r="29" s="150" customFormat="1" x14ac:dyDescent="0.25"/>
    <row r="30" s="150" customFormat="1" x14ac:dyDescent="0.25"/>
  </sheetData>
  <sheetProtection algorithmName="SHA-512" hashValue="SqOB21MJzs8WvjYlcT7QyrFBRxXIAf8/bW6nG7EK5UpRXm1xa8B0sJ2KXSS7RTL0daketwRF1EQBtPUS+T0qdQ==" saltValue="6FC2XB3Un3L7q3UEbFSCkA==" spinCount="100000" sheet="1" objects="1" scenarios="1"/>
  <mergeCells count="13">
    <mergeCell ref="AR3:AR5"/>
    <mergeCell ref="AO4:AQ4"/>
    <mergeCell ref="A3:A4"/>
    <mergeCell ref="H3:AQ3"/>
    <mergeCell ref="H4:N4"/>
    <mergeCell ref="O4:U4"/>
    <mergeCell ref="V4:X4"/>
    <mergeCell ref="Y4:AA4"/>
    <mergeCell ref="AB4:AD4"/>
    <mergeCell ref="AE4:AG4"/>
    <mergeCell ref="AH4:AJ4"/>
    <mergeCell ref="AK4:AN4"/>
    <mergeCell ref="D3:D4"/>
  </mergeCells>
  <pageMargins left="0.7" right="0.7" top="0.75" bottom="0.75" header="0.3" footer="0.3"/>
  <pageSetup paperSize="9" scale="59" fitToHeight="0" orientation="landscape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FD25CA0E-11E4-4402-83E6-DAC378AAC907}">
          <x14:formula1>
            <xm:f>'Drop Downs'!$A$99:$A$100</xm:f>
          </x14:formula1>
          <xm:sqref>D6</xm:sqref>
        </x14:dataValidation>
        <x14:dataValidation type="list" allowBlank="1" showInputMessage="1" showErrorMessage="1" xr:uid="{5ECA6097-2A76-4860-9ADD-36C0FCA293A8}">
          <x14:formula1>
            <xm:f>'Drop Downs'!$A$103:$A$104</xm:f>
          </x14:formula1>
          <xm:sqref>D7</xm:sqref>
        </x14:dataValidation>
        <x14:dataValidation type="list" allowBlank="1" showInputMessage="1" showErrorMessage="1" xr:uid="{3C7D2022-81DB-4196-B1E6-E9D402D12FCE}">
          <x14:formula1>
            <xm:f>'Drop Downs'!$A$107:$A$108</xm:f>
          </x14:formula1>
          <xm:sqref>D8</xm:sqref>
        </x14:dataValidation>
        <x14:dataValidation type="list" allowBlank="1" showInputMessage="1" showErrorMessage="1" xr:uid="{3217EEF8-9829-42B0-A360-094828BF50EE}">
          <x14:formula1>
            <xm:f>'Drop Downs'!$A$89:$A$90</xm:f>
          </x14:formula1>
          <xm:sqref>O6</xm:sqref>
        </x14:dataValidation>
        <x14:dataValidation type="list" allowBlank="1" showInputMessage="1" showErrorMessage="1" xr:uid="{267C1E63-C78E-4F97-B5F4-83C6B23C5E86}">
          <x14:formula1>
            <xm:f>'Drop Downs'!$A$92:$A$93</xm:f>
          </x14:formula1>
          <xm:sqref>O7</xm:sqref>
        </x14:dataValidation>
        <x14:dataValidation type="list" allowBlank="1" showInputMessage="1" showErrorMessage="1" xr:uid="{D488A58C-C55E-4E0C-8187-B03421DF607C}">
          <x14:formula1>
            <xm:f>'Drop Downs'!$A$95:$A$96</xm:f>
          </x14:formula1>
          <xm:sqref>O8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5CBE-3BB1-4746-97E5-30C7B9FE2A4B}">
  <sheetPr codeName="Tabelle61">
    <tabColor rgb="FFFFC000"/>
    <pageSetUpPr fitToPage="1"/>
  </sheetPr>
  <dimension ref="A1:BF38"/>
  <sheetViews>
    <sheetView zoomScaleNormal="100" workbookViewId="0">
      <selection activeCell="T6" sqref="T6"/>
    </sheetView>
  </sheetViews>
  <sheetFormatPr defaultColWidth="9.28515625" defaultRowHeight="15" outlineLevelCol="1" x14ac:dyDescent="0.25"/>
  <cols>
    <col min="1" max="1" width="20.28515625" customWidth="1"/>
    <col min="2" max="2" width="13" customWidth="1"/>
    <col min="3" max="8" width="11.7109375" hidden="1" customWidth="1" outlineLevel="1"/>
    <col min="9" max="9" width="9.28515625" collapsed="1"/>
    <col min="10" max="10" width="14.7109375" customWidth="1"/>
    <col min="11" max="11" width="16.7109375" hidden="1" customWidth="1"/>
    <col min="12" max="12" width="17.28515625" customWidth="1"/>
    <col min="13" max="13" width="13.7109375" customWidth="1"/>
    <col min="14" max="14" width="16.140625" hidden="1" customWidth="1"/>
    <col min="15" max="15" width="15.7109375" bestFit="1" customWidth="1"/>
    <col min="16" max="16" width="9.28515625" hidden="1" customWidth="1"/>
    <col min="17" max="17" width="10.7109375" hidden="1" customWidth="1"/>
    <col min="18" max="19" width="9.28515625" hidden="1" customWidth="1"/>
    <col min="20" max="20" width="10.7109375" customWidth="1"/>
    <col min="21" max="21" width="9.140625" hidden="1" customWidth="1"/>
    <col min="22" max="36" width="9.140625" hidden="1" customWidth="1" outlineLevel="1"/>
    <col min="37" max="37" width="7.5703125" customWidth="1" collapsed="1"/>
    <col min="38" max="38" width="10.140625" customWidth="1"/>
    <col min="39" max="39" width="9.140625" customWidth="1"/>
    <col min="40" max="40" width="16.5703125" customWidth="1"/>
    <col min="41" max="41" width="15.42578125" customWidth="1"/>
    <col min="42" max="42" width="12" customWidth="1"/>
    <col min="43" max="43" width="16.7109375" hidden="1" customWidth="1"/>
    <col min="44" max="44" width="13.5703125" customWidth="1"/>
    <col min="45" max="45" width="12" customWidth="1"/>
    <col min="46" max="46" width="17.5703125" customWidth="1"/>
    <col min="47" max="47" width="12.85546875" customWidth="1"/>
    <col min="48" max="48" width="9.140625" customWidth="1"/>
    <col min="49" max="49" width="16.7109375" customWidth="1"/>
    <col min="50" max="50" width="17.28515625" customWidth="1"/>
    <col min="51" max="58" width="9.28515625" style="150"/>
  </cols>
  <sheetData>
    <row r="1" spans="1:58" ht="18" customHeight="1" x14ac:dyDescent="0.25"/>
    <row r="2" spans="1:58" ht="15.75" thickBot="1" x14ac:dyDescent="0.3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</row>
    <row r="3" spans="1:58" ht="45.75" thickBot="1" x14ac:dyDescent="0.3">
      <c r="A3" s="1088" t="s">
        <v>1</v>
      </c>
      <c r="B3" s="1089"/>
      <c r="C3" s="4"/>
      <c r="D3" s="4"/>
      <c r="E3" s="4"/>
      <c r="F3" s="4"/>
      <c r="G3" s="4"/>
      <c r="H3" s="4"/>
      <c r="I3" s="1079" t="str">
        <f>_xlfn.CONCAT(" Prices in ",'Applied Discounts'!$C$5)</f>
        <v xml:space="preserve"> Prices in EUR</v>
      </c>
      <c r="J3" s="1080"/>
      <c r="K3" s="1080"/>
      <c r="L3" s="1080"/>
      <c r="M3" s="1080"/>
      <c r="N3" s="1080"/>
      <c r="O3" s="1080"/>
      <c r="P3" s="1080"/>
      <c r="Q3" s="1080"/>
      <c r="R3" s="1080"/>
      <c r="S3" s="1080"/>
      <c r="T3" s="1080"/>
      <c r="U3" s="1080"/>
      <c r="V3" s="1080"/>
      <c r="W3" s="1080"/>
      <c r="X3" s="1080"/>
      <c r="Y3" s="1080"/>
      <c r="Z3" s="1080"/>
      <c r="AA3" s="1080"/>
      <c r="AB3" s="1080"/>
      <c r="AC3" s="1080"/>
      <c r="AD3" s="1080"/>
      <c r="AE3" s="1080"/>
      <c r="AF3" s="1080"/>
      <c r="AG3" s="1080"/>
      <c r="AH3" s="1080"/>
      <c r="AI3" s="1080"/>
      <c r="AJ3" s="1080"/>
      <c r="AK3" s="1045"/>
      <c r="AL3" s="1045"/>
      <c r="AM3" s="1045"/>
      <c r="AN3" s="1092" t="s">
        <v>1522</v>
      </c>
      <c r="AO3" s="153" t="s">
        <v>1379</v>
      </c>
      <c r="AP3" s="148" t="s">
        <v>1380</v>
      </c>
      <c r="AQ3" s="237" t="s">
        <v>1381</v>
      </c>
      <c r="AR3" s="237" t="s">
        <v>1382</v>
      </c>
      <c r="AS3" s="1087" t="s">
        <v>1523</v>
      </c>
      <c r="AT3" s="561" t="s">
        <v>2094</v>
      </c>
      <c r="AU3" s="148" t="s">
        <v>1382</v>
      </c>
    </row>
    <row r="4" spans="1:58" ht="15.75" customHeight="1" thickBot="1" x14ac:dyDescent="0.3">
      <c r="A4" s="1090"/>
      <c r="B4" s="1091"/>
      <c r="C4" s="81" t="s">
        <v>1479</v>
      </c>
      <c r="D4" s="81" t="s">
        <v>1479</v>
      </c>
      <c r="E4" s="81" t="s">
        <v>1479</v>
      </c>
      <c r="F4" s="81" t="s">
        <v>1479</v>
      </c>
      <c r="G4" s="81" t="s">
        <v>1479</v>
      </c>
      <c r="H4" s="81" t="s">
        <v>1479</v>
      </c>
      <c r="I4" s="1096" t="s">
        <v>1383</v>
      </c>
      <c r="J4" s="1097"/>
      <c r="K4" s="1097"/>
      <c r="L4" s="1097"/>
      <c r="M4" s="1097"/>
      <c r="N4" s="1097"/>
      <c r="O4" s="1098"/>
      <c r="P4" s="1096" t="s">
        <v>1524</v>
      </c>
      <c r="Q4" s="1097"/>
      <c r="R4" s="1098"/>
      <c r="S4" s="234"/>
      <c r="T4" s="556" t="s">
        <v>1525</v>
      </c>
      <c r="U4" s="235"/>
      <c r="V4" s="236" t="s">
        <v>1479</v>
      </c>
      <c r="W4" s="236" t="s">
        <v>1479</v>
      </c>
      <c r="X4" s="236" t="s">
        <v>1479</v>
      </c>
      <c r="Y4" s="236" t="s">
        <v>1479</v>
      </c>
      <c r="Z4" s="236" t="s">
        <v>1479</v>
      </c>
      <c r="AA4" s="236" t="s">
        <v>1479</v>
      </c>
      <c r="AB4" s="236" t="s">
        <v>1479</v>
      </c>
      <c r="AC4" s="236" t="s">
        <v>1479</v>
      </c>
      <c r="AD4" s="236" t="s">
        <v>1479</v>
      </c>
      <c r="AE4" s="236" t="s">
        <v>1479</v>
      </c>
      <c r="AF4" s="236" t="s">
        <v>1479</v>
      </c>
      <c r="AG4" s="236" t="s">
        <v>1479</v>
      </c>
      <c r="AH4" s="236" t="s">
        <v>1479</v>
      </c>
      <c r="AI4" s="236" t="s">
        <v>1479</v>
      </c>
      <c r="AJ4" s="236" t="s">
        <v>1479</v>
      </c>
      <c r="AK4" s="1099" t="s">
        <v>1390</v>
      </c>
      <c r="AL4" s="1100"/>
      <c r="AM4" s="1101"/>
      <c r="AN4" s="1093"/>
      <c r="AO4" s="154" t="s">
        <v>1391</v>
      </c>
      <c r="AP4" s="138" t="str">
        <f>'Applied Discounts'!$C$5</f>
        <v>EUR</v>
      </c>
      <c r="AQ4" s="149" t="e">
        <f>#REF!</f>
        <v>#REF!</v>
      </c>
      <c r="AR4" s="138" t="str">
        <f>'Applied Discounts'!$C$5</f>
        <v>EUR</v>
      </c>
      <c r="AS4" s="1048"/>
      <c r="AT4" s="154" t="s">
        <v>1391</v>
      </c>
      <c r="AU4" s="138" t="str">
        <f>'Applied Discounts'!$C$5</f>
        <v>EUR</v>
      </c>
    </row>
    <row r="5" spans="1:58" s="31" customFormat="1" ht="30.75" customHeight="1" thickBot="1" x14ac:dyDescent="0.3">
      <c r="A5" s="1090"/>
      <c r="B5" s="1091"/>
      <c r="C5" s="109"/>
      <c r="D5" s="110"/>
      <c r="E5" s="110"/>
      <c r="F5" s="110"/>
      <c r="G5" s="110"/>
      <c r="H5" s="110"/>
      <c r="I5" s="241" t="s">
        <v>1393</v>
      </c>
      <c r="J5" s="504" t="s">
        <v>1394</v>
      </c>
      <c r="K5" s="504" t="s">
        <v>1395</v>
      </c>
      <c r="L5" s="504" t="s">
        <v>1396</v>
      </c>
      <c r="M5" s="504" t="s">
        <v>1380</v>
      </c>
      <c r="N5" s="504" t="s">
        <v>1381</v>
      </c>
      <c r="O5" s="505" t="s">
        <v>1382</v>
      </c>
      <c r="P5" s="13" t="s">
        <v>1393</v>
      </c>
      <c r="Q5" s="1095" t="s">
        <v>1392</v>
      </c>
      <c r="R5" s="1095"/>
      <c r="S5" s="1095"/>
      <c r="T5" s="1095"/>
      <c r="U5" s="13" t="s">
        <v>1401</v>
      </c>
      <c r="V5" s="11" t="s">
        <v>1393</v>
      </c>
      <c r="W5" s="11" t="s">
        <v>1400</v>
      </c>
      <c r="X5" s="13" t="s">
        <v>1401</v>
      </c>
      <c r="Y5" s="243" t="s">
        <v>1393</v>
      </c>
      <c r="Z5" s="11" t="s">
        <v>1400</v>
      </c>
      <c r="AA5" s="13" t="s">
        <v>1401</v>
      </c>
      <c r="AB5" s="243" t="s">
        <v>1393</v>
      </c>
      <c r="AC5" s="11" t="s">
        <v>1400</v>
      </c>
      <c r="AD5" s="13" t="s">
        <v>1401</v>
      </c>
      <c r="AE5" s="243" t="s">
        <v>1393</v>
      </c>
      <c r="AF5" s="11" t="s">
        <v>1400</v>
      </c>
      <c r="AG5" s="13" t="s">
        <v>1401</v>
      </c>
      <c r="AH5" s="243"/>
      <c r="AI5" s="11"/>
      <c r="AJ5" s="13"/>
      <c r="AK5" s="259" t="s">
        <v>1393</v>
      </c>
      <c r="AL5" s="560" t="s">
        <v>1400</v>
      </c>
      <c r="AM5" s="560" t="s">
        <v>1401</v>
      </c>
      <c r="AN5" s="1094"/>
      <c r="AO5" s="266"/>
      <c r="AP5" s="471"/>
      <c r="AQ5" s="471"/>
      <c r="AR5" s="607"/>
      <c r="AS5" s="1048"/>
      <c r="AT5" s="266"/>
      <c r="AU5" s="471"/>
      <c r="AY5" s="245"/>
      <c r="AZ5" s="245"/>
      <c r="BA5" s="245"/>
      <c r="BB5" s="245"/>
      <c r="BC5" s="245"/>
      <c r="BD5" s="245"/>
      <c r="BE5" s="245"/>
      <c r="BF5" s="245"/>
    </row>
    <row r="6" spans="1:58" x14ac:dyDescent="0.25">
      <c r="A6" s="113" t="s">
        <v>1526</v>
      </c>
      <c r="B6" s="113" t="s">
        <v>180</v>
      </c>
      <c r="C6" s="113"/>
      <c r="D6" s="113"/>
      <c r="E6" s="113"/>
      <c r="F6" s="113"/>
      <c r="G6" s="113"/>
      <c r="H6" s="113"/>
      <c r="I6" s="599">
        <v>1</v>
      </c>
      <c r="J6" s="636">
        <f>((VLOOKUP(A6,'pricing overview all products'!$A:$B,2,FALSE))*'Country File'!$T$2)*'Country File'!$P$2</f>
        <v>870</v>
      </c>
      <c r="K6" s="636">
        <f>((VLOOKUP(A6,'pricing overview all products'!$A:$B,2,FALSE))*'Country File'!$T$3)*'Country File'!$P$2</f>
        <v>870</v>
      </c>
      <c r="L6" s="636">
        <f>(((VLOOKUP(A6,'pricing overview all products'!$A:$B,2,FALSE))*'Country File'!$T$2)*'Country File'!$P$2)*(1-'Applied Discounts'!$C$11)</f>
        <v>522</v>
      </c>
      <c r="M6" s="636">
        <f>$I6*J6</f>
        <v>870</v>
      </c>
      <c r="N6" s="636">
        <f t="shared" ref="N6" si="0">$I6*K6</f>
        <v>870</v>
      </c>
      <c r="O6" s="637">
        <f>$I6*L6</f>
        <v>522</v>
      </c>
      <c r="P6" s="824"/>
      <c r="Q6" s="825"/>
      <c r="R6" s="826"/>
      <c r="S6" s="827"/>
      <c r="T6" s="826" t="s">
        <v>1720</v>
      </c>
      <c r="U6" s="644"/>
      <c r="V6" s="809"/>
      <c r="W6" s="809"/>
      <c r="X6" s="809"/>
      <c r="Y6" s="809"/>
      <c r="Z6" s="809"/>
      <c r="AA6" s="809"/>
      <c r="AB6" s="809"/>
      <c r="AC6" s="809"/>
      <c r="AD6" s="809"/>
      <c r="AE6" s="809"/>
      <c r="AF6" s="809"/>
      <c r="AG6" s="809"/>
      <c r="AH6" s="809"/>
      <c r="AI6" s="809"/>
      <c r="AJ6" s="809"/>
      <c r="AK6" s="772">
        <f t="shared" ref="AK6:AK20" si="1">I6</f>
        <v>1</v>
      </c>
      <c r="AL6" s="828" t="s">
        <v>177</v>
      </c>
      <c r="AM6" s="829" t="str">
        <f>AL6</f>
        <v>incl.</v>
      </c>
      <c r="AN6" s="830" t="str">
        <f t="shared" ref="AN6:AN20" si="2">B6</f>
        <v>AQUA1ALT</v>
      </c>
      <c r="AO6" s="831">
        <f>IFERROR(VLOOKUP(AN6,'Aquada Configurations'!$D$11:$F$25,3,FALSE),"N/A")</f>
        <v>7600000403500</v>
      </c>
      <c r="AP6" s="744">
        <f>M6</f>
        <v>870</v>
      </c>
      <c r="AQ6" s="654">
        <f>N6</f>
        <v>870</v>
      </c>
      <c r="AR6" s="654">
        <f>O6</f>
        <v>522</v>
      </c>
      <c r="AS6" s="832">
        <f>IFERROR(VLOOKUP(T6,'Aquada Configurations'!$F$2:$H$6,3,FALSE),"N/A")</f>
        <v>37155</v>
      </c>
      <c r="AT6" s="833" t="str">
        <f>IFERROR(VLOOKUP(AS6,'Aquada Configurations'!$H:$I,2,FALSE),"N/A")</f>
        <v>7600000037155</v>
      </c>
      <c r="AU6" s="834" t="s">
        <v>177</v>
      </c>
    </row>
    <row r="7" spans="1:58" x14ac:dyDescent="0.25">
      <c r="A7" s="98" t="s">
        <v>1527</v>
      </c>
      <c r="B7" s="96" t="s">
        <v>182</v>
      </c>
      <c r="C7" s="96"/>
      <c r="D7" s="96"/>
      <c r="E7" s="96"/>
      <c r="F7" s="96"/>
      <c r="G7" s="96"/>
      <c r="H7" s="96"/>
      <c r="I7" s="272">
        <v>1</v>
      </c>
      <c r="J7" s="656">
        <f>((VLOOKUP(A7,'pricing overview all products'!$A:$B,2,FALSE))*'Country File'!$T$2)*'Country File'!$P$2</f>
        <v>1080</v>
      </c>
      <c r="K7" s="656">
        <f>((VLOOKUP(A7,'pricing overview all products'!$A:$B,2,FALSE))*'Country File'!$T$3)*'Country File'!$P$2</f>
        <v>1080</v>
      </c>
      <c r="L7" s="656">
        <f>(((VLOOKUP(A7,'pricing overview all products'!$A:$B,2,FALSE))*'Country File'!$T$2)*'Country File'!$P$2)*(1-'Applied Discounts'!$C$11)</f>
        <v>648</v>
      </c>
      <c r="M7" s="656">
        <f t="shared" ref="M7:M19" si="3">$I7*J7</f>
        <v>1080</v>
      </c>
      <c r="N7" s="656">
        <f t="shared" ref="N7:N19" si="4">$I7*K7</f>
        <v>1080</v>
      </c>
      <c r="O7" s="657">
        <f t="shared" ref="O7:O19" si="5">$I7*L7</f>
        <v>648</v>
      </c>
      <c r="P7" s="835"/>
      <c r="Q7" s="836"/>
      <c r="R7" s="837"/>
      <c r="S7" s="838"/>
      <c r="T7" s="837"/>
      <c r="U7" s="665"/>
      <c r="V7" s="839"/>
      <c r="W7" s="839"/>
      <c r="X7" s="839"/>
      <c r="Y7" s="839"/>
      <c r="Z7" s="839"/>
      <c r="AA7" s="839"/>
      <c r="AB7" s="839"/>
      <c r="AC7" s="839"/>
      <c r="AD7" s="839"/>
      <c r="AE7" s="839"/>
      <c r="AF7" s="839"/>
      <c r="AG7" s="839"/>
      <c r="AH7" s="839"/>
      <c r="AI7" s="839"/>
      <c r="AJ7" s="839"/>
      <c r="AK7" s="784">
        <f t="shared" si="1"/>
        <v>1</v>
      </c>
      <c r="AL7" s="840" t="s">
        <v>177</v>
      </c>
      <c r="AM7" s="841" t="str">
        <f t="shared" ref="AM7:AM20" si="6">AL7</f>
        <v>incl.</v>
      </c>
      <c r="AN7" s="830" t="str">
        <f t="shared" si="2"/>
        <v>AQUA1PRO</v>
      </c>
      <c r="AO7" s="842">
        <f>IFERROR(VLOOKUP(AN7,'Aquada Configurations'!$D$11:$F$25,3,FALSE),"N/A")</f>
        <v>7600000403505</v>
      </c>
      <c r="AP7" s="843">
        <f t="shared" ref="AP7:AP20" si="7">M7</f>
        <v>1080</v>
      </c>
      <c r="AQ7" s="674">
        <f t="shared" ref="AQ7:AQ20" si="8">N7</f>
        <v>1080</v>
      </c>
      <c r="AR7" s="674">
        <f t="shared" ref="AR7:AR20" si="9">O7</f>
        <v>648</v>
      </c>
      <c r="AS7" s="844" t="str">
        <f>IFERROR(VLOOKUP(T7,'Aquada Configurations'!$F$2:$H$6,3,FALSE),"N/A")</f>
        <v>N/A</v>
      </c>
      <c r="AT7" s="845" t="str">
        <f>IFERROR(VLOOKUP(AS7,'Aquada Configurations'!$H:$I,2,FALSE),"N/A")</f>
        <v>N/A</v>
      </c>
      <c r="AU7" s="846" t="s">
        <v>177</v>
      </c>
    </row>
    <row r="8" spans="1:58" x14ac:dyDescent="0.25">
      <c r="A8" s="501" t="s">
        <v>1528</v>
      </c>
      <c r="B8" s="96" t="s">
        <v>181</v>
      </c>
      <c r="C8" s="96"/>
      <c r="D8" s="96"/>
      <c r="E8" s="96"/>
      <c r="F8" s="96"/>
      <c r="G8" s="96"/>
      <c r="H8" s="96"/>
      <c r="I8" s="272">
        <v>1</v>
      </c>
      <c r="J8" s="656">
        <f>((VLOOKUP(A8,'pricing overview all products'!$A:$B,2,FALSE))*'Country File'!$T$2)*'Country File'!$P$2</f>
        <v>1700</v>
      </c>
      <c r="K8" s="656">
        <f>((VLOOKUP(A8,'pricing overview all products'!$A:$B,2,FALSE))*'Country File'!$T$3)*'Country File'!$P$2</f>
        <v>1700</v>
      </c>
      <c r="L8" s="656">
        <f>(((VLOOKUP(A8,'pricing overview all products'!$A:$B,2,FALSE))*'Country File'!$T$2)*'Country File'!$P$2)*(1-'Applied Discounts'!$C$11)</f>
        <v>1020</v>
      </c>
      <c r="M8" s="656">
        <f t="shared" si="3"/>
        <v>1700</v>
      </c>
      <c r="N8" s="656">
        <f t="shared" si="4"/>
        <v>1700</v>
      </c>
      <c r="O8" s="657">
        <f t="shared" si="5"/>
        <v>1020</v>
      </c>
      <c r="P8" s="835"/>
      <c r="Q8" s="836"/>
      <c r="R8" s="837"/>
      <c r="S8" s="838"/>
      <c r="T8" s="837"/>
      <c r="U8" s="665"/>
      <c r="V8" s="839"/>
      <c r="W8" s="839"/>
      <c r="X8" s="839"/>
      <c r="Y8" s="839"/>
      <c r="Z8" s="839"/>
      <c r="AA8" s="839"/>
      <c r="AB8" s="839"/>
      <c r="AC8" s="839"/>
      <c r="AD8" s="839"/>
      <c r="AE8" s="839"/>
      <c r="AF8" s="839"/>
      <c r="AG8" s="839"/>
      <c r="AH8" s="839"/>
      <c r="AI8" s="839"/>
      <c r="AJ8" s="839"/>
      <c r="AK8" s="784">
        <f t="shared" si="1"/>
        <v>1</v>
      </c>
      <c r="AL8" s="840" t="s">
        <v>177</v>
      </c>
      <c r="AM8" s="841" t="str">
        <f t="shared" si="6"/>
        <v>incl.</v>
      </c>
      <c r="AN8" s="830" t="str">
        <f t="shared" si="2"/>
        <v>AQUA1MAX</v>
      </c>
      <c r="AO8" s="842">
        <f>IFERROR(VLOOKUP(AN8,'Aquada Configurations'!$D$11:$F$25,3,FALSE),"N/A")</f>
        <v>7600000403510</v>
      </c>
      <c r="AP8" s="843">
        <f t="shared" si="7"/>
        <v>1700</v>
      </c>
      <c r="AQ8" s="674">
        <f t="shared" si="8"/>
        <v>1700</v>
      </c>
      <c r="AR8" s="674">
        <f t="shared" si="9"/>
        <v>1020</v>
      </c>
      <c r="AS8" s="844" t="str">
        <f>IFERROR(VLOOKUP(T8,'Aquada Configurations'!$F$2:$H$6,3,FALSE),"N/A")</f>
        <v>N/A</v>
      </c>
      <c r="AT8" s="845" t="str">
        <f>IFERROR(VLOOKUP(AS8,'Aquada Configurations'!$H:$I,2,FALSE),"N/A")</f>
        <v>N/A</v>
      </c>
      <c r="AU8" s="846" t="s">
        <v>177</v>
      </c>
    </row>
    <row r="9" spans="1:58" x14ac:dyDescent="0.25">
      <c r="A9" s="96" t="s">
        <v>1530</v>
      </c>
      <c r="B9" s="96" t="s">
        <v>183</v>
      </c>
      <c r="C9" s="96"/>
      <c r="D9" s="96"/>
      <c r="E9" s="96"/>
      <c r="F9" s="96"/>
      <c r="G9" s="96"/>
      <c r="H9" s="96"/>
      <c r="I9" s="272">
        <v>1</v>
      </c>
      <c r="J9" s="656">
        <f>((VLOOKUP(A9,'pricing overview all products'!$A:$B,2,FALSE))*'Country File'!$T$2)*'Country File'!$P$2</f>
        <v>1000</v>
      </c>
      <c r="K9" s="656">
        <f>((VLOOKUP(A9,'pricing overview all products'!$A:$B,2,FALSE))*'Country File'!$T$3)*'Country File'!$P$2</f>
        <v>1000</v>
      </c>
      <c r="L9" s="656">
        <f>(((VLOOKUP(A9,'pricing overview all products'!$A:$B,2,FALSE))*'Country File'!$T$2)*'Country File'!$P$2)*(1-'Applied Discounts'!$C$11)</f>
        <v>600</v>
      </c>
      <c r="M9" s="656">
        <f t="shared" si="3"/>
        <v>1000</v>
      </c>
      <c r="N9" s="656">
        <f t="shared" si="4"/>
        <v>1000</v>
      </c>
      <c r="O9" s="657">
        <f t="shared" si="5"/>
        <v>600</v>
      </c>
      <c r="P9" s="835"/>
      <c r="Q9" s="836"/>
      <c r="R9" s="837"/>
      <c r="S9" s="838"/>
      <c r="T9" s="837"/>
      <c r="U9" s="665"/>
      <c r="V9" s="839"/>
      <c r="W9" s="839"/>
      <c r="X9" s="839"/>
      <c r="Y9" s="839"/>
      <c r="Z9" s="839"/>
      <c r="AA9" s="839"/>
      <c r="AB9" s="839"/>
      <c r="AC9" s="839"/>
      <c r="AD9" s="839"/>
      <c r="AE9" s="839"/>
      <c r="AF9" s="839"/>
      <c r="AG9" s="839"/>
      <c r="AH9" s="839"/>
      <c r="AI9" s="839"/>
      <c r="AJ9" s="839"/>
      <c r="AK9" s="784">
        <f t="shared" si="1"/>
        <v>1</v>
      </c>
      <c r="AL9" s="840" t="s">
        <v>177</v>
      </c>
      <c r="AM9" s="841" t="str">
        <f t="shared" si="6"/>
        <v>incl.</v>
      </c>
      <c r="AN9" s="830" t="str">
        <f t="shared" si="2"/>
        <v>AQUA2ALT</v>
      </c>
      <c r="AO9" s="842">
        <f>IFERROR(VLOOKUP(AN9,'Aquada Configurations'!$D$11:$F$25,3,FALSE),"N/A")</f>
        <v>7600000403501</v>
      </c>
      <c r="AP9" s="843">
        <f t="shared" si="7"/>
        <v>1000</v>
      </c>
      <c r="AQ9" s="674">
        <f t="shared" si="8"/>
        <v>1000</v>
      </c>
      <c r="AR9" s="674">
        <f t="shared" si="9"/>
        <v>600</v>
      </c>
      <c r="AS9" s="844" t="str">
        <f>IFERROR(VLOOKUP(T9,'Aquada Configurations'!$F$2:$H$6,3,FALSE),"N/A")</f>
        <v>N/A</v>
      </c>
      <c r="AT9" s="845" t="str">
        <f>IFERROR(VLOOKUP(AS9,'Aquada Configurations'!$H:$I,2,FALSE),"N/A")</f>
        <v>N/A</v>
      </c>
      <c r="AU9" s="846" t="s">
        <v>177</v>
      </c>
    </row>
    <row r="10" spans="1:58" x14ac:dyDescent="0.25">
      <c r="A10" s="98" t="s">
        <v>1531</v>
      </c>
      <c r="B10" s="96" t="s">
        <v>185</v>
      </c>
      <c r="C10" s="96"/>
      <c r="D10" s="96"/>
      <c r="E10" s="96"/>
      <c r="F10" s="96"/>
      <c r="G10" s="96"/>
      <c r="H10" s="96"/>
      <c r="I10" s="272">
        <v>1</v>
      </c>
      <c r="J10" s="656">
        <f>((VLOOKUP(A10,'pricing overview all products'!$A:$B,2,FALSE))*'Country File'!$T$2)*'Country File'!$P$2</f>
        <v>1220</v>
      </c>
      <c r="K10" s="656">
        <f>((VLOOKUP(A10,'pricing overview all products'!$A:$B,2,FALSE))*'Country File'!$T$3)*'Country File'!$P$2</f>
        <v>1220</v>
      </c>
      <c r="L10" s="656">
        <f>(((VLOOKUP(A10,'pricing overview all products'!$A:$B,2,FALSE))*'Country File'!$T$2)*'Country File'!$P$2)*(1-'Applied Discounts'!$C$11)</f>
        <v>732</v>
      </c>
      <c r="M10" s="656">
        <f t="shared" si="3"/>
        <v>1220</v>
      </c>
      <c r="N10" s="656">
        <f t="shared" si="4"/>
        <v>1220</v>
      </c>
      <c r="O10" s="657">
        <f t="shared" si="5"/>
        <v>732</v>
      </c>
      <c r="P10" s="835"/>
      <c r="Q10" s="836"/>
      <c r="R10" s="837"/>
      <c r="S10" s="838"/>
      <c r="T10" s="837"/>
      <c r="U10" s="665"/>
      <c r="V10" s="839"/>
      <c r="W10" s="839"/>
      <c r="X10" s="839"/>
      <c r="Y10" s="839"/>
      <c r="Z10" s="839"/>
      <c r="AA10" s="839"/>
      <c r="AB10" s="839"/>
      <c r="AC10" s="839"/>
      <c r="AD10" s="839"/>
      <c r="AE10" s="839"/>
      <c r="AF10" s="839"/>
      <c r="AG10" s="839"/>
      <c r="AH10" s="839"/>
      <c r="AI10" s="839"/>
      <c r="AJ10" s="839"/>
      <c r="AK10" s="784">
        <f t="shared" si="1"/>
        <v>1</v>
      </c>
      <c r="AL10" s="840" t="s">
        <v>177</v>
      </c>
      <c r="AM10" s="841" t="str">
        <f t="shared" si="6"/>
        <v>incl.</v>
      </c>
      <c r="AN10" s="830" t="str">
        <f t="shared" si="2"/>
        <v>AQUA2PRO</v>
      </c>
      <c r="AO10" s="842">
        <f>IFERROR(VLOOKUP(AN10,'Aquada Configurations'!$D$11:$F$25,3,FALSE),"N/A")</f>
        <v>7600000403506</v>
      </c>
      <c r="AP10" s="843">
        <f t="shared" si="7"/>
        <v>1220</v>
      </c>
      <c r="AQ10" s="674">
        <f t="shared" si="8"/>
        <v>1220</v>
      </c>
      <c r="AR10" s="674">
        <f t="shared" si="9"/>
        <v>732</v>
      </c>
      <c r="AS10" s="844" t="str">
        <f>IFERROR(VLOOKUP(T10,'Aquada Configurations'!$F$2:$H$6,3,FALSE),"N/A")</f>
        <v>N/A</v>
      </c>
      <c r="AT10" s="845" t="str">
        <f>IFERROR(VLOOKUP(AS10,'Aquada Configurations'!$H:$I,2,FALSE),"N/A")</f>
        <v>N/A</v>
      </c>
      <c r="AU10" s="846" t="s">
        <v>177</v>
      </c>
    </row>
    <row r="11" spans="1:58" x14ac:dyDescent="0.25">
      <c r="A11" s="501" t="s">
        <v>1532</v>
      </c>
      <c r="B11" s="96" t="s">
        <v>184</v>
      </c>
      <c r="C11" s="96"/>
      <c r="D11" s="96"/>
      <c r="E11" s="96"/>
      <c r="F11" s="96"/>
      <c r="G11" s="96"/>
      <c r="H11" s="96"/>
      <c r="I11" s="272">
        <v>1</v>
      </c>
      <c r="J11" s="656">
        <f>((VLOOKUP(A11,'pricing overview all products'!$A:$B,2,FALSE))*'Country File'!$T$2)*'Country File'!$P$2</f>
        <v>1830</v>
      </c>
      <c r="K11" s="656">
        <f>((VLOOKUP(A11,'pricing overview all products'!$A:$B,2,FALSE))*'Country File'!$T$3)*'Country File'!$P$2</f>
        <v>1830</v>
      </c>
      <c r="L11" s="656">
        <f>(((VLOOKUP(A11,'pricing overview all products'!$A:$B,2,FALSE))*'Country File'!$T$2)*'Country File'!$P$2)*(1-'Applied Discounts'!$C$11)</f>
        <v>1098</v>
      </c>
      <c r="M11" s="656">
        <f t="shared" si="3"/>
        <v>1830</v>
      </c>
      <c r="N11" s="656">
        <f t="shared" si="4"/>
        <v>1830</v>
      </c>
      <c r="O11" s="657">
        <f t="shared" si="5"/>
        <v>1098</v>
      </c>
      <c r="P11" s="835"/>
      <c r="Q11" s="836"/>
      <c r="R11" s="837"/>
      <c r="S11" s="838"/>
      <c r="T11" s="837"/>
      <c r="U11" s="665"/>
      <c r="V11" s="839"/>
      <c r="W11" s="839"/>
      <c r="X11" s="839"/>
      <c r="Y11" s="839"/>
      <c r="Z11" s="839"/>
      <c r="AA11" s="839"/>
      <c r="AB11" s="839"/>
      <c r="AC11" s="839"/>
      <c r="AD11" s="839"/>
      <c r="AE11" s="839"/>
      <c r="AF11" s="839"/>
      <c r="AG11" s="839"/>
      <c r="AH11" s="839"/>
      <c r="AI11" s="839"/>
      <c r="AJ11" s="839"/>
      <c r="AK11" s="784">
        <f t="shared" si="1"/>
        <v>1</v>
      </c>
      <c r="AL11" s="840" t="s">
        <v>177</v>
      </c>
      <c r="AM11" s="841" t="str">
        <f t="shared" si="6"/>
        <v>incl.</v>
      </c>
      <c r="AN11" s="830" t="str">
        <f t="shared" si="2"/>
        <v>AQUA2MAX</v>
      </c>
      <c r="AO11" s="842">
        <f>IFERROR(VLOOKUP(AN11,'Aquada Configurations'!$D$11:$F$25,3,FALSE),"N/A")</f>
        <v>7600000403511</v>
      </c>
      <c r="AP11" s="843">
        <f t="shared" si="7"/>
        <v>1830</v>
      </c>
      <c r="AQ11" s="674">
        <f t="shared" si="8"/>
        <v>1830</v>
      </c>
      <c r="AR11" s="674">
        <f t="shared" si="9"/>
        <v>1098</v>
      </c>
      <c r="AS11" s="844" t="str">
        <f>IFERROR(VLOOKUP(T11,'Aquada Configurations'!$F$2:$H$6,3,FALSE),"N/A")</f>
        <v>N/A</v>
      </c>
      <c r="AT11" s="845" t="str">
        <f>IFERROR(VLOOKUP(AS11,'Aquada Configurations'!$H:$I,2,FALSE),"N/A")</f>
        <v>N/A</v>
      </c>
      <c r="AU11" s="846" t="s">
        <v>177</v>
      </c>
    </row>
    <row r="12" spans="1:58" x14ac:dyDescent="0.25">
      <c r="A12" s="96" t="s">
        <v>1533</v>
      </c>
      <c r="B12" s="96" t="s">
        <v>186</v>
      </c>
      <c r="C12" s="96"/>
      <c r="D12" s="96"/>
      <c r="E12" s="96"/>
      <c r="F12" s="96"/>
      <c r="G12" s="96"/>
      <c r="H12" s="96"/>
      <c r="I12" s="272">
        <v>1</v>
      </c>
      <c r="J12" s="656">
        <f>((VLOOKUP(A12,'pricing overview all products'!$A:$B,2,FALSE))*'Country File'!$T$2)*'Country File'!$P$2</f>
        <v>1460</v>
      </c>
      <c r="K12" s="656">
        <f>((VLOOKUP(A12,'pricing overview all products'!$A:$B,2,FALSE))*'Country File'!$T$3)*'Country File'!$P$2</f>
        <v>1460</v>
      </c>
      <c r="L12" s="656">
        <f>(((VLOOKUP(A12,'pricing overview all products'!$A:$B,2,FALSE))*'Country File'!$T$2)*'Country File'!$P$2)*(1-'Applied Discounts'!$C$11)</f>
        <v>876</v>
      </c>
      <c r="M12" s="656">
        <f t="shared" si="3"/>
        <v>1460</v>
      </c>
      <c r="N12" s="656">
        <f t="shared" si="4"/>
        <v>1460</v>
      </c>
      <c r="O12" s="657">
        <f t="shared" si="5"/>
        <v>876</v>
      </c>
      <c r="P12" s="835"/>
      <c r="Q12" s="836"/>
      <c r="R12" s="837"/>
      <c r="S12" s="838"/>
      <c r="T12" s="837"/>
      <c r="U12" s="665"/>
      <c r="V12" s="839"/>
      <c r="W12" s="839"/>
      <c r="X12" s="839"/>
      <c r="Y12" s="839"/>
      <c r="Z12" s="839"/>
      <c r="AA12" s="839"/>
      <c r="AB12" s="839"/>
      <c r="AC12" s="839"/>
      <c r="AD12" s="839"/>
      <c r="AE12" s="839"/>
      <c r="AF12" s="839"/>
      <c r="AG12" s="839"/>
      <c r="AH12" s="839"/>
      <c r="AI12" s="839"/>
      <c r="AJ12" s="839"/>
      <c r="AK12" s="784">
        <f t="shared" si="1"/>
        <v>1</v>
      </c>
      <c r="AL12" s="840" t="s">
        <v>177</v>
      </c>
      <c r="AM12" s="841" t="str">
        <f t="shared" si="6"/>
        <v>incl.</v>
      </c>
      <c r="AN12" s="830" t="str">
        <f t="shared" si="2"/>
        <v>AQUA4ALT</v>
      </c>
      <c r="AO12" s="842">
        <f>IFERROR(VLOOKUP(AN12,'Aquada Configurations'!$D$11:$F$25,3,FALSE),"N/A")</f>
        <v>7600000403502</v>
      </c>
      <c r="AP12" s="843">
        <f t="shared" si="7"/>
        <v>1460</v>
      </c>
      <c r="AQ12" s="674">
        <f t="shared" si="8"/>
        <v>1460</v>
      </c>
      <c r="AR12" s="674">
        <f t="shared" si="9"/>
        <v>876</v>
      </c>
      <c r="AS12" s="844" t="str">
        <f>IFERROR(VLOOKUP(T12,'Aquada Configurations'!$F$2:$H$6,3,FALSE),"N/A")</f>
        <v>N/A</v>
      </c>
      <c r="AT12" s="845" t="str">
        <f>IFERROR(VLOOKUP(AS12,'Aquada Configurations'!$H:$I,2,FALSE),"N/A")</f>
        <v>N/A</v>
      </c>
      <c r="AU12" s="846" t="s">
        <v>177</v>
      </c>
    </row>
    <row r="13" spans="1:58" x14ac:dyDescent="0.25">
      <c r="A13" s="98" t="s">
        <v>1534</v>
      </c>
      <c r="B13" s="96" t="s">
        <v>188</v>
      </c>
      <c r="C13" s="96"/>
      <c r="D13" s="96"/>
      <c r="E13" s="96"/>
      <c r="F13" s="96"/>
      <c r="G13" s="96"/>
      <c r="H13" s="96"/>
      <c r="I13" s="272">
        <v>1</v>
      </c>
      <c r="J13" s="656">
        <f>((VLOOKUP(A13,'pricing overview all products'!$A:$B,2,FALSE))*'Country File'!$T$2)*'Country File'!$P$2</f>
        <v>1680</v>
      </c>
      <c r="K13" s="656">
        <f>((VLOOKUP(A13,'pricing overview all products'!$A:$B,2,FALSE))*'Country File'!$T$3)*'Country File'!$P$2</f>
        <v>1680</v>
      </c>
      <c r="L13" s="656">
        <f>(((VLOOKUP(A13,'pricing overview all products'!$A:$B,2,FALSE))*'Country File'!$T$2)*'Country File'!$P$2)*(1-'Applied Discounts'!$C$11)</f>
        <v>1008</v>
      </c>
      <c r="M13" s="656">
        <f t="shared" si="3"/>
        <v>1680</v>
      </c>
      <c r="N13" s="656">
        <f t="shared" si="4"/>
        <v>1680</v>
      </c>
      <c r="O13" s="657">
        <f t="shared" si="5"/>
        <v>1008</v>
      </c>
      <c r="P13" s="835"/>
      <c r="Q13" s="836"/>
      <c r="R13" s="837"/>
      <c r="S13" s="838"/>
      <c r="T13" s="837"/>
      <c r="U13" s="665"/>
      <c r="V13" s="839"/>
      <c r="W13" s="839"/>
      <c r="X13" s="839"/>
      <c r="Y13" s="839"/>
      <c r="Z13" s="839"/>
      <c r="AA13" s="839"/>
      <c r="AB13" s="839"/>
      <c r="AC13" s="839"/>
      <c r="AD13" s="839"/>
      <c r="AE13" s="839"/>
      <c r="AF13" s="839"/>
      <c r="AG13" s="839"/>
      <c r="AH13" s="839"/>
      <c r="AI13" s="839"/>
      <c r="AJ13" s="839"/>
      <c r="AK13" s="784">
        <f t="shared" si="1"/>
        <v>1</v>
      </c>
      <c r="AL13" s="840" t="s">
        <v>177</v>
      </c>
      <c r="AM13" s="841" t="str">
        <f t="shared" si="6"/>
        <v>incl.</v>
      </c>
      <c r="AN13" s="830" t="str">
        <f t="shared" si="2"/>
        <v>AQUA4PRO</v>
      </c>
      <c r="AO13" s="842">
        <f>IFERROR(VLOOKUP(AN13,'Aquada Configurations'!$D$11:$F$25,3,FALSE),"N/A")</f>
        <v>7600000403507</v>
      </c>
      <c r="AP13" s="843">
        <f t="shared" si="7"/>
        <v>1680</v>
      </c>
      <c r="AQ13" s="674">
        <f t="shared" si="8"/>
        <v>1680</v>
      </c>
      <c r="AR13" s="674">
        <f t="shared" si="9"/>
        <v>1008</v>
      </c>
      <c r="AS13" s="844" t="str">
        <f>IFERROR(VLOOKUP(T13,'Aquada Configurations'!$F$2:$H$6,3,FALSE),"N/A")</f>
        <v>N/A</v>
      </c>
      <c r="AT13" s="845" t="str">
        <f>IFERROR(VLOOKUP(AS13,'Aquada Configurations'!$H:$I,2,FALSE),"N/A")</f>
        <v>N/A</v>
      </c>
      <c r="AU13" s="846" t="s">
        <v>177</v>
      </c>
    </row>
    <row r="14" spans="1:58" x14ac:dyDescent="0.25">
      <c r="A14" s="98" t="s">
        <v>1535</v>
      </c>
      <c r="B14" s="96" t="s">
        <v>187</v>
      </c>
      <c r="C14" s="96"/>
      <c r="D14" s="96"/>
      <c r="E14" s="96"/>
      <c r="F14" s="96"/>
      <c r="G14" s="96"/>
      <c r="H14" s="96"/>
      <c r="I14" s="272">
        <v>1</v>
      </c>
      <c r="J14" s="656">
        <f>((VLOOKUP(A14,'pricing overview all products'!$A:$B,2,FALSE))*'Country File'!$T$2)*'Country File'!$P$2</f>
        <v>2200</v>
      </c>
      <c r="K14" s="656">
        <f>((VLOOKUP(A14,'pricing overview all products'!$A:$B,2,FALSE))*'Country File'!$T$3)*'Country File'!$P$2</f>
        <v>2200</v>
      </c>
      <c r="L14" s="656">
        <f>(((VLOOKUP(A14,'pricing overview all products'!$A:$B,2,FALSE))*'Country File'!$T$2)*'Country File'!$P$2)*(1-'Applied Discounts'!$C$11)</f>
        <v>1320</v>
      </c>
      <c r="M14" s="656">
        <f t="shared" si="3"/>
        <v>2200</v>
      </c>
      <c r="N14" s="656">
        <f t="shared" si="4"/>
        <v>2200</v>
      </c>
      <c r="O14" s="657">
        <f t="shared" si="5"/>
        <v>1320</v>
      </c>
      <c r="P14" s="835"/>
      <c r="Q14" s="836"/>
      <c r="R14" s="837"/>
      <c r="S14" s="838"/>
      <c r="T14" s="837"/>
      <c r="U14" s="665"/>
      <c r="V14" s="839"/>
      <c r="W14" s="839"/>
      <c r="X14" s="839"/>
      <c r="Y14" s="839"/>
      <c r="Z14" s="839"/>
      <c r="AA14" s="839"/>
      <c r="AB14" s="839"/>
      <c r="AC14" s="839"/>
      <c r="AD14" s="839"/>
      <c r="AE14" s="839"/>
      <c r="AF14" s="839"/>
      <c r="AG14" s="839"/>
      <c r="AH14" s="839"/>
      <c r="AI14" s="839"/>
      <c r="AJ14" s="839"/>
      <c r="AK14" s="784">
        <f t="shared" si="1"/>
        <v>1</v>
      </c>
      <c r="AL14" s="840" t="s">
        <v>177</v>
      </c>
      <c r="AM14" s="841" t="str">
        <f t="shared" si="6"/>
        <v>incl.</v>
      </c>
      <c r="AN14" s="830" t="str">
        <f t="shared" si="2"/>
        <v>AQUA4MAX</v>
      </c>
      <c r="AO14" s="842">
        <f>IFERROR(VLOOKUP(AN14,'Aquada Configurations'!$D$11:$F$25,3,FALSE),"N/A")</f>
        <v>7600000403512</v>
      </c>
      <c r="AP14" s="843">
        <f t="shared" si="7"/>
        <v>2200</v>
      </c>
      <c r="AQ14" s="674">
        <f t="shared" si="8"/>
        <v>2200</v>
      </c>
      <c r="AR14" s="674">
        <f t="shared" si="9"/>
        <v>1320</v>
      </c>
      <c r="AS14" s="844" t="str">
        <f>IFERROR(VLOOKUP(T14,'Aquada Configurations'!$F$2:$H$6,3,FALSE),"N/A")</f>
        <v>N/A</v>
      </c>
      <c r="AT14" s="845" t="str">
        <f>IFERROR(VLOOKUP(AS14,'Aquada Configurations'!$H:$I,2,FALSE),"N/A")</f>
        <v>N/A</v>
      </c>
      <c r="AU14" s="846" t="s">
        <v>177</v>
      </c>
    </row>
    <row r="15" spans="1:58" x14ac:dyDescent="0.25">
      <c r="A15" s="98" t="s">
        <v>1536</v>
      </c>
      <c r="B15" s="96" t="s">
        <v>189</v>
      </c>
      <c r="C15" s="96"/>
      <c r="D15" s="96"/>
      <c r="E15" s="96"/>
      <c r="F15" s="96"/>
      <c r="G15" s="96"/>
      <c r="H15" s="96"/>
      <c r="I15" s="272">
        <v>1</v>
      </c>
      <c r="J15" s="656">
        <f>((VLOOKUP(A15,'pricing overview all products'!$A:$B,2,FALSE))*'Country File'!$T$2)*'Country File'!$P$2</f>
        <v>2500</v>
      </c>
      <c r="K15" s="656">
        <f>((VLOOKUP(A15,'pricing overview all products'!$A:$B,2,FALSE))*'Country File'!$T$3)*'Country File'!$P$2</f>
        <v>2500</v>
      </c>
      <c r="L15" s="656">
        <f>(((VLOOKUP(A15,'pricing overview all products'!$A:$B,2,FALSE))*'Country File'!$T$2)*'Country File'!$P$2)*(1-'Applied Discounts'!$C$11)</f>
        <v>1500</v>
      </c>
      <c r="M15" s="656">
        <f t="shared" si="3"/>
        <v>2500</v>
      </c>
      <c r="N15" s="656">
        <f t="shared" si="4"/>
        <v>2500</v>
      </c>
      <c r="O15" s="657">
        <f t="shared" si="5"/>
        <v>1500</v>
      </c>
      <c r="P15" s="835"/>
      <c r="Q15" s="836"/>
      <c r="R15" s="837"/>
      <c r="S15" s="838"/>
      <c r="T15" s="837"/>
      <c r="U15" s="665"/>
      <c r="V15" s="839"/>
      <c r="W15" s="839"/>
      <c r="X15" s="839"/>
      <c r="Y15" s="839"/>
      <c r="Z15" s="839"/>
      <c r="AA15" s="839"/>
      <c r="AB15" s="839"/>
      <c r="AC15" s="839"/>
      <c r="AD15" s="839"/>
      <c r="AE15" s="839"/>
      <c r="AF15" s="839"/>
      <c r="AG15" s="839"/>
      <c r="AH15" s="839"/>
      <c r="AI15" s="839"/>
      <c r="AJ15" s="839"/>
      <c r="AK15" s="784">
        <f t="shared" si="1"/>
        <v>1</v>
      </c>
      <c r="AL15" s="840" t="s">
        <v>177</v>
      </c>
      <c r="AM15" s="841" t="str">
        <f t="shared" si="6"/>
        <v>incl.</v>
      </c>
      <c r="AN15" s="830" t="str">
        <f t="shared" si="2"/>
        <v>AQUA7ALT</v>
      </c>
      <c r="AO15" s="842">
        <f>IFERROR(VLOOKUP(AN15,'Aquada Configurations'!$D$11:$F$25,3,FALSE),"N/A")</f>
        <v>7600000403503</v>
      </c>
      <c r="AP15" s="843">
        <f t="shared" si="7"/>
        <v>2500</v>
      </c>
      <c r="AQ15" s="674">
        <f t="shared" si="8"/>
        <v>2500</v>
      </c>
      <c r="AR15" s="674">
        <f t="shared" si="9"/>
        <v>1500</v>
      </c>
      <c r="AS15" s="844" t="str">
        <f>IFERROR(VLOOKUP(T15,'Aquada Configurations'!$F$2:$H$6,3,FALSE),"N/A")</f>
        <v>N/A</v>
      </c>
      <c r="AT15" s="845" t="str">
        <f>IFERROR(VLOOKUP(AS15,'Aquada Configurations'!$H:$I,2,FALSE),"N/A")</f>
        <v>N/A</v>
      </c>
      <c r="AU15" s="846" t="s">
        <v>177</v>
      </c>
    </row>
    <row r="16" spans="1:58" x14ac:dyDescent="0.25">
      <c r="A16" s="98" t="s">
        <v>1537</v>
      </c>
      <c r="B16" s="96" t="s">
        <v>191</v>
      </c>
      <c r="C16" s="96"/>
      <c r="D16" s="96"/>
      <c r="E16" s="96"/>
      <c r="F16" s="96"/>
      <c r="G16" s="96"/>
      <c r="H16" s="96"/>
      <c r="I16" s="272">
        <v>1</v>
      </c>
      <c r="J16" s="656">
        <f>((VLOOKUP(A16,'pricing overview all products'!$A:$B,2,FALSE))*'Country File'!$T$2)*'Country File'!$P$2</f>
        <v>2720</v>
      </c>
      <c r="K16" s="656">
        <f>((VLOOKUP(A16,'pricing overview all products'!$A:$B,2,FALSE))*'Country File'!$T$3)*'Country File'!$P$2</f>
        <v>2720</v>
      </c>
      <c r="L16" s="656">
        <f>(((VLOOKUP(A16,'pricing overview all products'!$A:$B,2,FALSE))*'Country File'!$T$2)*'Country File'!$P$2)*(1-'Applied Discounts'!$C$11)</f>
        <v>1632</v>
      </c>
      <c r="M16" s="656">
        <f t="shared" si="3"/>
        <v>2720</v>
      </c>
      <c r="N16" s="656">
        <f t="shared" si="4"/>
        <v>2720</v>
      </c>
      <c r="O16" s="657">
        <f t="shared" si="5"/>
        <v>1632</v>
      </c>
      <c r="P16" s="835"/>
      <c r="Q16" s="836"/>
      <c r="R16" s="837"/>
      <c r="S16" s="838"/>
      <c r="T16" s="837"/>
      <c r="U16" s="665"/>
      <c r="V16" s="839"/>
      <c r="W16" s="839"/>
      <c r="X16" s="839"/>
      <c r="Y16" s="839"/>
      <c r="Z16" s="839"/>
      <c r="AA16" s="839"/>
      <c r="AB16" s="839"/>
      <c r="AC16" s="839"/>
      <c r="AD16" s="839"/>
      <c r="AE16" s="839"/>
      <c r="AF16" s="839"/>
      <c r="AG16" s="839"/>
      <c r="AH16" s="839"/>
      <c r="AI16" s="839"/>
      <c r="AJ16" s="839"/>
      <c r="AK16" s="784">
        <f t="shared" si="1"/>
        <v>1</v>
      </c>
      <c r="AL16" s="840" t="s">
        <v>177</v>
      </c>
      <c r="AM16" s="841" t="str">
        <f t="shared" si="6"/>
        <v>incl.</v>
      </c>
      <c r="AN16" s="830" t="str">
        <f t="shared" si="2"/>
        <v>AQUA7PRO</v>
      </c>
      <c r="AO16" s="842">
        <f>IFERROR(VLOOKUP(AN16,'Aquada Configurations'!$D$11:$F$25,3,FALSE),"N/A")</f>
        <v>7600000403508</v>
      </c>
      <c r="AP16" s="843">
        <f t="shared" si="7"/>
        <v>2720</v>
      </c>
      <c r="AQ16" s="674">
        <f t="shared" si="8"/>
        <v>2720</v>
      </c>
      <c r="AR16" s="674">
        <f t="shared" si="9"/>
        <v>1632</v>
      </c>
      <c r="AS16" s="844" t="str">
        <f>IFERROR(VLOOKUP(T16,'Aquada Configurations'!$F$2:$H$6,3,FALSE),"N/A")</f>
        <v>N/A</v>
      </c>
      <c r="AT16" s="845" t="str">
        <f>IFERROR(VLOOKUP(AS16,'Aquada Configurations'!$H:$I,2,FALSE),"N/A")</f>
        <v>N/A</v>
      </c>
      <c r="AU16" s="846" t="s">
        <v>177</v>
      </c>
    </row>
    <row r="17" spans="1:50" x14ac:dyDescent="0.25">
      <c r="A17" s="98" t="s">
        <v>1538</v>
      </c>
      <c r="B17" s="96" t="s">
        <v>190</v>
      </c>
      <c r="C17" s="96"/>
      <c r="D17" s="96"/>
      <c r="E17" s="96"/>
      <c r="F17" s="96"/>
      <c r="G17" s="96"/>
      <c r="H17" s="96"/>
      <c r="I17" s="272">
        <v>1</v>
      </c>
      <c r="J17" s="656">
        <f>((VLOOKUP(A17,'pricing overview all products'!$A:$B,2,FALSE))*'Country File'!$T$2)*'Country File'!$P$2</f>
        <v>3190</v>
      </c>
      <c r="K17" s="656">
        <f>((VLOOKUP(A17,'pricing overview all products'!$A:$B,2,FALSE))*'Country File'!$T$3)*'Country File'!$P$2</f>
        <v>3190</v>
      </c>
      <c r="L17" s="656">
        <f>(((VLOOKUP(A17,'pricing overview all products'!$A:$B,2,FALSE))*'Country File'!$T$2)*'Country File'!$P$2)*(1-'Applied Discounts'!$C$11)</f>
        <v>1914</v>
      </c>
      <c r="M17" s="656">
        <f t="shared" si="3"/>
        <v>3190</v>
      </c>
      <c r="N17" s="656">
        <f t="shared" si="4"/>
        <v>3190</v>
      </c>
      <c r="O17" s="657">
        <f t="shared" si="5"/>
        <v>1914</v>
      </c>
      <c r="P17" s="835"/>
      <c r="Q17" s="836"/>
      <c r="R17" s="837"/>
      <c r="S17" s="838"/>
      <c r="T17" s="837"/>
      <c r="U17" s="665"/>
      <c r="V17" s="839"/>
      <c r="W17" s="839"/>
      <c r="X17" s="839"/>
      <c r="Y17" s="839"/>
      <c r="Z17" s="839"/>
      <c r="AA17" s="839"/>
      <c r="AB17" s="839"/>
      <c r="AC17" s="839"/>
      <c r="AD17" s="839"/>
      <c r="AE17" s="839"/>
      <c r="AF17" s="839"/>
      <c r="AG17" s="839"/>
      <c r="AH17" s="839"/>
      <c r="AI17" s="839"/>
      <c r="AJ17" s="839"/>
      <c r="AK17" s="784">
        <f t="shared" si="1"/>
        <v>1</v>
      </c>
      <c r="AL17" s="840" t="s">
        <v>177</v>
      </c>
      <c r="AM17" s="841" t="str">
        <f t="shared" si="6"/>
        <v>incl.</v>
      </c>
      <c r="AN17" s="830" t="str">
        <f t="shared" si="2"/>
        <v>AQUA7MAX</v>
      </c>
      <c r="AO17" s="842">
        <f>IFERROR(VLOOKUP(AN17,'Aquada Configurations'!$D$11:$F$25,3,FALSE),"N/A")</f>
        <v>7600000403513</v>
      </c>
      <c r="AP17" s="843">
        <f t="shared" si="7"/>
        <v>3190</v>
      </c>
      <c r="AQ17" s="674">
        <f t="shared" si="8"/>
        <v>3190</v>
      </c>
      <c r="AR17" s="674">
        <f t="shared" si="9"/>
        <v>1914</v>
      </c>
      <c r="AS17" s="844" t="str">
        <f>IFERROR(VLOOKUP(T17,'Aquada Configurations'!$F$2:$H$6,3,FALSE),"N/A")</f>
        <v>N/A</v>
      </c>
      <c r="AT17" s="845" t="str">
        <f>IFERROR(VLOOKUP(AS17,'Aquada Configurations'!$H:$I,2,FALSE),"N/A")</f>
        <v>N/A</v>
      </c>
      <c r="AU17" s="846" t="s">
        <v>177</v>
      </c>
    </row>
    <row r="18" spans="1:50" x14ac:dyDescent="0.25">
      <c r="A18" s="98" t="s">
        <v>1539</v>
      </c>
      <c r="B18" s="96" t="s">
        <v>175</v>
      </c>
      <c r="C18" s="96"/>
      <c r="D18" s="96"/>
      <c r="E18" s="96"/>
      <c r="F18" s="96"/>
      <c r="G18" s="96"/>
      <c r="H18" s="96"/>
      <c r="I18" s="272">
        <v>1</v>
      </c>
      <c r="J18" s="656">
        <f>((VLOOKUP(A18,'pricing overview all products'!$A:$B,2,FALSE))*'Country File'!$T$2)*'Country File'!$P$2</f>
        <v>2890</v>
      </c>
      <c r="K18" s="656">
        <f>((VLOOKUP(A18,'pricing overview all products'!$A:$B,2,FALSE))*'Country File'!$T$3)*'Country File'!$P$2</f>
        <v>2890</v>
      </c>
      <c r="L18" s="656">
        <f>(((VLOOKUP(A18,'pricing overview all products'!$A:$B,2,FALSE))*'Country File'!$T$2)*'Country File'!$P$2)*(1-'Applied Discounts'!$C$11)</f>
        <v>1734</v>
      </c>
      <c r="M18" s="656">
        <f t="shared" si="3"/>
        <v>2890</v>
      </c>
      <c r="N18" s="656">
        <f t="shared" si="4"/>
        <v>2890</v>
      </c>
      <c r="O18" s="657">
        <f t="shared" si="5"/>
        <v>1734</v>
      </c>
      <c r="P18" s="835"/>
      <c r="Q18" s="836"/>
      <c r="R18" s="837"/>
      <c r="S18" s="838"/>
      <c r="T18" s="837"/>
      <c r="U18" s="665"/>
      <c r="V18" s="839"/>
      <c r="W18" s="839"/>
      <c r="X18" s="839"/>
      <c r="Y18" s="839"/>
      <c r="Z18" s="839"/>
      <c r="AA18" s="839"/>
      <c r="AB18" s="839"/>
      <c r="AC18" s="839"/>
      <c r="AD18" s="839"/>
      <c r="AE18" s="839"/>
      <c r="AF18" s="839"/>
      <c r="AG18" s="839"/>
      <c r="AH18" s="839"/>
      <c r="AI18" s="839"/>
      <c r="AJ18" s="839"/>
      <c r="AK18" s="784">
        <f t="shared" si="1"/>
        <v>1</v>
      </c>
      <c r="AL18" s="840" t="s">
        <v>177</v>
      </c>
      <c r="AM18" s="841" t="str">
        <f t="shared" si="6"/>
        <v>incl.</v>
      </c>
      <c r="AN18" s="830" t="str">
        <f t="shared" si="2"/>
        <v>AQUA10ALT</v>
      </c>
      <c r="AO18" s="842">
        <f>IFERROR(VLOOKUP(AN18,'Aquada Configurations'!$D$11:$F$25,3,FALSE),"N/A")</f>
        <v>7600000403504</v>
      </c>
      <c r="AP18" s="843">
        <f t="shared" si="7"/>
        <v>2890</v>
      </c>
      <c r="AQ18" s="674">
        <f t="shared" si="8"/>
        <v>2890</v>
      </c>
      <c r="AR18" s="674">
        <f t="shared" si="9"/>
        <v>1734</v>
      </c>
      <c r="AS18" s="844" t="str">
        <f>IFERROR(VLOOKUP(T18,'Aquada Configurations'!$F$2:$H$6,3,FALSE),"N/A")</f>
        <v>N/A</v>
      </c>
      <c r="AT18" s="845" t="str">
        <f>IFERROR(VLOOKUP(AS18,'Aquada Configurations'!$H:$I,2,FALSE),"N/A")</f>
        <v>N/A</v>
      </c>
      <c r="AU18" s="846" t="s">
        <v>177</v>
      </c>
    </row>
    <row r="19" spans="1:50" x14ac:dyDescent="0.25">
      <c r="A19" s="98" t="s">
        <v>1540</v>
      </c>
      <c r="B19" s="96" t="s">
        <v>179</v>
      </c>
      <c r="C19" s="96"/>
      <c r="D19" s="96"/>
      <c r="E19" s="96"/>
      <c r="F19" s="96"/>
      <c r="G19" s="96"/>
      <c r="H19" s="96"/>
      <c r="I19" s="272">
        <v>1</v>
      </c>
      <c r="J19" s="656">
        <f>((VLOOKUP(A19,'pricing overview all products'!$A:$B,2,FALSE))*'Country File'!$T$2)*'Country File'!$P$2</f>
        <v>3040</v>
      </c>
      <c r="K19" s="656">
        <f>((VLOOKUP(A19,'pricing overview all products'!$A:$B,2,FALSE))*'Country File'!$T$3)*'Country File'!$P$2</f>
        <v>3040</v>
      </c>
      <c r="L19" s="656">
        <f>(((VLOOKUP(A19,'pricing overview all products'!$A:$B,2,FALSE))*'Country File'!$T$2)*'Country File'!$P$2)*(1-'Applied Discounts'!$C$11)</f>
        <v>1824</v>
      </c>
      <c r="M19" s="656">
        <f t="shared" si="3"/>
        <v>3040</v>
      </c>
      <c r="N19" s="656">
        <f t="shared" si="4"/>
        <v>3040</v>
      </c>
      <c r="O19" s="657">
        <f t="shared" si="5"/>
        <v>1824</v>
      </c>
      <c r="P19" s="835"/>
      <c r="Q19" s="836"/>
      <c r="R19" s="837"/>
      <c r="S19" s="838"/>
      <c r="T19" s="837"/>
      <c r="U19" s="665"/>
      <c r="V19" s="839"/>
      <c r="W19" s="839"/>
      <c r="X19" s="839"/>
      <c r="Y19" s="839"/>
      <c r="Z19" s="839"/>
      <c r="AA19" s="839"/>
      <c r="AB19" s="839"/>
      <c r="AC19" s="839"/>
      <c r="AD19" s="839"/>
      <c r="AE19" s="839"/>
      <c r="AF19" s="839"/>
      <c r="AG19" s="839"/>
      <c r="AH19" s="839"/>
      <c r="AI19" s="839"/>
      <c r="AJ19" s="839"/>
      <c r="AK19" s="784">
        <f t="shared" si="1"/>
        <v>1</v>
      </c>
      <c r="AL19" s="840" t="s">
        <v>177</v>
      </c>
      <c r="AM19" s="841" t="str">
        <f t="shared" si="6"/>
        <v>incl.</v>
      </c>
      <c r="AN19" s="830" t="str">
        <f t="shared" si="2"/>
        <v>AQUA10PRO</v>
      </c>
      <c r="AO19" s="842">
        <f>IFERROR(VLOOKUP(AN19,'Aquada Configurations'!$D$11:$F$25,3,FALSE),"N/A")</f>
        <v>7600000403509</v>
      </c>
      <c r="AP19" s="843">
        <f t="shared" si="7"/>
        <v>3040</v>
      </c>
      <c r="AQ19" s="674">
        <f t="shared" si="8"/>
        <v>3040</v>
      </c>
      <c r="AR19" s="674">
        <f t="shared" si="9"/>
        <v>1824</v>
      </c>
      <c r="AS19" s="847" t="str">
        <f>IFERROR(VLOOKUP(T19,'Aquada Configurations'!$F$2:$H$6,3,FALSE),"N/A")</f>
        <v>N/A</v>
      </c>
      <c r="AT19" s="845" t="str">
        <f>IFERROR(VLOOKUP(AS19,'Aquada Configurations'!$H:$I,2,FALSE),"N/A")</f>
        <v>N/A</v>
      </c>
      <c r="AU19" s="846" t="s">
        <v>177</v>
      </c>
    </row>
    <row r="20" spans="1:50" ht="15.75" thickBot="1" x14ac:dyDescent="0.3">
      <c r="A20" s="101" t="s">
        <v>1541</v>
      </c>
      <c r="B20" s="114" t="s">
        <v>178</v>
      </c>
      <c r="C20" s="114"/>
      <c r="D20" s="114"/>
      <c r="E20" s="114"/>
      <c r="F20" s="114"/>
      <c r="G20" s="114"/>
      <c r="H20" s="114"/>
      <c r="I20" s="600">
        <v>1</v>
      </c>
      <c r="J20" s="681">
        <f>((VLOOKUP(A20,'pricing overview all products'!$A:$B,2,FALSE))*'Country File'!$T$2)*'Country File'!$P$2</f>
        <v>3640</v>
      </c>
      <c r="K20" s="681">
        <f>((VLOOKUP(A20,'pricing overview all products'!$A:$B,2,FALSE))*'Country File'!$T$3)*'Country File'!$P$2</f>
        <v>3640</v>
      </c>
      <c r="L20" s="681">
        <f>(((VLOOKUP(A20,'pricing overview all products'!$A:$B,2,FALSE))*'Country File'!$T$2)*'Country File'!$P$2)*(1-'Applied Discounts'!$C$11)</f>
        <v>2184</v>
      </c>
      <c r="M20" s="681">
        <f t="shared" ref="M20" si="10">$I20*J20</f>
        <v>3640</v>
      </c>
      <c r="N20" s="681">
        <f t="shared" ref="N20" si="11">$I20*K20</f>
        <v>3640</v>
      </c>
      <c r="O20" s="682">
        <f t="shared" ref="O20" si="12">$I20*L20</f>
        <v>2184</v>
      </c>
      <c r="P20" s="848"/>
      <c r="Q20" s="849"/>
      <c r="R20" s="850"/>
      <c r="S20" s="851"/>
      <c r="T20" s="850"/>
      <c r="U20" s="852"/>
      <c r="V20" s="853"/>
      <c r="W20" s="853"/>
      <c r="X20" s="853"/>
      <c r="Y20" s="853"/>
      <c r="Z20" s="853"/>
      <c r="AA20" s="853"/>
      <c r="AB20" s="853"/>
      <c r="AC20" s="853"/>
      <c r="AD20" s="853"/>
      <c r="AE20" s="853"/>
      <c r="AF20" s="853"/>
      <c r="AG20" s="853"/>
      <c r="AH20" s="853"/>
      <c r="AI20" s="853"/>
      <c r="AJ20" s="853"/>
      <c r="AK20" s="798">
        <f t="shared" si="1"/>
        <v>1</v>
      </c>
      <c r="AL20" s="854" t="s">
        <v>177</v>
      </c>
      <c r="AM20" s="855" t="str">
        <f t="shared" si="6"/>
        <v>incl.</v>
      </c>
      <c r="AN20" s="856" t="str">
        <f t="shared" si="2"/>
        <v>AQUA10MAX</v>
      </c>
      <c r="AO20" s="857">
        <f>IFERROR(VLOOKUP(AN20,'Aquada Configurations'!$D$11:$F$25,3,FALSE),"N/A")</f>
        <v>7600000403514</v>
      </c>
      <c r="AP20" s="858">
        <f t="shared" si="7"/>
        <v>3640</v>
      </c>
      <c r="AQ20" s="697">
        <f t="shared" si="8"/>
        <v>3640</v>
      </c>
      <c r="AR20" s="697">
        <f t="shared" si="9"/>
        <v>2184</v>
      </c>
      <c r="AS20" s="859" t="str">
        <f>IFERROR(VLOOKUP(T20,'Aquada Configurations'!$F$2:$H$6,3,FALSE),"N/A")</f>
        <v>N/A</v>
      </c>
      <c r="AT20" s="860" t="str">
        <f>IFERROR(VLOOKUP(AS20,'Aquada Configurations'!$H:$I,2,FALSE),"N/A")</f>
        <v>N/A</v>
      </c>
      <c r="AU20" s="861" t="s">
        <v>177</v>
      </c>
    </row>
    <row r="21" spans="1:50" s="150" customFormat="1" x14ac:dyDescent="0.25">
      <c r="A21" s="537"/>
      <c r="B21" s="537"/>
      <c r="C21" s="537"/>
      <c r="D21" s="537"/>
      <c r="E21" s="537"/>
      <c r="F21" s="537"/>
      <c r="G21" s="537"/>
      <c r="H21" s="537"/>
      <c r="I21" s="538"/>
      <c r="J21" s="539"/>
      <c r="K21" s="539"/>
      <c r="L21" s="539"/>
      <c r="M21" s="539"/>
      <c r="N21" s="539"/>
      <c r="O21" s="539"/>
      <c r="P21" s="151"/>
      <c r="Q21" s="540"/>
      <c r="R21" s="540"/>
      <c r="S21" s="541"/>
      <c r="T21" s="542"/>
      <c r="U21" s="539"/>
      <c r="V21" s="543"/>
      <c r="W21" s="543"/>
      <c r="X21" s="543"/>
      <c r="Y21" s="543"/>
      <c r="Z21" s="543"/>
      <c r="AA21" s="543"/>
      <c r="AB21" s="543"/>
      <c r="AC21" s="543"/>
      <c r="AD21" s="543"/>
      <c r="AE21" s="543"/>
      <c r="AF21" s="543"/>
      <c r="AG21" s="543"/>
      <c r="AH21" s="543"/>
      <c r="AI21" s="543"/>
      <c r="AJ21" s="543"/>
      <c r="AK21" s="151"/>
      <c r="AL21" s="539"/>
      <c r="AM21" s="539"/>
      <c r="AN21" s="537"/>
      <c r="AO21" s="544"/>
      <c r="AP21" s="477"/>
      <c r="AQ21" s="477"/>
      <c r="AR21" s="477"/>
      <c r="AS21" s="477"/>
      <c r="AT21" s="477"/>
      <c r="AU21" s="477"/>
      <c r="AV21" s="537"/>
      <c r="AW21" s="544"/>
      <c r="AX21" s="477"/>
    </row>
    <row r="22" spans="1:50" s="150" customFormat="1" x14ac:dyDescent="0.25">
      <c r="A22" s="546"/>
      <c r="B22" s="1086"/>
      <c r="C22" s="1086"/>
    </row>
    <row r="23" spans="1:50" s="150" customFormat="1" x14ac:dyDescent="0.25">
      <c r="A23" s="546"/>
      <c r="B23" s="1086"/>
      <c r="C23" s="1086"/>
    </row>
    <row r="24" spans="1:50" s="150" customFormat="1" x14ac:dyDescent="0.25">
      <c r="A24" s="546"/>
      <c r="B24" s="1086"/>
      <c r="C24" s="1086"/>
    </row>
    <row r="25" spans="1:50" s="150" customFormat="1" x14ac:dyDescent="0.25">
      <c r="A25" s="545"/>
      <c r="B25" s="1086"/>
      <c r="C25" s="1086"/>
    </row>
    <row r="26" spans="1:50" s="150" customFormat="1" x14ac:dyDescent="0.25"/>
    <row r="27" spans="1:50" s="150" customFormat="1" x14ac:dyDescent="0.25"/>
    <row r="28" spans="1:50" s="150" customFormat="1" x14ac:dyDescent="0.25"/>
    <row r="29" spans="1:50" s="150" customFormat="1" x14ac:dyDescent="0.25"/>
    <row r="30" spans="1:50" s="150" customFormat="1" x14ac:dyDescent="0.25"/>
    <row r="31" spans="1:50" s="150" customFormat="1" x14ac:dyDescent="0.25"/>
    <row r="32" spans="1:50" s="150" customFormat="1" x14ac:dyDescent="0.25"/>
    <row r="33" s="150" customFormat="1" x14ac:dyDescent="0.25"/>
    <row r="34" s="150" customFormat="1" x14ac:dyDescent="0.25"/>
    <row r="35" s="150" customFormat="1" x14ac:dyDescent="0.25"/>
    <row r="36" s="150" customFormat="1" x14ac:dyDescent="0.25"/>
    <row r="37" s="150" customFormat="1" x14ac:dyDescent="0.25"/>
    <row r="38" s="150" customFormat="1" x14ac:dyDescent="0.25"/>
  </sheetData>
  <sheetProtection algorithmName="SHA-512" hashValue="CbBpRTIcy8XFG2xbrnouS9aN4WWst/RsXSdY6HJfoI6aBW9V5ac+rnYuFoR3qz3gd20SdsCka8hjFV4ivLDN2A==" saltValue="v6qxF/hzYH0q/5Z+uW/7qA==" spinCount="100000" sheet="1" objects="1" scenarios="1"/>
  <mergeCells count="12">
    <mergeCell ref="B23:C23"/>
    <mergeCell ref="B24:C24"/>
    <mergeCell ref="B25:C25"/>
    <mergeCell ref="B22:C22"/>
    <mergeCell ref="AS3:AS5"/>
    <mergeCell ref="A3:B5"/>
    <mergeCell ref="AN3:AN5"/>
    <mergeCell ref="I3:AM3"/>
    <mergeCell ref="Q5:T5"/>
    <mergeCell ref="P4:R4"/>
    <mergeCell ref="I4:O4"/>
    <mergeCell ref="AK4:AM4"/>
  </mergeCells>
  <phoneticPr fontId="6" type="noConversion"/>
  <pageMargins left="0.7" right="0.7" top="0.75" bottom="0.75" header="0.3" footer="0.3"/>
  <pageSetup paperSize="9" scale="67" fitToHeight="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BB6D3F9-F5B8-4F45-AA7F-D347451E1157}">
          <x14:formula1>
            <xm:f>'Aquada Configurations'!$E$2:$E$6</xm:f>
          </x14:formula1>
          <xm:sqref>T6:T20</xm:sqref>
        </x14:dataValidation>
        <x14:dataValidation type="list" allowBlank="1" showInputMessage="1" showErrorMessage="1" xr:uid="{B86CCBA2-DFF0-4F03-92E4-1DF6B97B1757}">
          <x14:formula1>
            <xm:f>'Aquada Configurations'!$D$2:$D$6</xm:f>
          </x14:formula1>
          <xm:sqref>Q6:Q21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97497-9356-43BB-812A-F03C9C090654}">
  <sheetPr codeName="Tabelle11">
    <tabColor rgb="FFFFC000"/>
    <pageSetUpPr fitToPage="1"/>
  </sheetPr>
  <dimension ref="A2:BR230"/>
  <sheetViews>
    <sheetView zoomScaleNormal="100" workbookViewId="0">
      <pane ySplit="6" topLeftCell="A8" activePane="bottomLeft" state="frozen"/>
      <selection activeCell="H34" sqref="H34"/>
      <selection pane="bottomLeft" activeCell="AS35" sqref="AS35"/>
    </sheetView>
  </sheetViews>
  <sheetFormatPr defaultColWidth="9.28515625" defaultRowHeight="15" outlineLevelCol="1" x14ac:dyDescent="0.25"/>
  <cols>
    <col min="1" max="1" width="25.42578125" customWidth="1"/>
    <col min="2" max="2" width="25.28515625" customWidth="1"/>
    <col min="3" max="8" width="11.7109375" hidden="1" customWidth="1" outlineLevel="1"/>
    <col min="9" max="9" width="13.7109375" hidden="1" customWidth="1" outlineLevel="1"/>
    <col min="10" max="10" width="20.5703125" hidden="1" customWidth="1" outlineLevel="1"/>
    <col min="11" max="11" width="6.85546875" customWidth="1" collapsed="1"/>
    <col min="12" max="12" width="11.85546875" customWidth="1"/>
    <col min="13" max="13" width="21" hidden="1" customWidth="1"/>
    <col min="14" max="14" width="15.7109375" customWidth="1"/>
    <col min="15" max="15" width="10.7109375" customWidth="1"/>
    <col min="16" max="16" width="17.28515625" hidden="1" customWidth="1"/>
    <col min="17" max="17" width="17.7109375" customWidth="1"/>
    <col min="18" max="40" width="9.28515625" hidden="1" customWidth="1" outlineLevel="1"/>
    <col min="41" max="41" width="6.85546875" bestFit="1" customWidth="1" collapsed="1"/>
    <col min="42" max="42" width="8.28515625" customWidth="1"/>
    <col min="43" max="43" width="8.7109375" customWidth="1"/>
    <col min="44" max="44" width="17.28515625" customWidth="1"/>
    <col min="45" max="45" width="15.85546875" customWidth="1"/>
    <col min="46" max="46" width="14.28515625" customWidth="1"/>
    <col min="47" max="47" width="17.28515625" hidden="1" customWidth="1"/>
    <col min="48" max="48" width="17.5703125" customWidth="1"/>
    <col min="49" max="55" width="9.28515625" style="150" customWidth="1"/>
    <col min="56" max="70" width="9.28515625" style="150"/>
  </cols>
  <sheetData>
    <row r="2" spans="1:70" ht="13.5" customHeight="1" thickBot="1" x14ac:dyDescent="0.3"/>
    <row r="3" spans="1:70" ht="30.75" thickBot="1" x14ac:dyDescent="0.3">
      <c r="A3" s="1030" t="s">
        <v>1542</v>
      </c>
      <c r="B3" s="1030" t="s">
        <v>1</v>
      </c>
      <c r="C3" s="4"/>
      <c r="D3" s="4"/>
      <c r="E3" s="4"/>
      <c r="F3" s="4"/>
      <c r="G3" s="4"/>
      <c r="H3" s="4" t="e">
        <f>_xlfn.CONCAT("Discounted Price in ",#REF!)</f>
        <v>#REF!</v>
      </c>
      <c r="I3" s="4"/>
      <c r="J3" s="4"/>
      <c r="K3" s="1079" t="str">
        <f>_xlfn.CONCAT("Prices in ",'Applied Discounts'!$C$5)</f>
        <v>Prices in EUR</v>
      </c>
      <c r="L3" s="1080"/>
      <c r="M3" s="1080"/>
      <c r="N3" s="1080"/>
      <c r="O3" s="1080"/>
      <c r="P3" s="1080"/>
      <c r="Q3" s="1080"/>
      <c r="R3" s="1080"/>
      <c r="S3" s="1080"/>
      <c r="T3" s="1080"/>
      <c r="U3" s="1080"/>
      <c r="V3" s="1080"/>
      <c r="W3" s="1080"/>
      <c r="X3" s="1080"/>
      <c r="Y3" s="1080"/>
      <c r="Z3" s="1080"/>
      <c r="AA3" s="1080"/>
      <c r="AB3" s="1080"/>
      <c r="AC3" s="1080"/>
      <c r="AD3" s="1080"/>
      <c r="AE3" s="1080"/>
      <c r="AF3" s="1080"/>
      <c r="AG3" s="1080"/>
      <c r="AH3" s="1080"/>
      <c r="AI3" s="1080"/>
      <c r="AJ3" s="1080"/>
      <c r="AK3" s="1080"/>
      <c r="AL3" s="1080"/>
      <c r="AM3" s="1080"/>
      <c r="AN3" s="1080"/>
      <c r="AO3" s="1080"/>
      <c r="AP3" s="1080"/>
      <c r="AQ3" s="1080"/>
      <c r="AR3" s="1034" t="s">
        <v>1378</v>
      </c>
      <c r="AS3" s="609"/>
      <c r="AT3" s="148" t="s">
        <v>1380</v>
      </c>
      <c r="AU3" s="237" t="s">
        <v>1381</v>
      </c>
      <c r="AV3" s="237" t="s">
        <v>1382</v>
      </c>
    </row>
    <row r="4" spans="1:70" ht="15.75" thickBot="1" x14ac:dyDescent="0.3">
      <c r="A4" s="1031"/>
      <c r="B4" s="1031"/>
      <c r="C4" s="81" t="s">
        <v>1479</v>
      </c>
      <c r="D4" s="81" t="s">
        <v>1479</v>
      </c>
      <c r="E4" s="81" t="s">
        <v>1479</v>
      </c>
      <c r="F4" s="81" t="s">
        <v>1479</v>
      </c>
      <c r="G4" s="81" t="s">
        <v>1479</v>
      </c>
      <c r="H4" s="81" t="s">
        <v>1479</v>
      </c>
      <c r="I4" s="81"/>
      <c r="J4" s="81"/>
      <c r="K4" s="1069" t="s">
        <v>1547</v>
      </c>
      <c r="L4" s="1070"/>
      <c r="M4" s="1070"/>
      <c r="N4" s="1070"/>
      <c r="O4" s="1070"/>
      <c r="P4" s="1070"/>
      <c r="Q4" s="1071"/>
      <c r="R4" s="1069" t="s">
        <v>1479</v>
      </c>
      <c r="S4" s="1070"/>
      <c r="T4" s="1070"/>
      <c r="U4" s="1070"/>
      <c r="V4" s="1071"/>
      <c r="W4" s="533" t="s">
        <v>1479</v>
      </c>
      <c r="X4" s="533" t="s">
        <v>1479</v>
      </c>
      <c r="Y4" s="533" t="s">
        <v>1479</v>
      </c>
      <c r="Z4" s="533" t="s">
        <v>1479</v>
      </c>
      <c r="AA4" s="533" t="s">
        <v>1479</v>
      </c>
      <c r="AB4" s="533" t="s">
        <v>1479</v>
      </c>
      <c r="AC4" s="533" t="s">
        <v>1479</v>
      </c>
      <c r="AD4" s="533" t="s">
        <v>1479</v>
      </c>
      <c r="AE4" s="533" t="s">
        <v>1479</v>
      </c>
      <c r="AF4" s="533" t="s">
        <v>1479</v>
      </c>
      <c r="AG4" s="533" t="s">
        <v>1479</v>
      </c>
      <c r="AH4" s="533" t="s">
        <v>1479</v>
      </c>
      <c r="AI4" s="533" t="s">
        <v>1479</v>
      </c>
      <c r="AJ4" s="533" t="s">
        <v>1479</v>
      </c>
      <c r="AK4" s="533" t="s">
        <v>1479</v>
      </c>
      <c r="AL4" s="533" t="s">
        <v>1479</v>
      </c>
      <c r="AM4" s="533" t="s">
        <v>1479</v>
      </c>
      <c r="AN4" s="533" t="s">
        <v>1479</v>
      </c>
      <c r="AO4" s="1066" t="s">
        <v>1390</v>
      </c>
      <c r="AP4" s="1067"/>
      <c r="AQ4" s="1067"/>
      <c r="AR4" s="1035"/>
      <c r="AS4" s="608" t="s">
        <v>1391</v>
      </c>
      <c r="AT4" s="548" t="e">
        <f>#REF!</f>
        <v>#REF!</v>
      </c>
      <c r="AU4" s="549" t="e">
        <f>#REF!</f>
        <v>#REF!</v>
      </c>
      <c r="AV4" s="550" t="s">
        <v>1151</v>
      </c>
    </row>
    <row r="5" spans="1:70" s="31" customFormat="1" ht="33" customHeight="1" thickBot="1" x14ac:dyDescent="0.3">
      <c r="A5" s="1031"/>
      <c r="B5" s="1078"/>
      <c r="C5" s="109"/>
      <c r="D5" s="110"/>
      <c r="E5" s="110"/>
      <c r="F5" s="110"/>
      <c r="G5" s="110"/>
      <c r="H5" s="111"/>
      <c r="I5" s="241" t="s">
        <v>1394</v>
      </c>
      <c r="J5" s="243" t="s">
        <v>1395</v>
      </c>
      <c r="K5" s="242" t="s">
        <v>1393</v>
      </c>
      <c r="L5" s="251" t="s">
        <v>1394</v>
      </c>
      <c r="M5" s="251" t="s">
        <v>1398</v>
      </c>
      <c r="N5" s="251" t="s">
        <v>1399</v>
      </c>
      <c r="O5" s="251" t="s">
        <v>1380</v>
      </c>
      <c r="P5" s="251" t="s">
        <v>1381</v>
      </c>
      <c r="Q5" s="252" t="s">
        <v>1382</v>
      </c>
      <c r="R5" s="268" t="s">
        <v>1393</v>
      </c>
      <c r="S5" s="241" t="s">
        <v>1495</v>
      </c>
      <c r="T5" s="241" t="s">
        <v>1496</v>
      </c>
      <c r="U5" s="241" t="s">
        <v>1400</v>
      </c>
      <c r="V5" s="13" t="s">
        <v>1401</v>
      </c>
      <c r="W5" s="243" t="s">
        <v>1393</v>
      </c>
      <c r="X5" s="11" t="s">
        <v>1400</v>
      </c>
      <c r="Y5" s="13" t="s">
        <v>1401</v>
      </c>
      <c r="Z5" s="243" t="s">
        <v>1393</v>
      </c>
      <c r="AA5" s="11" t="s">
        <v>1400</v>
      </c>
      <c r="AB5" s="13" t="s">
        <v>1401</v>
      </c>
      <c r="AC5" s="243" t="s">
        <v>1393</v>
      </c>
      <c r="AD5" s="11" t="s">
        <v>1400</v>
      </c>
      <c r="AE5" s="13" t="s">
        <v>1401</v>
      </c>
      <c r="AF5" s="243" t="s">
        <v>1393</v>
      </c>
      <c r="AG5" s="11" t="s">
        <v>1400</v>
      </c>
      <c r="AH5" s="13" t="s">
        <v>1401</v>
      </c>
      <c r="AI5" s="243" t="s">
        <v>1393</v>
      </c>
      <c r="AJ5" s="11" t="s">
        <v>1400</v>
      </c>
      <c r="AK5" s="13" t="s">
        <v>1401</v>
      </c>
      <c r="AL5" s="243"/>
      <c r="AM5" s="11"/>
      <c r="AN5" s="11"/>
      <c r="AO5" s="242" t="s">
        <v>1393</v>
      </c>
      <c r="AP5" s="251" t="s">
        <v>1400</v>
      </c>
      <c r="AQ5" s="552" t="s">
        <v>1401</v>
      </c>
      <c r="AR5" s="1102"/>
      <c r="AS5" s="582"/>
      <c r="AT5" s="257"/>
      <c r="AU5" s="396"/>
      <c r="AV5" s="188"/>
      <c r="AW5" s="245"/>
      <c r="AX5" s="245"/>
      <c r="AY5" s="245"/>
      <c r="AZ5" s="245"/>
      <c r="BA5" s="245"/>
      <c r="BB5" s="245"/>
      <c r="BC5" s="245"/>
      <c r="BD5" s="245"/>
      <c r="BE5" s="245"/>
      <c r="BF5" s="245"/>
      <c r="BG5" s="245"/>
      <c r="BH5" s="245"/>
      <c r="BI5" s="245"/>
      <c r="BJ5" s="245"/>
      <c r="BK5" s="245"/>
      <c r="BL5" s="245"/>
      <c r="BM5" s="245"/>
      <c r="BN5" s="245"/>
      <c r="BO5" s="245"/>
      <c r="BP5" s="245"/>
      <c r="BQ5" s="245"/>
      <c r="BR5" s="245"/>
    </row>
    <row r="6" spans="1:70" s="31" customFormat="1" ht="15.75" hidden="1" thickBot="1" x14ac:dyDescent="0.3">
      <c r="A6" s="330" t="s">
        <v>1548</v>
      </c>
      <c r="B6" s="338" t="s">
        <v>1549</v>
      </c>
      <c r="C6" s="109"/>
      <c r="D6" s="110"/>
      <c r="E6" s="110"/>
      <c r="F6" s="110"/>
      <c r="G6" s="110"/>
      <c r="H6" s="110"/>
      <c r="I6" s="268"/>
      <c r="J6" s="11"/>
      <c r="K6" s="361">
        <v>0</v>
      </c>
      <c r="L6" s="269">
        <f>((VLOOKUP($A6,'pricing overview all products'!$A:$B,2,FALSE))*'Country File'!$T$2)*'Country File'!$P$2</f>
        <v>0</v>
      </c>
      <c r="M6" s="344"/>
      <c r="N6" s="269" t="e">
        <f>((VLOOKUP($A6,'pricing overview all products'!$A:$B,2,FALSE))*'Country File'!$T$2)*'Country File'!$P$2*(1-#REF!)</f>
        <v>#REF!</v>
      </c>
      <c r="O6" s="269">
        <f t="shared" ref="O6:O14" si="0">$K6*L6</f>
        <v>0</v>
      </c>
      <c r="P6" s="344"/>
      <c r="Q6" s="345" t="e">
        <f t="shared" ref="Q6:Q14" si="1">$K6*N6</f>
        <v>#REF!</v>
      </c>
      <c r="R6" s="337"/>
      <c r="S6" s="337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337"/>
      <c r="AG6" s="337"/>
      <c r="AH6" s="337"/>
      <c r="AI6" s="337"/>
      <c r="AJ6" s="337"/>
      <c r="AK6" s="337"/>
      <c r="AL6" s="337"/>
      <c r="AM6" s="337"/>
      <c r="AN6" s="337"/>
      <c r="AO6" s="1">
        <f t="shared" ref="AO6:AO15" si="2">K6</f>
        <v>0</v>
      </c>
      <c r="AP6" s="269">
        <v>0</v>
      </c>
      <c r="AQ6" s="270">
        <v>0</v>
      </c>
      <c r="AR6" s="551"/>
      <c r="AS6" s="339"/>
      <c r="AT6" s="166">
        <f t="shared" ref="AT6:AT15" si="3">O6+$AQ6</f>
        <v>0</v>
      </c>
      <c r="AU6" s="346"/>
      <c r="AV6" s="348" t="e">
        <f t="shared" ref="AV6:AV15" si="4">Q6+$AQ6</f>
        <v>#REF!</v>
      </c>
      <c r="AW6" s="245"/>
      <c r="AX6" s="245"/>
      <c r="AY6" s="245"/>
      <c r="AZ6" s="245"/>
      <c r="BA6" s="245"/>
      <c r="BB6" s="245"/>
      <c r="BC6" s="245"/>
      <c r="BD6" s="245"/>
      <c r="BE6" s="245"/>
      <c r="BF6" s="245"/>
      <c r="BG6" s="245"/>
      <c r="BH6" s="245"/>
      <c r="BI6" s="245"/>
      <c r="BJ6" s="245"/>
      <c r="BK6" s="245"/>
      <c r="BL6" s="245"/>
      <c r="BM6" s="245"/>
      <c r="BN6" s="245"/>
      <c r="BO6" s="245"/>
      <c r="BP6" s="245"/>
      <c r="BQ6" s="245"/>
      <c r="BR6" s="245"/>
    </row>
    <row r="7" spans="1:70" s="31" customFormat="1" ht="15.75" hidden="1" thickBot="1" x14ac:dyDescent="0.3">
      <c r="A7" s="480" t="s">
        <v>1550</v>
      </c>
      <c r="B7" s="343" t="s">
        <v>1549</v>
      </c>
      <c r="C7" s="481"/>
      <c r="D7" s="482"/>
      <c r="E7" s="482"/>
      <c r="F7" s="482"/>
      <c r="G7" s="482"/>
      <c r="H7" s="482"/>
      <c r="I7" s="483"/>
      <c r="J7" s="483"/>
      <c r="K7" s="484">
        <v>0</v>
      </c>
      <c r="L7" s="485" t="e">
        <f>((VLOOKUP($A7,'pricing overview all products'!$A:$B,2,FALSE))*'Country File'!$T$2)*'Country File'!$P$2*#REF!</f>
        <v>#REF!</v>
      </c>
      <c r="M7" s="329"/>
      <c r="N7" s="485" t="e">
        <f>((VLOOKUP($A7,'pricing overview all products'!$A:$B,2,FALSE))*'Country File'!$T$2)*'Country File'!$P$2*(1-#REF!)*#REF!</f>
        <v>#REF!</v>
      </c>
      <c r="O7" s="485" t="e">
        <f t="shared" si="0"/>
        <v>#REF!</v>
      </c>
      <c r="P7" s="329"/>
      <c r="Q7" s="486" t="e">
        <f t="shared" si="1"/>
        <v>#REF!</v>
      </c>
      <c r="R7" s="343"/>
      <c r="S7" s="343"/>
      <c r="T7" s="343"/>
      <c r="U7" s="343"/>
      <c r="V7" s="343"/>
      <c r="W7" s="343"/>
      <c r="X7" s="343"/>
      <c r="Y7" s="343"/>
      <c r="Z7" s="343"/>
      <c r="AA7" s="343"/>
      <c r="AB7" s="343"/>
      <c r="AC7" s="343"/>
      <c r="AD7" s="343"/>
      <c r="AE7" s="343"/>
      <c r="AF7" s="343"/>
      <c r="AG7" s="343"/>
      <c r="AH7" s="343"/>
      <c r="AI7" s="343"/>
      <c r="AJ7" s="343"/>
      <c r="AK7" s="343"/>
      <c r="AL7" s="343"/>
      <c r="AM7" s="343"/>
      <c r="AN7" s="343"/>
      <c r="AO7" s="487">
        <f t="shared" si="2"/>
        <v>0</v>
      </c>
      <c r="AP7" s="485">
        <v>0</v>
      </c>
      <c r="AQ7" s="488">
        <v>0</v>
      </c>
      <c r="AR7" s="362" t="s">
        <v>1551</v>
      </c>
      <c r="AS7" s="341"/>
      <c r="AT7" s="372" t="e">
        <f t="shared" si="3"/>
        <v>#REF!</v>
      </c>
      <c r="AU7" s="347"/>
      <c r="AV7" s="489" t="e">
        <f t="shared" si="4"/>
        <v>#REF!</v>
      </c>
      <c r="AW7" s="245"/>
      <c r="AX7" s="245"/>
      <c r="AY7" s="245"/>
      <c r="AZ7" s="245"/>
      <c r="BA7" s="245"/>
      <c r="BB7" s="245"/>
      <c r="BC7" s="245"/>
      <c r="BD7" s="245"/>
      <c r="BE7" s="245"/>
      <c r="BF7" s="245"/>
      <c r="BG7" s="245"/>
      <c r="BH7" s="245"/>
      <c r="BI7" s="245"/>
      <c r="BJ7" s="245"/>
      <c r="BK7" s="245"/>
      <c r="BL7" s="245"/>
      <c r="BM7" s="245"/>
      <c r="BN7" s="245"/>
      <c r="BO7" s="245"/>
      <c r="BP7" s="245"/>
      <c r="BQ7" s="245"/>
      <c r="BR7" s="245"/>
    </row>
    <row r="8" spans="1:70" s="31" customFormat="1" x14ac:dyDescent="0.25">
      <c r="A8" s="490" t="s">
        <v>1552</v>
      </c>
      <c r="B8" s="568" t="s">
        <v>2092</v>
      </c>
      <c r="C8" s="335"/>
      <c r="D8" s="336"/>
      <c r="E8" s="336"/>
      <c r="F8" s="336"/>
      <c r="G8" s="336"/>
      <c r="H8" s="336"/>
      <c r="I8" s="337"/>
      <c r="J8" s="601"/>
      <c r="K8" s="628">
        <v>1</v>
      </c>
      <c r="L8" s="636">
        <f>((VLOOKUP($A8,'pricing overview all products'!$A:$B,2,FALSE))*'Country File'!$T$2)*'Country File'!$P$2</f>
        <v>855</v>
      </c>
      <c r="M8" s="952"/>
      <c r="N8" s="636">
        <f>((VLOOKUP($A8,'pricing overview all products'!$A:$B,2,FALSE))*'Country File'!$T$2)*'Country File'!$P$2*(1-'Applied Discounts'!$C$16)</f>
        <v>641.25</v>
      </c>
      <c r="O8" s="636">
        <f t="shared" si="0"/>
        <v>855</v>
      </c>
      <c r="P8" s="953"/>
      <c r="Q8" s="637">
        <f t="shared" si="1"/>
        <v>641.25</v>
      </c>
      <c r="R8" s="954"/>
      <c r="S8" s="955"/>
      <c r="T8" s="955"/>
      <c r="U8" s="955"/>
      <c r="V8" s="955"/>
      <c r="W8" s="955"/>
      <c r="X8" s="955"/>
      <c r="Y8" s="955"/>
      <c r="Z8" s="955"/>
      <c r="AA8" s="955"/>
      <c r="AB8" s="955"/>
      <c r="AC8" s="955"/>
      <c r="AD8" s="955"/>
      <c r="AE8" s="955"/>
      <c r="AF8" s="955"/>
      <c r="AG8" s="955"/>
      <c r="AH8" s="955"/>
      <c r="AI8" s="955"/>
      <c r="AJ8" s="955"/>
      <c r="AK8" s="955"/>
      <c r="AL8" s="955"/>
      <c r="AM8" s="955"/>
      <c r="AN8" s="955"/>
      <c r="AO8" s="772">
        <f t="shared" si="2"/>
        <v>1</v>
      </c>
      <c r="AP8" s="636">
        <v>0</v>
      </c>
      <c r="AQ8" s="637">
        <v>0</v>
      </c>
      <c r="AR8" s="956">
        <v>806254</v>
      </c>
      <c r="AS8" s="957">
        <v>7600000806254</v>
      </c>
      <c r="AT8" s="654">
        <f t="shared" si="3"/>
        <v>855</v>
      </c>
      <c r="AU8" s="958"/>
      <c r="AV8" s="959">
        <f t="shared" si="4"/>
        <v>641.25</v>
      </c>
      <c r="AW8" s="245"/>
      <c r="AX8" s="245"/>
      <c r="AY8" s="245"/>
      <c r="AZ8" s="245"/>
      <c r="BA8" s="245"/>
      <c r="BB8" s="245"/>
      <c r="BC8" s="245"/>
      <c r="BD8" s="245"/>
      <c r="BE8" s="245"/>
      <c r="BF8" s="245"/>
      <c r="BG8" s="245"/>
      <c r="BH8" s="245"/>
      <c r="BI8" s="245"/>
      <c r="BJ8" s="245"/>
      <c r="BK8" s="245"/>
      <c r="BL8" s="245"/>
      <c r="BM8" s="245"/>
      <c r="BN8" s="245"/>
      <c r="BO8" s="245"/>
      <c r="BP8" s="245"/>
      <c r="BQ8" s="245"/>
      <c r="BR8" s="245"/>
    </row>
    <row r="9" spans="1:70" s="31" customFormat="1" x14ac:dyDescent="0.25">
      <c r="A9" s="491" t="s">
        <v>1553</v>
      </c>
      <c r="B9" s="569" t="s">
        <v>2092</v>
      </c>
      <c r="C9" s="327"/>
      <c r="D9" s="340"/>
      <c r="E9" s="340"/>
      <c r="F9" s="340"/>
      <c r="G9" s="340"/>
      <c r="H9" s="340"/>
      <c r="I9" s="328"/>
      <c r="J9" s="602"/>
      <c r="K9" s="629">
        <v>1</v>
      </c>
      <c r="L9" s="656">
        <f>((VLOOKUP($A9,'pricing overview all products'!$A:$B,2,FALSE))*'Country File'!$T$2)*'Country File'!$P$2</f>
        <v>855</v>
      </c>
      <c r="M9" s="960"/>
      <c r="N9" s="656">
        <f>((VLOOKUP($A9,'pricing overview all products'!$A:$B,2,FALSE))*'Country File'!$T$2)*'Country File'!$P$2*(1-'Applied Discounts'!$C$16)</f>
        <v>641.25</v>
      </c>
      <c r="O9" s="863">
        <f t="shared" si="0"/>
        <v>855</v>
      </c>
      <c r="P9" s="961"/>
      <c r="Q9" s="929">
        <f t="shared" si="1"/>
        <v>641.25</v>
      </c>
      <c r="R9" s="962"/>
      <c r="S9" s="963"/>
      <c r="T9" s="963"/>
      <c r="U9" s="963"/>
      <c r="V9" s="963"/>
      <c r="W9" s="963"/>
      <c r="X9" s="963"/>
      <c r="Y9" s="963"/>
      <c r="Z9" s="963"/>
      <c r="AA9" s="963"/>
      <c r="AB9" s="963"/>
      <c r="AC9" s="963"/>
      <c r="AD9" s="963"/>
      <c r="AE9" s="963"/>
      <c r="AF9" s="963"/>
      <c r="AG9" s="963"/>
      <c r="AH9" s="963"/>
      <c r="AI9" s="963"/>
      <c r="AJ9" s="963"/>
      <c r="AK9" s="963"/>
      <c r="AL9" s="963"/>
      <c r="AM9" s="963"/>
      <c r="AN9" s="963"/>
      <c r="AO9" s="784">
        <f t="shared" si="2"/>
        <v>1</v>
      </c>
      <c r="AP9" s="863">
        <v>0</v>
      </c>
      <c r="AQ9" s="929">
        <v>0</v>
      </c>
      <c r="AR9" s="964">
        <v>805070</v>
      </c>
      <c r="AS9" s="965">
        <v>7600000805070</v>
      </c>
      <c r="AT9" s="674">
        <f t="shared" si="3"/>
        <v>855</v>
      </c>
      <c r="AU9" s="966"/>
      <c r="AV9" s="967">
        <f t="shared" si="4"/>
        <v>641.25</v>
      </c>
      <c r="AW9" s="245"/>
      <c r="AX9" s="245"/>
      <c r="AY9" s="245"/>
      <c r="AZ9" s="245"/>
      <c r="BA9" s="245"/>
      <c r="BB9" s="245"/>
      <c r="BC9" s="245"/>
      <c r="BD9" s="245"/>
      <c r="BE9" s="245"/>
      <c r="BF9" s="245"/>
      <c r="BG9" s="245"/>
      <c r="BH9" s="245"/>
      <c r="BI9" s="245"/>
      <c r="BJ9" s="245"/>
      <c r="BK9" s="245"/>
      <c r="BL9" s="245"/>
      <c r="BM9" s="245"/>
      <c r="BN9" s="245"/>
      <c r="BO9" s="245"/>
      <c r="BP9" s="245"/>
      <c r="BQ9" s="245"/>
      <c r="BR9" s="245"/>
    </row>
    <row r="10" spans="1:70" s="31" customFormat="1" x14ac:dyDescent="0.25">
      <c r="A10" s="491" t="s">
        <v>1554</v>
      </c>
      <c r="B10" s="569" t="s">
        <v>2092</v>
      </c>
      <c r="C10" s="327"/>
      <c r="D10" s="340"/>
      <c r="E10" s="340"/>
      <c r="F10" s="340"/>
      <c r="G10" s="340"/>
      <c r="H10" s="340"/>
      <c r="I10" s="328"/>
      <c r="J10" s="602"/>
      <c r="K10" s="629">
        <v>1</v>
      </c>
      <c r="L10" s="656">
        <f>((VLOOKUP($A10,'pricing overview all products'!$A:$B,2,FALSE))*'Country File'!$T$2)*'Country File'!$P$2</f>
        <v>855</v>
      </c>
      <c r="M10" s="960"/>
      <c r="N10" s="656">
        <f>((VLOOKUP($A10,'pricing overview all products'!$A:$B,2,FALSE))*'Country File'!$T$2)*'Country File'!$P$2*(1-'Applied Discounts'!$C$16)</f>
        <v>641.25</v>
      </c>
      <c r="O10" s="863">
        <f t="shared" si="0"/>
        <v>855</v>
      </c>
      <c r="P10" s="961"/>
      <c r="Q10" s="929">
        <f t="shared" si="1"/>
        <v>641.25</v>
      </c>
      <c r="R10" s="962"/>
      <c r="S10" s="963"/>
      <c r="T10" s="963"/>
      <c r="U10" s="963"/>
      <c r="V10" s="963"/>
      <c r="W10" s="963"/>
      <c r="X10" s="963"/>
      <c r="Y10" s="963"/>
      <c r="Z10" s="963"/>
      <c r="AA10" s="963"/>
      <c r="AB10" s="963"/>
      <c r="AC10" s="963"/>
      <c r="AD10" s="963"/>
      <c r="AE10" s="963"/>
      <c r="AF10" s="963"/>
      <c r="AG10" s="963"/>
      <c r="AH10" s="963"/>
      <c r="AI10" s="963"/>
      <c r="AJ10" s="963"/>
      <c r="AK10" s="963"/>
      <c r="AL10" s="963"/>
      <c r="AM10" s="963"/>
      <c r="AN10" s="963"/>
      <c r="AO10" s="784">
        <f t="shared" si="2"/>
        <v>1</v>
      </c>
      <c r="AP10" s="863">
        <v>0</v>
      </c>
      <c r="AQ10" s="929">
        <v>0</v>
      </c>
      <c r="AR10" s="964">
        <v>805071</v>
      </c>
      <c r="AS10" s="965">
        <v>7600000805071</v>
      </c>
      <c r="AT10" s="674">
        <f t="shared" si="3"/>
        <v>855</v>
      </c>
      <c r="AU10" s="966"/>
      <c r="AV10" s="967">
        <f t="shared" si="4"/>
        <v>641.25</v>
      </c>
      <c r="AW10" s="245"/>
      <c r="AX10" s="245"/>
      <c r="AY10" s="245"/>
      <c r="AZ10" s="245"/>
      <c r="BA10" s="245"/>
      <c r="BB10" s="245"/>
      <c r="BC10" s="245"/>
      <c r="BD10" s="245"/>
      <c r="BE10" s="245"/>
      <c r="BF10" s="245"/>
      <c r="BG10" s="245"/>
      <c r="BH10" s="245"/>
      <c r="BI10" s="245"/>
      <c r="BJ10" s="245"/>
      <c r="BK10" s="245"/>
      <c r="BL10" s="245"/>
      <c r="BM10" s="245"/>
      <c r="BN10" s="245"/>
      <c r="BO10" s="245"/>
      <c r="BP10" s="245"/>
      <c r="BQ10" s="245"/>
      <c r="BR10" s="245"/>
    </row>
    <row r="11" spans="1:70" s="31" customFormat="1" x14ac:dyDescent="0.25">
      <c r="A11" s="491" t="s">
        <v>1555</v>
      </c>
      <c r="B11" s="338" t="s">
        <v>2092</v>
      </c>
      <c r="C11" s="327"/>
      <c r="D11" s="340"/>
      <c r="E11" s="340"/>
      <c r="F11" s="340"/>
      <c r="G11" s="340"/>
      <c r="H11" s="340"/>
      <c r="I11" s="328"/>
      <c r="J11" s="602"/>
      <c r="K11" s="629">
        <v>1</v>
      </c>
      <c r="L11" s="656">
        <f>((VLOOKUP($A11,'pricing overview all products'!$A:$B,2,FALSE))*'Country File'!$T$2)*'Country File'!$P$2</f>
        <v>855</v>
      </c>
      <c r="M11" s="968"/>
      <c r="N11" s="656">
        <f>((VLOOKUP($A11,'pricing overview all products'!$A:$B,2,FALSE))*'Country File'!$T$2)*'Country File'!$P$2*(1-'Applied Discounts'!$C$16)</f>
        <v>641.25</v>
      </c>
      <c r="O11" s="863">
        <f t="shared" si="0"/>
        <v>855</v>
      </c>
      <c r="P11" s="969"/>
      <c r="Q11" s="929">
        <f t="shared" si="1"/>
        <v>641.25</v>
      </c>
      <c r="R11" s="970"/>
      <c r="S11" s="971"/>
      <c r="T11" s="971"/>
      <c r="U11" s="971"/>
      <c r="V11" s="971"/>
      <c r="W11" s="971"/>
      <c r="X11" s="971"/>
      <c r="Y11" s="971"/>
      <c r="Z11" s="971"/>
      <c r="AA11" s="971"/>
      <c r="AB11" s="971"/>
      <c r="AC11" s="971"/>
      <c r="AD11" s="971"/>
      <c r="AE11" s="971"/>
      <c r="AF11" s="971"/>
      <c r="AG11" s="971"/>
      <c r="AH11" s="971"/>
      <c r="AI11" s="971"/>
      <c r="AJ11" s="971"/>
      <c r="AK11" s="971"/>
      <c r="AL11" s="971"/>
      <c r="AM11" s="971"/>
      <c r="AN11" s="971"/>
      <c r="AO11" s="784">
        <f t="shared" si="2"/>
        <v>1</v>
      </c>
      <c r="AP11" s="863">
        <v>0</v>
      </c>
      <c r="AQ11" s="864">
        <v>0</v>
      </c>
      <c r="AR11" s="972">
        <v>805072</v>
      </c>
      <c r="AS11" s="973">
        <v>7600000805072</v>
      </c>
      <c r="AT11" s="674">
        <f t="shared" si="3"/>
        <v>855</v>
      </c>
      <c r="AU11" s="974"/>
      <c r="AV11" s="967">
        <f t="shared" si="4"/>
        <v>641.25</v>
      </c>
      <c r="AW11" s="245"/>
      <c r="AX11" s="245"/>
      <c r="AY11" s="245"/>
      <c r="AZ11" s="245"/>
      <c r="BA11" s="245"/>
      <c r="BB11" s="245"/>
      <c r="BC11" s="245"/>
      <c r="BD11" s="245"/>
      <c r="BE11" s="245"/>
      <c r="BF11" s="245"/>
      <c r="BG11" s="245"/>
      <c r="BH11" s="245"/>
      <c r="BI11" s="245"/>
      <c r="BJ11" s="245"/>
      <c r="BK11" s="245"/>
      <c r="BL11" s="245"/>
      <c r="BM11" s="245"/>
      <c r="BN11" s="245"/>
      <c r="BO11" s="245"/>
      <c r="BP11" s="245"/>
      <c r="BQ11" s="245"/>
      <c r="BR11" s="245"/>
    </row>
    <row r="12" spans="1:70" s="31" customFormat="1" x14ac:dyDescent="0.25">
      <c r="A12" s="547" t="s">
        <v>1138</v>
      </c>
      <c r="B12" s="328" t="s">
        <v>2093</v>
      </c>
      <c r="C12" s="341"/>
      <c r="D12" s="342"/>
      <c r="E12" s="342"/>
      <c r="F12" s="342"/>
      <c r="G12" s="342"/>
      <c r="H12" s="342"/>
      <c r="I12" s="343"/>
      <c r="J12" s="603"/>
      <c r="K12" s="629">
        <v>1</v>
      </c>
      <c r="L12" s="656">
        <f>((VLOOKUP($A12,'pricing overview all products'!$A:$B,2,FALSE))*'Country File'!$T$2)*'Country File'!$P$2</f>
        <v>10950</v>
      </c>
      <c r="M12" s="968"/>
      <c r="N12" s="656">
        <f>((VLOOKUP($A12,'pricing overview all products'!$A:$B,2,FALSE))*'Country File'!$T$2)*'Country File'!$P$2*(1-'Applied Discounts'!$C$16)</f>
        <v>8212.5</v>
      </c>
      <c r="O12" s="863">
        <f t="shared" si="0"/>
        <v>10950</v>
      </c>
      <c r="P12" s="969"/>
      <c r="Q12" s="929">
        <f t="shared" si="1"/>
        <v>8212.5</v>
      </c>
      <c r="R12" s="970"/>
      <c r="S12" s="971"/>
      <c r="T12" s="971"/>
      <c r="U12" s="971"/>
      <c r="V12" s="971"/>
      <c r="W12" s="971"/>
      <c r="X12" s="971"/>
      <c r="Y12" s="971"/>
      <c r="Z12" s="971"/>
      <c r="AA12" s="971"/>
      <c r="AB12" s="971"/>
      <c r="AC12" s="971"/>
      <c r="AD12" s="971"/>
      <c r="AE12" s="971"/>
      <c r="AF12" s="971"/>
      <c r="AG12" s="971"/>
      <c r="AH12" s="971"/>
      <c r="AI12" s="971"/>
      <c r="AJ12" s="971"/>
      <c r="AK12" s="971"/>
      <c r="AL12" s="971"/>
      <c r="AM12" s="971"/>
      <c r="AN12" s="971"/>
      <c r="AO12" s="784">
        <f t="shared" si="2"/>
        <v>1</v>
      </c>
      <c r="AP12" s="863">
        <v>0</v>
      </c>
      <c r="AQ12" s="864">
        <v>0</v>
      </c>
      <c r="AR12" s="975">
        <v>44091</v>
      </c>
      <c r="AS12" s="973">
        <v>7600000401900</v>
      </c>
      <c r="AT12" s="674">
        <f t="shared" si="3"/>
        <v>10950</v>
      </c>
      <c r="AU12" s="974"/>
      <c r="AV12" s="967">
        <f t="shared" si="4"/>
        <v>8212.5</v>
      </c>
      <c r="AW12" s="245"/>
      <c r="AX12" s="245"/>
      <c r="AY12" s="245"/>
      <c r="AZ12" s="245"/>
      <c r="BA12" s="245"/>
      <c r="BB12" s="245"/>
      <c r="BC12" s="245"/>
      <c r="BD12" s="245"/>
      <c r="BE12" s="245"/>
      <c r="BF12" s="245"/>
      <c r="BG12" s="245"/>
      <c r="BH12" s="245"/>
      <c r="BI12" s="245"/>
      <c r="BJ12" s="245"/>
      <c r="BK12" s="245"/>
      <c r="BL12" s="245"/>
      <c r="BM12" s="245"/>
      <c r="BN12" s="245"/>
      <c r="BO12" s="245"/>
      <c r="BP12" s="245"/>
      <c r="BQ12" s="245"/>
      <c r="BR12" s="245"/>
    </row>
    <row r="13" spans="1:70" s="31" customFormat="1" x14ac:dyDescent="0.25">
      <c r="A13" s="547" t="s">
        <v>1556</v>
      </c>
      <c r="B13" s="328" t="s">
        <v>2093</v>
      </c>
      <c r="C13" s="341"/>
      <c r="D13" s="342"/>
      <c r="E13" s="342"/>
      <c r="F13" s="342"/>
      <c r="G13" s="342"/>
      <c r="H13" s="342"/>
      <c r="I13" s="343"/>
      <c r="J13" s="603"/>
      <c r="K13" s="629">
        <v>1</v>
      </c>
      <c r="L13" s="656">
        <f>((VLOOKUP($A13,'pricing overview all products'!$A:$B,2,FALSE))*'Country File'!$T$2)*'Country File'!$P$2</f>
        <v>11820</v>
      </c>
      <c r="M13" s="968"/>
      <c r="N13" s="656">
        <f>((VLOOKUP($A13,'pricing overview all products'!$A:$B,2,FALSE))*'Country File'!$T$2)*'Country File'!$P$2*(1-'Applied Discounts'!$C$16)</f>
        <v>8865</v>
      </c>
      <c r="O13" s="863">
        <f>$K13*L13</f>
        <v>11820</v>
      </c>
      <c r="P13" s="969"/>
      <c r="Q13" s="929">
        <f>$K13*N13</f>
        <v>8865</v>
      </c>
      <c r="R13" s="970"/>
      <c r="S13" s="971"/>
      <c r="T13" s="971"/>
      <c r="U13" s="971"/>
      <c r="V13" s="971"/>
      <c r="W13" s="971"/>
      <c r="X13" s="971"/>
      <c r="Y13" s="971"/>
      <c r="Z13" s="971"/>
      <c r="AA13" s="971"/>
      <c r="AB13" s="971"/>
      <c r="AC13" s="971"/>
      <c r="AD13" s="971"/>
      <c r="AE13" s="971"/>
      <c r="AF13" s="971"/>
      <c r="AG13" s="971"/>
      <c r="AH13" s="971"/>
      <c r="AI13" s="971"/>
      <c r="AJ13" s="971"/>
      <c r="AK13" s="971"/>
      <c r="AL13" s="971"/>
      <c r="AM13" s="971"/>
      <c r="AN13" s="971"/>
      <c r="AO13" s="784">
        <f>K13</f>
        <v>1</v>
      </c>
      <c r="AP13" s="863">
        <v>0</v>
      </c>
      <c r="AQ13" s="929">
        <v>0</v>
      </c>
      <c r="AR13" s="975">
        <v>45280</v>
      </c>
      <c r="AS13" s="973">
        <v>7600000045280</v>
      </c>
      <c r="AT13" s="674">
        <f>O13+$AQ13</f>
        <v>11820</v>
      </c>
      <c r="AU13" s="974"/>
      <c r="AV13" s="967">
        <f>Q13+$AQ13</f>
        <v>8865</v>
      </c>
      <c r="AW13" s="245"/>
      <c r="AX13" s="245"/>
      <c r="AY13" s="245"/>
      <c r="AZ13" s="245"/>
      <c r="BA13" s="245"/>
      <c r="BB13" s="245"/>
      <c r="BC13" s="245"/>
      <c r="BD13" s="245"/>
      <c r="BE13" s="245"/>
      <c r="BF13" s="245"/>
      <c r="BG13" s="245"/>
      <c r="BH13" s="245"/>
      <c r="BI13" s="245"/>
      <c r="BJ13" s="245"/>
      <c r="BK13" s="245"/>
      <c r="BL13" s="245"/>
      <c r="BM13" s="245"/>
      <c r="BN13" s="245"/>
      <c r="BO13" s="245"/>
      <c r="BP13" s="245"/>
      <c r="BQ13" s="245"/>
      <c r="BR13" s="245"/>
    </row>
    <row r="14" spans="1:70" s="31" customFormat="1" x14ac:dyDescent="0.25">
      <c r="A14" s="491" t="s">
        <v>1557</v>
      </c>
      <c r="B14" s="328" t="s">
        <v>1558</v>
      </c>
      <c r="C14" s="341"/>
      <c r="D14" s="342"/>
      <c r="E14" s="342"/>
      <c r="F14" s="342"/>
      <c r="G14" s="342"/>
      <c r="H14" s="342"/>
      <c r="I14" s="343"/>
      <c r="J14" s="603"/>
      <c r="K14" s="604">
        <v>1</v>
      </c>
      <c r="L14" s="656">
        <f>((VLOOKUP($A14,'pricing overview all products'!$A:$B,2,FALSE))*'Country File'!$T$2)*'Country File'!$P$2</f>
        <v>1824</v>
      </c>
      <c r="M14" s="960"/>
      <c r="N14" s="656">
        <f>((VLOOKUP($A14,'pricing overview all products'!$A:$B,2,FALSE))*'Country File'!$T$2)*'Country File'!$P$2*(1-'Applied Discounts'!$C$16)</f>
        <v>1368</v>
      </c>
      <c r="O14" s="863">
        <f t="shared" si="0"/>
        <v>1824</v>
      </c>
      <c r="P14" s="961"/>
      <c r="Q14" s="929">
        <f t="shared" si="1"/>
        <v>1368</v>
      </c>
      <c r="R14" s="962"/>
      <c r="S14" s="963"/>
      <c r="T14" s="963"/>
      <c r="U14" s="963"/>
      <c r="V14" s="963"/>
      <c r="W14" s="963"/>
      <c r="X14" s="963"/>
      <c r="Y14" s="963"/>
      <c r="Z14" s="963"/>
      <c r="AA14" s="963"/>
      <c r="AB14" s="963"/>
      <c r="AC14" s="963"/>
      <c r="AD14" s="963"/>
      <c r="AE14" s="963"/>
      <c r="AF14" s="963"/>
      <c r="AG14" s="963"/>
      <c r="AH14" s="963"/>
      <c r="AI14" s="963"/>
      <c r="AJ14" s="963"/>
      <c r="AK14" s="963"/>
      <c r="AL14" s="963"/>
      <c r="AM14" s="963"/>
      <c r="AN14" s="963"/>
      <c r="AO14" s="784">
        <f t="shared" si="2"/>
        <v>1</v>
      </c>
      <c r="AP14" s="863">
        <v>0</v>
      </c>
      <c r="AQ14" s="929">
        <v>0</v>
      </c>
      <c r="AR14" s="964">
        <v>6129308</v>
      </c>
      <c r="AS14" s="976">
        <v>7600006129308</v>
      </c>
      <c r="AT14" s="674">
        <f t="shared" si="3"/>
        <v>1824</v>
      </c>
      <c r="AU14" s="966"/>
      <c r="AV14" s="967">
        <f t="shared" si="4"/>
        <v>1368</v>
      </c>
      <c r="AW14" s="245"/>
      <c r="AX14" s="245"/>
      <c r="AY14" s="245"/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</row>
    <row r="15" spans="1:70" x14ac:dyDescent="0.25">
      <c r="A15" s="492" t="s">
        <v>1559</v>
      </c>
      <c r="B15" s="570" t="s">
        <v>324</v>
      </c>
      <c r="C15" s="331"/>
      <c r="D15" s="332"/>
      <c r="E15" s="332"/>
      <c r="F15" s="332"/>
      <c r="G15" s="332"/>
      <c r="H15" s="332"/>
      <c r="I15" s="333"/>
      <c r="J15" s="334"/>
      <c r="K15" s="630">
        <v>1</v>
      </c>
      <c r="L15" s="656">
        <f>((VLOOKUP($A15,'pricing overview all products'!$A:$B,2,FALSE))*'Country File'!$T$2)*'Country File'!$P$2</f>
        <v>2420</v>
      </c>
      <c r="M15" s="977">
        <f>((VLOOKUP($A15,'pricing overview all products'!$A:$B,2,FALSE))*'Country File'!$T$3)*'Country File'!$P$2</f>
        <v>2420</v>
      </c>
      <c r="N15" s="656">
        <f>((VLOOKUP($A15,'pricing overview all products'!$A:$B,2,FALSE))*'Country File'!$T$2)*'Country File'!$P$2*(1-'Applied Discounts'!$C$16)</f>
        <v>1815</v>
      </c>
      <c r="O15" s="863">
        <f>$K15*L15</f>
        <v>2420</v>
      </c>
      <c r="P15" s="863">
        <f>$K15*M15</f>
        <v>2420</v>
      </c>
      <c r="Q15" s="929">
        <f>$K15*N15</f>
        <v>1815</v>
      </c>
      <c r="R15" s="978"/>
      <c r="S15" s="978"/>
      <c r="T15" s="978"/>
      <c r="U15" s="979"/>
      <c r="V15" s="979"/>
      <c r="W15" s="979"/>
      <c r="X15" s="979"/>
      <c r="Y15" s="979"/>
      <c r="Z15" s="979"/>
      <c r="AA15" s="979"/>
      <c r="AB15" s="979"/>
      <c r="AC15" s="979"/>
      <c r="AD15" s="979"/>
      <c r="AE15" s="979"/>
      <c r="AF15" s="979"/>
      <c r="AG15" s="979"/>
      <c r="AH15" s="979"/>
      <c r="AI15" s="979"/>
      <c r="AJ15" s="979"/>
      <c r="AK15" s="979"/>
      <c r="AL15" s="979"/>
      <c r="AM15" s="979"/>
      <c r="AN15" s="980"/>
      <c r="AO15" s="784">
        <f t="shared" si="2"/>
        <v>1</v>
      </c>
      <c r="AP15" s="863">
        <f>IFERROR((((VLOOKUP($AR15,'Packaging cost'!A:C,3,FALSE))*'Country File'!$T$2)*'Country File'!$P$2),"tbc")</f>
        <v>40</v>
      </c>
      <c r="AQ15" s="929">
        <f t="shared" ref="AQ15:AQ21" si="5">AO15*AP15</f>
        <v>40</v>
      </c>
      <c r="AR15" s="981" t="s">
        <v>323</v>
      </c>
      <c r="AS15" s="982">
        <f>VLOOKUP(AR15,'Common IDs'!A:C,3,FALSE)</f>
        <v>7600000403000</v>
      </c>
      <c r="AT15" s="674">
        <f t="shared" si="3"/>
        <v>2460</v>
      </c>
      <c r="AU15" s="983">
        <f>P15+$AQ15</f>
        <v>2460</v>
      </c>
      <c r="AV15" s="967">
        <f t="shared" si="4"/>
        <v>1855</v>
      </c>
    </row>
    <row r="16" spans="1:70" x14ac:dyDescent="0.25">
      <c r="A16" s="493" t="s">
        <v>1560</v>
      </c>
      <c r="B16" s="571" t="s">
        <v>324</v>
      </c>
      <c r="C16" s="164"/>
      <c r="D16" s="126"/>
      <c r="E16" s="126"/>
      <c r="F16" s="126"/>
      <c r="G16" s="126"/>
      <c r="H16" s="126"/>
      <c r="I16" s="186"/>
      <c r="J16" s="267"/>
      <c r="K16" s="626">
        <v>1</v>
      </c>
      <c r="L16" s="656">
        <f>((VLOOKUP($A16,'pricing overview all products'!$A:$B,2,FALSE))*'Country File'!$T$2)*'Country File'!$P$2</f>
        <v>2730</v>
      </c>
      <c r="M16" s="984">
        <f>((VLOOKUP($A16,'pricing overview all products'!$A:$B,2,FALSE))*'Country File'!$T$3)*'Country File'!$P$2</f>
        <v>2730</v>
      </c>
      <c r="N16" s="656">
        <f>((VLOOKUP($A16,'pricing overview all products'!$A:$B,2,FALSE))*'Country File'!$T$2)*'Country File'!$P$2*(1-'Applied Discounts'!$C$16)</f>
        <v>2047.5</v>
      </c>
      <c r="O16" s="656">
        <f t="shared" ref="O16:O21" si="6">$K16*L16</f>
        <v>2730</v>
      </c>
      <c r="P16" s="656">
        <f t="shared" ref="P16:P21" si="7">$K16*M16</f>
        <v>2730</v>
      </c>
      <c r="Q16" s="657">
        <f t="shared" ref="Q16:Q21" si="8">$K16*N16</f>
        <v>2047.5</v>
      </c>
      <c r="R16" s="985"/>
      <c r="S16" s="985"/>
      <c r="T16" s="985"/>
      <c r="U16" s="986"/>
      <c r="V16" s="986"/>
      <c r="W16" s="986"/>
      <c r="X16" s="986"/>
      <c r="Y16" s="986"/>
      <c r="Z16" s="986"/>
      <c r="AA16" s="986"/>
      <c r="AB16" s="986"/>
      <c r="AC16" s="986"/>
      <c r="AD16" s="986"/>
      <c r="AE16" s="986"/>
      <c r="AF16" s="986"/>
      <c r="AG16" s="986"/>
      <c r="AH16" s="986"/>
      <c r="AI16" s="986"/>
      <c r="AJ16" s="986"/>
      <c r="AK16" s="986"/>
      <c r="AL16" s="986"/>
      <c r="AM16" s="986"/>
      <c r="AN16" s="987"/>
      <c r="AO16" s="901">
        <f t="shared" ref="AO16:AO21" si="9">K16</f>
        <v>1</v>
      </c>
      <c r="AP16" s="863">
        <f>IFERROR((((VLOOKUP($AR16,'Packaging cost'!A:C,3,FALSE))*'Country File'!$T$2)*'Country File'!$P$2),"tbc")</f>
        <v>50</v>
      </c>
      <c r="AQ16" s="657">
        <f t="shared" si="5"/>
        <v>50</v>
      </c>
      <c r="AR16" s="988" t="s">
        <v>325</v>
      </c>
      <c r="AS16" s="989">
        <f>VLOOKUP(AR16,'Common IDs'!A:C,3,FALSE)</f>
        <v>7600000403001</v>
      </c>
      <c r="AT16" s="720">
        <f t="shared" ref="AT16:AT21" si="10">O16+$AQ16</f>
        <v>2780</v>
      </c>
      <c r="AU16" s="990">
        <f t="shared" ref="AU16:AU21" si="11">P16+$AQ16</f>
        <v>2780</v>
      </c>
      <c r="AV16" s="991">
        <f t="shared" ref="AV16:AV21" si="12">Q16+$AQ16</f>
        <v>2097.5</v>
      </c>
    </row>
    <row r="17" spans="1:48" x14ac:dyDescent="0.25">
      <c r="A17" s="493" t="s">
        <v>1561</v>
      </c>
      <c r="B17" s="571" t="s">
        <v>324</v>
      </c>
      <c r="C17" s="164"/>
      <c r="D17" s="126"/>
      <c r="E17" s="126"/>
      <c r="F17" s="126"/>
      <c r="G17" s="126"/>
      <c r="H17" s="126"/>
      <c r="I17" s="186"/>
      <c r="J17" s="267"/>
      <c r="K17" s="626">
        <v>1</v>
      </c>
      <c r="L17" s="656">
        <f>((VLOOKUP($A17,'pricing overview all products'!$A:$B,2,FALSE))*'Country File'!$T$2)*'Country File'!$P$2</f>
        <v>4300</v>
      </c>
      <c r="M17" s="984">
        <f>((VLOOKUP($A17,'pricing overview all products'!$A:$B,2,FALSE))*'Country File'!$T$3)*'Country File'!$P$2</f>
        <v>4300</v>
      </c>
      <c r="N17" s="656">
        <f>((VLOOKUP($A17,'pricing overview all products'!$A:$B,2,FALSE))*'Country File'!$T$2)*'Country File'!$P$2*(1-'Applied Discounts'!$C$16)</f>
        <v>3225</v>
      </c>
      <c r="O17" s="656">
        <f t="shared" si="6"/>
        <v>4300</v>
      </c>
      <c r="P17" s="656">
        <f t="shared" si="7"/>
        <v>4300</v>
      </c>
      <c r="Q17" s="657">
        <f t="shared" si="8"/>
        <v>3225</v>
      </c>
      <c r="R17" s="985"/>
      <c r="S17" s="985"/>
      <c r="T17" s="985"/>
      <c r="U17" s="986"/>
      <c r="V17" s="986"/>
      <c r="W17" s="986"/>
      <c r="X17" s="986"/>
      <c r="Y17" s="986"/>
      <c r="Z17" s="986"/>
      <c r="AA17" s="986"/>
      <c r="AB17" s="986"/>
      <c r="AC17" s="986"/>
      <c r="AD17" s="986"/>
      <c r="AE17" s="986"/>
      <c r="AF17" s="986"/>
      <c r="AG17" s="986"/>
      <c r="AH17" s="986"/>
      <c r="AI17" s="986"/>
      <c r="AJ17" s="986"/>
      <c r="AK17" s="986"/>
      <c r="AL17" s="986"/>
      <c r="AM17" s="986"/>
      <c r="AN17" s="987"/>
      <c r="AO17" s="901">
        <f t="shared" si="9"/>
        <v>1</v>
      </c>
      <c r="AP17" s="863">
        <f>IFERROR((((VLOOKUP($AR17,'Packaging cost'!A:C,3,FALSE))*'Country File'!$T$2)*'Country File'!$P$2),"tbc")</f>
        <v>60</v>
      </c>
      <c r="AQ17" s="657">
        <f t="shared" si="5"/>
        <v>60</v>
      </c>
      <c r="AR17" s="988" t="s">
        <v>326</v>
      </c>
      <c r="AS17" s="989">
        <f>VLOOKUP(AR17,'Common IDs'!A:C,3,FALSE)</f>
        <v>7600000403002</v>
      </c>
      <c r="AT17" s="720">
        <f t="shared" si="10"/>
        <v>4360</v>
      </c>
      <c r="AU17" s="990">
        <f t="shared" si="11"/>
        <v>4360</v>
      </c>
      <c r="AV17" s="991">
        <f t="shared" si="12"/>
        <v>3285</v>
      </c>
    </row>
    <row r="18" spans="1:48" x14ac:dyDescent="0.25">
      <c r="A18" s="493" t="s">
        <v>1562</v>
      </c>
      <c r="B18" s="571" t="s">
        <v>324</v>
      </c>
      <c r="C18" s="164"/>
      <c r="D18" s="126"/>
      <c r="E18" s="126"/>
      <c r="F18" s="126"/>
      <c r="G18" s="126"/>
      <c r="H18" s="126"/>
      <c r="I18" s="186"/>
      <c r="J18" s="267"/>
      <c r="K18" s="626">
        <v>1</v>
      </c>
      <c r="L18" s="656">
        <f>((VLOOKUP($A18,'pricing overview all products'!$A:$B,2,FALSE))*'Country File'!$T$2)*'Country File'!$P$2</f>
        <v>12770</v>
      </c>
      <c r="M18" s="984">
        <f>((VLOOKUP($A18,'pricing overview all products'!$A:$B,2,FALSE))*'Country File'!$T$3)*'Country File'!$P$2</f>
        <v>12770</v>
      </c>
      <c r="N18" s="656">
        <f>((VLOOKUP($A18,'pricing overview all products'!$A:$B,2,FALSE))*'Country File'!$T$2)*'Country File'!$P$2*(1-'Applied Discounts'!$C$16)</f>
        <v>9577.5</v>
      </c>
      <c r="O18" s="656">
        <f t="shared" si="6"/>
        <v>12770</v>
      </c>
      <c r="P18" s="656">
        <f t="shared" si="7"/>
        <v>12770</v>
      </c>
      <c r="Q18" s="657">
        <f t="shared" si="8"/>
        <v>9577.5</v>
      </c>
      <c r="R18" s="985"/>
      <c r="S18" s="985"/>
      <c r="T18" s="985"/>
      <c r="U18" s="986"/>
      <c r="V18" s="986"/>
      <c r="W18" s="986"/>
      <c r="X18" s="986"/>
      <c r="Y18" s="986"/>
      <c r="Z18" s="986"/>
      <c r="AA18" s="986"/>
      <c r="AB18" s="986"/>
      <c r="AC18" s="986"/>
      <c r="AD18" s="986"/>
      <c r="AE18" s="986"/>
      <c r="AF18" s="986"/>
      <c r="AG18" s="986"/>
      <c r="AH18" s="986"/>
      <c r="AI18" s="986"/>
      <c r="AJ18" s="986"/>
      <c r="AK18" s="986"/>
      <c r="AL18" s="986"/>
      <c r="AM18" s="986"/>
      <c r="AN18" s="987"/>
      <c r="AO18" s="901">
        <f t="shared" si="9"/>
        <v>1</v>
      </c>
      <c r="AP18" s="863">
        <f>IFERROR((((VLOOKUP($AR18,'Packaging cost'!A:C,3,FALSE))*'Country File'!$T$2)*'Country File'!$P$2),"tbc")</f>
        <v>250</v>
      </c>
      <c r="AQ18" s="657">
        <f t="shared" si="5"/>
        <v>250</v>
      </c>
      <c r="AR18" s="988" t="s">
        <v>327</v>
      </c>
      <c r="AS18" s="989">
        <f>VLOOKUP(AR18,'Common IDs'!A:C,3,FALSE)</f>
        <v>7600000403014</v>
      </c>
      <c r="AT18" s="720">
        <f t="shared" si="10"/>
        <v>13020</v>
      </c>
      <c r="AU18" s="990">
        <f t="shared" si="11"/>
        <v>13020</v>
      </c>
      <c r="AV18" s="991">
        <f t="shared" si="12"/>
        <v>9827.5</v>
      </c>
    </row>
    <row r="19" spans="1:48" x14ac:dyDescent="0.25">
      <c r="A19" s="493" t="s">
        <v>1563</v>
      </c>
      <c r="B19" s="571" t="s">
        <v>324</v>
      </c>
      <c r="C19" s="164"/>
      <c r="D19" s="126"/>
      <c r="E19" s="126"/>
      <c r="F19" s="126"/>
      <c r="G19" s="126"/>
      <c r="H19" s="126"/>
      <c r="I19" s="186"/>
      <c r="J19" s="267"/>
      <c r="K19" s="626">
        <v>1</v>
      </c>
      <c r="L19" s="656">
        <f>((VLOOKUP($A19,'pricing overview all products'!$A:$B,2,FALSE))*'Country File'!$T$2)*'Country File'!$P$2</f>
        <v>15260</v>
      </c>
      <c r="M19" s="984">
        <f>((VLOOKUP($A19,'pricing overview all products'!$A:$B,2,FALSE))*'Country File'!$T$3)*'Country File'!$P$2</f>
        <v>15260</v>
      </c>
      <c r="N19" s="656">
        <f>((VLOOKUP($A19,'pricing overview all products'!$A:$B,2,FALSE))*'Country File'!$T$2)*'Country File'!$P$2*(1-'Applied Discounts'!$C$16)</f>
        <v>11445</v>
      </c>
      <c r="O19" s="656">
        <f t="shared" si="6"/>
        <v>15260</v>
      </c>
      <c r="P19" s="656">
        <f t="shared" si="7"/>
        <v>15260</v>
      </c>
      <c r="Q19" s="657">
        <f t="shared" si="8"/>
        <v>11445</v>
      </c>
      <c r="R19" s="985"/>
      <c r="S19" s="985"/>
      <c r="T19" s="985"/>
      <c r="U19" s="986"/>
      <c r="V19" s="986"/>
      <c r="W19" s="986"/>
      <c r="X19" s="986"/>
      <c r="Y19" s="986"/>
      <c r="Z19" s="986"/>
      <c r="AA19" s="986"/>
      <c r="AB19" s="986"/>
      <c r="AC19" s="986"/>
      <c r="AD19" s="986"/>
      <c r="AE19" s="986"/>
      <c r="AF19" s="986"/>
      <c r="AG19" s="986"/>
      <c r="AH19" s="986"/>
      <c r="AI19" s="986"/>
      <c r="AJ19" s="986"/>
      <c r="AK19" s="986"/>
      <c r="AL19" s="986"/>
      <c r="AM19" s="986"/>
      <c r="AN19" s="987"/>
      <c r="AO19" s="901">
        <f t="shared" si="9"/>
        <v>1</v>
      </c>
      <c r="AP19" s="863">
        <f>IFERROR((((VLOOKUP($AR19,'Packaging cost'!A:C,3,FALSE))*'Country File'!$T$2)*'Country File'!$P$2),"tbc")</f>
        <v>300</v>
      </c>
      <c r="AQ19" s="657">
        <f t="shared" si="5"/>
        <v>300</v>
      </c>
      <c r="AR19" s="988" t="s">
        <v>328</v>
      </c>
      <c r="AS19" s="989">
        <f>VLOOKUP(AR19,'Common IDs'!A:C,3,FALSE)</f>
        <v>7600000403016</v>
      </c>
      <c r="AT19" s="720">
        <f t="shared" si="10"/>
        <v>15560</v>
      </c>
      <c r="AU19" s="990">
        <f t="shared" si="11"/>
        <v>15560</v>
      </c>
      <c r="AV19" s="991">
        <f t="shared" si="12"/>
        <v>11745</v>
      </c>
    </row>
    <row r="20" spans="1:48" x14ac:dyDescent="0.25">
      <c r="A20" s="493" t="s">
        <v>1564</v>
      </c>
      <c r="B20" s="571" t="s">
        <v>324</v>
      </c>
      <c r="C20" s="164"/>
      <c r="D20" s="126"/>
      <c r="E20" s="126"/>
      <c r="F20" s="126"/>
      <c r="G20" s="126"/>
      <c r="H20" s="126"/>
      <c r="I20" s="186"/>
      <c r="J20" s="267"/>
      <c r="K20" s="626">
        <v>1</v>
      </c>
      <c r="L20" s="656">
        <f>((VLOOKUP($A20,'pricing overview all products'!$A:$B,2,FALSE))*'Country File'!$T$2)*'Country File'!$P$2</f>
        <v>23150</v>
      </c>
      <c r="M20" s="984">
        <f>((VLOOKUP($A20,'pricing overview all products'!$A:$B,2,FALSE))*'Country File'!$T$3)*'Country File'!$P$2</f>
        <v>23150</v>
      </c>
      <c r="N20" s="656">
        <f>((VLOOKUP($A20,'pricing overview all products'!$A:$B,2,FALSE))*'Country File'!$T$2)*'Country File'!$P$2*(1-'Applied Discounts'!$C$16)</f>
        <v>17362.5</v>
      </c>
      <c r="O20" s="656">
        <f t="shared" si="6"/>
        <v>23150</v>
      </c>
      <c r="P20" s="656">
        <f t="shared" si="7"/>
        <v>23150</v>
      </c>
      <c r="Q20" s="657">
        <f t="shared" si="8"/>
        <v>17362.5</v>
      </c>
      <c r="R20" s="985"/>
      <c r="S20" s="985"/>
      <c r="T20" s="985"/>
      <c r="U20" s="986"/>
      <c r="V20" s="986"/>
      <c r="W20" s="986"/>
      <c r="X20" s="986"/>
      <c r="Y20" s="986"/>
      <c r="Z20" s="986"/>
      <c r="AA20" s="986"/>
      <c r="AB20" s="986"/>
      <c r="AC20" s="986"/>
      <c r="AD20" s="986"/>
      <c r="AE20" s="986"/>
      <c r="AF20" s="986"/>
      <c r="AG20" s="986"/>
      <c r="AH20" s="986"/>
      <c r="AI20" s="986"/>
      <c r="AJ20" s="986"/>
      <c r="AK20" s="986"/>
      <c r="AL20" s="986"/>
      <c r="AM20" s="986"/>
      <c r="AN20" s="987"/>
      <c r="AO20" s="901">
        <f t="shared" si="9"/>
        <v>1</v>
      </c>
      <c r="AP20" s="863">
        <f>IFERROR((((VLOOKUP($AR20,'Packaging cost'!A:C,3,FALSE))*'Country File'!$T$2)*'Country File'!$P$2),"tbc")</f>
        <v>400</v>
      </c>
      <c r="AQ20" s="657">
        <f t="shared" si="5"/>
        <v>400</v>
      </c>
      <c r="AR20" s="988" t="s">
        <v>329</v>
      </c>
      <c r="AS20" s="989">
        <f>VLOOKUP(AR20,'Common IDs'!A:C,3,FALSE)</f>
        <v>7600000403018</v>
      </c>
      <c r="AT20" s="720">
        <f t="shared" si="10"/>
        <v>23550</v>
      </c>
      <c r="AU20" s="990">
        <f t="shared" si="11"/>
        <v>23550</v>
      </c>
      <c r="AV20" s="991">
        <f t="shared" si="12"/>
        <v>17762.5</v>
      </c>
    </row>
    <row r="21" spans="1:48" x14ac:dyDescent="0.25">
      <c r="A21" s="493" t="s">
        <v>1565</v>
      </c>
      <c r="B21" s="571" t="s">
        <v>321</v>
      </c>
      <c r="C21" s="164"/>
      <c r="D21" s="126"/>
      <c r="E21" s="126"/>
      <c r="F21" s="126"/>
      <c r="G21" s="126"/>
      <c r="H21" s="126"/>
      <c r="I21" s="186"/>
      <c r="J21" s="267"/>
      <c r="K21" s="626">
        <v>1</v>
      </c>
      <c r="L21" s="656">
        <f>((VLOOKUP($A21,'pricing overview all products'!$A:$B,2,FALSE))*'Country File'!$T$2)*'Country File'!$P$2</f>
        <v>10230</v>
      </c>
      <c r="M21" s="984">
        <f>((VLOOKUP($A21,'pricing overview all products'!$A:$B,2,FALSE))*'Country File'!$T$3)*'Country File'!$P$2</f>
        <v>10230</v>
      </c>
      <c r="N21" s="656">
        <f>((VLOOKUP($A21,'pricing overview all products'!$A:$B,2,FALSE))*'Country File'!$T$2)*'Country File'!$P$2*(1-'Applied Discounts'!$C$16)</f>
        <v>7672.5</v>
      </c>
      <c r="O21" s="656">
        <f t="shared" si="6"/>
        <v>10230</v>
      </c>
      <c r="P21" s="656">
        <f t="shared" si="7"/>
        <v>10230</v>
      </c>
      <c r="Q21" s="657">
        <f t="shared" si="8"/>
        <v>7672.5</v>
      </c>
      <c r="R21" s="985"/>
      <c r="S21" s="985"/>
      <c r="T21" s="985"/>
      <c r="U21" s="986"/>
      <c r="V21" s="986"/>
      <c r="W21" s="986"/>
      <c r="X21" s="986"/>
      <c r="Y21" s="986"/>
      <c r="Z21" s="986"/>
      <c r="AA21" s="986"/>
      <c r="AB21" s="986"/>
      <c r="AC21" s="986"/>
      <c r="AD21" s="986"/>
      <c r="AE21" s="986"/>
      <c r="AF21" s="986"/>
      <c r="AG21" s="986"/>
      <c r="AH21" s="986"/>
      <c r="AI21" s="986"/>
      <c r="AJ21" s="986"/>
      <c r="AK21" s="986"/>
      <c r="AL21" s="986"/>
      <c r="AM21" s="986"/>
      <c r="AN21" s="987"/>
      <c r="AO21" s="901">
        <f t="shared" si="9"/>
        <v>1</v>
      </c>
      <c r="AP21" s="863">
        <f>IFERROR((((VLOOKUP($AR21,'Packaging cost'!A:C,3,FALSE))*'Country File'!$T$2)*'Country File'!$P$2),"tbc")</f>
        <v>250</v>
      </c>
      <c r="AQ21" s="657">
        <f t="shared" si="5"/>
        <v>250</v>
      </c>
      <c r="AR21" s="988" t="s">
        <v>319</v>
      </c>
      <c r="AS21" s="989">
        <f>VLOOKUP(AR21,'Common IDs'!A:C,3,FALSE)</f>
        <v>7600000403006</v>
      </c>
      <c r="AT21" s="720">
        <f t="shared" si="10"/>
        <v>10480</v>
      </c>
      <c r="AU21" s="990">
        <f t="shared" si="11"/>
        <v>10480</v>
      </c>
      <c r="AV21" s="991">
        <f t="shared" si="12"/>
        <v>7922.5</v>
      </c>
    </row>
    <row r="22" spans="1:48" ht="15.75" thickBot="1" x14ac:dyDescent="0.3">
      <c r="A22" s="563" t="s">
        <v>1566</v>
      </c>
      <c r="B22" s="572" t="s">
        <v>321</v>
      </c>
      <c r="C22" s="564"/>
      <c r="D22" s="565"/>
      <c r="E22" s="565"/>
      <c r="F22" s="565"/>
      <c r="G22" s="565"/>
      <c r="H22" s="565"/>
      <c r="I22" s="566"/>
      <c r="J22" s="567"/>
      <c r="K22" s="627">
        <v>1</v>
      </c>
      <c r="L22" s="681">
        <f>((VLOOKUP($A22,'pricing overview all products'!$A:$B,2,FALSE))*'Country File'!$T$2)*'Country File'!$P$2</f>
        <v>10770</v>
      </c>
      <c r="M22" s="992">
        <f>((VLOOKUP($A22,'pricing overview all products'!$A:$B,2,FALSE))*'Country File'!$T$3)*'Country File'!$P$2</f>
        <v>10770</v>
      </c>
      <c r="N22" s="681">
        <f>((VLOOKUP($A22,'pricing overview all products'!$A:$B,2,FALSE))*'Country File'!$T$2)*'Country File'!$P$2*(1-'Applied Discounts'!$C$16)</f>
        <v>8077.5</v>
      </c>
      <c r="O22" s="681">
        <f t="shared" ref="O22:O27" si="13">$K22*L22</f>
        <v>10770</v>
      </c>
      <c r="P22" s="681">
        <f t="shared" ref="P22:P27" si="14">$K22*M22</f>
        <v>10770</v>
      </c>
      <c r="Q22" s="682">
        <f t="shared" ref="Q22:Q27" si="15">$K22*N22</f>
        <v>8077.5</v>
      </c>
      <c r="R22" s="993"/>
      <c r="S22" s="993"/>
      <c r="T22" s="993"/>
      <c r="U22" s="994"/>
      <c r="V22" s="994"/>
      <c r="W22" s="994"/>
      <c r="X22" s="994"/>
      <c r="Y22" s="994"/>
      <c r="Z22" s="994"/>
      <c r="AA22" s="994"/>
      <c r="AB22" s="994"/>
      <c r="AC22" s="994"/>
      <c r="AD22" s="994"/>
      <c r="AE22" s="994"/>
      <c r="AF22" s="994"/>
      <c r="AG22" s="994"/>
      <c r="AH22" s="994"/>
      <c r="AI22" s="994"/>
      <c r="AJ22" s="994"/>
      <c r="AK22" s="994"/>
      <c r="AL22" s="994"/>
      <c r="AM22" s="994"/>
      <c r="AN22" s="995"/>
      <c r="AO22" s="918">
        <f t="shared" ref="AO22:AO27" si="16">K22</f>
        <v>1</v>
      </c>
      <c r="AP22" s="863">
        <f>IFERROR((((VLOOKUP($AR22,'Packaging cost'!A:C,3,FALSE))*'Country File'!$T$2)*'Country File'!$P$2),"tbc")</f>
        <v>350</v>
      </c>
      <c r="AQ22" s="919">
        <f t="shared" ref="AQ22:AQ27" si="17">AO22*AP22</f>
        <v>350</v>
      </c>
      <c r="AR22" s="996" t="s">
        <v>322</v>
      </c>
      <c r="AS22" s="997">
        <f>VLOOKUP(AR22,'Common IDs'!A:C,3,FALSE)</f>
        <v>7600000403010</v>
      </c>
      <c r="AT22" s="998">
        <f t="shared" ref="AT22:AT27" si="18">O22+$AQ22</f>
        <v>11120</v>
      </c>
      <c r="AU22" s="999">
        <f t="shared" ref="AU22" si="19">P22+$AQ22</f>
        <v>11120</v>
      </c>
      <c r="AV22" s="1000">
        <f t="shared" ref="AV22:AV27" si="20">Q22+$AQ22</f>
        <v>8427.5</v>
      </c>
    </row>
    <row r="23" spans="1:48" x14ac:dyDescent="0.25">
      <c r="A23" s="577" t="s">
        <v>2095</v>
      </c>
      <c r="B23" s="523" t="s">
        <v>176</v>
      </c>
      <c r="C23" s="522"/>
      <c r="D23" s="135"/>
      <c r="E23" s="135"/>
      <c r="F23" s="135"/>
      <c r="G23" s="135"/>
      <c r="H23" s="135"/>
      <c r="I23" s="578"/>
      <c r="J23" s="605"/>
      <c r="K23" s="228">
        <v>1</v>
      </c>
      <c r="L23" s="863">
        <f>((VLOOKUP($A23,'pricing overview all products'!$A:$B,2,FALSE))*'Country File'!$T$2)*'Country File'!$P$2</f>
        <v>142</v>
      </c>
      <c r="M23" s="864"/>
      <c r="N23" s="863">
        <f>((VLOOKUP($A23,'pricing overview all products'!$A:$B,2,FALSE))*'Country File'!$T$2)*'Country File'!$P$2*(1-'Applied Discounts'!$C$16)</f>
        <v>106.5</v>
      </c>
      <c r="O23" s="863">
        <f t="shared" si="13"/>
        <v>142</v>
      </c>
      <c r="P23" s="863">
        <f t="shared" si="14"/>
        <v>0</v>
      </c>
      <c r="Q23" s="929">
        <f t="shared" si="15"/>
        <v>106.5</v>
      </c>
      <c r="R23" s="1001"/>
      <c r="S23" s="1002"/>
      <c r="T23" s="1002"/>
      <c r="U23" s="1002"/>
      <c r="V23" s="1002"/>
      <c r="W23" s="1002"/>
      <c r="X23" s="1002"/>
      <c r="Y23" s="1002"/>
      <c r="Z23" s="1002"/>
      <c r="AA23" s="1002"/>
      <c r="AB23" s="1002"/>
      <c r="AC23" s="1002"/>
      <c r="AD23" s="1002"/>
      <c r="AE23" s="1002"/>
      <c r="AF23" s="1002"/>
      <c r="AG23" s="1002"/>
      <c r="AH23" s="1002"/>
      <c r="AI23" s="1002"/>
      <c r="AJ23" s="1002"/>
      <c r="AK23" s="1002"/>
      <c r="AL23" s="1002"/>
      <c r="AM23" s="1002"/>
      <c r="AN23" s="1003"/>
      <c r="AO23" s="772">
        <f t="shared" si="16"/>
        <v>1</v>
      </c>
      <c r="AP23" s="636">
        <v>0</v>
      </c>
      <c r="AQ23" s="637">
        <f t="shared" si="17"/>
        <v>0</v>
      </c>
      <c r="AR23" s="1004">
        <v>37304</v>
      </c>
      <c r="AS23" s="779">
        <v>7600000037304</v>
      </c>
      <c r="AT23" s="654">
        <f t="shared" si="18"/>
        <v>142</v>
      </c>
      <c r="AU23" s="1005"/>
      <c r="AV23" s="1006">
        <f t="shared" si="20"/>
        <v>106.5</v>
      </c>
    </row>
    <row r="24" spans="1:48" x14ac:dyDescent="0.25">
      <c r="A24" s="579" t="s">
        <v>2096</v>
      </c>
      <c r="B24" s="459" t="s">
        <v>176</v>
      </c>
      <c r="C24" s="164"/>
      <c r="D24" s="126"/>
      <c r="E24" s="126"/>
      <c r="F24" s="126"/>
      <c r="G24" s="126"/>
      <c r="H24" s="126"/>
      <c r="I24" s="186"/>
      <c r="J24" s="267"/>
      <c r="K24" s="240">
        <v>1</v>
      </c>
      <c r="L24" s="863">
        <f>((VLOOKUP($A24,'pricing overview all products'!$A:$B,2,FALSE))*'Country File'!$T$2)*'Country File'!$P$2</f>
        <v>235</v>
      </c>
      <c r="M24" s="840"/>
      <c r="N24" s="656">
        <f>((VLOOKUP($A24,'pricing overview all products'!$A:$B,2,FALSE))*'Country File'!$T$2)*'Country File'!$P$2*(1-'Applied Discounts'!$C$16)</f>
        <v>176.25</v>
      </c>
      <c r="O24" s="656">
        <f t="shared" si="13"/>
        <v>235</v>
      </c>
      <c r="P24" s="656">
        <f t="shared" si="14"/>
        <v>0</v>
      </c>
      <c r="Q24" s="657">
        <f t="shared" si="15"/>
        <v>176.25</v>
      </c>
      <c r="R24" s="985"/>
      <c r="S24" s="986"/>
      <c r="T24" s="986"/>
      <c r="U24" s="986"/>
      <c r="V24" s="986"/>
      <c r="W24" s="986"/>
      <c r="X24" s="986"/>
      <c r="Y24" s="986"/>
      <c r="Z24" s="986"/>
      <c r="AA24" s="986"/>
      <c r="AB24" s="986"/>
      <c r="AC24" s="986"/>
      <c r="AD24" s="986"/>
      <c r="AE24" s="986"/>
      <c r="AF24" s="986"/>
      <c r="AG24" s="986"/>
      <c r="AH24" s="986"/>
      <c r="AI24" s="986"/>
      <c r="AJ24" s="986"/>
      <c r="AK24" s="986"/>
      <c r="AL24" s="986"/>
      <c r="AM24" s="986"/>
      <c r="AN24" s="987"/>
      <c r="AO24" s="901">
        <f t="shared" si="16"/>
        <v>1</v>
      </c>
      <c r="AP24" s="656">
        <v>0</v>
      </c>
      <c r="AQ24" s="657">
        <f t="shared" si="17"/>
        <v>0</v>
      </c>
      <c r="AR24" s="1007">
        <v>6108609</v>
      </c>
      <c r="AS24" s="792">
        <v>7600006108609</v>
      </c>
      <c r="AT24" s="720">
        <f t="shared" si="18"/>
        <v>235</v>
      </c>
      <c r="AU24" s="1008"/>
      <c r="AV24" s="1009">
        <f t="shared" si="20"/>
        <v>176.25</v>
      </c>
    </row>
    <row r="25" spans="1:48" x14ac:dyDescent="0.25">
      <c r="A25" s="579" t="s">
        <v>2097</v>
      </c>
      <c r="B25" s="459" t="s">
        <v>176</v>
      </c>
      <c r="C25" s="164"/>
      <c r="D25" s="126"/>
      <c r="E25" s="126"/>
      <c r="F25" s="126"/>
      <c r="G25" s="126"/>
      <c r="H25" s="126"/>
      <c r="I25" s="186"/>
      <c r="J25" s="267"/>
      <c r="K25" s="240">
        <v>1</v>
      </c>
      <c r="L25" s="863">
        <f>((VLOOKUP($A25,'pricing overview all products'!$A:$B,2,FALSE))*'Country File'!$T$2)*'Country File'!$P$2</f>
        <v>237</v>
      </c>
      <c r="M25" s="840"/>
      <c r="N25" s="656">
        <f>((VLOOKUP($A25,'pricing overview all products'!$A:$B,2,FALSE))*'Country File'!$T$2)*'Country File'!$P$2*(1-'Applied Discounts'!$C$16)</f>
        <v>177.75</v>
      </c>
      <c r="O25" s="656">
        <f t="shared" si="13"/>
        <v>237</v>
      </c>
      <c r="P25" s="656">
        <f t="shared" si="14"/>
        <v>0</v>
      </c>
      <c r="Q25" s="657">
        <f t="shared" si="15"/>
        <v>177.75</v>
      </c>
      <c r="R25" s="985"/>
      <c r="S25" s="986"/>
      <c r="T25" s="986"/>
      <c r="U25" s="986"/>
      <c r="V25" s="986"/>
      <c r="W25" s="986"/>
      <c r="X25" s="986"/>
      <c r="Y25" s="986"/>
      <c r="Z25" s="986"/>
      <c r="AA25" s="986"/>
      <c r="AB25" s="986"/>
      <c r="AC25" s="986"/>
      <c r="AD25" s="986"/>
      <c r="AE25" s="986"/>
      <c r="AF25" s="986"/>
      <c r="AG25" s="986"/>
      <c r="AH25" s="986"/>
      <c r="AI25" s="986"/>
      <c r="AJ25" s="986"/>
      <c r="AK25" s="986"/>
      <c r="AL25" s="986"/>
      <c r="AM25" s="986"/>
      <c r="AN25" s="987"/>
      <c r="AO25" s="901">
        <f t="shared" si="16"/>
        <v>1</v>
      </c>
      <c r="AP25" s="656">
        <v>0</v>
      </c>
      <c r="AQ25" s="657">
        <f t="shared" si="17"/>
        <v>0</v>
      </c>
      <c r="AR25" s="1007">
        <v>6117309</v>
      </c>
      <c r="AS25" s="792">
        <v>7600006117309</v>
      </c>
      <c r="AT25" s="720">
        <f t="shared" si="18"/>
        <v>237</v>
      </c>
      <c r="AU25" s="1008"/>
      <c r="AV25" s="1009">
        <f t="shared" si="20"/>
        <v>177.75</v>
      </c>
    </row>
    <row r="26" spans="1:48" x14ac:dyDescent="0.25">
      <c r="A26" s="579" t="s">
        <v>2098</v>
      </c>
      <c r="B26" s="459" t="s">
        <v>176</v>
      </c>
      <c r="C26" s="164"/>
      <c r="D26" s="126"/>
      <c r="E26" s="126"/>
      <c r="F26" s="126"/>
      <c r="G26" s="126"/>
      <c r="H26" s="126"/>
      <c r="I26" s="186"/>
      <c r="J26" s="267"/>
      <c r="K26" s="240">
        <v>1</v>
      </c>
      <c r="L26" s="863">
        <f>((VLOOKUP($A26,'pricing overview all products'!$A:$B,2,FALSE))*'Country File'!$T$2)*'Country File'!$P$2</f>
        <v>608</v>
      </c>
      <c r="M26" s="840"/>
      <c r="N26" s="656">
        <f>((VLOOKUP($A26,'pricing overview all products'!$A:$B,2,FALSE))*'Country File'!$T$2)*'Country File'!$P$2*(1-'Applied Discounts'!$C$16)</f>
        <v>456</v>
      </c>
      <c r="O26" s="656">
        <f t="shared" si="13"/>
        <v>608</v>
      </c>
      <c r="P26" s="656">
        <f t="shared" si="14"/>
        <v>0</v>
      </c>
      <c r="Q26" s="657">
        <f t="shared" si="15"/>
        <v>456</v>
      </c>
      <c r="R26" s="985"/>
      <c r="S26" s="986"/>
      <c r="T26" s="986"/>
      <c r="U26" s="986"/>
      <c r="V26" s="986"/>
      <c r="W26" s="986"/>
      <c r="X26" s="986"/>
      <c r="Y26" s="986"/>
      <c r="Z26" s="986"/>
      <c r="AA26" s="986"/>
      <c r="AB26" s="986"/>
      <c r="AC26" s="986"/>
      <c r="AD26" s="986"/>
      <c r="AE26" s="986"/>
      <c r="AF26" s="986"/>
      <c r="AG26" s="986"/>
      <c r="AH26" s="986"/>
      <c r="AI26" s="986"/>
      <c r="AJ26" s="986"/>
      <c r="AK26" s="986"/>
      <c r="AL26" s="986"/>
      <c r="AM26" s="986"/>
      <c r="AN26" s="987"/>
      <c r="AO26" s="901">
        <f t="shared" si="16"/>
        <v>1</v>
      </c>
      <c r="AP26" s="656">
        <v>0</v>
      </c>
      <c r="AQ26" s="657">
        <f t="shared" si="17"/>
        <v>0</v>
      </c>
      <c r="AR26" s="1007">
        <v>37308</v>
      </c>
      <c r="AS26" s="792">
        <v>7600000037308</v>
      </c>
      <c r="AT26" s="720">
        <f t="shared" si="18"/>
        <v>608</v>
      </c>
      <c r="AU26" s="1008"/>
      <c r="AV26" s="1009">
        <f t="shared" si="20"/>
        <v>456</v>
      </c>
    </row>
    <row r="27" spans="1:48" ht="15.75" thickBot="1" x14ac:dyDescent="0.3">
      <c r="A27" s="580" t="s">
        <v>1546</v>
      </c>
      <c r="B27" s="465" t="s">
        <v>176</v>
      </c>
      <c r="C27" s="165"/>
      <c r="D27" s="136"/>
      <c r="E27" s="136"/>
      <c r="F27" s="136"/>
      <c r="G27" s="136"/>
      <c r="H27" s="136"/>
      <c r="I27" s="187"/>
      <c r="J27" s="606"/>
      <c r="K27" s="254">
        <v>1</v>
      </c>
      <c r="L27" s="681">
        <f>((VLOOKUP($A27,'pricing overview all products'!$A:$B,2,FALSE))*'Country File'!$T$2)*'Country File'!$P$2</f>
        <v>768</v>
      </c>
      <c r="M27" s="854"/>
      <c r="N27" s="681">
        <f>((VLOOKUP($A27,'pricing overview all products'!$A:$B,2,FALSE))*'Country File'!$T$2)*'Country File'!$P$2*(1-'Applied Discounts'!$C$16)</f>
        <v>576</v>
      </c>
      <c r="O27" s="681">
        <f t="shared" si="13"/>
        <v>768</v>
      </c>
      <c r="P27" s="681">
        <f t="shared" si="14"/>
        <v>0</v>
      </c>
      <c r="Q27" s="682">
        <f t="shared" si="15"/>
        <v>576</v>
      </c>
      <c r="R27" s="1010"/>
      <c r="S27" s="1011"/>
      <c r="T27" s="1011"/>
      <c r="U27" s="1011"/>
      <c r="V27" s="1011"/>
      <c r="W27" s="1011"/>
      <c r="X27" s="1011"/>
      <c r="Y27" s="1011"/>
      <c r="Z27" s="1011"/>
      <c r="AA27" s="1011"/>
      <c r="AB27" s="1011"/>
      <c r="AC27" s="1011"/>
      <c r="AD27" s="1011"/>
      <c r="AE27" s="1011"/>
      <c r="AF27" s="1011"/>
      <c r="AG27" s="1011"/>
      <c r="AH27" s="1011"/>
      <c r="AI27" s="1011"/>
      <c r="AJ27" s="1011"/>
      <c r="AK27" s="1011"/>
      <c r="AL27" s="1011"/>
      <c r="AM27" s="1011"/>
      <c r="AN27" s="1012"/>
      <c r="AO27" s="884">
        <f t="shared" si="16"/>
        <v>1</v>
      </c>
      <c r="AP27" s="681">
        <v>0</v>
      </c>
      <c r="AQ27" s="682">
        <f t="shared" si="17"/>
        <v>0</v>
      </c>
      <c r="AR27" s="1013">
        <v>760778</v>
      </c>
      <c r="AS27" s="806">
        <v>7600000760778</v>
      </c>
      <c r="AT27" s="735">
        <f t="shared" si="18"/>
        <v>768</v>
      </c>
      <c r="AU27" s="1014"/>
      <c r="AV27" s="1015">
        <f t="shared" si="20"/>
        <v>576</v>
      </c>
    </row>
    <row r="28" spans="1:48" x14ac:dyDescent="0.25">
      <c r="A28" s="179"/>
      <c r="B28" s="179"/>
      <c r="C28" s="179"/>
      <c r="D28" s="179"/>
      <c r="E28" s="179"/>
      <c r="F28" s="179"/>
      <c r="G28" s="179"/>
      <c r="H28" s="179"/>
      <c r="I28" s="472"/>
      <c r="J28" s="472"/>
      <c r="K28" s="478"/>
      <c r="L28" s="473"/>
      <c r="M28" s="473"/>
      <c r="N28" s="473"/>
      <c r="O28" s="473"/>
      <c r="P28" s="473"/>
      <c r="Q28" s="473"/>
      <c r="R28" s="474"/>
      <c r="S28" s="474"/>
      <c r="T28" s="474"/>
      <c r="U28" s="474"/>
      <c r="V28" s="474"/>
      <c r="W28" s="474"/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2"/>
      <c r="AP28" s="473"/>
      <c r="AQ28" s="473"/>
      <c r="AR28" s="475"/>
      <c r="AS28" s="476"/>
      <c r="AT28" s="477"/>
      <c r="AU28" s="477"/>
      <c r="AV28" s="477"/>
    </row>
    <row r="29" spans="1:48" x14ac:dyDescent="0.25">
      <c r="A29" s="479" t="s">
        <v>2100</v>
      </c>
      <c r="B29" s="179"/>
      <c r="C29" s="179"/>
      <c r="D29" s="179"/>
      <c r="E29" s="179"/>
      <c r="F29" s="179"/>
      <c r="G29" s="179"/>
      <c r="H29" s="179"/>
      <c r="I29" s="472"/>
      <c r="J29" s="472"/>
      <c r="K29" s="478"/>
      <c r="L29" s="473"/>
      <c r="M29" s="473"/>
      <c r="N29" s="473"/>
      <c r="O29" s="473"/>
      <c r="P29" s="473"/>
      <c r="Q29" s="473"/>
      <c r="R29" s="474"/>
      <c r="S29" s="474"/>
      <c r="T29" s="474"/>
      <c r="U29" s="474"/>
      <c r="V29" s="474"/>
      <c r="W29" s="474"/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2"/>
      <c r="AP29" s="473"/>
      <c r="AQ29" s="473"/>
      <c r="AR29" s="475"/>
      <c r="AS29" s="476"/>
      <c r="AT29" s="477"/>
      <c r="AU29" s="477"/>
      <c r="AV29" s="477"/>
    </row>
    <row r="30" spans="1:48" s="150" customFormat="1" x14ac:dyDescent="0.25"/>
    <row r="31" spans="1:48" s="150" customFormat="1" x14ac:dyDescent="0.25"/>
    <row r="32" spans="1:48" s="150" customFormat="1" x14ac:dyDescent="0.25"/>
    <row r="33" s="150" customFormat="1" x14ac:dyDescent="0.25"/>
    <row r="34" s="150" customFormat="1" x14ac:dyDescent="0.25"/>
    <row r="35" s="150" customFormat="1" x14ac:dyDescent="0.25"/>
    <row r="36" s="150" customFormat="1" x14ac:dyDescent="0.25"/>
    <row r="37" s="150" customFormat="1" x14ac:dyDescent="0.25"/>
    <row r="38" s="150" customFormat="1" x14ac:dyDescent="0.25"/>
    <row r="39" s="150" customFormat="1" x14ac:dyDescent="0.25"/>
    <row r="40" s="150" customFormat="1" x14ac:dyDescent="0.25"/>
    <row r="41" s="150" customFormat="1" x14ac:dyDescent="0.25"/>
    <row r="42" s="150" customFormat="1" x14ac:dyDescent="0.25"/>
    <row r="43" s="150" customFormat="1" x14ac:dyDescent="0.25"/>
    <row r="44" s="150" customFormat="1" x14ac:dyDescent="0.25"/>
    <row r="45" s="150" customFormat="1" x14ac:dyDescent="0.25"/>
    <row r="46" s="150" customFormat="1" x14ac:dyDescent="0.25"/>
    <row r="47" s="150" customFormat="1" x14ac:dyDescent="0.25"/>
    <row r="48" s="150" customFormat="1" x14ac:dyDescent="0.25"/>
    <row r="49" s="150" customFormat="1" x14ac:dyDescent="0.25"/>
    <row r="50" s="150" customFormat="1" x14ac:dyDescent="0.25"/>
    <row r="51" s="150" customFormat="1" x14ac:dyDescent="0.25"/>
    <row r="52" s="150" customFormat="1" x14ac:dyDescent="0.25"/>
    <row r="53" s="150" customFormat="1" x14ac:dyDescent="0.25"/>
    <row r="54" s="150" customFormat="1" x14ac:dyDescent="0.25"/>
    <row r="55" s="150" customFormat="1" x14ac:dyDescent="0.25"/>
    <row r="56" s="150" customFormat="1" x14ac:dyDescent="0.25"/>
    <row r="57" s="150" customFormat="1" x14ac:dyDescent="0.25"/>
    <row r="58" s="150" customFormat="1" x14ac:dyDescent="0.25"/>
    <row r="59" s="150" customFormat="1" x14ac:dyDescent="0.25"/>
    <row r="60" s="150" customFormat="1" x14ac:dyDescent="0.25"/>
    <row r="61" s="150" customFormat="1" x14ac:dyDescent="0.25"/>
    <row r="62" s="150" customFormat="1" x14ac:dyDescent="0.25"/>
    <row r="63" s="150" customFormat="1" x14ac:dyDescent="0.25"/>
    <row r="64" s="150" customFormat="1" x14ac:dyDescent="0.25"/>
    <row r="65" s="150" customFormat="1" x14ac:dyDescent="0.25"/>
    <row r="66" s="150" customFormat="1" x14ac:dyDescent="0.25"/>
    <row r="67" s="150" customFormat="1" x14ac:dyDescent="0.25"/>
    <row r="68" s="150" customFormat="1" x14ac:dyDescent="0.25"/>
    <row r="69" s="150" customFormat="1" x14ac:dyDescent="0.25"/>
    <row r="70" s="150" customFormat="1" x14ac:dyDescent="0.25"/>
    <row r="71" s="150" customFormat="1" x14ac:dyDescent="0.25"/>
    <row r="72" s="150" customFormat="1" x14ac:dyDescent="0.25"/>
    <row r="73" s="150" customFormat="1" x14ac:dyDescent="0.25"/>
    <row r="74" s="150" customFormat="1" x14ac:dyDescent="0.25"/>
    <row r="75" s="150" customFormat="1" x14ac:dyDescent="0.25"/>
    <row r="76" s="150" customFormat="1" x14ac:dyDescent="0.25"/>
    <row r="77" s="150" customFormat="1" x14ac:dyDescent="0.25"/>
    <row r="78" s="150" customFormat="1" x14ac:dyDescent="0.25"/>
    <row r="79" s="150" customFormat="1" x14ac:dyDescent="0.25"/>
    <row r="80" s="150" customFormat="1" x14ac:dyDescent="0.25"/>
    <row r="81" s="150" customFormat="1" x14ac:dyDescent="0.25"/>
    <row r="82" s="150" customFormat="1" x14ac:dyDescent="0.25"/>
    <row r="83" s="150" customFormat="1" x14ac:dyDescent="0.25"/>
    <row r="84" s="150" customFormat="1" x14ac:dyDescent="0.25"/>
    <row r="85" s="150" customFormat="1" x14ac:dyDescent="0.25"/>
    <row r="86" s="150" customFormat="1" x14ac:dyDescent="0.25"/>
    <row r="87" s="150" customFormat="1" x14ac:dyDescent="0.25"/>
    <row r="88" s="150" customFormat="1" x14ac:dyDescent="0.25"/>
    <row r="89" s="150" customFormat="1" x14ac:dyDescent="0.25"/>
    <row r="90" s="150" customFormat="1" x14ac:dyDescent="0.25"/>
    <row r="91" s="150" customFormat="1" x14ac:dyDescent="0.25"/>
    <row r="92" s="150" customFormat="1" x14ac:dyDescent="0.25"/>
    <row r="93" s="150" customFormat="1" x14ac:dyDescent="0.25"/>
    <row r="94" s="150" customFormat="1" x14ac:dyDescent="0.25"/>
    <row r="95" s="150" customFormat="1" x14ac:dyDescent="0.25"/>
    <row r="96" s="150" customFormat="1" x14ac:dyDescent="0.25"/>
    <row r="97" s="150" customFormat="1" x14ac:dyDescent="0.25"/>
    <row r="98" s="150" customFormat="1" x14ac:dyDescent="0.25"/>
    <row r="99" s="150" customFormat="1" x14ac:dyDescent="0.25"/>
    <row r="100" s="150" customFormat="1" x14ac:dyDescent="0.25"/>
    <row r="101" s="150" customFormat="1" x14ac:dyDescent="0.25"/>
    <row r="102" s="150" customFormat="1" x14ac:dyDescent="0.25"/>
    <row r="103" s="150" customFormat="1" x14ac:dyDescent="0.25"/>
    <row r="104" s="150" customFormat="1" x14ac:dyDescent="0.25"/>
    <row r="105" s="150" customFormat="1" x14ac:dyDescent="0.25"/>
    <row r="106" s="150" customFormat="1" x14ac:dyDescent="0.25"/>
    <row r="107" s="150" customFormat="1" x14ac:dyDescent="0.25"/>
    <row r="108" s="150" customFormat="1" x14ac:dyDescent="0.25"/>
    <row r="109" s="150" customFormat="1" x14ac:dyDescent="0.25"/>
    <row r="110" s="150" customFormat="1" x14ac:dyDescent="0.25"/>
    <row r="111" s="150" customFormat="1" x14ac:dyDescent="0.25"/>
    <row r="112" s="150" customFormat="1" x14ac:dyDescent="0.25"/>
    <row r="113" s="150" customFormat="1" x14ac:dyDescent="0.25"/>
    <row r="114" s="150" customFormat="1" x14ac:dyDescent="0.25"/>
    <row r="115" s="150" customFormat="1" x14ac:dyDescent="0.25"/>
    <row r="116" s="150" customFormat="1" x14ac:dyDescent="0.25"/>
    <row r="117" s="150" customFormat="1" x14ac:dyDescent="0.25"/>
    <row r="118" s="150" customFormat="1" x14ac:dyDescent="0.25"/>
    <row r="119" s="150" customFormat="1" x14ac:dyDescent="0.25"/>
    <row r="120" s="150" customFormat="1" x14ac:dyDescent="0.25"/>
    <row r="121" s="150" customFormat="1" x14ac:dyDescent="0.25"/>
    <row r="122" s="150" customFormat="1" x14ac:dyDescent="0.25"/>
    <row r="123" s="150" customFormat="1" x14ac:dyDescent="0.25"/>
    <row r="124" s="150" customFormat="1" x14ac:dyDescent="0.25"/>
    <row r="125" s="150" customFormat="1" x14ac:dyDescent="0.25"/>
    <row r="126" s="150" customFormat="1" x14ac:dyDescent="0.25"/>
    <row r="127" s="150" customFormat="1" x14ac:dyDescent="0.25"/>
    <row r="128" s="150" customFormat="1" x14ac:dyDescent="0.25"/>
    <row r="129" s="150" customFormat="1" x14ac:dyDescent="0.25"/>
    <row r="130" s="150" customFormat="1" x14ac:dyDescent="0.25"/>
    <row r="131" s="150" customFormat="1" x14ac:dyDescent="0.25"/>
    <row r="132" s="150" customFormat="1" x14ac:dyDescent="0.25"/>
    <row r="133" s="150" customFormat="1" x14ac:dyDescent="0.25"/>
    <row r="134" s="150" customFormat="1" x14ac:dyDescent="0.25"/>
    <row r="135" s="150" customFormat="1" x14ac:dyDescent="0.25"/>
    <row r="136" s="150" customFormat="1" x14ac:dyDescent="0.25"/>
    <row r="137" s="150" customFormat="1" x14ac:dyDescent="0.25"/>
    <row r="138" s="150" customFormat="1" x14ac:dyDescent="0.25"/>
    <row r="139" s="150" customFormat="1" x14ac:dyDescent="0.25"/>
    <row r="140" s="150" customFormat="1" x14ac:dyDescent="0.25"/>
    <row r="141" s="150" customFormat="1" x14ac:dyDescent="0.25"/>
    <row r="142" s="150" customFormat="1" x14ac:dyDescent="0.25"/>
    <row r="143" s="150" customFormat="1" x14ac:dyDescent="0.25"/>
    <row r="144" s="150" customFormat="1" x14ac:dyDescent="0.25"/>
    <row r="145" s="150" customFormat="1" x14ac:dyDescent="0.25"/>
    <row r="146" s="150" customFormat="1" x14ac:dyDescent="0.25"/>
    <row r="147" s="150" customFormat="1" x14ac:dyDescent="0.25"/>
    <row r="148" s="150" customFormat="1" x14ac:dyDescent="0.25"/>
    <row r="149" s="150" customFormat="1" x14ac:dyDescent="0.25"/>
    <row r="150" s="150" customFormat="1" x14ac:dyDescent="0.25"/>
    <row r="151" s="150" customFormat="1" x14ac:dyDescent="0.25"/>
    <row r="152" s="150" customFormat="1" x14ac:dyDescent="0.25"/>
    <row r="153" s="150" customFormat="1" x14ac:dyDescent="0.25"/>
    <row r="154" s="150" customFormat="1" x14ac:dyDescent="0.25"/>
    <row r="155" s="150" customFormat="1" x14ac:dyDescent="0.25"/>
    <row r="156" s="150" customFormat="1" x14ac:dyDescent="0.25"/>
    <row r="157" s="150" customFormat="1" x14ac:dyDescent="0.25"/>
    <row r="158" s="150" customFormat="1" x14ac:dyDescent="0.25"/>
    <row r="159" s="150" customFormat="1" x14ac:dyDescent="0.25"/>
    <row r="160" s="150" customFormat="1" x14ac:dyDescent="0.25"/>
    <row r="161" s="150" customFormat="1" x14ac:dyDescent="0.25"/>
    <row r="162" s="150" customFormat="1" x14ac:dyDescent="0.25"/>
    <row r="163" s="150" customFormat="1" x14ac:dyDescent="0.25"/>
    <row r="164" s="150" customFormat="1" x14ac:dyDescent="0.25"/>
    <row r="165" s="150" customFormat="1" x14ac:dyDescent="0.25"/>
    <row r="166" s="150" customFormat="1" x14ac:dyDescent="0.25"/>
    <row r="167" s="150" customFormat="1" x14ac:dyDescent="0.25"/>
    <row r="168" s="150" customFormat="1" x14ac:dyDescent="0.25"/>
    <row r="169" s="150" customFormat="1" x14ac:dyDescent="0.25"/>
    <row r="170" s="150" customFormat="1" x14ac:dyDescent="0.25"/>
    <row r="171" s="150" customFormat="1" x14ac:dyDescent="0.25"/>
    <row r="172" s="150" customFormat="1" x14ac:dyDescent="0.25"/>
    <row r="173" s="150" customFormat="1" x14ac:dyDescent="0.25"/>
    <row r="174" s="150" customFormat="1" x14ac:dyDescent="0.25"/>
    <row r="175" s="150" customFormat="1" x14ac:dyDescent="0.25"/>
    <row r="176" s="150" customFormat="1" x14ac:dyDescent="0.25"/>
    <row r="177" s="150" customFormat="1" x14ac:dyDescent="0.25"/>
    <row r="178" s="150" customFormat="1" x14ac:dyDescent="0.25"/>
    <row r="179" s="150" customFormat="1" x14ac:dyDescent="0.25"/>
    <row r="180" s="150" customFormat="1" x14ac:dyDescent="0.25"/>
    <row r="181" s="150" customFormat="1" x14ac:dyDescent="0.25"/>
    <row r="182" s="150" customFormat="1" x14ac:dyDescent="0.25"/>
    <row r="183" s="150" customFormat="1" x14ac:dyDescent="0.25"/>
    <row r="184" s="150" customFormat="1" x14ac:dyDescent="0.25"/>
    <row r="185" s="150" customFormat="1" x14ac:dyDescent="0.25"/>
    <row r="186" s="150" customFormat="1" x14ac:dyDescent="0.25"/>
    <row r="187" s="150" customFormat="1" x14ac:dyDescent="0.25"/>
    <row r="188" s="150" customFormat="1" x14ac:dyDescent="0.25"/>
    <row r="189" s="150" customFormat="1" x14ac:dyDescent="0.25"/>
    <row r="190" s="150" customFormat="1" x14ac:dyDescent="0.25"/>
    <row r="191" s="150" customFormat="1" x14ac:dyDescent="0.25"/>
    <row r="192" s="150" customFormat="1" x14ac:dyDescent="0.25"/>
    <row r="193" s="150" customFormat="1" x14ac:dyDescent="0.25"/>
    <row r="194" s="150" customFormat="1" x14ac:dyDescent="0.25"/>
    <row r="195" s="150" customFormat="1" x14ac:dyDescent="0.25"/>
    <row r="196" s="150" customFormat="1" x14ac:dyDescent="0.25"/>
    <row r="197" s="150" customFormat="1" x14ac:dyDescent="0.25"/>
    <row r="198" s="150" customFormat="1" x14ac:dyDescent="0.25"/>
    <row r="199" s="150" customFormat="1" x14ac:dyDescent="0.25"/>
    <row r="200" s="150" customFormat="1" x14ac:dyDescent="0.25"/>
    <row r="201" s="150" customFormat="1" x14ac:dyDescent="0.25"/>
    <row r="202" s="150" customFormat="1" x14ac:dyDescent="0.25"/>
    <row r="203" s="150" customFormat="1" x14ac:dyDescent="0.25"/>
    <row r="204" s="150" customFormat="1" x14ac:dyDescent="0.25"/>
    <row r="205" s="150" customFormat="1" x14ac:dyDescent="0.25"/>
    <row r="206" s="150" customFormat="1" x14ac:dyDescent="0.25"/>
    <row r="207" s="150" customFormat="1" x14ac:dyDescent="0.25"/>
    <row r="208" s="150" customFormat="1" x14ac:dyDescent="0.25"/>
    <row r="209" s="150" customFormat="1" x14ac:dyDescent="0.25"/>
    <row r="210" s="150" customFormat="1" x14ac:dyDescent="0.25"/>
    <row r="211" s="150" customFormat="1" x14ac:dyDescent="0.25"/>
    <row r="212" s="150" customFormat="1" x14ac:dyDescent="0.25"/>
    <row r="213" s="150" customFormat="1" x14ac:dyDescent="0.25"/>
    <row r="214" s="150" customFormat="1" x14ac:dyDescent="0.25"/>
    <row r="215" s="150" customFormat="1" x14ac:dyDescent="0.25"/>
    <row r="216" s="150" customFormat="1" x14ac:dyDescent="0.25"/>
    <row r="217" s="150" customFormat="1" x14ac:dyDescent="0.25"/>
    <row r="218" s="150" customFormat="1" x14ac:dyDescent="0.25"/>
    <row r="219" s="150" customFormat="1" x14ac:dyDescent="0.25"/>
    <row r="220" s="150" customFormat="1" x14ac:dyDescent="0.25"/>
    <row r="221" s="150" customFormat="1" x14ac:dyDescent="0.25"/>
    <row r="222" s="150" customFormat="1" x14ac:dyDescent="0.25"/>
    <row r="223" s="150" customFormat="1" x14ac:dyDescent="0.25"/>
    <row r="224" s="150" customFormat="1" x14ac:dyDescent="0.25"/>
    <row r="225" s="150" customFormat="1" x14ac:dyDescent="0.25"/>
    <row r="226" s="150" customFormat="1" x14ac:dyDescent="0.25"/>
    <row r="227" s="150" customFormat="1" x14ac:dyDescent="0.25"/>
    <row r="228" s="150" customFormat="1" x14ac:dyDescent="0.25"/>
    <row r="229" s="150" customFormat="1" x14ac:dyDescent="0.25"/>
    <row r="230" s="150" customFormat="1" x14ac:dyDescent="0.25"/>
  </sheetData>
  <sheetProtection algorithmName="SHA-512" hashValue="Gx2CegigrIswGnQaeRHEUictjTwP4VH8dFOrZkleIoZ8J03oFv+iuECh/gbH6GVgPDN02jGQTFgOPpFyEzpqNA==" saltValue="5s5+uNuNleTJdGgUlI6llw==" spinCount="100000" sheet="1" objects="1" scenarios="1"/>
  <mergeCells count="7">
    <mergeCell ref="AR3:AR5"/>
    <mergeCell ref="K4:Q4"/>
    <mergeCell ref="A3:A5"/>
    <mergeCell ref="B3:B5"/>
    <mergeCell ref="K3:AQ3"/>
    <mergeCell ref="R4:V4"/>
    <mergeCell ref="AO4:AQ4"/>
  </mergeCells>
  <pageMargins left="0.7" right="0.7" top="0.75" bottom="0.75" header="0.3" footer="0.3"/>
  <pageSetup paperSize="9" scale="72" fitToHeight="0" orientation="landscape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7987-667A-46C5-8110-558E226FD9A8}">
  <sheetPr codeName="Tabelle13">
    <tabColor rgb="FFFFC000"/>
  </sheetPr>
  <dimension ref="A1:CF32"/>
  <sheetViews>
    <sheetView workbookViewId="0">
      <pane ySplit="5" topLeftCell="A6" activePane="bottomLeft" state="frozen"/>
      <selection activeCell="H34" sqref="H34"/>
      <selection pane="bottomLeft" activeCell="BJ30" sqref="BJ30"/>
    </sheetView>
  </sheetViews>
  <sheetFormatPr defaultColWidth="11.42578125" defaultRowHeight="15" outlineLevelCol="1" x14ac:dyDescent="0.25"/>
  <cols>
    <col min="1" max="1" width="26.5703125" customWidth="1"/>
    <col min="2" max="2" width="32.7109375" bestFit="1" customWidth="1"/>
    <col min="3" max="3" width="24.42578125" hidden="1" customWidth="1"/>
    <col min="4" max="4" width="13.7109375" style="42" hidden="1" customWidth="1"/>
    <col min="5" max="5" width="19.28515625" hidden="1" customWidth="1"/>
    <col min="6" max="6" width="10.7109375" style="42" hidden="1" customWidth="1"/>
    <col min="7" max="7" width="18.28515625" hidden="1" customWidth="1"/>
    <col min="8" max="8" width="8.28515625" customWidth="1"/>
    <col min="9" max="9" width="13.7109375" style="42" customWidth="1"/>
    <col min="10" max="10" width="20.5703125" style="42" hidden="1" customWidth="1"/>
    <col min="11" max="11" width="16.7109375" customWidth="1"/>
    <col min="12" max="12" width="14.5703125" customWidth="1"/>
    <col min="13" max="13" width="16.28515625" hidden="1" customWidth="1"/>
    <col min="14" max="14" width="15.7109375" bestFit="1" customWidth="1"/>
    <col min="15" max="15" width="6.7109375" hidden="1" customWidth="1"/>
    <col min="16" max="16" width="13.7109375" hidden="1" customWidth="1"/>
    <col min="17" max="17" width="20.5703125" hidden="1" customWidth="1"/>
    <col min="18" max="18" width="21" hidden="1" customWidth="1"/>
    <col min="19" max="19" width="13.7109375" hidden="1" customWidth="1"/>
    <col min="20" max="20" width="16.28515625" hidden="1" customWidth="1"/>
    <col min="21" max="21" width="15.7109375" hidden="1" customWidth="1"/>
    <col min="22" max="22" width="6.7109375" hidden="1" customWidth="1"/>
    <col min="23" max="23" width="13.7109375" hidden="1" customWidth="1"/>
    <col min="24" max="24" width="15.42578125" hidden="1" customWidth="1"/>
    <col min="25" max="25" width="15.7109375" style="42" hidden="1" customWidth="1"/>
    <col min="26" max="26" width="13.7109375" style="42" hidden="1" customWidth="1"/>
    <col min="27" max="27" width="16.28515625" style="42" hidden="1" customWidth="1"/>
    <col min="28" max="28" width="15.7109375" hidden="1" customWidth="1"/>
    <col min="29" max="29" width="6.7109375" hidden="1" customWidth="1"/>
    <col min="30" max="30" width="13.7109375" hidden="1" customWidth="1"/>
    <col min="31" max="31" width="20.5703125" hidden="1" customWidth="1"/>
    <col min="32" max="32" width="21" hidden="1" customWidth="1"/>
    <col min="33" max="33" width="12.7109375" hidden="1" customWidth="1"/>
    <col min="34" max="34" width="16.28515625" hidden="1" customWidth="1"/>
    <col min="35" max="35" width="15.7109375" hidden="1" customWidth="1"/>
    <col min="36" max="36" width="6.7109375" hidden="1" customWidth="1"/>
    <col min="37" max="37" width="13.7109375" hidden="1" customWidth="1"/>
    <col min="38" max="38" width="20.5703125" hidden="1" customWidth="1"/>
    <col min="39" max="39" width="21" hidden="1" customWidth="1"/>
    <col min="40" max="40" width="13.7109375" hidden="1" customWidth="1"/>
    <col min="41" max="41" width="16.28515625" hidden="1" customWidth="1"/>
    <col min="42" max="42" width="15.7109375" hidden="1" customWidth="1"/>
    <col min="43" max="43" width="6.7109375" hidden="1" customWidth="1" outlineLevel="1"/>
    <col min="44" max="44" width="10.42578125" hidden="1" customWidth="1" outlineLevel="1"/>
    <col min="45" max="45" width="9.28515625" hidden="1" customWidth="1" outlineLevel="1"/>
    <col min="46" max="46" width="6.7109375" hidden="1" customWidth="1" outlineLevel="1"/>
    <col min="47" max="47" width="10.42578125" hidden="1" customWidth="1" outlineLevel="1"/>
    <col min="48" max="48" width="9.28515625" hidden="1" customWidth="1" outlineLevel="1"/>
    <col min="49" max="49" width="6.7109375" hidden="1" customWidth="1" collapsed="1"/>
    <col min="50" max="50" width="9.28515625" hidden="1" customWidth="1"/>
    <col min="51" max="52" width="9.28515625" style="41" hidden="1" customWidth="1"/>
    <col min="53" max="53" width="6.7109375" bestFit="1" customWidth="1"/>
    <col min="54" max="54" width="10.42578125" customWidth="1"/>
    <col min="55" max="55" width="9.28515625" customWidth="1"/>
    <col min="56" max="56" width="17" customWidth="1"/>
    <col min="57" max="57" width="16.85546875" customWidth="1"/>
    <col min="58" max="58" width="14.28515625" customWidth="1"/>
    <col min="59" max="59" width="16.7109375" hidden="1" customWidth="1"/>
    <col min="60" max="60" width="15.5703125" customWidth="1"/>
    <col min="61" max="61" width="11.42578125" customWidth="1"/>
    <col min="62" max="84" width="11.42578125" style="150"/>
  </cols>
  <sheetData>
    <row r="1" spans="1:84" ht="24" customHeight="1" x14ac:dyDescent="0.25">
      <c r="AY1"/>
      <c r="AZ1"/>
    </row>
    <row r="2" spans="1:84" s="150" customFormat="1" ht="15.75" customHeight="1" thickBot="1" x14ac:dyDescent="0.3">
      <c r="D2" s="151"/>
      <c r="F2" s="151"/>
      <c r="I2" s="151"/>
      <c r="J2" s="151"/>
      <c r="Y2" s="151"/>
      <c r="Z2" s="151"/>
      <c r="AA2" s="151"/>
    </row>
    <row r="3" spans="1:84" ht="40.5" customHeight="1" thickBot="1" x14ac:dyDescent="0.3">
      <c r="A3" s="1052" t="s">
        <v>1</v>
      </c>
      <c r="B3" s="1030" t="s">
        <v>1542</v>
      </c>
      <c r="C3" s="109"/>
      <c r="D3" s="4"/>
      <c r="E3" s="4"/>
      <c r="F3" s="4"/>
      <c r="G3" s="95"/>
      <c r="H3" s="1079" t="str">
        <f>_xlfn.CONCAT("Prices in ",'Applied Discounts'!$C$5)</f>
        <v>Prices in EUR</v>
      </c>
      <c r="I3" s="1080"/>
      <c r="J3" s="1080"/>
      <c r="K3" s="1080"/>
      <c r="L3" s="1080"/>
      <c r="M3" s="1080"/>
      <c r="N3" s="1080"/>
      <c r="O3" s="1080"/>
      <c r="P3" s="1080"/>
      <c r="Q3" s="1080"/>
      <c r="R3" s="1080"/>
      <c r="S3" s="1080"/>
      <c r="T3" s="1080"/>
      <c r="U3" s="1080"/>
      <c r="V3" s="1080"/>
      <c r="W3" s="1080"/>
      <c r="X3" s="1080"/>
      <c r="Y3" s="1080"/>
      <c r="Z3" s="1080"/>
      <c r="AA3" s="1080"/>
      <c r="AB3" s="1080"/>
      <c r="AC3" s="1080"/>
      <c r="AD3" s="1080"/>
      <c r="AE3" s="1080"/>
      <c r="AF3" s="1080"/>
      <c r="AG3" s="1080"/>
      <c r="AH3" s="1080"/>
      <c r="AI3" s="1080"/>
      <c r="AJ3" s="1080"/>
      <c r="AK3" s="1080"/>
      <c r="AL3" s="1080"/>
      <c r="AM3" s="1080"/>
      <c r="AN3" s="1080"/>
      <c r="AO3" s="1080"/>
      <c r="AP3" s="1080"/>
      <c r="AQ3" s="1080"/>
      <c r="AR3" s="1080"/>
      <c r="AS3" s="1080"/>
      <c r="AT3" s="1080"/>
      <c r="AU3" s="1080"/>
      <c r="AV3" s="1080"/>
      <c r="AW3" s="1080"/>
      <c r="AX3" s="1080"/>
      <c r="AY3" s="1080"/>
      <c r="AZ3" s="1080"/>
      <c r="BA3" s="1080"/>
      <c r="BB3" s="1080"/>
      <c r="BC3" s="1104"/>
      <c r="BD3" s="1034" t="s">
        <v>1378</v>
      </c>
      <c r="BE3" s="1034" t="s">
        <v>1391</v>
      </c>
      <c r="BF3" s="238" t="s">
        <v>1380</v>
      </c>
      <c r="BG3" s="239" t="s">
        <v>1381</v>
      </c>
      <c r="BH3" s="239" t="s">
        <v>1382</v>
      </c>
    </row>
    <row r="4" spans="1:84" ht="15.75" customHeight="1" thickBot="1" x14ac:dyDescent="0.3">
      <c r="A4" s="1053"/>
      <c r="B4" s="1031"/>
      <c r="C4" s="249" t="s">
        <v>1479</v>
      </c>
      <c r="D4" s="104" t="s">
        <v>1479</v>
      </c>
      <c r="E4" s="104" t="s">
        <v>1479</v>
      </c>
      <c r="F4" s="104" t="s">
        <v>1479</v>
      </c>
      <c r="G4" s="104" t="s">
        <v>1479</v>
      </c>
      <c r="H4" s="1036" t="s">
        <v>1576</v>
      </c>
      <c r="I4" s="1037"/>
      <c r="J4" s="1037"/>
      <c r="K4" s="1037"/>
      <c r="L4" s="1037"/>
      <c r="M4" s="1037"/>
      <c r="N4" s="1038"/>
      <c r="O4" s="1036"/>
      <c r="P4" s="1037"/>
      <c r="Q4" s="1037"/>
      <c r="R4" s="1037"/>
      <c r="S4" s="1037"/>
      <c r="T4" s="1037"/>
      <c r="U4" s="1038"/>
      <c r="V4" s="1036"/>
      <c r="W4" s="1037"/>
      <c r="X4" s="1037"/>
      <c r="Y4" s="1037"/>
      <c r="Z4" s="1037"/>
      <c r="AA4" s="1037"/>
      <c r="AB4" s="1038"/>
      <c r="AC4" s="1036"/>
      <c r="AD4" s="1037"/>
      <c r="AE4" s="1037"/>
      <c r="AF4" s="1037"/>
      <c r="AG4" s="1037"/>
      <c r="AH4" s="1037"/>
      <c r="AI4" s="1038"/>
      <c r="AJ4" s="1036"/>
      <c r="AK4" s="1037"/>
      <c r="AL4" s="1037"/>
      <c r="AM4" s="1037"/>
      <c r="AN4" s="1037"/>
      <c r="AO4" s="1037"/>
      <c r="AP4" s="1038"/>
      <c r="AQ4" s="1036" t="s">
        <v>489</v>
      </c>
      <c r="AR4" s="1037"/>
      <c r="AS4" s="1038"/>
      <c r="AT4" s="1036" t="s">
        <v>1388</v>
      </c>
      <c r="AU4" s="1037"/>
      <c r="AV4" s="1038"/>
      <c r="AW4" s="1036" t="s">
        <v>1389</v>
      </c>
      <c r="AX4" s="1037"/>
      <c r="AY4" s="1037"/>
      <c r="AZ4" s="1038"/>
      <c r="BA4" s="1036" t="s">
        <v>1390</v>
      </c>
      <c r="BB4" s="1037"/>
      <c r="BC4" s="1038"/>
      <c r="BD4" s="1035"/>
      <c r="BE4" s="1035"/>
      <c r="BF4" s="138" t="str">
        <f>'Applied Discounts'!$C$5</f>
        <v>EUR</v>
      </c>
      <c r="BG4" s="229" t="e">
        <f>#REF!</f>
        <v>#REF!</v>
      </c>
      <c r="BH4" s="138" t="str">
        <f>'Applied Discounts'!$C$5</f>
        <v>EUR</v>
      </c>
    </row>
    <row r="5" spans="1:84" s="31" customFormat="1" ht="30" customHeight="1" thickBot="1" x14ac:dyDescent="0.3">
      <c r="A5" s="1103"/>
      <c r="B5" s="1078"/>
      <c r="C5" s="109"/>
      <c r="D5" s="109"/>
      <c r="E5" s="110"/>
      <c r="F5" s="312"/>
      <c r="G5" s="110"/>
      <c r="H5" s="241" t="s">
        <v>1393</v>
      </c>
      <c r="I5" s="631" t="s">
        <v>1394</v>
      </c>
      <c r="J5" s="631" t="s">
        <v>1395</v>
      </c>
      <c r="K5" s="504" t="s">
        <v>1396</v>
      </c>
      <c r="L5" s="504" t="s">
        <v>1380</v>
      </c>
      <c r="M5" s="504" t="s">
        <v>1381</v>
      </c>
      <c r="N5" s="632" t="s">
        <v>1382</v>
      </c>
      <c r="O5" s="242" t="s">
        <v>1393</v>
      </c>
      <c r="P5" s="247" t="s">
        <v>1394</v>
      </c>
      <c r="Q5" s="247" t="s">
        <v>1395</v>
      </c>
      <c r="R5" s="247" t="s">
        <v>1396</v>
      </c>
      <c r="S5" s="251" t="s">
        <v>1380</v>
      </c>
      <c r="T5" s="251" t="s">
        <v>1381</v>
      </c>
      <c r="U5" s="253" t="s">
        <v>1382</v>
      </c>
      <c r="V5" s="242" t="s">
        <v>1393</v>
      </c>
      <c r="W5" s="251" t="s">
        <v>1397</v>
      </c>
      <c r="X5" s="251" t="s">
        <v>1398</v>
      </c>
      <c r="Y5" s="251" t="s">
        <v>1399</v>
      </c>
      <c r="Z5" s="251" t="s">
        <v>1380</v>
      </c>
      <c r="AA5" s="251" t="s">
        <v>1381</v>
      </c>
      <c r="AB5" s="253" t="s">
        <v>1382</v>
      </c>
      <c r="AC5" s="242" t="s">
        <v>1393</v>
      </c>
      <c r="AD5" s="247" t="s">
        <v>1394</v>
      </c>
      <c r="AE5" s="247" t="s">
        <v>1395</v>
      </c>
      <c r="AF5" s="247" t="s">
        <v>1396</v>
      </c>
      <c r="AG5" s="251" t="s">
        <v>1380</v>
      </c>
      <c r="AH5" s="251" t="s">
        <v>1381</v>
      </c>
      <c r="AI5" s="253" t="s">
        <v>1382</v>
      </c>
      <c r="AJ5" s="242" t="s">
        <v>1393</v>
      </c>
      <c r="AK5" s="247" t="s">
        <v>1394</v>
      </c>
      <c r="AL5" s="247" t="s">
        <v>1395</v>
      </c>
      <c r="AM5" s="247" t="s">
        <v>1396</v>
      </c>
      <c r="AN5" s="251" t="s">
        <v>1380</v>
      </c>
      <c r="AO5" s="251" t="s">
        <v>1381</v>
      </c>
      <c r="AP5" s="252" t="s">
        <v>1382</v>
      </c>
      <c r="AQ5" s="11" t="s">
        <v>1393</v>
      </c>
      <c r="AR5" s="11" t="s">
        <v>1400</v>
      </c>
      <c r="AS5" s="13" t="s">
        <v>1401</v>
      </c>
      <c r="AT5" s="243" t="s">
        <v>1393</v>
      </c>
      <c r="AU5" s="11" t="s">
        <v>1400</v>
      </c>
      <c r="AV5" s="13" t="s">
        <v>1401</v>
      </c>
      <c r="AW5" s="243"/>
      <c r="AX5" s="11"/>
      <c r="AY5" s="13"/>
      <c r="AZ5" s="11"/>
      <c r="BA5" s="241" t="s">
        <v>1393</v>
      </c>
      <c r="BB5" s="631" t="s">
        <v>1400</v>
      </c>
      <c r="BC5" s="633" t="s">
        <v>1401</v>
      </c>
      <c r="BD5" s="109"/>
      <c r="BE5" s="95"/>
      <c r="BF5" s="95"/>
      <c r="BG5" s="244"/>
      <c r="BH5" s="244"/>
      <c r="BJ5" s="245"/>
      <c r="BK5" s="245"/>
      <c r="BL5" s="245"/>
      <c r="BM5" s="245"/>
      <c r="BN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Y5" s="245"/>
      <c r="BZ5" s="245"/>
      <c r="CA5" s="245"/>
      <c r="CB5" s="245"/>
      <c r="CC5" s="245"/>
      <c r="CD5" s="245"/>
      <c r="CE5" s="245"/>
      <c r="CF5" s="245"/>
    </row>
    <row r="6" spans="1:84" ht="15.75" thickBot="1" x14ac:dyDescent="0.3">
      <c r="A6" s="113" t="s">
        <v>1030</v>
      </c>
      <c r="B6" s="99" t="s">
        <v>1030</v>
      </c>
      <c r="C6" s="156"/>
      <c r="D6" s="271"/>
      <c r="E6" s="157"/>
      <c r="F6" s="157"/>
      <c r="G6" s="157"/>
      <c r="H6" s="508">
        <v>1</v>
      </c>
      <c r="I6" s="768">
        <f>((VLOOKUP($A6,'pricing overview all products'!$A:$B,2,FALSE))*'Country File'!$T$2)*'Country File'!$P$2</f>
        <v>14000</v>
      </c>
      <c r="J6" s="768">
        <f>((VLOOKUP($A6,'pricing overview all products'!$A:$B,2,FALSE))*'Country File'!$T$3)*'Country File'!$P$2</f>
        <v>14000</v>
      </c>
      <c r="K6" s="636">
        <f>(((VLOOKUP($A6,'pricing overview all products'!$A:$B,2,FALSE))*'Country File'!$T$2)*'Country File'!$P$2)*(1-'Applied Discounts'!$C$17)</f>
        <v>9100</v>
      </c>
      <c r="L6" s="768">
        <f>$H6*I6</f>
        <v>14000</v>
      </c>
      <c r="M6" s="768">
        <f>$H6*J6</f>
        <v>14000</v>
      </c>
      <c r="N6" s="768">
        <f>$H6*K6</f>
        <v>9100</v>
      </c>
      <c r="O6" s="862">
        <v>0</v>
      </c>
      <c r="P6" s="661" t="str">
        <f>IFERROR((((VLOOKUP($A6,'pricing overview all products'!$A$1:$M$55,6,FALSE))*'Country File'!$T$2)*'Country File'!$P$2),"N/A")</f>
        <v>N/A</v>
      </c>
      <c r="Q6" s="661" t="str">
        <f>IFERROR((((VLOOKUP($A6,'pricing overview all products'!$A$1:$M$55,6,FALSE))*'Country File'!$T$3)*'Country File'!$P$2),"N/A")</f>
        <v>N/A</v>
      </c>
      <c r="R6" s="661" t="str">
        <f>IFERROR((((VLOOKUP($A6,'pricing overview all products'!$A$1:$M$55,6,FALSE))*'Country File'!$T$2)*'Country File'!$P$2),"N/A")</f>
        <v>N/A</v>
      </c>
      <c r="S6" s="863">
        <f t="shared" ref="S6:U16" si="0">IFERROR(($O6*P6),0)</f>
        <v>0</v>
      </c>
      <c r="T6" s="863">
        <f t="shared" si="0"/>
        <v>0</v>
      </c>
      <c r="U6" s="864">
        <f t="shared" si="0"/>
        <v>0</v>
      </c>
      <c r="V6" s="862">
        <v>0</v>
      </c>
      <c r="W6" s="661" t="str">
        <f>IFERROR((((VLOOKUP($A6,'pricing overview all products'!$A$1:$M$55,4,FALSE))*'Country File'!$T$2)*'Country File'!$P$2),"N/A")</f>
        <v>N/A</v>
      </c>
      <c r="X6" s="661" t="str">
        <f>IFERROR((((VLOOKUP($A6,'pricing overview all products'!$A$1:$M$55,4,FALSE))*'Country File'!$T$3)*'Country File'!$P$2),"N/A")</f>
        <v>N/A</v>
      </c>
      <c r="Y6" s="661" t="e">
        <f>IFERROR((((VLOOKUP($A6,'pricing overview all products'!$A$1:$M$55,4,FALSE))*'Country File'!$T$2)*'Country File'!$P$2),"N/A")*(1-#REF!)</f>
        <v>#VALUE!</v>
      </c>
      <c r="Z6" s="661">
        <f>IFERROR(($V6*W6),0)</f>
        <v>0</v>
      </c>
      <c r="AA6" s="661">
        <f>IFERROR(($V6*X6),0)</f>
        <v>0</v>
      </c>
      <c r="AB6" s="865">
        <f>IFERROR(($V6*Y6),0)</f>
        <v>0</v>
      </c>
      <c r="AC6" s="862">
        <v>0</v>
      </c>
      <c r="AD6" s="661" t="str">
        <f>IFERROR((((VLOOKUP($A6,'pricing overview all products'!$A$1:$M$55,8,FALSE))*'Country File'!$T$2)*'Country File'!$P$2),"N/A")</f>
        <v>N/A</v>
      </c>
      <c r="AE6" s="661" t="str">
        <f>IFERROR((((VLOOKUP($A6,'pricing overview all products'!$A$1:$M$55,8,FALSE))*'Country File'!$T$3)*'Country File'!$P$2),"N/A")</f>
        <v>N/A</v>
      </c>
      <c r="AF6" s="661" t="str">
        <f>IFERROR((((VLOOKUP($A6,'pricing overview all products'!$A$1:$M$55,8,FALSE))*'Country File'!$T$2)*'Country File'!$P$2)*(1-#REF!),"N/A")</f>
        <v>N/A</v>
      </c>
      <c r="AG6" s="661">
        <f>IFERROR(($AC6*AD6),0)</f>
        <v>0</v>
      </c>
      <c r="AH6" s="661">
        <f>IFERROR(($AC6*AE6),0)</f>
        <v>0</v>
      </c>
      <c r="AI6" s="865">
        <f>IFERROR(($AC6*AF6),0)</f>
        <v>0</v>
      </c>
      <c r="AJ6" s="862">
        <v>0</v>
      </c>
      <c r="AK6" s="661" t="str">
        <f>IFERROR((((VLOOKUP($A6,'pricing overview all products'!$A$1:$M$55,10,FALSE))*'Country File'!$T$2)*'Country File'!$P$2),"N/A")</f>
        <v>N/A</v>
      </c>
      <c r="AL6" s="661" t="str">
        <f>IFERROR((((VLOOKUP($A6,'pricing overview all products'!$A$1:$M$55,10,FALSE))*'Country File'!$T$3)*'Country File'!$P$2),"N/A")</f>
        <v>N/A</v>
      </c>
      <c r="AM6" s="661" t="str">
        <f>IFERROR((((VLOOKUP($A6,'pricing overview all products'!$A$1:$M$55,10,FALSE))*'Country File'!$T$2)*'Country File'!$P$2)*(1-#REF!),"N/A")</f>
        <v>N/A</v>
      </c>
      <c r="AN6" s="661">
        <f>IFERROR(($AJ6*AK6),0)</f>
        <v>0</v>
      </c>
      <c r="AO6" s="661">
        <f>IFERROR(($AJ6*AL6),0)</f>
        <v>0</v>
      </c>
      <c r="AP6" s="782">
        <f>IFERROR(($AJ6*AM6),0)</f>
        <v>0</v>
      </c>
      <c r="AQ6" s="866">
        <v>0</v>
      </c>
      <c r="AR6" s="867" t="str">
        <f>IFERROR((((VLOOKUP($A6,'pricing overview all products'!$A$1:$N$55,12,FALSE))*'Country File'!$T$2)*'Country File'!$P$2),"N/A")</f>
        <v>N/A</v>
      </c>
      <c r="AS6" s="644">
        <f>IFERROR((AQ6*AR6),0)</f>
        <v>0</v>
      </c>
      <c r="AT6" s="773">
        <v>0</v>
      </c>
      <c r="AU6" s="867" t="str">
        <f>IFERROR((((VLOOKUP($A6,'pricing overview all products'!$A$1:$N$55,14,FALSE))*'Country File'!$T$2)*'Country File'!$P$2),"N/A")</f>
        <v>N/A</v>
      </c>
      <c r="AV6" s="644">
        <f>IFERROR((AT6*AU6),0)</f>
        <v>0</v>
      </c>
      <c r="AW6" s="868">
        <v>0</v>
      </c>
      <c r="AX6" s="869" t="s">
        <v>1407</v>
      </c>
      <c r="AY6" s="870">
        <v>0</v>
      </c>
      <c r="AZ6" s="649">
        <f>IFERROR((AX6*AY6),0)</f>
        <v>0</v>
      </c>
      <c r="BA6" s="772">
        <f t="shared" ref="BA6:BA16" si="1">H6</f>
        <v>1</v>
      </c>
      <c r="BB6" s="871">
        <f>IFERROR((((VLOOKUP($BD6,'Packaging cost'!A:C,3,FALSE))*'Country File'!$P$2)),"tbc")</f>
        <v>50</v>
      </c>
      <c r="BC6" s="637">
        <f>IFERROR((BA6*BB6),0)</f>
        <v>50</v>
      </c>
      <c r="BD6" s="872" t="s">
        <v>1030</v>
      </c>
      <c r="BE6" s="873">
        <f>IFERROR(VLOOKUP(BD6,'Common IDs'!A:C,3,FALSE),"not assigned yet")</f>
        <v>7600000600503</v>
      </c>
      <c r="BF6" s="744">
        <f>L6+S6+Z6+AG6+AN6+$BC6</f>
        <v>14050</v>
      </c>
      <c r="BG6" s="654">
        <f>M6+T6+AA6+AH6+AO6+$BC6</f>
        <v>14050</v>
      </c>
      <c r="BH6" s="654">
        <f>N6+U6+AB6+AI6+AP6+$BC6</f>
        <v>9150</v>
      </c>
    </row>
    <row r="7" spans="1:84" ht="15.75" thickBot="1" x14ac:dyDescent="0.3">
      <c r="A7" s="101" t="s">
        <v>1031</v>
      </c>
      <c r="B7" s="464" t="s">
        <v>1031</v>
      </c>
      <c r="C7" s="495"/>
      <c r="D7" s="496"/>
      <c r="E7" s="496"/>
      <c r="F7" s="496"/>
      <c r="G7" s="496"/>
      <c r="H7" s="254">
        <v>1</v>
      </c>
      <c r="I7" s="685">
        <f>((VLOOKUP($A7,'pricing overview all products'!$A:$B,2,FALSE))*'Country File'!$T$2)*'Country File'!$P$2</f>
        <v>16500</v>
      </c>
      <c r="J7" s="685">
        <f>((VLOOKUP($A7,'pricing overview all products'!$A:$B,2,FALSE))*'Country File'!$T$3)*'Country File'!$P$2</f>
        <v>16500</v>
      </c>
      <c r="K7" s="636">
        <f>(((VLOOKUP($A7,'pricing overview all products'!$A:$B,2,FALSE))*'Country File'!$T$2)*'Country File'!$P$2)*(1-'Applied Discounts'!$C$17)</f>
        <v>10725</v>
      </c>
      <c r="L7" s="685">
        <f t="shared" ref="L7:M16" si="2">$H7*I7</f>
        <v>16500</v>
      </c>
      <c r="M7" s="685">
        <f t="shared" si="2"/>
        <v>16500</v>
      </c>
      <c r="N7" s="685">
        <f t="shared" ref="N7:N32" si="3">$H7*K7</f>
        <v>10725</v>
      </c>
      <c r="O7" s="874">
        <v>0</v>
      </c>
      <c r="P7" s="685" t="str">
        <f>IFERROR((((VLOOKUP($A7,'pricing overview all products'!$A$1:$M$55,6,FALSE))*'Country File'!$T$2)*'Country File'!$P$2),"N/A")</f>
        <v>N/A</v>
      </c>
      <c r="Q7" s="685" t="str">
        <f>IFERROR((((VLOOKUP($A7,'pricing overview all products'!$A$1:$M$55,6,FALSE))*'Country File'!$T$3)*'Country File'!$P$2),"N/A")</f>
        <v>N/A</v>
      </c>
      <c r="R7" s="685" t="str">
        <f>IFERROR((((VLOOKUP($A7,'pricing overview all products'!$A$1:$M$55,6,FALSE))*'Country File'!$T$2)*'Country File'!$P$2),"N/A")</f>
        <v>N/A</v>
      </c>
      <c r="S7" s="681">
        <f t="shared" si="0"/>
        <v>0</v>
      </c>
      <c r="T7" s="681">
        <f t="shared" si="0"/>
        <v>0</v>
      </c>
      <c r="U7" s="854">
        <f t="shared" si="0"/>
        <v>0</v>
      </c>
      <c r="V7" s="874">
        <v>0</v>
      </c>
      <c r="W7" s="685" t="str">
        <f>IFERROR((((VLOOKUP($A7,'pricing overview all products'!$A$1:$M$55,4,FALSE))*'Country File'!$T$2)*'Country File'!$P$2),"N/A")</f>
        <v>N/A</v>
      </c>
      <c r="X7" s="685" t="str">
        <f>IFERROR((((VLOOKUP($A7,'pricing overview all products'!$A$1:$M$55,4,FALSE))*'Country File'!$T$3)*'Country File'!$P$2),"N/A")</f>
        <v>N/A</v>
      </c>
      <c r="Y7" s="685" t="e">
        <f>IFERROR((((VLOOKUP($A7,'pricing overview all products'!$A$1:$M$55,4,FALSE))*'Country File'!$T$2)*'Country File'!$P$2),"N/A")*(1-#REF!)</f>
        <v>#VALUE!</v>
      </c>
      <c r="Z7" s="685">
        <f t="shared" ref="Z7:AB16" si="4">IFERROR(($V7*W7),0)</f>
        <v>0</v>
      </c>
      <c r="AA7" s="685">
        <f t="shared" si="4"/>
        <v>0</v>
      </c>
      <c r="AB7" s="875">
        <f t="shared" si="4"/>
        <v>0</v>
      </c>
      <c r="AC7" s="874">
        <v>0</v>
      </c>
      <c r="AD7" s="685" t="str">
        <f>IFERROR((((VLOOKUP($A7,'pricing overview all products'!$A$1:$M$55,8,FALSE))*'Country File'!$T$2)*'Country File'!$P$2),"N/A")</f>
        <v>N/A</v>
      </c>
      <c r="AE7" s="685" t="str">
        <f>IFERROR((((VLOOKUP($A7,'pricing overview all products'!$A$1:$M$55,8,FALSE))*'Country File'!$T$3)*'Country File'!$P$2),"N/A")</f>
        <v>N/A</v>
      </c>
      <c r="AF7" s="685" t="str">
        <f>IFERROR((((VLOOKUP($A7,'pricing overview all products'!$A$1:$M$55,8,FALSE))*'Country File'!$T$2)*'Country File'!$P$2)*(1-#REF!),"N/A")</f>
        <v>N/A</v>
      </c>
      <c r="AG7" s="685">
        <f t="shared" ref="AG7:AI16" si="5">IFERROR(($AC7*AD7),0)</f>
        <v>0</v>
      </c>
      <c r="AH7" s="685">
        <f t="shared" si="5"/>
        <v>0</v>
      </c>
      <c r="AI7" s="875">
        <f t="shared" si="5"/>
        <v>0</v>
      </c>
      <c r="AJ7" s="874">
        <v>0</v>
      </c>
      <c r="AK7" s="685" t="str">
        <f>IFERROR((((VLOOKUP($A7,'pricing overview all products'!$A$1:$M$55,10,FALSE))*'Country File'!$T$2)*'Country File'!$P$2),"N/A")</f>
        <v>N/A</v>
      </c>
      <c r="AL7" s="685" t="str">
        <f>IFERROR((((VLOOKUP($A7,'pricing overview all products'!$A$1:$M$55,10,FALSE))*'Country File'!$T$3)*'Country File'!$P$2),"N/A")</f>
        <v>N/A</v>
      </c>
      <c r="AM7" s="685" t="str">
        <f>IFERROR((((VLOOKUP($A7,'pricing overview all products'!$A$1:$M$55,10,FALSE))*'Country File'!$T$2)*'Country File'!$P$2)*(1-#REF!),"N/A")</f>
        <v>N/A</v>
      </c>
      <c r="AN7" s="685">
        <f t="shared" ref="AN7:AP16" si="6">IFERROR(($AJ7*AK7),0)</f>
        <v>0</v>
      </c>
      <c r="AO7" s="685">
        <f t="shared" si="6"/>
        <v>0</v>
      </c>
      <c r="AP7" s="794">
        <f t="shared" si="6"/>
        <v>0</v>
      </c>
      <c r="AQ7" s="876">
        <v>0</v>
      </c>
      <c r="AR7" s="877" t="str">
        <f>IFERROR((((VLOOKUP($A7,'pricing overview all products'!$A$1:$N$55,12,FALSE))*'Country File'!$T$2)*'Country File'!$P$2),"N/A")</f>
        <v>N/A</v>
      </c>
      <c r="AS7" s="878">
        <f t="shared" ref="AS7:AS16" si="7">IFERROR((AQ7*AR7),0)</f>
        <v>0</v>
      </c>
      <c r="AT7" s="879">
        <v>0</v>
      </c>
      <c r="AU7" s="877" t="str">
        <f>IFERROR((((VLOOKUP($A7,'pricing overview all products'!$A$1:$N$55,14,FALSE))*'Country File'!$T$2)*'Country File'!$P$2),"N/A")</f>
        <v>N/A</v>
      </c>
      <c r="AV7" s="878">
        <f t="shared" ref="AV7:AV16" si="8">IFERROR((AT7*AU7),0)</f>
        <v>0</v>
      </c>
      <c r="AW7" s="880">
        <v>0</v>
      </c>
      <c r="AX7" s="881" t="s">
        <v>1411</v>
      </c>
      <c r="AY7" s="882"/>
      <c r="AZ7" s="883">
        <f t="shared" ref="AZ7:AZ16" si="9">IFERROR((AX7*AY7),0)</f>
        <v>0</v>
      </c>
      <c r="BA7" s="784">
        <f t="shared" si="1"/>
        <v>1</v>
      </c>
      <c r="BB7" s="885">
        <f>IFERROR((((VLOOKUP($BD7,'Packaging cost'!A:C,3,FALSE))*'Country File'!$P$2)),"tbc")</f>
        <v>50</v>
      </c>
      <c r="BC7" s="682">
        <f t="shared" ref="BC7:BC16" si="10">IFERROR((BA7*BB7),0)</f>
        <v>50</v>
      </c>
      <c r="BD7" s="886" t="s">
        <v>1031</v>
      </c>
      <c r="BE7" s="887">
        <f>IFERROR(VLOOKUP(BD7,'Common IDs'!A:C,3,FALSE),"not assigned yet")</f>
        <v>7600000600504</v>
      </c>
      <c r="BF7" s="767">
        <f t="shared" ref="BF7:BH16" si="11">L7+S7+Z7+AG7+AN7+$BC7</f>
        <v>16550</v>
      </c>
      <c r="BG7" s="735">
        <f t="shared" si="11"/>
        <v>16550</v>
      </c>
      <c r="BH7" s="735">
        <f t="shared" si="11"/>
        <v>10775</v>
      </c>
    </row>
    <row r="8" spans="1:84" ht="15.75" thickBot="1" x14ac:dyDescent="0.3">
      <c r="A8" s="112" t="s">
        <v>1032</v>
      </c>
      <c r="B8" s="99" t="s">
        <v>1032</v>
      </c>
      <c r="C8" s="494"/>
      <c r="D8" s="97"/>
      <c r="E8" s="97"/>
      <c r="F8" s="97"/>
      <c r="G8" s="97"/>
      <c r="H8" s="508">
        <v>1</v>
      </c>
      <c r="I8" s="768">
        <f>((VLOOKUP($A8,'pricing overview all products'!$A:$B,2,FALSE))*'Country File'!$T$2)*'Country File'!$P$2</f>
        <v>25450</v>
      </c>
      <c r="J8" s="768">
        <f>((VLOOKUP($A8,'pricing overview all products'!$A:$B,2,FALSE))*'Country File'!$T$3)*'Country File'!$P$2</f>
        <v>25450</v>
      </c>
      <c r="K8" s="636">
        <f>(((VLOOKUP($A8,'pricing overview all products'!$A:$B,2,FALSE))*'Country File'!$T$2)*'Country File'!$P$2)*(1-'Applied Discounts'!$C$17)</f>
        <v>16542.5</v>
      </c>
      <c r="L8" s="888">
        <f>$H8*I8</f>
        <v>25450</v>
      </c>
      <c r="M8" s="768">
        <f t="shared" si="2"/>
        <v>25450</v>
      </c>
      <c r="N8" s="888">
        <f t="shared" si="3"/>
        <v>16542.5</v>
      </c>
      <c r="O8" s="862">
        <v>0</v>
      </c>
      <c r="P8" s="661" t="str">
        <f>IFERROR((((VLOOKUP($A8,'pricing overview all products'!$A$1:$M$55,6,FALSE))*'Country File'!$T$2)*'Country File'!$P$2),"N/A")</f>
        <v>N/A</v>
      </c>
      <c r="Q8" s="661" t="str">
        <f>IFERROR((((VLOOKUP($A8,'pricing overview all products'!$A$1:$M$55,6,FALSE))*'Country File'!$T$3)*'Country File'!$P$2),"N/A")</f>
        <v>N/A</v>
      </c>
      <c r="R8" s="661" t="str">
        <f>IFERROR((((VLOOKUP($A8,'pricing overview all products'!$A$1:$M$55,6,FALSE))*'Country File'!$T$2)*'Country File'!$P$2),"N/A")</f>
        <v>N/A</v>
      </c>
      <c r="S8" s="863">
        <f t="shared" si="0"/>
        <v>0</v>
      </c>
      <c r="T8" s="863">
        <f t="shared" si="0"/>
        <v>0</v>
      </c>
      <c r="U8" s="864">
        <f t="shared" ref="U8:U16" si="12">IFERROR((O8*R8),0)</f>
        <v>0</v>
      </c>
      <c r="V8" s="862">
        <v>0</v>
      </c>
      <c r="W8" s="661" t="str">
        <f>IFERROR((((VLOOKUP($A8,'pricing overview all products'!$A$1:$M$55,4,FALSE))*'Country File'!$T$2)*'Country File'!$P$2),"N/A")</f>
        <v>N/A</v>
      </c>
      <c r="X8" s="661" t="str">
        <f>IFERROR((((VLOOKUP($A8,'pricing overview all products'!$A$1:$M$55,4,FALSE))*'Country File'!$T$3)*'Country File'!$P$2),"N/A")</f>
        <v>N/A</v>
      </c>
      <c r="Y8" s="661" t="e">
        <f>IFERROR((((VLOOKUP($A8,'pricing overview all products'!$A$1:$M$55,4,FALSE))*'Country File'!$T$2)*'Country File'!$P$2),"N/A")*(1-#REF!)</f>
        <v>#VALUE!</v>
      </c>
      <c r="Z8" s="661">
        <f t="shared" si="4"/>
        <v>0</v>
      </c>
      <c r="AA8" s="661">
        <f t="shared" si="4"/>
        <v>0</v>
      </c>
      <c r="AB8" s="865">
        <f t="shared" si="4"/>
        <v>0</v>
      </c>
      <c r="AC8" s="862">
        <v>0</v>
      </c>
      <c r="AD8" s="661" t="str">
        <f>IFERROR((((VLOOKUP($A8,'pricing overview all products'!$A$1:$M$55,8,FALSE))*'Country File'!$T$2)*'Country File'!$P$2),"N/A")</f>
        <v>N/A</v>
      </c>
      <c r="AE8" s="661" t="str">
        <f>IFERROR((((VLOOKUP($A8,'pricing overview all products'!$A$1:$M$55,8,FALSE))*'Country File'!$T$3)*'Country File'!$P$2),"N/A")</f>
        <v>N/A</v>
      </c>
      <c r="AF8" s="661" t="str">
        <f>IFERROR((((VLOOKUP($A8,'pricing overview all products'!$A$1:$M$55,8,FALSE))*'Country File'!$T$2)*'Country File'!$P$2)*(1-#REF!),"N/A")</f>
        <v>N/A</v>
      </c>
      <c r="AG8" s="661">
        <f t="shared" si="5"/>
        <v>0</v>
      </c>
      <c r="AH8" s="661">
        <f t="shared" si="5"/>
        <v>0</v>
      </c>
      <c r="AI8" s="865">
        <f t="shared" si="5"/>
        <v>0</v>
      </c>
      <c r="AJ8" s="862">
        <v>0</v>
      </c>
      <c r="AK8" s="661" t="str">
        <f>IFERROR((((VLOOKUP($A8,'pricing overview all products'!$A$1:$M$55,10,FALSE))*'Country File'!$T$2)*'Country File'!$P$2),"N/A")</f>
        <v>N/A</v>
      </c>
      <c r="AL8" s="661" t="str">
        <f>IFERROR((((VLOOKUP($A8,'pricing overview all products'!$A$1:$M$55,10,FALSE))*'Country File'!$T$3)*'Country File'!$P$2),"N/A")</f>
        <v>N/A</v>
      </c>
      <c r="AM8" s="661" t="str">
        <f>IFERROR((((VLOOKUP($A8,'pricing overview all products'!$A$1:$M$55,10,FALSE))*'Country File'!$T$2)*'Country File'!$P$2)*(1-#REF!),"N/A")</f>
        <v>N/A</v>
      </c>
      <c r="AN8" s="661">
        <f t="shared" si="6"/>
        <v>0</v>
      </c>
      <c r="AO8" s="661">
        <f t="shared" si="6"/>
        <v>0</v>
      </c>
      <c r="AP8" s="782">
        <f t="shared" si="6"/>
        <v>0</v>
      </c>
      <c r="AQ8" s="889">
        <v>0</v>
      </c>
      <c r="AR8" s="890" t="str">
        <f>IFERROR((((VLOOKUP($A8,'pricing overview all products'!$A$1:$N$55,12,FALSE))*'Country File'!$T$2)*'Country File'!$P$2),"N/A")</f>
        <v>N/A</v>
      </c>
      <c r="AS8" s="665">
        <f t="shared" si="7"/>
        <v>0</v>
      </c>
      <c r="AT8" s="785">
        <v>0</v>
      </c>
      <c r="AU8" s="890" t="str">
        <f>IFERROR((((VLOOKUP($A8,'pricing overview all products'!$A$1:$N$55,14,FALSE))*'Country File'!$T$2)*'Country File'!$P$2),"N/A")</f>
        <v>N/A</v>
      </c>
      <c r="AV8" s="665">
        <f t="shared" si="8"/>
        <v>0</v>
      </c>
      <c r="AW8" s="891">
        <v>0</v>
      </c>
      <c r="AX8" s="892" t="s">
        <v>1415</v>
      </c>
      <c r="AY8" s="893"/>
      <c r="AZ8" s="670">
        <f t="shared" si="9"/>
        <v>0</v>
      </c>
      <c r="BA8" s="772">
        <f t="shared" si="1"/>
        <v>1</v>
      </c>
      <c r="BB8" s="871">
        <f>IFERROR((((VLOOKUP($BD8,'Packaging cost'!A:C,3,FALSE))*'Country File'!$P$2)),"tbc")</f>
        <v>130</v>
      </c>
      <c r="BC8" s="637">
        <f t="shared" si="10"/>
        <v>130</v>
      </c>
      <c r="BD8" s="894" t="s">
        <v>1032</v>
      </c>
      <c r="BE8" s="873">
        <f>IFERROR(VLOOKUP(BD8,'Common IDs'!A:C,3,FALSE),"not assigned yet")</f>
        <v>7600000600020</v>
      </c>
      <c r="BF8" s="843">
        <f t="shared" si="11"/>
        <v>25580</v>
      </c>
      <c r="BG8" s="674">
        <f t="shared" si="11"/>
        <v>25580</v>
      </c>
      <c r="BH8" s="895">
        <f t="shared" si="11"/>
        <v>16672.5</v>
      </c>
    </row>
    <row r="9" spans="1:84" ht="15.75" thickBot="1" x14ac:dyDescent="0.3">
      <c r="A9" s="107" t="s">
        <v>1033</v>
      </c>
      <c r="B9" s="99" t="s">
        <v>1033</v>
      </c>
      <c r="C9" s="100"/>
      <c r="D9" s="97"/>
      <c r="E9" s="97"/>
      <c r="F9" s="97"/>
      <c r="G9" s="97"/>
      <c r="H9" s="240">
        <v>1</v>
      </c>
      <c r="I9" s="662">
        <f>((VLOOKUP($A9,'pricing overview all products'!$A:$B,2,FALSE))*'Country File'!$T$2)*'Country File'!$P$2</f>
        <v>27850</v>
      </c>
      <c r="J9" s="662">
        <f>((VLOOKUP($A9,'pricing overview all products'!$A:$B,2,FALSE))*'Country File'!$T$3)*'Country File'!$P$2</f>
        <v>27850</v>
      </c>
      <c r="K9" s="636">
        <f>(((VLOOKUP($A9,'pricing overview all products'!$A:$B,2,FALSE))*'Country File'!$T$2)*'Country File'!$P$2)*(1-'Applied Discounts'!$C$17)</f>
        <v>18102.5</v>
      </c>
      <c r="L9" s="888">
        <f>$H9*I9</f>
        <v>27850</v>
      </c>
      <c r="M9" s="662">
        <f t="shared" si="2"/>
        <v>27850</v>
      </c>
      <c r="N9" s="888">
        <f t="shared" si="3"/>
        <v>18102.5</v>
      </c>
      <c r="O9" s="896">
        <v>0</v>
      </c>
      <c r="P9" s="662" t="str">
        <f>IFERROR((((VLOOKUP($A9,'pricing overview all products'!$A$1:$M$55,6,FALSE))*'Country File'!$T$2)*'Country File'!$P$2),"N/A")</f>
        <v>N/A</v>
      </c>
      <c r="Q9" s="662" t="str">
        <f>IFERROR((((VLOOKUP($A9,'pricing overview all products'!$A$1:$M$55,6,FALSE))*'Country File'!$T$3)*'Country File'!$P$2),"N/A")</f>
        <v>N/A</v>
      </c>
      <c r="R9" s="661" t="str">
        <f>IFERROR((((VLOOKUP($A9,'pricing overview all products'!$A$1:$M$55,6,FALSE))*'Country File'!$T$2)*'Country File'!$P$2),"N/A")</f>
        <v>N/A</v>
      </c>
      <c r="S9" s="656">
        <f t="shared" si="0"/>
        <v>0</v>
      </c>
      <c r="T9" s="656">
        <f t="shared" si="0"/>
        <v>0</v>
      </c>
      <c r="U9" s="840">
        <f t="shared" si="12"/>
        <v>0</v>
      </c>
      <c r="V9" s="896">
        <v>0</v>
      </c>
      <c r="W9" s="662" t="str">
        <f>IFERROR((((VLOOKUP($A9,'pricing overview all products'!$A$1:$M$55,4,FALSE))*'Country File'!$T$2)*'Country File'!$P$2),"N/A")</f>
        <v>N/A</v>
      </c>
      <c r="X9" s="662" t="str">
        <f>IFERROR((((VLOOKUP($A9,'pricing overview all products'!$A$1:$M$55,4,FALSE))*'Country File'!$T$3)*'Country File'!$P$2),"N/A")</f>
        <v>N/A</v>
      </c>
      <c r="Y9" s="662" t="e">
        <f>IFERROR((((VLOOKUP($A9,'pricing overview all products'!$A$1:$M$55,4,FALSE))*'Country File'!$T$2)*'Country File'!$P$2),"N/A")*(1-#REF!)</f>
        <v>#VALUE!</v>
      </c>
      <c r="Z9" s="662">
        <f t="shared" si="4"/>
        <v>0</v>
      </c>
      <c r="AA9" s="662">
        <f t="shared" si="4"/>
        <v>0</v>
      </c>
      <c r="AB9" s="897">
        <f t="shared" si="4"/>
        <v>0</v>
      </c>
      <c r="AC9" s="896">
        <v>0</v>
      </c>
      <c r="AD9" s="662" t="str">
        <f>IFERROR((((VLOOKUP($A9,'pricing overview all products'!$A$1:$M$55,8,FALSE))*'Country File'!$T$2)*'Country File'!$P$2),"N/A")</f>
        <v>N/A</v>
      </c>
      <c r="AE9" s="662" t="str">
        <f>IFERROR((((VLOOKUP($A9,'pricing overview all products'!$A$1:$M$55,8,FALSE))*'Country File'!$T$3)*'Country File'!$P$2),"N/A")</f>
        <v>N/A</v>
      </c>
      <c r="AF9" s="662" t="str">
        <f>IFERROR((((VLOOKUP($A9,'pricing overview all products'!$A$1:$M$55,8,FALSE))*'Country File'!$T$2)*'Country File'!$P$2)*(1-#REF!),"N/A")</f>
        <v>N/A</v>
      </c>
      <c r="AG9" s="662">
        <f t="shared" si="5"/>
        <v>0</v>
      </c>
      <c r="AH9" s="662">
        <f t="shared" si="5"/>
        <v>0</v>
      </c>
      <c r="AI9" s="897">
        <f t="shared" si="5"/>
        <v>0</v>
      </c>
      <c r="AJ9" s="896">
        <v>0</v>
      </c>
      <c r="AK9" s="662" t="str">
        <f>IFERROR((((VLOOKUP($A9,'pricing overview all products'!$A$1:$M$55,10,FALSE))*'Country File'!$T$2)*'Country File'!$P$2),"N/A")</f>
        <v>N/A</v>
      </c>
      <c r="AL9" s="662" t="str">
        <f>IFERROR((((VLOOKUP($A9,'pricing overview all products'!$A$1:$M$55,10,FALSE))*'Country File'!$T$3)*'Country File'!$P$2),"N/A")</f>
        <v>N/A</v>
      </c>
      <c r="AM9" s="662" t="str">
        <f>IFERROR((((VLOOKUP($A9,'pricing overview all products'!$A$1:$M$55,10,FALSE))*'Country File'!$T$2)*'Country File'!$P$2)*(1-#REF!),"N/A")</f>
        <v>N/A</v>
      </c>
      <c r="AN9" s="662">
        <f t="shared" si="6"/>
        <v>0</v>
      </c>
      <c r="AO9" s="662">
        <f t="shared" si="6"/>
        <v>0</v>
      </c>
      <c r="AP9" s="780">
        <f t="shared" si="6"/>
        <v>0</v>
      </c>
      <c r="AQ9" s="889">
        <v>0</v>
      </c>
      <c r="AR9" s="890" t="str">
        <f>IFERROR((((VLOOKUP($A9,'pricing overview all products'!$A$1:$N$55,12,FALSE))*'Country File'!$T$2)*'Country File'!$P$2),"N/A")</f>
        <v>N/A</v>
      </c>
      <c r="AS9" s="665">
        <f t="shared" si="7"/>
        <v>0</v>
      </c>
      <c r="AT9" s="785">
        <v>0</v>
      </c>
      <c r="AU9" s="890" t="str">
        <f>IFERROR((((VLOOKUP($A9,'pricing overview all products'!$A$1:$N$55,14,FALSE))*'Country File'!$T$2)*'Country File'!$P$2),"N/A")</f>
        <v>N/A</v>
      </c>
      <c r="AV9" s="665">
        <f t="shared" si="8"/>
        <v>0</v>
      </c>
      <c r="AW9" s="898">
        <v>0</v>
      </c>
      <c r="AX9" s="899" t="s">
        <v>1411</v>
      </c>
      <c r="AY9" s="900"/>
      <c r="AZ9" s="670">
        <f t="shared" si="9"/>
        <v>0</v>
      </c>
      <c r="BA9" s="901">
        <f t="shared" si="1"/>
        <v>1</v>
      </c>
      <c r="BB9" s="902">
        <f>IFERROR((((VLOOKUP($BD9,'Packaging cost'!A:C,3,FALSE))*'Country File'!$P$2)),"tbc")</f>
        <v>130</v>
      </c>
      <c r="BC9" s="657">
        <f t="shared" si="10"/>
        <v>130</v>
      </c>
      <c r="BD9" s="903" t="s">
        <v>1033</v>
      </c>
      <c r="BE9" s="904">
        <f>IFERROR(VLOOKUP(BD9,'Common IDs'!A:C,3,FALSE),"not assigned yet")</f>
        <v>7600000600021</v>
      </c>
      <c r="BF9" s="843">
        <f>L9+S9+Z9+AG9+AN9+$BC9</f>
        <v>27980</v>
      </c>
      <c r="BG9" s="674">
        <f t="shared" si="11"/>
        <v>27980</v>
      </c>
      <c r="BH9" s="895">
        <f t="shared" si="11"/>
        <v>18232.5</v>
      </c>
    </row>
    <row r="10" spans="1:84" ht="15.75" thickBot="1" x14ac:dyDescent="0.3">
      <c r="A10" s="497" t="s">
        <v>1034</v>
      </c>
      <c r="B10" s="369" t="s">
        <v>1034</v>
      </c>
      <c r="C10" s="498"/>
      <c r="D10" s="370"/>
      <c r="E10" s="370"/>
      <c r="F10" s="370"/>
      <c r="G10" s="370"/>
      <c r="H10" s="371">
        <v>1</v>
      </c>
      <c r="I10" s="662">
        <f>((VLOOKUP($A10,'pricing overview all products'!$A:$B,2,FALSE))*'Country File'!$T$2)*'Country File'!$P$2</f>
        <v>30450</v>
      </c>
      <c r="J10" s="888">
        <f>((VLOOKUP($A10,'pricing overview all products'!$A:$B,2,FALSE))*'Country File'!$T$3)*'Country File'!$P$2</f>
        <v>30450</v>
      </c>
      <c r="K10" s="636">
        <f>(((VLOOKUP($A10,'pricing overview all products'!$A:$B,2,FALSE))*'Country File'!$T$2)*'Country File'!$P$2)*(1-'Applied Discounts'!$C$17)</f>
        <v>19792.5</v>
      </c>
      <c r="L10" s="888">
        <f t="shared" si="2"/>
        <v>30450</v>
      </c>
      <c r="M10" s="888">
        <f t="shared" si="2"/>
        <v>30450</v>
      </c>
      <c r="N10" s="888">
        <f t="shared" si="3"/>
        <v>19792.5</v>
      </c>
      <c r="O10" s="905">
        <v>0</v>
      </c>
      <c r="P10" s="888" t="str">
        <f>IFERROR((((VLOOKUP($A10,'pricing overview all products'!$A$1:$M$55,6,FALSE))*'Country File'!$T$2)*'Country File'!$P$2),"N/A")</f>
        <v>N/A</v>
      </c>
      <c r="Q10" s="888" t="str">
        <f>IFERROR((((VLOOKUP($A10,'pricing overview all products'!$A$1:$M$55,6,FALSE))*'Country File'!$T$3)*'Country File'!$P$2),"N/A")</f>
        <v>N/A</v>
      </c>
      <c r="R10" s="661" t="str">
        <f>IFERROR((((VLOOKUP($A10,'pricing overview all products'!$A$1:$M$55,6,FALSE))*'Country File'!$T$2)*'Country File'!$P$2),"N/A")</f>
        <v>N/A</v>
      </c>
      <c r="S10" s="906">
        <f t="shared" si="0"/>
        <v>0</v>
      </c>
      <c r="T10" s="906">
        <f t="shared" si="0"/>
        <v>0</v>
      </c>
      <c r="U10" s="907">
        <f t="shared" si="12"/>
        <v>0</v>
      </c>
      <c r="V10" s="905">
        <v>0</v>
      </c>
      <c r="W10" s="888" t="str">
        <f>IFERROR((((VLOOKUP($A10,'pricing overview all products'!$A$1:$M$55,4,FALSE))*'Country File'!$T$2)*'Country File'!$P$2),"N/A")</f>
        <v>N/A</v>
      </c>
      <c r="X10" s="888" t="str">
        <f>IFERROR((((VLOOKUP($A10,'pricing overview all products'!$A$1:$M$55,4,FALSE))*'Country File'!$T$3)*'Country File'!$P$2),"N/A")</f>
        <v>N/A</v>
      </c>
      <c r="Y10" s="888" t="e">
        <f>IFERROR((((VLOOKUP($A10,'pricing overview all products'!$A$1:$M$55,4,FALSE))*'Country File'!$T$2)*'Country File'!$P$2),"N/A")*(1-#REF!)</f>
        <v>#VALUE!</v>
      </c>
      <c r="Z10" s="888">
        <f t="shared" si="4"/>
        <v>0</v>
      </c>
      <c r="AA10" s="888">
        <f t="shared" si="4"/>
        <v>0</v>
      </c>
      <c r="AB10" s="908">
        <f t="shared" si="4"/>
        <v>0</v>
      </c>
      <c r="AC10" s="905">
        <v>0</v>
      </c>
      <c r="AD10" s="888" t="str">
        <f>IFERROR((((VLOOKUP($A10,'pricing overview all products'!$A$1:$M$55,8,FALSE))*'Country File'!$T$2)*'Country File'!$P$2),"N/A")</f>
        <v>N/A</v>
      </c>
      <c r="AE10" s="888" t="str">
        <f>IFERROR((((VLOOKUP($A10,'pricing overview all products'!$A$1:$M$55,8,FALSE))*'Country File'!$T$3)*'Country File'!$P$2),"N/A")</f>
        <v>N/A</v>
      </c>
      <c r="AF10" s="888" t="str">
        <f>IFERROR((((VLOOKUP($A10,'pricing overview all products'!$A$1:$M$55,8,FALSE))*'Country File'!$T$2)*'Country File'!$P$2)*(1-#REF!),"N/A")</f>
        <v>N/A</v>
      </c>
      <c r="AG10" s="888">
        <f t="shared" si="5"/>
        <v>0</v>
      </c>
      <c r="AH10" s="888">
        <f t="shared" si="5"/>
        <v>0</v>
      </c>
      <c r="AI10" s="908">
        <f t="shared" si="5"/>
        <v>0</v>
      </c>
      <c r="AJ10" s="905">
        <v>0</v>
      </c>
      <c r="AK10" s="888" t="str">
        <f>IFERROR((((VLOOKUP($A10,'pricing overview all products'!$A$1:$M$55,10,FALSE))*'Country File'!$T$2)*'Country File'!$P$2),"N/A")</f>
        <v>N/A</v>
      </c>
      <c r="AL10" s="888" t="str">
        <f>IFERROR((((VLOOKUP($A10,'pricing overview all products'!$A$1:$M$55,10,FALSE))*'Country File'!$T$3)*'Country File'!$P$2),"N/A")</f>
        <v>N/A</v>
      </c>
      <c r="AM10" s="888" t="str">
        <f>IFERROR((((VLOOKUP($A10,'pricing overview all products'!$A$1:$M$55,10,FALSE))*'Country File'!$T$2)*'Country File'!$P$2)*(1-#REF!),"N/A")</f>
        <v>N/A</v>
      </c>
      <c r="AN10" s="888">
        <f t="shared" si="6"/>
        <v>0</v>
      </c>
      <c r="AO10" s="888">
        <f t="shared" si="6"/>
        <v>0</v>
      </c>
      <c r="AP10" s="909">
        <f t="shared" si="6"/>
        <v>0</v>
      </c>
      <c r="AQ10" s="910">
        <v>0</v>
      </c>
      <c r="AR10" s="911" t="str">
        <f>IFERROR((((VLOOKUP($A10,'pricing overview all products'!$A$1:$N$55,12,FALSE))*'Country File'!$T$2)*'Country File'!$P$2),"N/A")</f>
        <v>N/A</v>
      </c>
      <c r="AS10" s="912">
        <f t="shared" si="7"/>
        <v>0</v>
      </c>
      <c r="AT10" s="913">
        <v>0</v>
      </c>
      <c r="AU10" s="911" t="str">
        <f>IFERROR((((VLOOKUP($A10,'pricing overview all products'!$A$1:$N$55,14,FALSE))*'Country File'!$T$2)*'Country File'!$P$2),"N/A")</f>
        <v>N/A</v>
      </c>
      <c r="AV10" s="912">
        <f t="shared" si="8"/>
        <v>0</v>
      </c>
      <c r="AW10" s="914">
        <v>0</v>
      </c>
      <c r="AX10" s="915" t="s">
        <v>1411</v>
      </c>
      <c r="AY10" s="916"/>
      <c r="AZ10" s="917">
        <f t="shared" si="9"/>
        <v>0</v>
      </c>
      <c r="BA10" s="918">
        <f t="shared" si="1"/>
        <v>1</v>
      </c>
      <c r="BB10" s="902">
        <f>IFERROR((((VLOOKUP($BD10,'Packaging cost'!A:C,3,FALSE))*'Country File'!$P$2)),"tbc")</f>
        <v>130</v>
      </c>
      <c r="BC10" s="919">
        <f t="shared" si="10"/>
        <v>130</v>
      </c>
      <c r="BD10" s="920" t="s">
        <v>1034</v>
      </c>
      <c r="BE10" s="904">
        <f>IFERROR(VLOOKUP(BD10,'Common IDs'!A:C,3,FALSE),"not assigned yet")</f>
        <v>7600000600022</v>
      </c>
      <c r="BF10" s="921">
        <f t="shared" si="11"/>
        <v>30580</v>
      </c>
      <c r="BG10" s="922">
        <f t="shared" si="11"/>
        <v>30580</v>
      </c>
      <c r="BH10" s="923">
        <f t="shared" si="11"/>
        <v>19922.5</v>
      </c>
    </row>
    <row r="11" spans="1:84" ht="15.75" thickBot="1" x14ac:dyDescent="0.3">
      <c r="A11" s="499" t="s">
        <v>1035</v>
      </c>
      <c r="B11" s="500" t="s">
        <v>1035</v>
      </c>
      <c r="C11" s="189"/>
      <c r="D11" s="451"/>
      <c r="E11" s="451"/>
      <c r="F11" s="451"/>
      <c r="G11" s="451"/>
      <c r="H11" s="254">
        <v>1</v>
      </c>
      <c r="I11" s="685">
        <f>((VLOOKUP($A11,'pricing overview all products'!$A:$B,2,FALSE))*'Country File'!$T$2)*'Country File'!$P$2</f>
        <v>34120</v>
      </c>
      <c r="J11" s="685">
        <f>((VLOOKUP($A11,'pricing overview all products'!$A:$B,2,FALSE))*'Country File'!$T$3)*'Country File'!$P$2</f>
        <v>34120</v>
      </c>
      <c r="K11" s="636">
        <f>(((VLOOKUP($A11,'pricing overview all products'!$A:$B,2,FALSE))*'Country File'!$T$2)*'Country File'!$P$2)*(1-'Applied Discounts'!$C$17)</f>
        <v>22178</v>
      </c>
      <c r="L11" s="685">
        <f t="shared" si="2"/>
        <v>34120</v>
      </c>
      <c r="M11" s="685">
        <f t="shared" si="2"/>
        <v>34120</v>
      </c>
      <c r="N11" s="685">
        <f t="shared" si="3"/>
        <v>22178</v>
      </c>
      <c r="O11" s="874">
        <v>0</v>
      </c>
      <c r="P11" s="685" t="str">
        <f>IFERROR((((VLOOKUP($A11,'pricing overview all products'!$A$1:$M$55,6,FALSE))*'Country File'!$T$2)*'Country File'!$P$2),"N/A")</f>
        <v>N/A</v>
      </c>
      <c r="Q11" s="685" t="str">
        <f>IFERROR((((VLOOKUP($A11,'pricing overview all products'!$A$1:$M$55,6,FALSE))*'Country File'!$T$3)*'Country File'!$P$2),"N/A")</f>
        <v>N/A</v>
      </c>
      <c r="R11" s="661" t="str">
        <f>IFERROR((((VLOOKUP($A11,'pricing overview all products'!$A$1:$M$55,6,FALSE))*'Country File'!$T$2)*'Country File'!$P$2),"N/A")</f>
        <v>N/A</v>
      </c>
      <c r="S11" s="681">
        <f t="shared" si="0"/>
        <v>0</v>
      </c>
      <c r="T11" s="681">
        <f t="shared" si="0"/>
        <v>0</v>
      </c>
      <c r="U11" s="854">
        <f t="shared" si="12"/>
        <v>0</v>
      </c>
      <c r="V11" s="874">
        <v>0</v>
      </c>
      <c r="W11" s="685" t="str">
        <f>IFERROR((((VLOOKUP($A11,'pricing overview all products'!$A$1:$M$55,4,FALSE))*'Country File'!$T$2)*'Country File'!$P$2),"N/A")</f>
        <v>N/A</v>
      </c>
      <c r="X11" s="685" t="str">
        <f>IFERROR((((VLOOKUP($A11,'pricing overview all products'!$A$1:$M$55,4,FALSE))*'Country File'!$T$3)*'Country File'!$P$2),"N/A")</f>
        <v>N/A</v>
      </c>
      <c r="Y11" s="685" t="e">
        <f>IFERROR((((VLOOKUP($A11,'pricing overview all products'!$A$1:$M$55,4,FALSE))*'Country File'!$T$2)*'Country File'!$P$2),"N/A")*(1-#REF!)</f>
        <v>#VALUE!</v>
      </c>
      <c r="Z11" s="685">
        <f t="shared" si="4"/>
        <v>0</v>
      </c>
      <c r="AA11" s="685">
        <f t="shared" si="4"/>
        <v>0</v>
      </c>
      <c r="AB11" s="875">
        <f t="shared" si="4"/>
        <v>0</v>
      </c>
      <c r="AC11" s="874">
        <v>0</v>
      </c>
      <c r="AD11" s="685" t="str">
        <f>IFERROR((((VLOOKUP($A11,'pricing overview all products'!$A$1:$M$55,8,FALSE))*'Country File'!$T$2)*'Country File'!$P$2),"N/A")</f>
        <v>N/A</v>
      </c>
      <c r="AE11" s="685" t="str">
        <f>IFERROR((((VLOOKUP($A11,'pricing overview all products'!$A$1:$M$55,8,FALSE))*'Country File'!$T$3)*'Country File'!$P$2),"N/A")</f>
        <v>N/A</v>
      </c>
      <c r="AF11" s="685" t="str">
        <f>IFERROR((((VLOOKUP($A11,'pricing overview all products'!$A$1:$M$55,8,FALSE))*'Country File'!$T$2)*'Country File'!$P$2)*(1-#REF!),"N/A")</f>
        <v>N/A</v>
      </c>
      <c r="AG11" s="685">
        <f t="shared" si="5"/>
        <v>0</v>
      </c>
      <c r="AH11" s="685">
        <f t="shared" si="5"/>
        <v>0</v>
      </c>
      <c r="AI11" s="875">
        <f t="shared" si="5"/>
        <v>0</v>
      </c>
      <c r="AJ11" s="874">
        <v>0</v>
      </c>
      <c r="AK11" s="685" t="str">
        <f>IFERROR((((VLOOKUP($A11,'pricing overview all products'!$A$1:$M$55,10,FALSE))*'Country File'!$T$2)*'Country File'!$P$2),"N/A")</f>
        <v>N/A</v>
      </c>
      <c r="AL11" s="685" t="str">
        <f>IFERROR((((VLOOKUP($A11,'pricing overview all products'!$A$1:$M$55,10,FALSE))*'Country File'!$T$3)*'Country File'!$P$2),"N/A")</f>
        <v>N/A</v>
      </c>
      <c r="AM11" s="685" t="str">
        <f>IFERROR((((VLOOKUP($A11,'pricing overview all products'!$A$1:$M$55,10,FALSE))*'Country File'!$T$2)*'Country File'!$P$2)*(1-#REF!),"N/A")</f>
        <v>N/A</v>
      </c>
      <c r="AN11" s="685">
        <f t="shared" si="6"/>
        <v>0</v>
      </c>
      <c r="AO11" s="685">
        <f t="shared" si="6"/>
        <v>0</v>
      </c>
      <c r="AP11" s="794">
        <f t="shared" si="6"/>
        <v>0</v>
      </c>
      <c r="AQ11" s="924">
        <v>0</v>
      </c>
      <c r="AR11" s="925" t="str">
        <f>IFERROR((((VLOOKUP($A11,'pricing overview all products'!$A$1:$N$55,12,FALSE))*'Country File'!$T$2)*'Country File'!$P$2),"N/A")</f>
        <v>N/A</v>
      </c>
      <c r="AS11" s="852">
        <f t="shared" si="7"/>
        <v>0</v>
      </c>
      <c r="AT11" s="799">
        <v>0</v>
      </c>
      <c r="AU11" s="925" t="str">
        <f>IFERROR((((VLOOKUP($A11,'pricing overview all products'!$A$1:$N$55,14,FALSE))*'Country File'!$T$2)*'Country File'!$P$2),"N/A")</f>
        <v>N/A</v>
      </c>
      <c r="AV11" s="852">
        <f t="shared" si="8"/>
        <v>0</v>
      </c>
      <c r="AW11" s="880">
        <v>0</v>
      </c>
      <c r="AX11" s="881"/>
      <c r="AY11" s="882"/>
      <c r="AZ11" s="926">
        <f t="shared" si="9"/>
        <v>0</v>
      </c>
      <c r="BA11" s="884">
        <f t="shared" si="1"/>
        <v>1</v>
      </c>
      <c r="BB11" s="885">
        <f>IFERROR((((VLOOKUP($BD11,'Packaging cost'!A:C,3,FALSE))*'Country File'!$P$2)),"tbc")</f>
        <v>230</v>
      </c>
      <c r="BC11" s="682">
        <f t="shared" si="10"/>
        <v>230</v>
      </c>
      <c r="BD11" s="886" t="s">
        <v>1035</v>
      </c>
      <c r="BE11" s="887">
        <f>IFERROR(VLOOKUP(BD11,'Common IDs'!A:C,3,FALSE),"not assigned yet")</f>
        <v>7600000600023</v>
      </c>
      <c r="BF11" s="858">
        <f t="shared" si="11"/>
        <v>34350</v>
      </c>
      <c r="BG11" s="697">
        <f t="shared" si="11"/>
        <v>34350</v>
      </c>
      <c r="BH11" s="927">
        <f t="shared" si="11"/>
        <v>22408</v>
      </c>
    </row>
    <row r="12" spans="1:84" ht="15.75" hidden="1" thickBot="1" x14ac:dyDescent="0.3">
      <c r="A12" s="112" t="s">
        <v>1036</v>
      </c>
      <c r="B12" s="99" t="s">
        <v>1036</v>
      </c>
      <c r="C12" s="373"/>
      <c r="D12" s="97"/>
      <c r="E12" s="97"/>
      <c r="F12" s="97"/>
      <c r="G12" s="97"/>
      <c r="H12" s="228">
        <v>1</v>
      </c>
      <c r="I12" s="661">
        <f>((VLOOKUP($A12,'pricing overview all products'!$A:$B,2,FALSE))*'Country File'!$T$2)*'Country File'!$P$2</f>
        <v>0</v>
      </c>
      <c r="J12" s="661">
        <f>((VLOOKUP($A12,'pricing overview all products'!$A:$B,2,FALSE))*'Country File'!$T$3)*'Country File'!$P$2</f>
        <v>0</v>
      </c>
      <c r="K12" s="636">
        <f>(((VLOOKUP($A12,'pricing overview all products'!$A:$B,2,FALSE))*'Country File'!$T$2)*'Country File'!$P$2)*(1-'Applied Discounts'!$C$17)</f>
        <v>0</v>
      </c>
      <c r="L12" s="661">
        <f t="shared" si="2"/>
        <v>0</v>
      </c>
      <c r="M12" s="661">
        <f t="shared" si="2"/>
        <v>0</v>
      </c>
      <c r="N12" s="661">
        <f t="shared" si="3"/>
        <v>0</v>
      </c>
      <c r="O12" s="862">
        <v>0</v>
      </c>
      <c r="P12" s="661" t="str">
        <f>IFERROR((((VLOOKUP($A12,'pricing overview all products'!$A$1:$M$55,6,FALSE))*'Country File'!$T$2)*'Country File'!$P$2),"N/A")</f>
        <v>N/A</v>
      </c>
      <c r="Q12" s="661" t="str">
        <f>IFERROR((((VLOOKUP($A12,'pricing overview all products'!$A$1:$M$55,6,FALSE))*'Country File'!$T$3)*'Country File'!$P$2),"N/A")</f>
        <v>N/A</v>
      </c>
      <c r="R12" s="661" t="str">
        <f>IFERROR((((VLOOKUP($A12,'pricing overview all products'!$A$1:$M$55,6,FALSE))*'Country File'!$T$2)*'Country File'!$P$2),"N/A")</f>
        <v>N/A</v>
      </c>
      <c r="S12" s="863">
        <f t="shared" si="0"/>
        <v>0</v>
      </c>
      <c r="T12" s="863">
        <f t="shared" si="0"/>
        <v>0</v>
      </c>
      <c r="U12" s="864">
        <f t="shared" si="12"/>
        <v>0</v>
      </c>
      <c r="V12" s="862">
        <v>0</v>
      </c>
      <c r="W12" s="661" t="str">
        <f>IFERROR((((VLOOKUP($A12,'pricing overview all products'!$A$1:$M$55,4,FALSE))*'Country File'!$T$2)*'Country File'!$P$2),"N/A")</f>
        <v>N/A</v>
      </c>
      <c r="X12" s="661" t="str">
        <f>IFERROR((((VLOOKUP($A12,'pricing overview all products'!$A$1:$M$55,4,FALSE))*'Country File'!$T$3)*'Country File'!$P$2),"N/A")</f>
        <v>N/A</v>
      </c>
      <c r="Y12" s="661" t="e">
        <f>IFERROR((((VLOOKUP($A12,'pricing overview all products'!$A$1:$M$55,4,FALSE))*'Country File'!$T$2)*'Country File'!$P$2),"N/A")*(1-#REF!)</f>
        <v>#VALUE!</v>
      </c>
      <c r="Z12" s="661">
        <f t="shared" si="4"/>
        <v>0</v>
      </c>
      <c r="AA12" s="661">
        <f t="shared" si="4"/>
        <v>0</v>
      </c>
      <c r="AB12" s="865">
        <f t="shared" si="4"/>
        <v>0</v>
      </c>
      <c r="AC12" s="862">
        <v>0</v>
      </c>
      <c r="AD12" s="661" t="str">
        <f>IFERROR((((VLOOKUP($A12,'pricing overview all products'!$A$1:$M$55,8,FALSE))*'Country File'!$T$2)*'Country File'!$P$2),"N/A")</f>
        <v>N/A</v>
      </c>
      <c r="AE12" s="661" t="str">
        <f>IFERROR((((VLOOKUP($A12,'pricing overview all products'!$A$1:$M$55,8,FALSE))*'Country File'!$T$3)*'Country File'!$P$2),"N/A")</f>
        <v>N/A</v>
      </c>
      <c r="AF12" s="661" t="str">
        <f>IFERROR((((VLOOKUP($A12,'pricing overview all products'!$A$1:$M$55,8,FALSE))*'Country File'!$T$2)*'Country File'!$P$2)*(1-#REF!),"N/A")</f>
        <v>N/A</v>
      </c>
      <c r="AG12" s="661">
        <f t="shared" si="5"/>
        <v>0</v>
      </c>
      <c r="AH12" s="661">
        <f t="shared" si="5"/>
        <v>0</v>
      </c>
      <c r="AI12" s="865">
        <f t="shared" si="5"/>
        <v>0</v>
      </c>
      <c r="AJ12" s="862">
        <v>0</v>
      </c>
      <c r="AK12" s="661" t="str">
        <f>IFERROR((((VLOOKUP($A12,'pricing overview all products'!$A$1:$M$55,10,FALSE))*'Country File'!$T$2)*'Country File'!$P$2),"N/A")</f>
        <v>N/A</v>
      </c>
      <c r="AL12" s="661" t="str">
        <f>IFERROR((((VLOOKUP($A12,'pricing overview all products'!$A$1:$M$55,10,FALSE))*'Country File'!$T$3)*'Country File'!$P$2),"N/A")</f>
        <v>N/A</v>
      </c>
      <c r="AM12" s="661" t="str">
        <f>IFERROR((((VLOOKUP($A12,'pricing overview all products'!$A$1:$M$55,10,FALSE))*'Country File'!$T$2)*'Country File'!$P$2)*(1-#REF!),"N/A")</f>
        <v>N/A</v>
      </c>
      <c r="AN12" s="661">
        <f t="shared" si="6"/>
        <v>0</v>
      </c>
      <c r="AO12" s="661">
        <f t="shared" si="6"/>
        <v>0</v>
      </c>
      <c r="AP12" s="782">
        <f t="shared" si="6"/>
        <v>0</v>
      </c>
      <c r="AQ12" s="889">
        <v>0</v>
      </c>
      <c r="AR12" s="890" t="str">
        <f>IFERROR((((VLOOKUP($A12,'pricing overview all products'!$A$1:$N$55,12,FALSE))*'Country File'!$T$2)*'Country File'!$P$2),"N/A")</f>
        <v>N/A</v>
      </c>
      <c r="AS12" s="665">
        <f t="shared" si="7"/>
        <v>0</v>
      </c>
      <c r="AT12" s="785">
        <v>0</v>
      </c>
      <c r="AU12" s="890" t="str">
        <f>IFERROR((((VLOOKUP($A12,'pricing overview all products'!$A$1:$N$55,14,FALSE))*'Country File'!$T$2)*'Country File'!$P$2),"N/A")</f>
        <v>N/A</v>
      </c>
      <c r="AV12" s="665">
        <f t="shared" si="8"/>
        <v>0</v>
      </c>
      <c r="AW12" s="891">
        <v>0</v>
      </c>
      <c r="AX12" s="892" t="s">
        <v>1415</v>
      </c>
      <c r="AY12" s="893"/>
      <c r="AZ12" s="670">
        <f t="shared" si="9"/>
        <v>0</v>
      </c>
      <c r="BA12" s="784">
        <f t="shared" si="1"/>
        <v>1</v>
      </c>
      <c r="BB12" s="928">
        <f>IFERROR((((VLOOKUP($BD12,'Packaging cost'!A:C,3,FALSE))*'Country File'!$P$2)),"tbc")</f>
        <v>0</v>
      </c>
      <c r="BC12" s="929">
        <f t="shared" si="10"/>
        <v>0</v>
      </c>
      <c r="BD12" s="894" t="s">
        <v>1036</v>
      </c>
      <c r="BE12" s="930" t="str">
        <f>IFERROR(VLOOKUP(BD12,'Common IDs'!A:C,3,FALSE),"not assigned yet")</f>
        <v>not assigned yet</v>
      </c>
      <c r="BF12" s="843">
        <f t="shared" si="11"/>
        <v>0</v>
      </c>
      <c r="BG12" s="674">
        <f t="shared" si="11"/>
        <v>0</v>
      </c>
      <c r="BH12" s="895">
        <f t="shared" si="11"/>
        <v>0</v>
      </c>
    </row>
    <row r="13" spans="1:84" ht="15.75" hidden="1" thickBot="1" x14ac:dyDescent="0.3">
      <c r="A13" s="107" t="s">
        <v>1037</v>
      </c>
      <c r="B13" s="99" t="s">
        <v>1037</v>
      </c>
      <c r="C13" s="100"/>
      <c r="D13" s="97"/>
      <c r="E13" s="97"/>
      <c r="F13" s="97"/>
      <c r="G13" s="97"/>
      <c r="H13" s="272">
        <v>1</v>
      </c>
      <c r="I13" s="662">
        <f>((VLOOKUP($A13,'pricing overview all products'!$A:$B,2,FALSE))*'Country File'!$T$2)*'Country File'!$P$2</f>
        <v>0</v>
      </c>
      <c r="J13" s="662">
        <f>((VLOOKUP($A13,'pricing overview all products'!$A:$B,2,FALSE))*'Country File'!$T$3)*'Country File'!$P$2</f>
        <v>0</v>
      </c>
      <c r="K13" s="636">
        <f>(((VLOOKUP($A13,'pricing overview all products'!$A:$B,2,FALSE))*'Country File'!$T$2)*'Country File'!$P$2)*(1-'Applied Discounts'!$C$17)</f>
        <v>0</v>
      </c>
      <c r="L13" s="662">
        <f t="shared" si="2"/>
        <v>0</v>
      </c>
      <c r="M13" s="662">
        <f t="shared" si="2"/>
        <v>0</v>
      </c>
      <c r="N13" s="662">
        <f t="shared" si="3"/>
        <v>0</v>
      </c>
      <c r="O13" s="896">
        <v>0</v>
      </c>
      <c r="P13" s="662" t="str">
        <f>IFERROR((((VLOOKUP($A13,'pricing overview all products'!$A$1:$M$55,6,FALSE))*'Country File'!$T$2)*'Country File'!$P$2),"N/A")</f>
        <v>N/A</v>
      </c>
      <c r="Q13" s="662" t="str">
        <f>IFERROR((((VLOOKUP($A13,'pricing overview all products'!$A$1:$M$55,6,FALSE))*'Country File'!$T$3)*'Country File'!$P$2),"N/A")</f>
        <v>N/A</v>
      </c>
      <c r="R13" s="661" t="str">
        <f>IFERROR((((VLOOKUP($A13,'pricing overview all products'!$A$1:$M$55,6,FALSE))*'Country File'!$T$2)*'Country File'!$P$2),"N/A")</f>
        <v>N/A</v>
      </c>
      <c r="S13" s="656">
        <f t="shared" si="0"/>
        <v>0</v>
      </c>
      <c r="T13" s="656">
        <f t="shared" si="0"/>
        <v>0</v>
      </c>
      <c r="U13" s="840">
        <f t="shared" si="12"/>
        <v>0</v>
      </c>
      <c r="V13" s="896">
        <v>0</v>
      </c>
      <c r="W13" s="662" t="str">
        <f>IFERROR((((VLOOKUP($A13,'pricing overview all products'!$A$1:$M$55,4,FALSE))*'Country File'!$T$2)*'Country File'!$P$2),"N/A")</f>
        <v>N/A</v>
      </c>
      <c r="X13" s="662" t="str">
        <f>IFERROR((((VLOOKUP($A13,'pricing overview all products'!$A$1:$M$55,4,FALSE))*'Country File'!$T$3)*'Country File'!$P$2),"N/A")</f>
        <v>N/A</v>
      </c>
      <c r="Y13" s="662" t="e">
        <f>IFERROR((((VLOOKUP($A13,'pricing overview all products'!$A$1:$M$55,4,FALSE))*'Country File'!$T$2)*'Country File'!$P$2),"N/A")*(1-#REF!)</f>
        <v>#VALUE!</v>
      </c>
      <c r="Z13" s="662">
        <f t="shared" si="4"/>
        <v>0</v>
      </c>
      <c r="AA13" s="662">
        <f t="shared" si="4"/>
        <v>0</v>
      </c>
      <c r="AB13" s="897">
        <f t="shared" si="4"/>
        <v>0</v>
      </c>
      <c r="AC13" s="896">
        <v>0</v>
      </c>
      <c r="AD13" s="662" t="str">
        <f>IFERROR((((VLOOKUP($A13,'pricing overview all products'!$A$1:$M$55,8,FALSE))*'Country File'!$T$2)*'Country File'!$P$2),"N/A")</f>
        <v>N/A</v>
      </c>
      <c r="AE13" s="662" t="str">
        <f>IFERROR((((VLOOKUP($A13,'pricing overview all products'!$A$1:$M$55,8,FALSE))*'Country File'!$T$3)*'Country File'!$P$2),"N/A")</f>
        <v>N/A</v>
      </c>
      <c r="AF13" s="662" t="str">
        <f>IFERROR((((VLOOKUP($A13,'pricing overview all products'!$A$1:$M$55,8,FALSE))*'Country File'!$T$2)*'Country File'!$P$2)*(1-#REF!),"N/A")</f>
        <v>N/A</v>
      </c>
      <c r="AG13" s="662">
        <f t="shared" si="5"/>
        <v>0</v>
      </c>
      <c r="AH13" s="662">
        <f t="shared" si="5"/>
        <v>0</v>
      </c>
      <c r="AI13" s="897">
        <f t="shared" si="5"/>
        <v>0</v>
      </c>
      <c r="AJ13" s="896">
        <v>0</v>
      </c>
      <c r="AK13" s="662" t="str">
        <f>IFERROR((((VLOOKUP($A13,'pricing overview all products'!$A$1:$M$55,10,FALSE))*'Country File'!$T$2)*'Country File'!$P$2),"N/A")</f>
        <v>N/A</v>
      </c>
      <c r="AL13" s="662" t="str">
        <f>IFERROR((((VLOOKUP($A13,'pricing overview all products'!$A$1:$M$55,10,FALSE))*'Country File'!$T$3)*'Country File'!$P$2),"N/A")</f>
        <v>N/A</v>
      </c>
      <c r="AM13" s="662" t="str">
        <f>IFERROR((((VLOOKUP($A13,'pricing overview all products'!$A$1:$M$55,10,FALSE))*'Country File'!$T$2)*'Country File'!$P$2)*(1-#REF!),"N/A")</f>
        <v>N/A</v>
      </c>
      <c r="AN13" s="662">
        <f t="shared" si="6"/>
        <v>0</v>
      </c>
      <c r="AO13" s="662">
        <f t="shared" si="6"/>
        <v>0</v>
      </c>
      <c r="AP13" s="780">
        <f t="shared" si="6"/>
        <v>0</v>
      </c>
      <c r="AQ13" s="889">
        <v>0</v>
      </c>
      <c r="AR13" s="890" t="str">
        <f>IFERROR((((VLOOKUP($A13,'pricing overview all products'!$A$1:$N$55,12,FALSE))*'Country File'!$T$2)*'Country File'!$P$2),"N/A")</f>
        <v>N/A</v>
      </c>
      <c r="AS13" s="665">
        <f t="shared" si="7"/>
        <v>0</v>
      </c>
      <c r="AT13" s="785">
        <v>0</v>
      </c>
      <c r="AU13" s="890" t="str">
        <f>IFERROR((((VLOOKUP($A13,'pricing overview all products'!$A$1:$N$55,14,FALSE))*'Country File'!$T$2)*'Country File'!$P$2),"N/A")</f>
        <v>N/A</v>
      </c>
      <c r="AV13" s="665">
        <f t="shared" si="8"/>
        <v>0</v>
      </c>
      <c r="AW13" s="898">
        <v>0</v>
      </c>
      <c r="AX13" s="899" t="s">
        <v>1411</v>
      </c>
      <c r="AY13" s="900"/>
      <c r="AZ13" s="670">
        <f t="shared" si="9"/>
        <v>0</v>
      </c>
      <c r="BA13" s="901">
        <f t="shared" si="1"/>
        <v>1</v>
      </c>
      <c r="BB13" s="902">
        <f>IFERROR((((VLOOKUP($BD13,'Packaging cost'!A:C,3,FALSE))*'Country File'!$P$2)),"tbc")</f>
        <v>0</v>
      </c>
      <c r="BC13" s="657">
        <f t="shared" si="10"/>
        <v>0</v>
      </c>
      <c r="BD13" s="903" t="s">
        <v>1037</v>
      </c>
      <c r="BE13" s="931" t="str">
        <f>IFERROR(VLOOKUP(BD13,'Common IDs'!A:C,3,FALSE),"not assigned yet")</f>
        <v>not assigned yet</v>
      </c>
      <c r="BF13" s="843">
        <f t="shared" si="11"/>
        <v>0</v>
      </c>
      <c r="BG13" s="674">
        <f t="shared" si="11"/>
        <v>0</v>
      </c>
      <c r="BH13" s="895">
        <f t="shared" si="11"/>
        <v>0</v>
      </c>
    </row>
    <row r="14" spans="1:84" ht="15.75" hidden="1" thickBot="1" x14ac:dyDescent="0.3">
      <c r="A14" s="107" t="s">
        <v>1038</v>
      </c>
      <c r="B14" s="99" t="s">
        <v>1038</v>
      </c>
      <c r="C14" s="100"/>
      <c r="D14" s="97"/>
      <c r="E14" s="97"/>
      <c r="F14" s="97"/>
      <c r="G14" s="97"/>
      <c r="H14" s="272">
        <v>1</v>
      </c>
      <c r="I14" s="662">
        <f>((VLOOKUP($A14,'pricing overview all products'!$A:$B,2,FALSE))*'Country File'!$T$2)*'Country File'!$P$2</f>
        <v>0</v>
      </c>
      <c r="J14" s="662">
        <f>((VLOOKUP($A14,'pricing overview all products'!$A:$B,2,FALSE))*'Country File'!$T$3)*'Country File'!$P$2</f>
        <v>0</v>
      </c>
      <c r="K14" s="636">
        <f>(((VLOOKUP($A14,'pricing overview all products'!$A:$B,2,FALSE))*'Country File'!$T$2)*'Country File'!$P$2)*(1-'Applied Discounts'!$C$17)</f>
        <v>0</v>
      </c>
      <c r="L14" s="662">
        <f t="shared" si="2"/>
        <v>0</v>
      </c>
      <c r="M14" s="662">
        <f t="shared" si="2"/>
        <v>0</v>
      </c>
      <c r="N14" s="662">
        <f t="shared" si="3"/>
        <v>0</v>
      </c>
      <c r="O14" s="896">
        <v>0</v>
      </c>
      <c r="P14" s="662" t="str">
        <f>IFERROR((((VLOOKUP($A14,'pricing overview all products'!$A$1:$M$55,6,FALSE))*'Country File'!$T$2)*'Country File'!$P$2),"N/A")</f>
        <v>N/A</v>
      </c>
      <c r="Q14" s="662" t="str">
        <f>IFERROR((((VLOOKUP($A14,'pricing overview all products'!$A$1:$M$55,6,FALSE))*'Country File'!$T$3)*'Country File'!$P$2),"N/A")</f>
        <v>N/A</v>
      </c>
      <c r="R14" s="661" t="str">
        <f>IFERROR((((VLOOKUP($A14,'pricing overview all products'!$A$1:$M$55,6,FALSE))*'Country File'!$T$2)*'Country File'!$P$2),"N/A")</f>
        <v>N/A</v>
      </c>
      <c r="S14" s="656">
        <f t="shared" si="0"/>
        <v>0</v>
      </c>
      <c r="T14" s="656">
        <f t="shared" si="0"/>
        <v>0</v>
      </c>
      <c r="U14" s="840">
        <f t="shared" si="12"/>
        <v>0</v>
      </c>
      <c r="V14" s="896">
        <v>0</v>
      </c>
      <c r="W14" s="662" t="str">
        <f>IFERROR((((VLOOKUP($A14,'pricing overview all products'!$A$1:$M$55,4,FALSE))*'Country File'!$T$2)*'Country File'!$P$2),"N/A")</f>
        <v>N/A</v>
      </c>
      <c r="X14" s="662" t="str">
        <f>IFERROR((((VLOOKUP($A14,'pricing overview all products'!$A$1:$M$55,4,FALSE))*'Country File'!$T$3)*'Country File'!$P$2),"N/A")</f>
        <v>N/A</v>
      </c>
      <c r="Y14" s="662" t="e">
        <f>IFERROR((((VLOOKUP($A14,'pricing overview all products'!$A$1:$M$55,4,FALSE))*'Country File'!$T$2)*'Country File'!$P$2),"N/A")*(1-#REF!)</f>
        <v>#VALUE!</v>
      </c>
      <c r="Z14" s="662">
        <f t="shared" si="4"/>
        <v>0</v>
      </c>
      <c r="AA14" s="662">
        <f t="shared" si="4"/>
        <v>0</v>
      </c>
      <c r="AB14" s="897">
        <f t="shared" si="4"/>
        <v>0</v>
      </c>
      <c r="AC14" s="896">
        <v>0</v>
      </c>
      <c r="AD14" s="662" t="str">
        <f>IFERROR((((VLOOKUP($A14,'pricing overview all products'!$A$1:$M$55,8,FALSE))*'Country File'!$T$2)*'Country File'!$P$2),"N/A")</f>
        <v>N/A</v>
      </c>
      <c r="AE14" s="662" t="str">
        <f>IFERROR((((VLOOKUP($A14,'pricing overview all products'!$A$1:$M$55,8,FALSE))*'Country File'!$T$3)*'Country File'!$P$2),"N/A")</f>
        <v>N/A</v>
      </c>
      <c r="AF14" s="662" t="str">
        <f>IFERROR((((VLOOKUP($A14,'pricing overview all products'!$A$1:$M$55,8,FALSE))*'Country File'!$T$2)*'Country File'!$P$2)*(1-#REF!),"N/A")</f>
        <v>N/A</v>
      </c>
      <c r="AG14" s="662">
        <f t="shared" si="5"/>
        <v>0</v>
      </c>
      <c r="AH14" s="662">
        <f t="shared" si="5"/>
        <v>0</v>
      </c>
      <c r="AI14" s="897">
        <f t="shared" si="5"/>
        <v>0</v>
      </c>
      <c r="AJ14" s="896">
        <v>0</v>
      </c>
      <c r="AK14" s="662" t="str">
        <f>IFERROR((((VLOOKUP($A14,'pricing overview all products'!$A$1:$M$55,10,FALSE))*'Country File'!$T$2)*'Country File'!$P$2),"N/A")</f>
        <v>N/A</v>
      </c>
      <c r="AL14" s="662" t="str">
        <f>IFERROR((((VLOOKUP($A14,'pricing overview all products'!$A$1:$M$55,10,FALSE))*'Country File'!$T$3)*'Country File'!$P$2),"N/A")</f>
        <v>N/A</v>
      </c>
      <c r="AM14" s="662" t="str">
        <f>IFERROR((((VLOOKUP($A14,'pricing overview all products'!$A$1:$M$55,10,FALSE))*'Country File'!$T$2)*'Country File'!$P$2)*(1-#REF!),"N/A")</f>
        <v>N/A</v>
      </c>
      <c r="AN14" s="662">
        <f t="shared" si="6"/>
        <v>0</v>
      </c>
      <c r="AO14" s="662">
        <f t="shared" si="6"/>
        <v>0</v>
      </c>
      <c r="AP14" s="780">
        <f t="shared" si="6"/>
        <v>0</v>
      </c>
      <c r="AQ14" s="889">
        <v>0</v>
      </c>
      <c r="AR14" s="890" t="str">
        <f>IFERROR((((VLOOKUP($A14,'pricing overview all products'!$A$1:$N$55,12,FALSE))*'Country File'!$T$2)*'Country File'!$P$2),"N/A")</f>
        <v>N/A</v>
      </c>
      <c r="AS14" s="665">
        <f t="shared" si="7"/>
        <v>0</v>
      </c>
      <c r="AT14" s="785">
        <v>0</v>
      </c>
      <c r="AU14" s="890" t="str">
        <f>IFERROR((((VLOOKUP($A14,'pricing overview all products'!$A$1:$N$55,14,FALSE))*'Country File'!$T$2)*'Country File'!$P$2),"N/A")</f>
        <v>N/A</v>
      </c>
      <c r="AV14" s="665">
        <f t="shared" si="8"/>
        <v>0</v>
      </c>
      <c r="AW14" s="898">
        <v>0</v>
      </c>
      <c r="AX14" s="899" t="s">
        <v>1411</v>
      </c>
      <c r="AY14" s="900"/>
      <c r="AZ14" s="670">
        <f t="shared" si="9"/>
        <v>0</v>
      </c>
      <c r="BA14" s="901">
        <f t="shared" si="1"/>
        <v>1</v>
      </c>
      <c r="BB14" s="902">
        <f>IFERROR((((VLOOKUP($BD14,'Packaging cost'!A:C,3,FALSE))*'Country File'!$P$2)),"tbc")</f>
        <v>0</v>
      </c>
      <c r="BC14" s="657">
        <f t="shared" si="10"/>
        <v>0</v>
      </c>
      <c r="BD14" s="903" t="s">
        <v>1038</v>
      </c>
      <c r="BE14" s="931" t="str">
        <f>IFERROR(VLOOKUP(BD14,'Common IDs'!A:C,3,FALSE),"not assigned yet")</f>
        <v>not assigned yet</v>
      </c>
      <c r="BF14" s="843">
        <f t="shared" si="11"/>
        <v>0</v>
      </c>
      <c r="BG14" s="674">
        <f t="shared" si="11"/>
        <v>0</v>
      </c>
      <c r="BH14" s="895">
        <f t="shared" si="11"/>
        <v>0</v>
      </c>
    </row>
    <row r="15" spans="1:84" ht="15.75" hidden="1" thickBot="1" x14ac:dyDescent="0.3">
      <c r="A15" s="107" t="s">
        <v>1039</v>
      </c>
      <c r="B15" s="99" t="s">
        <v>1039</v>
      </c>
      <c r="C15" s="100"/>
      <c r="D15" s="97"/>
      <c r="E15" s="97"/>
      <c r="F15" s="97"/>
      <c r="G15" s="97"/>
      <c r="H15" s="240">
        <v>1</v>
      </c>
      <c r="I15" s="662">
        <f>((VLOOKUP($A15,'pricing overview all products'!$A:$B,2,FALSE))*'Country File'!$T$2)*'Country File'!$P$2</f>
        <v>0</v>
      </c>
      <c r="J15" s="662">
        <f>((VLOOKUP($A15,'pricing overview all products'!$A:$B,2,FALSE))*'Country File'!$T$3)*'Country File'!$P$2</f>
        <v>0</v>
      </c>
      <c r="K15" s="636">
        <f>(((VLOOKUP($A15,'pricing overview all products'!$A:$B,2,FALSE))*'Country File'!$T$2)*'Country File'!$P$2)*(1-'Applied Discounts'!$C$17)</f>
        <v>0</v>
      </c>
      <c r="L15" s="662">
        <f t="shared" si="2"/>
        <v>0</v>
      </c>
      <c r="M15" s="662">
        <f t="shared" si="2"/>
        <v>0</v>
      </c>
      <c r="N15" s="662">
        <f t="shared" si="3"/>
        <v>0</v>
      </c>
      <c r="O15" s="896">
        <v>0</v>
      </c>
      <c r="P15" s="662" t="str">
        <f>IFERROR((((VLOOKUP($A15,'pricing overview all products'!$A$1:$M$55,6,FALSE))*'Country File'!$T$2)*'Country File'!$P$2),"N/A")</f>
        <v>N/A</v>
      </c>
      <c r="Q15" s="662" t="str">
        <f>IFERROR((((VLOOKUP($A15,'pricing overview all products'!$A$1:$M$55,6,FALSE))*'Country File'!$T$3)*'Country File'!$P$2),"N/A")</f>
        <v>N/A</v>
      </c>
      <c r="R15" s="661" t="str">
        <f>IFERROR((((VLOOKUP($A15,'pricing overview all products'!$A$1:$M$55,6,FALSE))*'Country File'!$T$2)*'Country File'!$P$2),"N/A")</f>
        <v>N/A</v>
      </c>
      <c r="S15" s="656">
        <f t="shared" si="0"/>
        <v>0</v>
      </c>
      <c r="T15" s="656">
        <f t="shared" si="0"/>
        <v>0</v>
      </c>
      <c r="U15" s="840">
        <f t="shared" si="12"/>
        <v>0</v>
      </c>
      <c r="V15" s="896">
        <v>0</v>
      </c>
      <c r="W15" s="662" t="str">
        <f>IFERROR((((VLOOKUP($A15,'pricing overview all products'!$A$1:$M$55,4,FALSE))*'Country File'!$T$2)*'Country File'!$P$2),"N/A")</f>
        <v>N/A</v>
      </c>
      <c r="X15" s="662" t="str">
        <f>IFERROR((((VLOOKUP($A15,'pricing overview all products'!$A$1:$M$55,4,FALSE))*'Country File'!$T$3)*'Country File'!$P$2),"N/A")</f>
        <v>N/A</v>
      </c>
      <c r="Y15" s="662" t="e">
        <f>IFERROR((((VLOOKUP($A15,'pricing overview all products'!$A$1:$M$55,4,FALSE))*'Country File'!$T$2)*'Country File'!$P$2),"N/A")*(1-#REF!)</f>
        <v>#VALUE!</v>
      </c>
      <c r="Z15" s="662">
        <f t="shared" si="4"/>
        <v>0</v>
      </c>
      <c r="AA15" s="662">
        <f t="shared" si="4"/>
        <v>0</v>
      </c>
      <c r="AB15" s="897">
        <f t="shared" si="4"/>
        <v>0</v>
      </c>
      <c r="AC15" s="896">
        <v>0</v>
      </c>
      <c r="AD15" s="662" t="str">
        <f>IFERROR((((VLOOKUP($A15,'pricing overview all products'!$A$1:$M$55,8,FALSE))*'Country File'!$T$2)*'Country File'!$P$2),"N/A")</f>
        <v>N/A</v>
      </c>
      <c r="AE15" s="662" t="str">
        <f>IFERROR((((VLOOKUP($A15,'pricing overview all products'!$A$1:$M$55,8,FALSE))*'Country File'!$T$3)*'Country File'!$P$2),"N/A")</f>
        <v>N/A</v>
      </c>
      <c r="AF15" s="662" t="str">
        <f>IFERROR((((VLOOKUP($A15,'pricing overview all products'!$A$1:$M$55,8,FALSE))*'Country File'!$T$2)*'Country File'!$P$2)*(1-#REF!),"N/A")</f>
        <v>N/A</v>
      </c>
      <c r="AG15" s="662">
        <f t="shared" si="5"/>
        <v>0</v>
      </c>
      <c r="AH15" s="662">
        <f t="shared" si="5"/>
        <v>0</v>
      </c>
      <c r="AI15" s="897">
        <f t="shared" si="5"/>
        <v>0</v>
      </c>
      <c r="AJ15" s="896">
        <v>0</v>
      </c>
      <c r="AK15" s="662" t="str">
        <f>IFERROR((((VLOOKUP($A15,'pricing overview all products'!$A$1:$M$55,10,FALSE))*'Country File'!$T$2)*'Country File'!$P$2),"N/A")</f>
        <v>N/A</v>
      </c>
      <c r="AL15" s="662" t="str">
        <f>IFERROR((((VLOOKUP($A15,'pricing overview all products'!$A$1:$M$55,10,FALSE))*'Country File'!$T$3)*'Country File'!$P$2),"N/A")</f>
        <v>N/A</v>
      </c>
      <c r="AM15" s="662" t="str">
        <f>IFERROR((((VLOOKUP($A15,'pricing overview all products'!$A$1:$M$55,10,FALSE))*'Country File'!$T$2)*'Country File'!$P$2)*(1-#REF!),"N/A")</f>
        <v>N/A</v>
      </c>
      <c r="AN15" s="662">
        <f t="shared" si="6"/>
        <v>0</v>
      </c>
      <c r="AO15" s="662">
        <f t="shared" si="6"/>
        <v>0</v>
      </c>
      <c r="AP15" s="780">
        <f t="shared" si="6"/>
        <v>0</v>
      </c>
      <c r="AQ15" s="889">
        <v>0</v>
      </c>
      <c r="AR15" s="890" t="str">
        <f>IFERROR((((VLOOKUP($A15,'pricing overview all products'!$A$1:$N$55,12,FALSE))*'Country File'!$T$2)*'Country File'!$P$2),"N/A")</f>
        <v>N/A</v>
      </c>
      <c r="AS15" s="665">
        <f t="shared" si="7"/>
        <v>0</v>
      </c>
      <c r="AT15" s="785">
        <v>0</v>
      </c>
      <c r="AU15" s="890" t="str">
        <f>IFERROR((((VLOOKUP($A15,'pricing overview all products'!$A$1:$N$55,14,FALSE))*'Country File'!$T$2)*'Country File'!$P$2),"N/A")</f>
        <v>N/A</v>
      </c>
      <c r="AV15" s="665">
        <f t="shared" si="8"/>
        <v>0</v>
      </c>
      <c r="AW15" s="898">
        <v>0</v>
      </c>
      <c r="AX15" s="899" t="s">
        <v>1411</v>
      </c>
      <c r="AY15" s="900"/>
      <c r="AZ15" s="670">
        <f t="shared" si="9"/>
        <v>0</v>
      </c>
      <c r="BA15" s="901">
        <f t="shared" si="1"/>
        <v>1</v>
      </c>
      <c r="BB15" s="902">
        <f>IFERROR((((VLOOKUP($BD15,'Packaging cost'!A:C,3,FALSE))*'Country File'!$P$2)),"tbc")</f>
        <v>0</v>
      </c>
      <c r="BC15" s="657">
        <f t="shared" si="10"/>
        <v>0</v>
      </c>
      <c r="BD15" s="903" t="s">
        <v>1039</v>
      </c>
      <c r="BE15" s="931" t="str">
        <f>IFERROR(VLOOKUP(BD15,'Common IDs'!A:C,3,FALSE),"not assigned yet")</f>
        <v>not assigned yet</v>
      </c>
      <c r="BF15" s="843">
        <f t="shared" si="11"/>
        <v>0</v>
      </c>
      <c r="BG15" s="674">
        <f t="shared" si="11"/>
        <v>0</v>
      </c>
      <c r="BH15" s="895">
        <f t="shared" si="11"/>
        <v>0</v>
      </c>
    </row>
    <row r="16" spans="1:84" ht="15.75" hidden="1" thickBot="1" x14ac:dyDescent="0.3">
      <c r="A16" s="108" t="s">
        <v>1040</v>
      </c>
      <c r="B16" s="366" t="s">
        <v>1040</v>
      </c>
      <c r="C16" s="367"/>
      <c r="D16" s="368"/>
      <c r="E16" s="368"/>
      <c r="F16" s="368"/>
      <c r="G16" s="368"/>
      <c r="H16" s="371">
        <v>1</v>
      </c>
      <c r="I16" s="888">
        <f>((VLOOKUP($A16,'pricing overview all products'!$A:$B,2,FALSE))*'Country File'!$T$2)*'Country File'!$P$2</f>
        <v>0</v>
      </c>
      <c r="J16" s="888">
        <f>((VLOOKUP($A16,'pricing overview all products'!$A:$B,2,FALSE))*'Country File'!$T$3)*'Country File'!$P$2</f>
        <v>0</v>
      </c>
      <c r="K16" s="636">
        <f>(((VLOOKUP($A16,'pricing overview all products'!$A:$B,2,FALSE))*'Country File'!$T$2)*'Country File'!$P$2)*(1-'Applied Discounts'!$C$17)</f>
        <v>0</v>
      </c>
      <c r="L16" s="888">
        <f t="shared" si="2"/>
        <v>0</v>
      </c>
      <c r="M16" s="888">
        <f t="shared" si="2"/>
        <v>0</v>
      </c>
      <c r="N16" s="888">
        <f t="shared" si="3"/>
        <v>0</v>
      </c>
      <c r="O16" s="932">
        <v>0</v>
      </c>
      <c r="P16" s="933" t="str">
        <f>IFERROR((((VLOOKUP($A16,'pricing overview all products'!$A$1:$M$55,6,FALSE))*'Country File'!$T$2)*'Country File'!$P$2),"N/A")</f>
        <v>N/A</v>
      </c>
      <c r="Q16" s="933" t="str">
        <f>IFERROR((((VLOOKUP($A16,'pricing overview all products'!$A$1:$M$55,6,FALSE))*'Country File'!$T$3)*'Country File'!$P$2),"N/A")</f>
        <v>N/A</v>
      </c>
      <c r="R16" s="661" t="str">
        <f>IFERROR((((VLOOKUP($A16,'pricing overview all products'!$A$1:$M$55,6,FALSE))*'Country File'!$T$2)*'Country File'!$P$2),"N/A")</f>
        <v>N/A</v>
      </c>
      <c r="S16" s="934">
        <f t="shared" si="0"/>
        <v>0</v>
      </c>
      <c r="T16" s="934">
        <f t="shared" si="0"/>
        <v>0</v>
      </c>
      <c r="U16" s="935">
        <f t="shared" si="12"/>
        <v>0</v>
      </c>
      <c r="V16" s="932">
        <v>0</v>
      </c>
      <c r="W16" s="933" t="str">
        <f>IFERROR((((VLOOKUP($A16,'pricing overview all products'!$A$1:$M$55,4,FALSE))*'Country File'!$T$2)*'Country File'!$P$2),"N/A")</f>
        <v>N/A</v>
      </c>
      <c r="X16" s="933" t="str">
        <f>IFERROR((((VLOOKUP($A16,'pricing overview all products'!$A$1:$M$55,4,FALSE))*'Country File'!$T$3)*'Country File'!$P$2),"N/A")</f>
        <v>N/A</v>
      </c>
      <c r="Y16" s="933" t="e">
        <f>IFERROR((((VLOOKUP($A16,'pricing overview all products'!$A$1:$M$55,4,FALSE))*'Country File'!$T$2)*'Country File'!$P$2),"N/A")*(1-#REF!)</f>
        <v>#VALUE!</v>
      </c>
      <c r="Z16" s="933">
        <f t="shared" si="4"/>
        <v>0</v>
      </c>
      <c r="AA16" s="933">
        <f t="shared" si="4"/>
        <v>0</v>
      </c>
      <c r="AB16" s="936">
        <f t="shared" si="4"/>
        <v>0</v>
      </c>
      <c r="AC16" s="932">
        <v>0</v>
      </c>
      <c r="AD16" s="933" t="str">
        <f>IFERROR((((VLOOKUP($A16,'pricing overview all products'!$A$1:$M$55,8,FALSE))*'Country File'!$T$2)*'Country File'!$P$2),"N/A")</f>
        <v>N/A</v>
      </c>
      <c r="AE16" s="933" t="str">
        <f>IFERROR((((VLOOKUP($A16,'pricing overview all products'!$A$1:$M$55,8,FALSE))*'Country File'!$T$3)*'Country File'!$P$2),"N/A")</f>
        <v>N/A</v>
      </c>
      <c r="AF16" s="933" t="str">
        <f>IFERROR((((VLOOKUP($A16,'pricing overview all products'!$A$1:$M$55,8,FALSE))*'Country File'!$T$2)*'Country File'!$P$2)*(1-#REF!),"N/A")</f>
        <v>N/A</v>
      </c>
      <c r="AG16" s="933">
        <f t="shared" si="5"/>
        <v>0</v>
      </c>
      <c r="AH16" s="933">
        <f t="shared" si="5"/>
        <v>0</v>
      </c>
      <c r="AI16" s="936">
        <f t="shared" si="5"/>
        <v>0</v>
      </c>
      <c r="AJ16" s="932">
        <v>0</v>
      </c>
      <c r="AK16" s="933" t="str">
        <f>IFERROR((((VLOOKUP($A16,'pricing overview all products'!$A$1:$M$55,10,FALSE))*'Country File'!$T$2)*'Country File'!$P$2),"N/A")</f>
        <v>N/A</v>
      </c>
      <c r="AL16" s="933" t="str">
        <f>IFERROR((((VLOOKUP($A16,'pricing overview all products'!$A$1:$M$55,10,FALSE))*'Country File'!$T$3)*'Country File'!$P$2),"N/A")</f>
        <v>N/A</v>
      </c>
      <c r="AM16" s="933" t="str">
        <f>IFERROR((((VLOOKUP($A16,'pricing overview all products'!$A$1:$M$55,10,FALSE))*'Country File'!$T$2)*'Country File'!$P$2)*(1-#REF!),"N/A")</f>
        <v>N/A</v>
      </c>
      <c r="AN16" s="933">
        <f t="shared" si="6"/>
        <v>0</v>
      </c>
      <c r="AO16" s="933">
        <f t="shared" si="6"/>
        <v>0</v>
      </c>
      <c r="AP16" s="937">
        <f t="shared" si="6"/>
        <v>0</v>
      </c>
      <c r="AQ16" s="938">
        <v>0</v>
      </c>
      <c r="AR16" s="939" t="str">
        <f>IFERROR((((VLOOKUP($A16,'pricing overview all products'!$A$1:$N$55,12,FALSE))*'Country File'!$T$2)*'Country File'!$P$2),"N/A")</f>
        <v>N/A</v>
      </c>
      <c r="AS16" s="940">
        <f t="shared" si="7"/>
        <v>0</v>
      </c>
      <c r="AT16" s="941">
        <v>0</v>
      </c>
      <c r="AU16" s="939" t="str">
        <f>IFERROR((((VLOOKUP($A16,'pricing overview all products'!$A$1:$N$55,14,FALSE))*'Country File'!$T$2)*'Country File'!$P$2),"N/A")</f>
        <v>N/A</v>
      </c>
      <c r="AV16" s="940">
        <f t="shared" si="8"/>
        <v>0</v>
      </c>
      <c r="AW16" s="942">
        <v>0</v>
      </c>
      <c r="AX16" s="943" t="s">
        <v>1411</v>
      </c>
      <c r="AY16" s="944"/>
      <c r="AZ16" s="945">
        <f t="shared" si="9"/>
        <v>0</v>
      </c>
      <c r="BA16" s="918">
        <f t="shared" si="1"/>
        <v>1</v>
      </c>
      <c r="BB16" s="946">
        <f>IFERROR((((VLOOKUP($BD16,'Packaging cost'!A:C,3,FALSE))*'Country File'!$P$2)),"tbc")</f>
        <v>0</v>
      </c>
      <c r="BC16" s="919">
        <f t="shared" si="10"/>
        <v>0</v>
      </c>
      <c r="BD16" s="947" t="s">
        <v>1040</v>
      </c>
      <c r="BE16" s="948" t="str">
        <f>IFERROR(VLOOKUP(BD16,'Common IDs'!A:C,3,FALSE),"not assigned yet")</f>
        <v>not assigned yet</v>
      </c>
      <c r="BF16" s="949">
        <f t="shared" si="11"/>
        <v>0</v>
      </c>
      <c r="BG16" s="950">
        <f t="shared" si="11"/>
        <v>0</v>
      </c>
      <c r="BH16" s="951">
        <f t="shared" si="11"/>
        <v>0</v>
      </c>
    </row>
    <row r="17" spans="1:61" s="150" customFormat="1" ht="15.75" thickBot="1" x14ac:dyDescent="0.3">
      <c r="A17" s="112" t="s">
        <v>1042</v>
      </c>
      <c r="B17" s="99" t="s">
        <v>1043</v>
      </c>
      <c r="C17" s="373"/>
      <c r="D17" s="97"/>
      <c r="E17" s="97"/>
      <c r="F17" s="97"/>
      <c r="G17" s="97"/>
      <c r="H17" s="508">
        <v>1</v>
      </c>
      <c r="I17" s="768">
        <f>((VLOOKUP($A17,'pricing overview all products'!$A:$B,2,FALSE))*'Country File'!$T$2)*'Country File'!$P$2</f>
        <v>47700</v>
      </c>
      <c r="J17" s="768">
        <f>((VLOOKUP($A17,'pricing overview all products'!$A:$B,2,FALSE))*'Country File'!$T$3)*'Country File'!$P$2</f>
        <v>47700</v>
      </c>
      <c r="K17" s="636">
        <f>(((VLOOKUP($A17,'pricing overview all products'!$A:$B,2,FALSE))*'Country File'!$T$2)*'Country File'!$P$2)*(1-'Applied Discounts'!$C$17)</f>
        <v>31005</v>
      </c>
      <c r="L17" s="768">
        <f t="shared" ref="L17:L32" si="13">$H17*I17</f>
        <v>47700</v>
      </c>
      <c r="M17" s="768">
        <f t="shared" ref="M17:M32" si="14">$H17*J17</f>
        <v>47700</v>
      </c>
      <c r="N17" s="768">
        <f t="shared" si="3"/>
        <v>31005</v>
      </c>
      <c r="O17" s="862">
        <v>0</v>
      </c>
      <c r="P17" s="661" t="str">
        <f>IFERROR((((VLOOKUP($A17,'pricing overview all products'!$A$1:$M$55,6,FALSE))*'Country File'!$T$2)*'Country File'!$P$2),"N/A")</f>
        <v>N/A</v>
      </c>
      <c r="Q17" s="661" t="str">
        <f>IFERROR((((VLOOKUP($A17,'pricing overview all products'!$A$1:$M$55,6,FALSE))*'Country File'!$T$3)*'Country File'!$P$2),"N/A")</f>
        <v>N/A</v>
      </c>
      <c r="R17" s="661" t="str">
        <f>IFERROR((((VLOOKUP($A17,'pricing overview all products'!$A$1:$M$55,6,FALSE))*'Country File'!$T$2)*'Country File'!$P$2),"N/A")</f>
        <v>N/A</v>
      </c>
      <c r="S17" s="863">
        <f t="shared" ref="S17:S32" si="15">IFERROR(($O17*P17),0)</f>
        <v>0</v>
      </c>
      <c r="T17" s="863">
        <f t="shared" ref="T17:T32" si="16">IFERROR(($O17*Q17),0)</f>
        <v>0</v>
      </c>
      <c r="U17" s="864">
        <f t="shared" ref="U17:U32" si="17">IFERROR((O17*R17),0)</f>
        <v>0</v>
      </c>
      <c r="V17" s="862">
        <v>0</v>
      </c>
      <c r="W17" s="661" t="str">
        <f>IFERROR((((VLOOKUP($A17,'pricing overview all products'!$A$1:$M$55,4,FALSE))*'Country File'!$T$2)*'Country File'!$P$2),"N/A")</f>
        <v>N/A</v>
      </c>
      <c r="X17" s="661" t="str">
        <f>IFERROR((((VLOOKUP($A17,'pricing overview all products'!$A$1:$M$55,4,FALSE))*'Country File'!$T$3)*'Country File'!$P$2),"N/A")</f>
        <v>N/A</v>
      </c>
      <c r="Y17" s="661" t="e">
        <f>IFERROR((((VLOOKUP($A17,'pricing overview all products'!$A$1:$M$55,4,FALSE))*'Country File'!$T$2)*'Country File'!$P$2),"N/A")*(1-#REF!)</f>
        <v>#VALUE!</v>
      </c>
      <c r="Z17" s="661">
        <f t="shared" ref="Z17:Z32" si="18">IFERROR(($V17*W17),0)</f>
        <v>0</v>
      </c>
      <c r="AA17" s="661">
        <f t="shared" ref="AA17:AA32" si="19">IFERROR(($V17*X17),0)</f>
        <v>0</v>
      </c>
      <c r="AB17" s="865">
        <f t="shared" ref="AB17:AB32" si="20">IFERROR(($V17*Y17),0)</f>
        <v>0</v>
      </c>
      <c r="AC17" s="862">
        <v>0</v>
      </c>
      <c r="AD17" s="661" t="str">
        <f>IFERROR((((VLOOKUP($A17,'pricing overview all products'!$A$1:$M$55,8,FALSE))*'Country File'!$T$2)*'Country File'!$P$2),"N/A")</f>
        <v>N/A</v>
      </c>
      <c r="AE17" s="661" t="str">
        <f>IFERROR((((VLOOKUP($A17,'pricing overview all products'!$A$1:$M$55,8,FALSE))*'Country File'!$T$3)*'Country File'!$P$2),"N/A")</f>
        <v>N/A</v>
      </c>
      <c r="AF17" s="661" t="str">
        <f>IFERROR((((VLOOKUP($A17,'pricing overview all products'!$A$1:$M$55,8,FALSE))*'Country File'!$T$2)*'Country File'!$P$2)*(1-#REF!),"N/A")</f>
        <v>N/A</v>
      </c>
      <c r="AG17" s="661">
        <f t="shared" ref="AG17:AG32" si="21">IFERROR(($AC17*AD17),0)</f>
        <v>0</v>
      </c>
      <c r="AH17" s="661">
        <f t="shared" ref="AH17:AH32" si="22">IFERROR(($AC17*AE17),0)</f>
        <v>0</v>
      </c>
      <c r="AI17" s="865">
        <f t="shared" ref="AI17:AI32" si="23">IFERROR(($AC17*AF17),0)</f>
        <v>0</v>
      </c>
      <c r="AJ17" s="862">
        <v>0</v>
      </c>
      <c r="AK17" s="661" t="str">
        <f>IFERROR((((VLOOKUP($A17,'pricing overview all products'!$A$1:$M$55,10,FALSE))*'Country File'!$T$2)*'Country File'!$P$2),"N/A")</f>
        <v>N/A</v>
      </c>
      <c r="AL17" s="661" t="str">
        <f>IFERROR((((VLOOKUP($A17,'pricing overview all products'!$A$1:$M$55,10,FALSE))*'Country File'!$T$3)*'Country File'!$P$2),"N/A")</f>
        <v>N/A</v>
      </c>
      <c r="AM17" s="661" t="str">
        <f>IFERROR((((VLOOKUP($A17,'pricing overview all products'!$A$1:$M$55,10,FALSE))*'Country File'!$T$2)*'Country File'!$P$2)*(1-#REF!),"N/A")</f>
        <v>N/A</v>
      </c>
      <c r="AN17" s="661">
        <f t="shared" ref="AN17:AN32" si="24">IFERROR(($AJ17*AK17),0)</f>
        <v>0</v>
      </c>
      <c r="AO17" s="661">
        <f t="shared" ref="AO17:AO32" si="25">IFERROR(($AJ17*AL17),0)</f>
        <v>0</v>
      </c>
      <c r="AP17" s="782">
        <f t="shared" ref="AP17:AP32" si="26">IFERROR(($AJ17*AM17),0)</f>
        <v>0</v>
      </c>
      <c r="AQ17" s="889">
        <v>1</v>
      </c>
      <c r="AR17" s="890" t="str">
        <f>IFERROR((((VLOOKUP($A17,'pricing overview all products'!$A$1:$N$55,12,FALSE))*'Country File'!$T$2)*'Country File'!$P$2),"N/A")</f>
        <v>N/A</v>
      </c>
      <c r="AS17" s="665">
        <f t="shared" ref="AS17:AS32" si="27">IFERROR((AQ17*AR17),0)</f>
        <v>0</v>
      </c>
      <c r="AT17" s="785">
        <v>1</v>
      </c>
      <c r="AU17" s="890" t="str">
        <f>IFERROR((((VLOOKUP($A17,'pricing overview all products'!$A$1:$N$55,14,FALSE))*'Country File'!$T$2)*'Country File'!$P$2),"N/A")</f>
        <v>N/A</v>
      </c>
      <c r="AV17" s="665">
        <f t="shared" ref="AV17:AV32" si="28">IFERROR((AT17*AU17),0)</f>
        <v>0</v>
      </c>
      <c r="AW17" s="891">
        <v>1</v>
      </c>
      <c r="AX17" s="892" t="s">
        <v>1411</v>
      </c>
      <c r="AY17" s="893"/>
      <c r="AZ17" s="670">
        <f t="shared" ref="AZ17:AZ32" si="29">IFERROR((AX17*AY17),0)</f>
        <v>0</v>
      </c>
      <c r="BA17" s="772">
        <f t="shared" ref="BA17:BA32" si="30">H17</f>
        <v>1</v>
      </c>
      <c r="BB17" s="871">
        <f>IFERROR((((VLOOKUP($BD17,'Packaging cost'!A:C,3,FALSE))*'Country File'!$P$2)),"tbc")</f>
        <v>280</v>
      </c>
      <c r="BC17" s="637">
        <f t="shared" ref="BC17:BC32" si="31">IFERROR((BA17*BB17),0)</f>
        <v>280</v>
      </c>
      <c r="BD17" s="894" t="s">
        <v>1041</v>
      </c>
      <c r="BE17" s="873" t="str">
        <f>IFERROR(VLOOKUP(BD17,'Common IDs'!A:C,3,FALSE),"not assigned yet")</f>
        <v>not asssigend yet</v>
      </c>
      <c r="BF17" s="843">
        <f t="shared" ref="BF17:BF32" si="32">L17+S17+Z17+AG17+AN17+$BC17</f>
        <v>47980</v>
      </c>
      <c r="BG17" s="674">
        <f t="shared" ref="BG17:BG32" si="33">M17+T17+AA17+AH17+AO17+$BC17</f>
        <v>47980</v>
      </c>
      <c r="BH17" s="895">
        <f t="shared" ref="BH17:BH32" si="34">N17+U17+AB17+AI17+AP17+$BC17</f>
        <v>31285</v>
      </c>
      <c r="BI17"/>
    </row>
    <row r="18" spans="1:61" s="150" customFormat="1" ht="15.75" thickBot="1" x14ac:dyDescent="0.3">
      <c r="A18" s="107" t="s">
        <v>1045</v>
      </c>
      <c r="B18" s="99" t="s">
        <v>1046</v>
      </c>
      <c r="C18" s="100"/>
      <c r="D18" s="97"/>
      <c r="E18" s="97"/>
      <c r="F18" s="97"/>
      <c r="G18" s="97"/>
      <c r="H18" s="240">
        <v>1</v>
      </c>
      <c r="I18" s="662">
        <f>((VLOOKUP($A18,'pricing overview all products'!$A:$B,2,FALSE))*'Country File'!$T$2)*'Country File'!$P$2</f>
        <v>49850</v>
      </c>
      <c r="J18" s="662">
        <f>((VLOOKUP($A18,'pricing overview all products'!$A:$B,2,FALSE))*'Country File'!$T$3)*'Country File'!$P$2</f>
        <v>49850</v>
      </c>
      <c r="K18" s="636">
        <f>(((VLOOKUP($A18,'pricing overview all products'!$A:$B,2,FALSE))*'Country File'!$T$2)*'Country File'!$P$2)*(1-'Applied Discounts'!$C$17)</f>
        <v>32402.5</v>
      </c>
      <c r="L18" s="662">
        <f t="shared" si="13"/>
        <v>49850</v>
      </c>
      <c r="M18" s="662">
        <f t="shared" si="14"/>
        <v>49850</v>
      </c>
      <c r="N18" s="662">
        <f t="shared" si="3"/>
        <v>32402.5</v>
      </c>
      <c r="O18" s="896">
        <v>0</v>
      </c>
      <c r="P18" s="662" t="str">
        <f>IFERROR((((VLOOKUP($A18,'pricing overview all products'!$A$1:$M$55,6,FALSE))*'Country File'!$T$2)*'Country File'!$P$2),"N/A")</f>
        <v>N/A</v>
      </c>
      <c r="Q18" s="662" t="str">
        <f>IFERROR((((VLOOKUP($A18,'pricing overview all products'!$A$1:$M$55,6,FALSE))*'Country File'!$T$3)*'Country File'!$P$2),"N/A")</f>
        <v>N/A</v>
      </c>
      <c r="R18" s="661" t="str">
        <f>IFERROR((((VLOOKUP($A18,'pricing overview all products'!$A$1:$M$55,6,FALSE))*'Country File'!$T$2)*'Country File'!$P$2),"N/A")</f>
        <v>N/A</v>
      </c>
      <c r="S18" s="656">
        <f t="shared" si="15"/>
        <v>0</v>
      </c>
      <c r="T18" s="656">
        <f t="shared" si="16"/>
        <v>0</v>
      </c>
      <c r="U18" s="840">
        <f t="shared" si="17"/>
        <v>0</v>
      </c>
      <c r="V18" s="896">
        <v>0</v>
      </c>
      <c r="W18" s="662" t="str">
        <f>IFERROR((((VLOOKUP($A18,'pricing overview all products'!$A$1:$M$55,4,FALSE))*'Country File'!$T$2)*'Country File'!$P$2),"N/A")</f>
        <v>N/A</v>
      </c>
      <c r="X18" s="662" t="str">
        <f>IFERROR((((VLOOKUP($A18,'pricing overview all products'!$A$1:$M$55,4,FALSE))*'Country File'!$T$3)*'Country File'!$P$2),"N/A")</f>
        <v>N/A</v>
      </c>
      <c r="Y18" s="662" t="e">
        <f>IFERROR((((VLOOKUP($A18,'pricing overview all products'!$A$1:$M$55,4,FALSE))*'Country File'!$T$2)*'Country File'!$P$2),"N/A")*(1-#REF!)</f>
        <v>#VALUE!</v>
      </c>
      <c r="Z18" s="662">
        <f t="shared" si="18"/>
        <v>0</v>
      </c>
      <c r="AA18" s="662">
        <f t="shared" si="19"/>
        <v>0</v>
      </c>
      <c r="AB18" s="897">
        <f t="shared" si="20"/>
        <v>0</v>
      </c>
      <c r="AC18" s="896">
        <v>0</v>
      </c>
      <c r="AD18" s="662" t="str">
        <f>IFERROR((((VLOOKUP($A18,'pricing overview all products'!$A$1:$M$55,8,FALSE))*'Country File'!$T$2)*'Country File'!$P$2),"N/A")</f>
        <v>N/A</v>
      </c>
      <c r="AE18" s="662" t="str">
        <f>IFERROR((((VLOOKUP($A18,'pricing overview all products'!$A$1:$M$55,8,FALSE))*'Country File'!$T$3)*'Country File'!$P$2),"N/A")</f>
        <v>N/A</v>
      </c>
      <c r="AF18" s="662" t="str">
        <f>IFERROR((((VLOOKUP($A18,'pricing overview all products'!$A$1:$M$55,8,FALSE))*'Country File'!$T$2)*'Country File'!$P$2)*(1-#REF!),"N/A")</f>
        <v>N/A</v>
      </c>
      <c r="AG18" s="662">
        <f t="shared" si="21"/>
        <v>0</v>
      </c>
      <c r="AH18" s="662">
        <f t="shared" si="22"/>
        <v>0</v>
      </c>
      <c r="AI18" s="897">
        <f t="shared" si="23"/>
        <v>0</v>
      </c>
      <c r="AJ18" s="896">
        <v>0</v>
      </c>
      <c r="AK18" s="662" t="str">
        <f>IFERROR((((VLOOKUP($A18,'pricing overview all products'!$A$1:$M$55,10,FALSE))*'Country File'!$T$2)*'Country File'!$P$2),"N/A")</f>
        <v>N/A</v>
      </c>
      <c r="AL18" s="662" t="str">
        <f>IFERROR((((VLOOKUP($A18,'pricing overview all products'!$A$1:$M$55,10,FALSE))*'Country File'!$T$3)*'Country File'!$P$2),"N/A")</f>
        <v>N/A</v>
      </c>
      <c r="AM18" s="662" t="str">
        <f>IFERROR((((VLOOKUP($A18,'pricing overview all products'!$A$1:$M$55,10,FALSE))*'Country File'!$T$2)*'Country File'!$P$2)*(1-#REF!),"N/A")</f>
        <v>N/A</v>
      </c>
      <c r="AN18" s="662">
        <f t="shared" si="24"/>
        <v>0</v>
      </c>
      <c r="AO18" s="662">
        <f t="shared" si="25"/>
        <v>0</v>
      </c>
      <c r="AP18" s="780">
        <f t="shared" si="26"/>
        <v>0</v>
      </c>
      <c r="AQ18" s="889">
        <v>2</v>
      </c>
      <c r="AR18" s="890" t="str">
        <f>IFERROR((((VLOOKUP($A18,'pricing overview all products'!$A$1:$N$55,12,FALSE))*'Country File'!$T$2)*'Country File'!$P$2),"N/A")</f>
        <v>N/A</v>
      </c>
      <c r="AS18" s="665">
        <f t="shared" si="27"/>
        <v>0</v>
      </c>
      <c r="AT18" s="785">
        <v>2</v>
      </c>
      <c r="AU18" s="890" t="str">
        <f>IFERROR((((VLOOKUP($A18,'pricing overview all products'!$A$1:$N$55,14,FALSE))*'Country File'!$T$2)*'Country File'!$P$2),"N/A")</f>
        <v>N/A</v>
      </c>
      <c r="AV18" s="665">
        <f t="shared" si="28"/>
        <v>0</v>
      </c>
      <c r="AW18" s="898">
        <v>2</v>
      </c>
      <c r="AX18" s="899" t="s">
        <v>1411</v>
      </c>
      <c r="AY18" s="900"/>
      <c r="AZ18" s="670">
        <f t="shared" si="29"/>
        <v>0</v>
      </c>
      <c r="BA18" s="901">
        <f t="shared" si="30"/>
        <v>1</v>
      </c>
      <c r="BB18" s="902">
        <f>IFERROR((((VLOOKUP($BD18,'Packaging cost'!A:C,3,FALSE))*'Country File'!$P$2)),"tbc")</f>
        <v>280</v>
      </c>
      <c r="BC18" s="657">
        <f t="shared" si="31"/>
        <v>280</v>
      </c>
      <c r="BD18" s="903" t="s">
        <v>1044</v>
      </c>
      <c r="BE18" s="904" t="str">
        <f>IFERROR(VLOOKUP(BD18,'Common IDs'!A:C,3,FALSE),"not assigned yet")</f>
        <v>not asssigend yet</v>
      </c>
      <c r="BF18" s="843">
        <f t="shared" si="32"/>
        <v>50130</v>
      </c>
      <c r="BG18" s="674">
        <f t="shared" si="33"/>
        <v>50130</v>
      </c>
      <c r="BH18" s="895">
        <f t="shared" si="34"/>
        <v>32682.5</v>
      </c>
      <c r="BI18"/>
    </row>
    <row r="19" spans="1:61" s="150" customFormat="1" ht="15.75" thickBot="1" x14ac:dyDescent="0.3">
      <c r="A19" s="107" t="s">
        <v>1048</v>
      </c>
      <c r="B19" s="99" t="s">
        <v>1049</v>
      </c>
      <c r="C19" s="100"/>
      <c r="D19" s="97"/>
      <c r="E19" s="97"/>
      <c r="F19" s="97"/>
      <c r="G19" s="97"/>
      <c r="H19" s="240">
        <v>1</v>
      </c>
      <c r="I19" s="662">
        <f>((VLOOKUP($A19,'pricing overview all products'!$A:$B,2,FALSE))*'Country File'!$T$2)*'Country File'!$P$2</f>
        <v>61350</v>
      </c>
      <c r="J19" s="662">
        <f>((VLOOKUP($A19,'pricing overview all products'!$A:$B,2,FALSE))*'Country File'!$T$3)*'Country File'!$P$2</f>
        <v>61350</v>
      </c>
      <c r="K19" s="636">
        <f>(((VLOOKUP($A19,'pricing overview all products'!$A:$B,2,FALSE))*'Country File'!$T$2)*'Country File'!$P$2)*(1-'Applied Discounts'!$C$17)</f>
        <v>39877.5</v>
      </c>
      <c r="L19" s="662">
        <f t="shared" si="13"/>
        <v>61350</v>
      </c>
      <c r="M19" s="662">
        <f t="shared" si="14"/>
        <v>61350</v>
      </c>
      <c r="N19" s="662">
        <f t="shared" si="3"/>
        <v>39877.5</v>
      </c>
      <c r="O19" s="896">
        <v>0</v>
      </c>
      <c r="P19" s="662" t="str">
        <f>IFERROR((((VLOOKUP($A19,'pricing overview all products'!$A$1:$M$55,6,FALSE))*'Country File'!$T$2)*'Country File'!$P$2),"N/A")</f>
        <v>N/A</v>
      </c>
      <c r="Q19" s="662" t="str">
        <f>IFERROR((((VLOOKUP($A19,'pricing overview all products'!$A$1:$M$55,6,FALSE))*'Country File'!$T$3)*'Country File'!$P$2),"N/A")</f>
        <v>N/A</v>
      </c>
      <c r="R19" s="661" t="str">
        <f>IFERROR((((VLOOKUP($A19,'pricing overview all products'!$A$1:$M$55,6,FALSE))*'Country File'!$T$2)*'Country File'!$P$2),"N/A")</f>
        <v>N/A</v>
      </c>
      <c r="S19" s="656">
        <f t="shared" si="15"/>
        <v>0</v>
      </c>
      <c r="T19" s="656">
        <f t="shared" si="16"/>
        <v>0</v>
      </c>
      <c r="U19" s="840">
        <f t="shared" si="17"/>
        <v>0</v>
      </c>
      <c r="V19" s="896">
        <v>0</v>
      </c>
      <c r="W19" s="662" t="str">
        <f>IFERROR((((VLOOKUP($A19,'pricing overview all products'!$A$1:$M$55,4,FALSE))*'Country File'!$T$2)*'Country File'!$P$2),"N/A")</f>
        <v>N/A</v>
      </c>
      <c r="X19" s="662" t="str">
        <f>IFERROR((((VLOOKUP($A19,'pricing overview all products'!$A$1:$M$55,4,FALSE))*'Country File'!$T$3)*'Country File'!$P$2),"N/A")</f>
        <v>N/A</v>
      </c>
      <c r="Y19" s="662" t="e">
        <f>IFERROR((((VLOOKUP($A19,'pricing overview all products'!$A$1:$M$55,4,FALSE))*'Country File'!$T$2)*'Country File'!$P$2),"N/A")*(1-#REF!)</f>
        <v>#VALUE!</v>
      </c>
      <c r="Z19" s="662">
        <f t="shared" si="18"/>
        <v>0</v>
      </c>
      <c r="AA19" s="662">
        <f t="shared" si="19"/>
        <v>0</v>
      </c>
      <c r="AB19" s="897">
        <f t="shared" si="20"/>
        <v>0</v>
      </c>
      <c r="AC19" s="896">
        <v>0</v>
      </c>
      <c r="AD19" s="662" t="str">
        <f>IFERROR((((VLOOKUP($A19,'pricing overview all products'!$A$1:$M$55,8,FALSE))*'Country File'!$T$2)*'Country File'!$P$2),"N/A")</f>
        <v>N/A</v>
      </c>
      <c r="AE19" s="662" t="str">
        <f>IFERROR((((VLOOKUP($A19,'pricing overview all products'!$A$1:$M$55,8,FALSE))*'Country File'!$T$3)*'Country File'!$P$2),"N/A")</f>
        <v>N/A</v>
      </c>
      <c r="AF19" s="662" t="str">
        <f>IFERROR((((VLOOKUP($A19,'pricing overview all products'!$A$1:$M$55,8,FALSE))*'Country File'!$T$2)*'Country File'!$P$2)*(1-#REF!),"N/A")</f>
        <v>N/A</v>
      </c>
      <c r="AG19" s="662">
        <f t="shared" si="21"/>
        <v>0</v>
      </c>
      <c r="AH19" s="662">
        <f t="shared" si="22"/>
        <v>0</v>
      </c>
      <c r="AI19" s="897">
        <f t="shared" si="23"/>
        <v>0</v>
      </c>
      <c r="AJ19" s="896">
        <v>0</v>
      </c>
      <c r="AK19" s="662" t="str">
        <f>IFERROR((((VLOOKUP($A19,'pricing overview all products'!$A$1:$M$55,10,FALSE))*'Country File'!$T$2)*'Country File'!$P$2),"N/A")</f>
        <v>N/A</v>
      </c>
      <c r="AL19" s="662" t="str">
        <f>IFERROR((((VLOOKUP($A19,'pricing overview all products'!$A$1:$M$55,10,FALSE))*'Country File'!$T$3)*'Country File'!$P$2),"N/A")</f>
        <v>N/A</v>
      </c>
      <c r="AM19" s="662" t="str">
        <f>IFERROR((((VLOOKUP($A19,'pricing overview all products'!$A$1:$M$55,10,FALSE))*'Country File'!$T$2)*'Country File'!$P$2)*(1-#REF!),"N/A")</f>
        <v>N/A</v>
      </c>
      <c r="AN19" s="662">
        <f t="shared" si="24"/>
        <v>0</v>
      </c>
      <c r="AO19" s="662">
        <f t="shared" si="25"/>
        <v>0</v>
      </c>
      <c r="AP19" s="780">
        <f t="shared" si="26"/>
        <v>0</v>
      </c>
      <c r="AQ19" s="889">
        <v>3</v>
      </c>
      <c r="AR19" s="890" t="str">
        <f>IFERROR((((VLOOKUP($A19,'pricing overview all products'!$A$1:$N$55,12,FALSE))*'Country File'!$T$2)*'Country File'!$P$2),"N/A")</f>
        <v>N/A</v>
      </c>
      <c r="AS19" s="665">
        <f t="shared" si="27"/>
        <v>0</v>
      </c>
      <c r="AT19" s="785">
        <v>3</v>
      </c>
      <c r="AU19" s="890" t="str">
        <f>IFERROR((((VLOOKUP($A19,'pricing overview all products'!$A$1:$N$55,14,FALSE))*'Country File'!$T$2)*'Country File'!$P$2),"N/A")</f>
        <v>N/A</v>
      </c>
      <c r="AV19" s="665">
        <f t="shared" si="28"/>
        <v>0</v>
      </c>
      <c r="AW19" s="898">
        <v>3</v>
      </c>
      <c r="AX19" s="899" t="s">
        <v>1411</v>
      </c>
      <c r="AY19" s="900"/>
      <c r="AZ19" s="670">
        <f t="shared" si="29"/>
        <v>0</v>
      </c>
      <c r="BA19" s="901">
        <f t="shared" si="30"/>
        <v>1</v>
      </c>
      <c r="BB19" s="902">
        <f>IFERROR((((VLOOKUP($BD19,'Packaging cost'!A:C,3,FALSE))*'Country File'!$P$2)),"tbc")</f>
        <v>490</v>
      </c>
      <c r="BC19" s="657">
        <f t="shared" si="31"/>
        <v>490</v>
      </c>
      <c r="BD19" s="903" t="s">
        <v>1047</v>
      </c>
      <c r="BE19" s="904" t="str">
        <f>IFERROR(VLOOKUP(BD19,'Common IDs'!A:C,3,FALSE),"not assigned yet")</f>
        <v>not asssigend yet</v>
      </c>
      <c r="BF19" s="843">
        <f t="shared" si="32"/>
        <v>61840</v>
      </c>
      <c r="BG19" s="674">
        <f t="shared" si="33"/>
        <v>61840</v>
      </c>
      <c r="BH19" s="895">
        <f t="shared" si="34"/>
        <v>40367.5</v>
      </c>
      <c r="BI19"/>
    </row>
    <row r="20" spans="1:61" s="150" customFormat="1" ht="15" customHeight="1" thickBot="1" x14ac:dyDescent="0.3">
      <c r="A20" s="107" t="s">
        <v>1051</v>
      </c>
      <c r="B20" s="99" t="s">
        <v>1052</v>
      </c>
      <c r="C20" s="100"/>
      <c r="D20" s="97"/>
      <c r="E20" s="97"/>
      <c r="F20" s="97"/>
      <c r="G20" s="97"/>
      <c r="H20" s="240">
        <v>1</v>
      </c>
      <c r="I20" s="662">
        <f>((VLOOKUP($A20,'pricing overview all products'!$A:$B,2,FALSE))*'Country File'!$T$2)*'Country File'!$P$2</f>
        <v>28540</v>
      </c>
      <c r="J20" s="662">
        <f>((VLOOKUP($A20,'pricing overview all products'!$A:$B,2,FALSE))*'Country File'!$T$3)*'Country File'!$P$2</f>
        <v>28540</v>
      </c>
      <c r="K20" s="636">
        <f>(((VLOOKUP($A20,'pricing overview all products'!$A:$B,2,FALSE))*'Country File'!$T$2)*'Country File'!$P$2)*(1-'Applied Discounts'!$C$17)</f>
        <v>18551</v>
      </c>
      <c r="L20" s="662">
        <f t="shared" si="13"/>
        <v>28540</v>
      </c>
      <c r="M20" s="662">
        <f t="shared" si="14"/>
        <v>28540</v>
      </c>
      <c r="N20" s="662">
        <f t="shared" si="3"/>
        <v>18551</v>
      </c>
      <c r="O20" s="896">
        <v>0</v>
      </c>
      <c r="P20" s="662" t="str">
        <f>IFERROR((((VLOOKUP($A20,'pricing overview all products'!$A$1:$M$55,6,FALSE))*'Country File'!$T$2)*'Country File'!$P$2),"N/A")</f>
        <v>N/A</v>
      </c>
      <c r="Q20" s="662" t="str">
        <f>IFERROR((((VLOOKUP($A20,'pricing overview all products'!$A$1:$M$55,6,FALSE))*'Country File'!$T$3)*'Country File'!$P$2),"N/A")</f>
        <v>N/A</v>
      </c>
      <c r="R20" s="661" t="str">
        <f>IFERROR((((VLOOKUP($A20,'pricing overview all products'!$A$1:$M$55,6,FALSE))*'Country File'!$T$2)*'Country File'!$P$2),"N/A")</f>
        <v>N/A</v>
      </c>
      <c r="S20" s="656">
        <f t="shared" si="15"/>
        <v>0</v>
      </c>
      <c r="T20" s="656">
        <f t="shared" si="16"/>
        <v>0</v>
      </c>
      <c r="U20" s="840">
        <f t="shared" si="17"/>
        <v>0</v>
      </c>
      <c r="V20" s="896">
        <v>0</v>
      </c>
      <c r="W20" s="662" t="str">
        <f>IFERROR((((VLOOKUP($A20,'pricing overview all products'!$A$1:$M$55,4,FALSE))*'Country File'!$T$2)*'Country File'!$P$2),"N/A")</f>
        <v>N/A</v>
      </c>
      <c r="X20" s="662" t="str">
        <f>IFERROR((((VLOOKUP($A20,'pricing overview all products'!$A$1:$M$55,4,FALSE))*'Country File'!$T$3)*'Country File'!$P$2),"N/A")</f>
        <v>N/A</v>
      </c>
      <c r="Y20" s="662" t="e">
        <f>IFERROR((((VLOOKUP($A20,'pricing overview all products'!$A$1:$M$55,4,FALSE))*'Country File'!$T$2)*'Country File'!$P$2),"N/A")*(1-#REF!)</f>
        <v>#VALUE!</v>
      </c>
      <c r="Z20" s="662">
        <f t="shared" si="18"/>
        <v>0</v>
      </c>
      <c r="AA20" s="662">
        <f t="shared" si="19"/>
        <v>0</v>
      </c>
      <c r="AB20" s="897">
        <f t="shared" si="20"/>
        <v>0</v>
      </c>
      <c r="AC20" s="896">
        <v>0</v>
      </c>
      <c r="AD20" s="662" t="str">
        <f>IFERROR((((VLOOKUP($A20,'pricing overview all products'!$A$1:$M$55,8,FALSE))*'Country File'!$T$2)*'Country File'!$P$2),"N/A")</f>
        <v>N/A</v>
      </c>
      <c r="AE20" s="662" t="str">
        <f>IFERROR((((VLOOKUP($A20,'pricing overview all products'!$A$1:$M$55,8,FALSE))*'Country File'!$T$3)*'Country File'!$P$2),"N/A")</f>
        <v>N/A</v>
      </c>
      <c r="AF20" s="662" t="str">
        <f>IFERROR((((VLOOKUP($A20,'pricing overview all products'!$A$1:$M$55,8,FALSE))*'Country File'!$T$2)*'Country File'!$P$2)*(1-#REF!),"N/A")</f>
        <v>N/A</v>
      </c>
      <c r="AG20" s="662">
        <f t="shared" si="21"/>
        <v>0</v>
      </c>
      <c r="AH20" s="662">
        <f t="shared" si="22"/>
        <v>0</v>
      </c>
      <c r="AI20" s="897">
        <f t="shared" si="23"/>
        <v>0</v>
      </c>
      <c r="AJ20" s="896">
        <v>0</v>
      </c>
      <c r="AK20" s="662" t="str">
        <f>IFERROR((((VLOOKUP($A20,'pricing overview all products'!$A$1:$M$55,10,FALSE))*'Country File'!$T$2)*'Country File'!$P$2),"N/A")</f>
        <v>N/A</v>
      </c>
      <c r="AL20" s="662" t="str">
        <f>IFERROR((((VLOOKUP($A20,'pricing overview all products'!$A$1:$M$55,10,FALSE))*'Country File'!$T$3)*'Country File'!$P$2),"N/A")</f>
        <v>N/A</v>
      </c>
      <c r="AM20" s="662" t="str">
        <f>IFERROR((((VLOOKUP($A20,'pricing overview all products'!$A$1:$M$55,10,FALSE))*'Country File'!$T$2)*'Country File'!$P$2)*(1-#REF!),"N/A")</f>
        <v>N/A</v>
      </c>
      <c r="AN20" s="662">
        <f t="shared" si="24"/>
        <v>0</v>
      </c>
      <c r="AO20" s="662">
        <f t="shared" si="25"/>
        <v>0</v>
      </c>
      <c r="AP20" s="780">
        <f t="shared" si="26"/>
        <v>0</v>
      </c>
      <c r="AQ20" s="889">
        <v>4</v>
      </c>
      <c r="AR20" s="890" t="str">
        <f>IFERROR((((VLOOKUP($A20,'pricing overview all products'!$A$1:$N$55,12,FALSE))*'Country File'!$T$2)*'Country File'!$P$2),"N/A")</f>
        <v>N/A</v>
      </c>
      <c r="AS20" s="665">
        <f t="shared" si="27"/>
        <v>0</v>
      </c>
      <c r="AT20" s="785">
        <v>4</v>
      </c>
      <c r="AU20" s="890" t="str">
        <f>IFERROR((((VLOOKUP($A20,'pricing overview all products'!$A$1:$N$55,14,FALSE))*'Country File'!$T$2)*'Country File'!$P$2),"N/A")</f>
        <v>N/A</v>
      </c>
      <c r="AV20" s="665">
        <f t="shared" si="28"/>
        <v>0</v>
      </c>
      <c r="AW20" s="898">
        <v>4</v>
      </c>
      <c r="AX20" s="899" t="s">
        <v>1411</v>
      </c>
      <c r="AY20" s="900"/>
      <c r="AZ20" s="670">
        <f t="shared" si="29"/>
        <v>0</v>
      </c>
      <c r="BA20" s="901">
        <f t="shared" si="30"/>
        <v>1</v>
      </c>
      <c r="BB20" s="902">
        <f>IFERROR((((VLOOKUP($BD20,'Packaging cost'!A:C,3,FALSE))*'Country File'!$P$2)),"tbc")</f>
        <v>130</v>
      </c>
      <c r="BC20" s="657">
        <f t="shared" si="31"/>
        <v>130</v>
      </c>
      <c r="BD20" s="903" t="s">
        <v>1050</v>
      </c>
      <c r="BE20" s="904">
        <f>IFERROR(VLOOKUP(BD20,'Common IDs'!A:C,3,FALSE),"not assigned yet")</f>
        <v>7600000600024</v>
      </c>
      <c r="BF20" s="843">
        <f t="shared" si="32"/>
        <v>28670</v>
      </c>
      <c r="BG20" s="674">
        <f t="shared" si="33"/>
        <v>28670</v>
      </c>
      <c r="BH20" s="895">
        <f t="shared" si="34"/>
        <v>18681</v>
      </c>
      <c r="BI20"/>
    </row>
    <row r="21" spans="1:61" s="150" customFormat="1" ht="15" customHeight="1" thickBot="1" x14ac:dyDescent="0.3">
      <c r="A21" s="107" t="s">
        <v>1054</v>
      </c>
      <c r="B21" s="99" t="s">
        <v>1055</v>
      </c>
      <c r="C21" s="100"/>
      <c r="D21" s="97"/>
      <c r="E21" s="97"/>
      <c r="F21" s="97"/>
      <c r="G21" s="97"/>
      <c r="H21" s="240">
        <v>1</v>
      </c>
      <c r="I21" s="662">
        <f>((VLOOKUP($A21,'pricing overview all products'!$A:$B,2,FALSE))*'Country File'!$T$2)*'Country File'!$P$2</f>
        <v>31400</v>
      </c>
      <c r="J21" s="662">
        <f>((VLOOKUP($A21,'pricing overview all products'!$A:$B,2,FALSE))*'Country File'!$T$3)*'Country File'!$P$2</f>
        <v>31400</v>
      </c>
      <c r="K21" s="636">
        <f>(((VLOOKUP($A21,'pricing overview all products'!$A:$B,2,FALSE))*'Country File'!$T$2)*'Country File'!$P$2)*(1-'Applied Discounts'!$C$17)</f>
        <v>20410</v>
      </c>
      <c r="L21" s="662">
        <f t="shared" si="13"/>
        <v>31400</v>
      </c>
      <c r="M21" s="662">
        <f t="shared" si="14"/>
        <v>31400</v>
      </c>
      <c r="N21" s="662">
        <f t="shared" si="3"/>
        <v>20410</v>
      </c>
      <c r="O21" s="896">
        <v>0</v>
      </c>
      <c r="P21" s="662" t="str">
        <f>IFERROR((((VLOOKUP($A21,'pricing overview all products'!$A$1:$M$55,6,FALSE))*'Country File'!$T$2)*'Country File'!$P$2),"N/A")</f>
        <v>N/A</v>
      </c>
      <c r="Q21" s="662" t="str">
        <f>IFERROR((((VLOOKUP($A21,'pricing overview all products'!$A$1:$M$55,6,FALSE))*'Country File'!$T$3)*'Country File'!$P$2),"N/A")</f>
        <v>N/A</v>
      </c>
      <c r="R21" s="661" t="str">
        <f>IFERROR((((VLOOKUP($A21,'pricing overview all products'!$A$1:$M$55,6,FALSE))*'Country File'!$T$2)*'Country File'!$P$2),"N/A")</f>
        <v>N/A</v>
      </c>
      <c r="S21" s="656">
        <f t="shared" si="15"/>
        <v>0</v>
      </c>
      <c r="T21" s="656">
        <f t="shared" si="16"/>
        <v>0</v>
      </c>
      <c r="U21" s="840">
        <f t="shared" si="17"/>
        <v>0</v>
      </c>
      <c r="V21" s="896">
        <v>0</v>
      </c>
      <c r="W21" s="662" t="str">
        <f>IFERROR((((VLOOKUP($A21,'pricing overview all products'!$A$1:$M$55,4,FALSE))*'Country File'!$T$2)*'Country File'!$P$2),"N/A")</f>
        <v>N/A</v>
      </c>
      <c r="X21" s="662" t="str">
        <f>IFERROR((((VLOOKUP($A21,'pricing overview all products'!$A$1:$M$55,4,FALSE))*'Country File'!$T$3)*'Country File'!$P$2),"N/A")</f>
        <v>N/A</v>
      </c>
      <c r="Y21" s="662" t="e">
        <f>IFERROR((((VLOOKUP($A21,'pricing overview all products'!$A$1:$M$55,4,FALSE))*'Country File'!$T$2)*'Country File'!$P$2),"N/A")*(1-#REF!)</f>
        <v>#VALUE!</v>
      </c>
      <c r="Z21" s="662">
        <f t="shared" si="18"/>
        <v>0</v>
      </c>
      <c r="AA21" s="662">
        <f t="shared" si="19"/>
        <v>0</v>
      </c>
      <c r="AB21" s="897">
        <f t="shared" si="20"/>
        <v>0</v>
      </c>
      <c r="AC21" s="896">
        <v>0</v>
      </c>
      <c r="AD21" s="662" t="str">
        <f>IFERROR((((VLOOKUP($A21,'pricing overview all products'!$A$1:$M$55,8,FALSE))*'Country File'!$T$2)*'Country File'!$P$2),"N/A")</f>
        <v>N/A</v>
      </c>
      <c r="AE21" s="662" t="str">
        <f>IFERROR((((VLOOKUP($A21,'pricing overview all products'!$A$1:$M$55,8,FALSE))*'Country File'!$T$3)*'Country File'!$P$2),"N/A")</f>
        <v>N/A</v>
      </c>
      <c r="AF21" s="662" t="str">
        <f>IFERROR((((VLOOKUP($A21,'pricing overview all products'!$A$1:$M$55,8,FALSE))*'Country File'!$T$2)*'Country File'!$P$2)*(1-#REF!),"N/A")</f>
        <v>N/A</v>
      </c>
      <c r="AG21" s="662">
        <f t="shared" si="21"/>
        <v>0</v>
      </c>
      <c r="AH21" s="662">
        <f t="shared" si="22"/>
        <v>0</v>
      </c>
      <c r="AI21" s="897">
        <f t="shared" si="23"/>
        <v>0</v>
      </c>
      <c r="AJ21" s="896">
        <v>0</v>
      </c>
      <c r="AK21" s="662" t="str">
        <f>IFERROR((((VLOOKUP($A21,'pricing overview all products'!$A$1:$M$55,10,FALSE))*'Country File'!$T$2)*'Country File'!$P$2),"N/A")</f>
        <v>N/A</v>
      </c>
      <c r="AL21" s="662" t="str">
        <f>IFERROR((((VLOOKUP($A21,'pricing overview all products'!$A$1:$M$55,10,FALSE))*'Country File'!$T$3)*'Country File'!$P$2),"N/A")</f>
        <v>N/A</v>
      </c>
      <c r="AM21" s="662" t="str">
        <f>IFERROR((((VLOOKUP($A21,'pricing overview all products'!$A$1:$M$55,10,FALSE))*'Country File'!$T$2)*'Country File'!$P$2)*(1-#REF!),"N/A")</f>
        <v>N/A</v>
      </c>
      <c r="AN21" s="662">
        <f t="shared" si="24"/>
        <v>0</v>
      </c>
      <c r="AO21" s="662">
        <f t="shared" si="25"/>
        <v>0</v>
      </c>
      <c r="AP21" s="780">
        <f t="shared" si="26"/>
        <v>0</v>
      </c>
      <c r="AQ21" s="889">
        <v>5</v>
      </c>
      <c r="AR21" s="890" t="str">
        <f>IFERROR((((VLOOKUP($A21,'pricing overview all products'!$A$1:$N$55,12,FALSE))*'Country File'!$T$2)*'Country File'!$P$2),"N/A")</f>
        <v>N/A</v>
      </c>
      <c r="AS21" s="665">
        <f t="shared" si="27"/>
        <v>0</v>
      </c>
      <c r="AT21" s="785">
        <v>5</v>
      </c>
      <c r="AU21" s="890" t="str">
        <f>IFERROR((((VLOOKUP($A21,'pricing overview all products'!$A$1:$N$55,14,FALSE))*'Country File'!$T$2)*'Country File'!$P$2),"N/A")</f>
        <v>N/A</v>
      </c>
      <c r="AV21" s="665">
        <f t="shared" si="28"/>
        <v>0</v>
      </c>
      <c r="AW21" s="898">
        <v>5</v>
      </c>
      <c r="AX21" s="899" t="s">
        <v>1411</v>
      </c>
      <c r="AY21" s="900"/>
      <c r="AZ21" s="670">
        <f t="shared" si="29"/>
        <v>0</v>
      </c>
      <c r="BA21" s="901">
        <f t="shared" si="30"/>
        <v>1</v>
      </c>
      <c r="BB21" s="902">
        <f>IFERROR((((VLOOKUP($BD21,'Packaging cost'!A:C,3,FALSE))*'Country File'!$P$2)),"tbc")</f>
        <v>130</v>
      </c>
      <c r="BC21" s="657">
        <f t="shared" si="31"/>
        <v>130</v>
      </c>
      <c r="BD21" s="903" t="s">
        <v>1053</v>
      </c>
      <c r="BE21" s="904">
        <f>IFERROR(VLOOKUP(BD21,'Common IDs'!A:C,3,FALSE),"not assigned yet")</f>
        <v>7600000600025</v>
      </c>
      <c r="BF21" s="843">
        <f t="shared" si="32"/>
        <v>31530</v>
      </c>
      <c r="BG21" s="674">
        <f t="shared" si="33"/>
        <v>31530</v>
      </c>
      <c r="BH21" s="895">
        <f t="shared" si="34"/>
        <v>20540</v>
      </c>
      <c r="BI21"/>
    </row>
    <row r="22" spans="1:61" s="150" customFormat="1" ht="15" customHeight="1" thickBot="1" x14ac:dyDescent="0.3">
      <c r="A22" s="107" t="s">
        <v>1057</v>
      </c>
      <c r="B22" s="99" t="s">
        <v>1058</v>
      </c>
      <c r="C22" s="100"/>
      <c r="D22" s="97"/>
      <c r="E22" s="97"/>
      <c r="F22" s="97"/>
      <c r="G22" s="97"/>
      <c r="H22" s="240">
        <v>1</v>
      </c>
      <c r="I22" s="662">
        <f>((VLOOKUP($A22,'pricing overview all products'!$A:$B,2,FALSE))*'Country File'!$T$2)*'Country File'!$P$2</f>
        <v>35950</v>
      </c>
      <c r="J22" s="662">
        <f>((VLOOKUP($A22,'pricing overview all products'!$A:$B,2,FALSE))*'Country File'!$T$3)*'Country File'!$P$2</f>
        <v>35950</v>
      </c>
      <c r="K22" s="636">
        <f>(((VLOOKUP($A22,'pricing overview all products'!$A:$B,2,FALSE))*'Country File'!$T$2)*'Country File'!$P$2)*(1-'Applied Discounts'!$C$17)</f>
        <v>23367.5</v>
      </c>
      <c r="L22" s="662">
        <f t="shared" si="13"/>
        <v>35950</v>
      </c>
      <c r="M22" s="662">
        <f t="shared" si="14"/>
        <v>35950</v>
      </c>
      <c r="N22" s="662">
        <f t="shared" si="3"/>
        <v>23367.5</v>
      </c>
      <c r="O22" s="896">
        <v>0</v>
      </c>
      <c r="P22" s="662" t="str">
        <f>IFERROR((((VLOOKUP($A22,'pricing overview all products'!$A$1:$M$55,6,FALSE))*'Country File'!$T$2)*'Country File'!$P$2),"N/A")</f>
        <v>N/A</v>
      </c>
      <c r="Q22" s="662" t="str">
        <f>IFERROR((((VLOOKUP($A22,'pricing overview all products'!$A$1:$M$55,6,FALSE))*'Country File'!$T$3)*'Country File'!$P$2),"N/A")</f>
        <v>N/A</v>
      </c>
      <c r="R22" s="661" t="str">
        <f>IFERROR((((VLOOKUP($A22,'pricing overview all products'!$A$1:$M$55,6,FALSE))*'Country File'!$T$2)*'Country File'!$P$2),"N/A")</f>
        <v>N/A</v>
      </c>
      <c r="S22" s="656">
        <f t="shared" si="15"/>
        <v>0</v>
      </c>
      <c r="T22" s="656">
        <f t="shared" si="16"/>
        <v>0</v>
      </c>
      <c r="U22" s="840">
        <f t="shared" si="17"/>
        <v>0</v>
      </c>
      <c r="V22" s="896">
        <v>0</v>
      </c>
      <c r="W22" s="662" t="str">
        <f>IFERROR((((VLOOKUP($A22,'pricing overview all products'!$A$1:$M$55,4,FALSE))*'Country File'!$T$2)*'Country File'!$P$2),"N/A")</f>
        <v>N/A</v>
      </c>
      <c r="X22" s="662" t="str">
        <f>IFERROR((((VLOOKUP($A22,'pricing overview all products'!$A$1:$M$55,4,FALSE))*'Country File'!$T$3)*'Country File'!$P$2),"N/A")</f>
        <v>N/A</v>
      </c>
      <c r="Y22" s="662" t="e">
        <f>IFERROR((((VLOOKUP($A22,'pricing overview all products'!$A$1:$M$55,4,FALSE))*'Country File'!$T$2)*'Country File'!$P$2),"N/A")*(1-#REF!)</f>
        <v>#VALUE!</v>
      </c>
      <c r="Z22" s="662">
        <f t="shared" si="18"/>
        <v>0</v>
      </c>
      <c r="AA22" s="662">
        <f t="shared" si="19"/>
        <v>0</v>
      </c>
      <c r="AB22" s="897">
        <f t="shared" si="20"/>
        <v>0</v>
      </c>
      <c r="AC22" s="896">
        <v>0</v>
      </c>
      <c r="AD22" s="662" t="str">
        <f>IFERROR((((VLOOKUP($A22,'pricing overview all products'!$A$1:$M$55,8,FALSE))*'Country File'!$T$2)*'Country File'!$P$2),"N/A")</f>
        <v>N/A</v>
      </c>
      <c r="AE22" s="662" t="str">
        <f>IFERROR((((VLOOKUP($A22,'pricing overview all products'!$A$1:$M$55,8,FALSE))*'Country File'!$T$3)*'Country File'!$P$2),"N/A")</f>
        <v>N/A</v>
      </c>
      <c r="AF22" s="662" t="str">
        <f>IFERROR((((VLOOKUP($A22,'pricing overview all products'!$A$1:$M$55,8,FALSE))*'Country File'!$T$2)*'Country File'!$P$2)*(1-#REF!),"N/A")</f>
        <v>N/A</v>
      </c>
      <c r="AG22" s="662">
        <f t="shared" si="21"/>
        <v>0</v>
      </c>
      <c r="AH22" s="662">
        <f t="shared" si="22"/>
        <v>0</v>
      </c>
      <c r="AI22" s="897">
        <f t="shared" si="23"/>
        <v>0</v>
      </c>
      <c r="AJ22" s="896">
        <v>0</v>
      </c>
      <c r="AK22" s="662" t="str">
        <f>IFERROR((((VLOOKUP($A22,'pricing overview all products'!$A$1:$M$55,10,FALSE))*'Country File'!$T$2)*'Country File'!$P$2),"N/A")</f>
        <v>N/A</v>
      </c>
      <c r="AL22" s="662" t="str">
        <f>IFERROR((((VLOOKUP($A22,'pricing overview all products'!$A$1:$M$55,10,FALSE))*'Country File'!$T$3)*'Country File'!$P$2),"N/A")</f>
        <v>N/A</v>
      </c>
      <c r="AM22" s="662" t="str">
        <f>IFERROR((((VLOOKUP($A22,'pricing overview all products'!$A$1:$M$55,10,FALSE))*'Country File'!$T$2)*'Country File'!$P$2)*(1-#REF!),"N/A")</f>
        <v>N/A</v>
      </c>
      <c r="AN22" s="662">
        <f t="shared" si="24"/>
        <v>0</v>
      </c>
      <c r="AO22" s="662">
        <f t="shared" si="25"/>
        <v>0</v>
      </c>
      <c r="AP22" s="780">
        <f t="shared" si="26"/>
        <v>0</v>
      </c>
      <c r="AQ22" s="889">
        <v>6</v>
      </c>
      <c r="AR22" s="890" t="str">
        <f>IFERROR((((VLOOKUP($A22,'pricing overview all products'!$A$1:$N$55,12,FALSE))*'Country File'!$T$2)*'Country File'!$P$2),"N/A")</f>
        <v>N/A</v>
      </c>
      <c r="AS22" s="665">
        <f t="shared" si="27"/>
        <v>0</v>
      </c>
      <c r="AT22" s="785">
        <v>6</v>
      </c>
      <c r="AU22" s="890" t="str">
        <f>IFERROR((((VLOOKUP($A22,'pricing overview all products'!$A$1:$N$55,14,FALSE))*'Country File'!$T$2)*'Country File'!$P$2),"N/A")</f>
        <v>N/A</v>
      </c>
      <c r="AV22" s="665">
        <f t="shared" si="28"/>
        <v>0</v>
      </c>
      <c r="AW22" s="898">
        <v>6</v>
      </c>
      <c r="AX22" s="899" t="s">
        <v>1411</v>
      </c>
      <c r="AY22" s="900"/>
      <c r="AZ22" s="670">
        <f t="shared" si="29"/>
        <v>0</v>
      </c>
      <c r="BA22" s="901">
        <f t="shared" si="30"/>
        <v>1</v>
      </c>
      <c r="BB22" s="902">
        <f>IFERROR((((VLOOKUP($BD22,'Packaging cost'!A:C,3,FALSE))*'Country File'!$P$2)),"tbc")</f>
        <v>130</v>
      </c>
      <c r="BC22" s="657">
        <f t="shared" si="31"/>
        <v>130</v>
      </c>
      <c r="BD22" s="903" t="s">
        <v>1056</v>
      </c>
      <c r="BE22" s="904">
        <f>IFERROR(VLOOKUP(BD22,'Common IDs'!A:C,3,FALSE),"not assigned yet")</f>
        <v>7600000600026</v>
      </c>
      <c r="BF22" s="843">
        <f t="shared" si="32"/>
        <v>36080</v>
      </c>
      <c r="BG22" s="674">
        <f t="shared" si="33"/>
        <v>36080</v>
      </c>
      <c r="BH22" s="895">
        <f t="shared" si="34"/>
        <v>23497.5</v>
      </c>
      <c r="BI22"/>
    </row>
    <row r="23" spans="1:61" s="150" customFormat="1" ht="15" customHeight="1" thickBot="1" x14ac:dyDescent="0.3">
      <c r="A23" s="107" t="s">
        <v>1060</v>
      </c>
      <c r="B23" s="99" t="s">
        <v>1061</v>
      </c>
      <c r="C23" s="100"/>
      <c r="D23" s="97"/>
      <c r="E23" s="97"/>
      <c r="F23" s="97"/>
      <c r="G23" s="97"/>
      <c r="H23" s="240">
        <v>1</v>
      </c>
      <c r="I23" s="662">
        <f>((VLOOKUP($A23,'pricing overview all products'!$A:$B,2,FALSE))*'Country File'!$T$2)*'Country File'!$P$2</f>
        <v>51540</v>
      </c>
      <c r="J23" s="662">
        <f>((VLOOKUP($A23,'pricing overview all products'!$A:$B,2,FALSE))*'Country File'!$T$3)*'Country File'!$P$2</f>
        <v>51540</v>
      </c>
      <c r="K23" s="636">
        <f>(((VLOOKUP($A23,'pricing overview all products'!$A:$B,2,FALSE))*'Country File'!$T$2)*'Country File'!$P$2)*(1-'Applied Discounts'!$C$17)</f>
        <v>33501</v>
      </c>
      <c r="L23" s="662">
        <f t="shared" si="13"/>
        <v>51540</v>
      </c>
      <c r="M23" s="662">
        <f t="shared" si="14"/>
        <v>51540</v>
      </c>
      <c r="N23" s="662">
        <f t="shared" si="3"/>
        <v>33501</v>
      </c>
      <c r="O23" s="896">
        <v>0</v>
      </c>
      <c r="P23" s="662" t="str">
        <f>IFERROR((((VLOOKUP($A23,'pricing overview all products'!$A$1:$M$55,6,FALSE))*'Country File'!$T$2)*'Country File'!$P$2),"N/A")</f>
        <v>N/A</v>
      </c>
      <c r="Q23" s="662" t="str">
        <f>IFERROR((((VLOOKUP($A23,'pricing overview all products'!$A$1:$M$55,6,FALSE))*'Country File'!$T$3)*'Country File'!$P$2),"N/A")</f>
        <v>N/A</v>
      </c>
      <c r="R23" s="661" t="str">
        <f>IFERROR((((VLOOKUP($A23,'pricing overview all products'!$A$1:$M$55,6,FALSE))*'Country File'!$T$2)*'Country File'!$P$2),"N/A")</f>
        <v>N/A</v>
      </c>
      <c r="S23" s="656">
        <f t="shared" si="15"/>
        <v>0</v>
      </c>
      <c r="T23" s="656">
        <f t="shared" si="16"/>
        <v>0</v>
      </c>
      <c r="U23" s="840">
        <f t="shared" si="17"/>
        <v>0</v>
      </c>
      <c r="V23" s="896">
        <v>0</v>
      </c>
      <c r="W23" s="662" t="str">
        <f>IFERROR((((VLOOKUP($A23,'pricing overview all products'!$A$1:$M$55,4,FALSE))*'Country File'!$T$2)*'Country File'!$P$2),"N/A")</f>
        <v>N/A</v>
      </c>
      <c r="X23" s="662" t="str">
        <f>IFERROR((((VLOOKUP($A23,'pricing overview all products'!$A$1:$M$55,4,FALSE))*'Country File'!$T$3)*'Country File'!$P$2),"N/A")</f>
        <v>N/A</v>
      </c>
      <c r="Y23" s="662" t="e">
        <f>IFERROR((((VLOOKUP($A23,'pricing overview all products'!$A$1:$M$55,4,FALSE))*'Country File'!$T$2)*'Country File'!$P$2),"N/A")*(1-#REF!)</f>
        <v>#VALUE!</v>
      </c>
      <c r="Z23" s="662">
        <f t="shared" si="18"/>
        <v>0</v>
      </c>
      <c r="AA23" s="662">
        <f t="shared" si="19"/>
        <v>0</v>
      </c>
      <c r="AB23" s="897">
        <f t="shared" si="20"/>
        <v>0</v>
      </c>
      <c r="AC23" s="896">
        <v>0</v>
      </c>
      <c r="AD23" s="662" t="str">
        <f>IFERROR((((VLOOKUP($A23,'pricing overview all products'!$A$1:$M$55,8,FALSE))*'Country File'!$T$2)*'Country File'!$P$2),"N/A")</f>
        <v>N/A</v>
      </c>
      <c r="AE23" s="662" t="str">
        <f>IFERROR((((VLOOKUP($A23,'pricing overview all products'!$A$1:$M$55,8,FALSE))*'Country File'!$T$3)*'Country File'!$P$2),"N/A")</f>
        <v>N/A</v>
      </c>
      <c r="AF23" s="662" t="str">
        <f>IFERROR((((VLOOKUP($A23,'pricing overview all products'!$A$1:$M$55,8,FALSE))*'Country File'!$T$2)*'Country File'!$P$2)*(1-#REF!),"N/A")</f>
        <v>N/A</v>
      </c>
      <c r="AG23" s="662">
        <f t="shared" si="21"/>
        <v>0</v>
      </c>
      <c r="AH23" s="662">
        <f t="shared" si="22"/>
        <v>0</v>
      </c>
      <c r="AI23" s="897">
        <f t="shared" si="23"/>
        <v>0</v>
      </c>
      <c r="AJ23" s="896">
        <v>0</v>
      </c>
      <c r="AK23" s="662" t="str">
        <f>IFERROR((((VLOOKUP($A23,'pricing overview all products'!$A$1:$M$55,10,FALSE))*'Country File'!$T$2)*'Country File'!$P$2),"N/A")</f>
        <v>N/A</v>
      </c>
      <c r="AL23" s="662" t="str">
        <f>IFERROR((((VLOOKUP($A23,'pricing overview all products'!$A$1:$M$55,10,FALSE))*'Country File'!$T$3)*'Country File'!$P$2),"N/A")</f>
        <v>N/A</v>
      </c>
      <c r="AM23" s="662" t="str">
        <f>IFERROR((((VLOOKUP($A23,'pricing overview all products'!$A$1:$M$55,10,FALSE))*'Country File'!$T$2)*'Country File'!$P$2)*(1-#REF!),"N/A")</f>
        <v>N/A</v>
      </c>
      <c r="AN23" s="662">
        <f t="shared" si="24"/>
        <v>0</v>
      </c>
      <c r="AO23" s="662">
        <f t="shared" si="25"/>
        <v>0</v>
      </c>
      <c r="AP23" s="780">
        <f t="shared" si="26"/>
        <v>0</v>
      </c>
      <c r="AQ23" s="889">
        <v>7</v>
      </c>
      <c r="AR23" s="890" t="str">
        <f>IFERROR((((VLOOKUP($A23,'pricing overview all products'!$A$1:$N$55,12,FALSE))*'Country File'!$T$2)*'Country File'!$P$2),"N/A")</f>
        <v>N/A</v>
      </c>
      <c r="AS23" s="665">
        <f t="shared" si="27"/>
        <v>0</v>
      </c>
      <c r="AT23" s="785">
        <v>7</v>
      </c>
      <c r="AU23" s="890" t="str">
        <f>IFERROR((((VLOOKUP($A23,'pricing overview all products'!$A$1:$N$55,14,FALSE))*'Country File'!$T$2)*'Country File'!$P$2),"N/A")</f>
        <v>N/A</v>
      </c>
      <c r="AV23" s="665">
        <f t="shared" si="28"/>
        <v>0</v>
      </c>
      <c r="AW23" s="898">
        <v>7</v>
      </c>
      <c r="AX23" s="899" t="s">
        <v>1411</v>
      </c>
      <c r="AY23" s="900"/>
      <c r="AZ23" s="670">
        <f t="shared" si="29"/>
        <v>0</v>
      </c>
      <c r="BA23" s="901">
        <f t="shared" si="30"/>
        <v>1</v>
      </c>
      <c r="BB23" s="902">
        <f>IFERROR((((VLOOKUP($BD23,'Packaging cost'!A:C,3,FALSE))*'Country File'!$P$2)),"tbc")</f>
        <v>230</v>
      </c>
      <c r="BC23" s="657">
        <f t="shared" si="31"/>
        <v>230</v>
      </c>
      <c r="BD23" s="903" t="s">
        <v>1059</v>
      </c>
      <c r="BE23" s="904" t="str">
        <f>IFERROR(VLOOKUP(BD23,'Common IDs'!A:C,3,FALSE),"not assigned yet")</f>
        <v>not asssigend yet</v>
      </c>
      <c r="BF23" s="843">
        <f t="shared" si="32"/>
        <v>51770</v>
      </c>
      <c r="BG23" s="674">
        <f t="shared" si="33"/>
        <v>51770</v>
      </c>
      <c r="BH23" s="895">
        <f t="shared" si="34"/>
        <v>33731</v>
      </c>
      <c r="BI23"/>
    </row>
    <row r="24" spans="1:61" s="150" customFormat="1" ht="15" customHeight="1" thickBot="1" x14ac:dyDescent="0.3">
      <c r="A24" s="107" t="s">
        <v>1063</v>
      </c>
      <c r="B24" s="99" t="s">
        <v>1064</v>
      </c>
      <c r="C24" s="100"/>
      <c r="D24" s="97"/>
      <c r="E24" s="97"/>
      <c r="F24" s="97"/>
      <c r="G24" s="97"/>
      <c r="H24" s="240">
        <v>1</v>
      </c>
      <c r="I24" s="662">
        <f>((VLOOKUP($A24,'pricing overview all products'!$A:$B,2,FALSE))*'Country File'!$T$2)*'Country File'!$P$2</f>
        <v>67950</v>
      </c>
      <c r="J24" s="662">
        <f>((VLOOKUP($A24,'pricing overview all products'!$A:$B,2,FALSE))*'Country File'!$T$3)*'Country File'!$P$2</f>
        <v>67950</v>
      </c>
      <c r="K24" s="636">
        <f>(((VLOOKUP($A24,'pricing overview all products'!$A:$B,2,FALSE))*'Country File'!$T$2)*'Country File'!$P$2)*(1-'Applied Discounts'!$C$17)</f>
        <v>44167.5</v>
      </c>
      <c r="L24" s="662">
        <f t="shared" si="13"/>
        <v>67950</v>
      </c>
      <c r="M24" s="662">
        <f t="shared" si="14"/>
        <v>67950</v>
      </c>
      <c r="N24" s="662">
        <f t="shared" si="3"/>
        <v>44167.5</v>
      </c>
      <c r="O24" s="896">
        <v>0</v>
      </c>
      <c r="P24" s="662" t="str">
        <f>IFERROR((((VLOOKUP($A24,'pricing overview all products'!$A$1:$M$55,6,FALSE))*'Country File'!$T$2)*'Country File'!$P$2),"N/A")</f>
        <v>N/A</v>
      </c>
      <c r="Q24" s="662" t="str">
        <f>IFERROR((((VLOOKUP($A24,'pricing overview all products'!$A$1:$M$55,6,FALSE))*'Country File'!$T$3)*'Country File'!$P$2),"N/A")</f>
        <v>N/A</v>
      </c>
      <c r="R24" s="661" t="str">
        <f>IFERROR((((VLOOKUP($A24,'pricing overview all products'!$A$1:$M$55,6,FALSE))*'Country File'!$T$2)*'Country File'!$P$2),"N/A")</f>
        <v>N/A</v>
      </c>
      <c r="S24" s="656">
        <f t="shared" si="15"/>
        <v>0</v>
      </c>
      <c r="T24" s="656">
        <f t="shared" si="16"/>
        <v>0</v>
      </c>
      <c r="U24" s="840">
        <f t="shared" si="17"/>
        <v>0</v>
      </c>
      <c r="V24" s="896">
        <v>0</v>
      </c>
      <c r="W24" s="662" t="str">
        <f>IFERROR((((VLOOKUP($A24,'pricing overview all products'!$A$1:$M$55,4,FALSE))*'Country File'!$T$2)*'Country File'!$P$2),"N/A")</f>
        <v>N/A</v>
      </c>
      <c r="X24" s="662" t="str">
        <f>IFERROR((((VLOOKUP($A24,'pricing overview all products'!$A$1:$M$55,4,FALSE))*'Country File'!$T$3)*'Country File'!$P$2),"N/A")</f>
        <v>N/A</v>
      </c>
      <c r="Y24" s="662" t="e">
        <f>IFERROR((((VLOOKUP($A24,'pricing overview all products'!$A$1:$M$55,4,FALSE))*'Country File'!$T$2)*'Country File'!$P$2),"N/A")*(1-#REF!)</f>
        <v>#VALUE!</v>
      </c>
      <c r="Z24" s="662">
        <f t="shared" si="18"/>
        <v>0</v>
      </c>
      <c r="AA24" s="662">
        <f t="shared" si="19"/>
        <v>0</v>
      </c>
      <c r="AB24" s="897">
        <f t="shared" si="20"/>
        <v>0</v>
      </c>
      <c r="AC24" s="896">
        <v>0</v>
      </c>
      <c r="AD24" s="662" t="str">
        <f>IFERROR((((VLOOKUP($A24,'pricing overview all products'!$A$1:$M$55,8,FALSE))*'Country File'!$T$2)*'Country File'!$P$2),"N/A")</f>
        <v>N/A</v>
      </c>
      <c r="AE24" s="662" t="str">
        <f>IFERROR((((VLOOKUP($A24,'pricing overview all products'!$A$1:$M$55,8,FALSE))*'Country File'!$T$3)*'Country File'!$P$2),"N/A")</f>
        <v>N/A</v>
      </c>
      <c r="AF24" s="662" t="str">
        <f>IFERROR((((VLOOKUP($A24,'pricing overview all products'!$A$1:$M$55,8,FALSE))*'Country File'!$T$2)*'Country File'!$P$2)*(1-#REF!),"N/A")</f>
        <v>N/A</v>
      </c>
      <c r="AG24" s="662">
        <f t="shared" si="21"/>
        <v>0</v>
      </c>
      <c r="AH24" s="662">
        <f t="shared" si="22"/>
        <v>0</v>
      </c>
      <c r="AI24" s="897">
        <f t="shared" si="23"/>
        <v>0</v>
      </c>
      <c r="AJ24" s="896">
        <v>0</v>
      </c>
      <c r="AK24" s="662" t="str">
        <f>IFERROR((((VLOOKUP($A24,'pricing overview all products'!$A$1:$M$55,10,FALSE))*'Country File'!$T$2)*'Country File'!$P$2),"N/A")</f>
        <v>N/A</v>
      </c>
      <c r="AL24" s="662" t="str">
        <f>IFERROR((((VLOOKUP($A24,'pricing overview all products'!$A$1:$M$55,10,FALSE))*'Country File'!$T$3)*'Country File'!$P$2),"N/A")</f>
        <v>N/A</v>
      </c>
      <c r="AM24" s="662" t="str">
        <f>IFERROR((((VLOOKUP($A24,'pricing overview all products'!$A$1:$M$55,10,FALSE))*'Country File'!$T$2)*'Country File'!$P$2)*(1-#REF!),"N/A")</f>
        <v>N/A</v>
      </c>
      <c r="AN24" s="662">
        <f t="shared" si="24"/>
        <v>0</v>
      </c>
      <c r="AO24" s="662">
        <f t="shared" si="25"/>
        <v>0</v>
      </c>
      <c r="AP24" s="780">
        <f t="shared" si="26"/>
        <v>0</v>
      </c>
      <c r="AQ24" s="889">
        <v>8</v>
      </c>
      <c r="AR24" s="890" t="str">
        <f>IFERROR((((VLOOKUP($A24,'pricing overview all products'!$A$1:$N$55,12,FALSE))*'Country File'!$T$2)*'Country File'!$P$2),"N/A")</f>
        <v>N/A</v>
      </c>
      <c r="AS24" s="665">
        <f t="shared" si="27"/>
        <v>0</v>
      </c>
      <c r="AT24" s="785">
        <v>8</v>
      </c>
      <c r="AU24" s="890" t="str">
        <f>IFERROR((((VLOOKUP($A24,'pricing overview all products'!$A$1:$N$55,14,FALSE))*'Country File'!$T$2)*'Country File'!$P$2),"N/A")</f>
        <v>N/A</v>
      </c>
      <c r="AV24" s="665">
        <f t="shared" si="28"/>
        <v>0</v>
      </c>
      <c r="AW24" s="898">
        <v>8</v>
      </c>
      <c r="AX24" s="899" t="s">
        <v>1411</v>
      </c>
      <c r="AY24" s="900"/>
      <c r="AZ24" s="670">
        <f t="shared" si="29"/>
        <v>0</v>
      </c>
      <c r="BA24" s="901">
        <f t="shared" si="30"/>
        <v>1</v>
      </c>
      <c r="BB24" s="902">
        <f>IFERROR((((VLOOKUP($BD24,'Packaging cost'!A:C,3,FALSE))*'Country File'!$P$2)),"tbc")</f>
        <v>320</v>
      </c>
      <c r="BC24" s="657">
        <f t="shared" si="31"/>
        <v>320</v>
      </c>
      <c r="BD24" s="903" t="s">
        <v>1062</v>
      </c>
      <c r="BE24" s="904" t="str">
        <f>IFERROR(VLOOKUP(BD24,'Common IDs'!A:C,3,FALSE),"not assigned yet")</f>
        <v>not asssigend yet</v>
      </c>
      <c r="BF24" s="843">
        <f t="shared" si="32"/>
        <v>68270</v>
      </c>
      <c r="BG24" s="674">
        <f t="shared" si="33"/>
        <v>68270</v>
      </c>
      <c r="BH24" s="895">
        <f t="shared" si="34"/>
        <v>44487.5</v>
      </c>
      <c r="BI24"/>
    </row>
    <row r="25" spans="1:61" s="150" customFormat="1" ht="15" customHeight="1" thickBot="1" x14ac:dyDescent="0.3">
      <c r="A25" s="107" t="s">
        <v>1066</v>
      </c>
      <c r="B25" s="99" t="s">
        <v>1067</v>
      </c>
      <c r="C25" s="100"/>
      <c r="D25" s="97"/>
      <c r="E25" s="97"/>
      <c r="F25" s="97"/>
      <c r="G25" s="97"/>
      <c r="H25" s="240">
        <v>1</v>
      </c>
      <c r="I25" s="662">
        <f>((VLOOKUP($A25,'pricing overview all products'!$A:$B,2,FALSE))*'Country File'!$T$2)*'Country File'!$P$2</f>
        <v>90450</v>
      </c>
      <c r="J25" s="662">
        <f>((VLOOKUP($A25,'pricing overview all products'!$A:$B,2,FALSE))*'Country File'!$T$3)*'Country File'!$P$2</f>
        <v>90450</v>
      </c>
      <c r="K25" s="636">
        <f>(((VLOOKUP($A25,'pricing overview all products'!$A:$B,2,FALSE))*'Country File'!$T$2)*'Country File'!$P$2)*(1-'Applied Discounts'!$C$17)</f>
        <v>58792.5</v>
      </c>
      <c r="L25" s="662">
        <f t="shared" si="13"/>
        <v>90450</v>
      </c>
      <c r="M25" s="662">
        <f t="shared" si="14"/>
        <v>90450</v>
      </c>
      <c r="N25" s="662">
        <f t="shared" si="3"/>
        <v>58792.5</v>
      </c>
      <c r="O25" s="896">
        <v>0</v>
      </c>
      <c r="P25" s="662" t="str">
        <f>IFERROR((((VLOOKUP($A25,'pricing overview all products'!$A$1:$M$55,6,FALSE))*'Country File'!$T$2)*'Country File'!$P$2),"N/A")</f>
        <v>N/A</v>
      </c>
      <c r="Q25" s="662" t="str">
        <f>IFERROR((((VLOOKUP($A25,'pricing overview all products'!$A$1:$M$55,6,FALSE))*'Country File'!$T$3)*'Country File'!$P$2),"N/A")</f>
        <v>N/A</v>
      </c>
      <c r="R25" s="661" t="str">
        <f>IFERROR((((VLOOKUP($A25,'pricing overview all products'!$A$1:$M$55,6,FALSE))*'Country File'!$T$2)*'Country File'!$P$2),"N/A")</f>
        <v>N/A</v>
      </c>
      <c r="S25" s="656">
        <f t="shared" si="15"/>
        <v>0</v>
      </c>
      <c r="T25" s="656">
        <f t="shared" si="16"/>
        <v>0</v>
      </c>
      <c r="U25" s="840">
        <f t="shared" si="17"/>
        <v>0</v>
      </c>
      <c r="V25" s="896">
        <v>0</v>
      </c>
      <c r="W25" s="662" t="str">
        <f>IFERROR((((VLOOKUP($A25,'pricing overview all products'!$A$1:$M$55,4,FALSE))*'Country File'!$T$2)*'Country File'!$P$2),"N/A")</f>
        <v>N/A</v>
      </c>
      <c r="X25" s="662" t="str">
        <f>IFERROR((((VLOOKUP($A25,'pricing overview all products'!$A$1:$M$55,4,FALSE))*'Country File'!$T$3)*'Country File'!$P$2),"N/A")</f>
        <v>N/A</v>
      </c>
      <c r="Y25" s="662" t="e">
        <f>IFERROR((((VLOOKUP($A25,'pricing overview all products'!$A$1:$M$55,4,FALSE))*'Country File'!$T$2)*'Country File'!$P$2),"N/A")*(1-#REF!)</f>
        <v>#VALUE!</v>
      </c>
      <c r="Z25" s="662">
        <f t="shared" si="18"/>
        <v>0</v>
      </c>
      <c r="AA25" s="662">
        <f t="shared" si="19"/>
        <v>0</v>
      </c>
      <c r="AB25" s="897">
        <f t="shared" si="20"/>
        <v>0</v>
      </c>
      <c r="AC25" s="896">
        <v>0</v>
      </c>
      <c r="AD25" s="662" t="str">
        <f>IFERROR((((VLOOKUP($A25,'pricing overview all products'!$A$1:$M$55,8,FALSE))*'Country File'!$T$2)*'Country File'!$P$2),"N/A")</f>
        <v>N/A</v>
      </c>
      <c r="AE25" s="662" t="str">
        <f>IFERROR((((VLOOKUP($A25,'pricing overview all products'!$A$1:$M$55,8,FALSE))*'Country File'!$T$3)*'Country File'!$P$2),"N/A")</f>
        <v>N/A</v>
      </c>
      <c r="AF25" s="662" t="str">
        <f>IFERROR((((VLOOKUP($A25,'pricing overview all products'!$A$1:$M$55,8,FALSE))*'Country File'!$T$2)*'Country File'!$P$2)*(1-#REF!),"N/A")</f>
        <v>N/A</v>
      </c>
      <c r="AG25" s="662">
        <f t="shared" si="21"/>
        <v>0</v>
      </c>
      <c r="AH25" s="662">
        <f t="shared" si="22"/>
        <v>0</v>
      </c>
      <c r="AI25" s="897">
        <f t="shared" si="23"/>
        <v>0</v>
      </c>
      <c r="AJ25" s="896">
        <v>0</v>
      </c>
      <c r="AK25" s="662" t="str">
        <f>IFERROR((((VLOOKUP($A25,'pricing overview all products'!$A$1:$M$55,10,FALSE))*'Country File'!$T$2)*'Country File'!$P$2),"N/A")</f>
        <v>N/A</v>
      </c>
      <c r="AL25" s="662" t="str">
        <f>IFERROR((((VLOOKUP($A25,'pricing overview all products'!$A$1:$M$55,10,FALSE))*'Country File'!$T$3)*'Country File'!$P$2),"N/A")</f>
        <v>N/A</v>
      </c>
      <c r="AM25" s="662" t="str">
        <f>IFERROR((((VLOOKUP($A25,'pricing overview all products'!$A$1:$M$55,10,FALSE))*'Country File'!$T$2)*'Country File'!$P$2)*(1-#REF!),"N/A")</f>
        <v>N/A</v>
      </c>
      <c r="AN25" s="662">
        <f t="shared" si="24"/>
        <v>0</v>
      </c>
      <c r="AO25" s="662">
        <f t="shared" si="25"/>
        <v>0</v>
      </c>
      <c r="AP25" s="780">
        <f t="shared" si="26"/>
        <v>0</v>
      </c>
      <c r="AQ25" s="889">
        <v>9</v>
      </c>
      <c r="AR25" s="890" t="str">
        <f>IFERROR((((VLOOKUP($A25,'pricing overview all products'!$A$1:$N$55,12,FALSE))*'Country File'!$T$2)*'Country File'!$P$2),"N/A")</f>
        <v>N/A</v>
      </c>
      <c r="AS25" s="665">
        <f t="shared" si="27"/>
        <v>0</v>
      </c>
      <c r="AT25" s="785">
        <v>9</v>
      </c>
      <c r="AU25" s="890" t="str">
        <f>IFERROR((((VLOOKUP($A25,'pricing overview all products'!$A$1:$N$55,14,FALSE))*'Country File'!$T$2)*'Country File'!$P$2),"N/A")</f>
        <v>N/A</v>
      </c>
      <c r="AV25" s="665">
        <f t="shared" si="28"/>
        <v>0</v>
      </c>
      <c r="AW25" s="898">
        <v>9</v>
      </c>
      <c r="AX25" s="899" t="s">
        <v>1411</v>
      </c>
      <c r="AY25" s="900"/>
      <c r="AZ25" s="670">
        <f t="shared" si="29"/>
        <v>0</v>
      </c>
      <c r="BA25" s="901">
        <f t="shared" si="30"/>
        <v>1</v>
      </c>
      <c r="BB25" s="902">
        <f>IFERROR((((VLOOKUP($BD25,'Packaging cost'!A:C,3,FALSE))*'Country File'!$P$2)),"tbc")</f>
        <v>490</v>
      </c>
      <c r="BC25" s="657">
        <f t="shared" si="31"/>
        <v>490</v>
      </c>
      <c r="BD25" s="903" t="s">
        <v>1065</v>
      </c>
      <c r="BE25" s="904" t="str">
        <f>IFERROR(VLOOKUP(BD25,'Common IDs'!A:C,3,FALSE),"not assigned yet")</f>
        <v>not asssigend yet</v>
      </c>
      <c r="BF25" s="843">
        <f t="shared" si="32"/>
        <v>90940</v>
      </c>
      <c r="BG25" s="674">
        <f t="shared" si="33"/>
        <v>90940</v>
      </c>
      <c r="BH25" s="895">
        <f t="shared" si="34"/>
        <v>59282.5</v>
      </c>
      <c r="BI25"/>
    </row>
    <row r="26" spans="1:61" s="150" customFormat="1" ht="15" customHeight="1" thickBot="1" x14ac:dyDescent="0.3">
      <c r="A26" s="107" t="s">
        <v>1069</v>
      </c>
      <c r="B26" s="99" t="s">
        <v>1070</v>
      </c>
      <c r="C26" s="100"/>
      <c r="D26" s="97"/>
      <c r="E26" s="97"/>
      <c r="F26" s="97"/>
      <c r="G26" s="97"/>
      <c r="H26" s="240">
        <v>1</v>
      </c>
      <c r="I26" s="662">
        <f>((VLOOKUP($A26,'pricing overview all products'!$A:$B,2,FALSE))*'Country File'!$T$2)*'Country File'!$P$2</f>
        <v>59440</v>
      </c>
      <c r="J26" s="662">
        <f>((VLOOKUP($A26,'pricing overview all products'!$A:$B,2,FALSE))*'Country File'!$T$3)*'Country File'!$P$2</f>
        <v>59440</v>
      </c>
      <c r="K26" s="636">
        <f>(((VLOOKUP($A26,'pricing overview all products'!$A:$B,2,FALSE))*'Country File'!$T$2)*'Country File'!$P$2)*(1-'Applied Discounts'!$C$17)</f>
        <v>38636</v>
      </c>
      <c r="L26" s="662">
        <f t="shared" si="13"/>
        <v>59440</v>
      </c>
      <c r="M26" s="662">
        <f t="shared" si="14"/>
        <v>59440</v>
      </c>
      <c r="N26" s="662">
        <f t="shared" si="3"/>
        <v>38636</v>
      </c>
      <c r="O26" s="896">
        <v>0</v>
      </c>
      <c r="P26" s="662" t="str">
        <f>IFERROR((((VLOOKUP($A26,'pricing overview all products'!$A$1:$M$55,6,FALSE))*'Country File'!$T$2)*'Country File'!$P$2),"N/A")</f>
        <v>N/A</v>
      </c>
      <c r="Q26" s="662" t="str">
        <f>IFERROR((((VLOOKUP($A26,'pricing overview all products'!$A$1:$M$55,6,FALSE))*'Country File'!$T$3)*'Country File'!$P$2),"N/A")</f>
        <v>N/A</v>
      </c>
      <c r="R26" s="661" t="str">
        <f>IFERROR((((VLOOKUP($A26,'pricing overview all products'!$A$1:$M$55,6,FALSE))*'Country File'!$T$2)*'Country File'!$P$2),"N/A")</f>
        <v>N/A</v>
      </c>
      <c r="S26" s="656">
        <f t="shared" si="15"/>
        <v>0</v>
      </c>
      <c r="T26" s="656">
        <f t="shared" si="16"/>
        <v>0</v>
      </c>
      <c r="U26" s="840">
        <f t="shared" si="17"/>
        <v>0</v>
      </c>
      <c r="V26" s="896">
        <v>0</v>
      </c>
      <c r="W26" s="662" t="str">
        <f>IFERROR((((VLOOKUP($A26,'pricing overview all products'!$A$1:$M$55,4,FALSE))*'Country File'!$T$2)*'Country File'!$P$2),"N/A")</f>
        <v>N/A</v>
      </c>
      <c r="X26" s="662" t="str">
        <f>IFERROR((((VLOOKUP($A26,'pricing overview all products'!$A$1:$M$55,4,FALSE))*'Country File'!$T$3)*'Country File'!$P$2),"N/A")</f>
        <v>N/A</v>
      </c>
      <c r="Y26" s="662" t="e">
        <f>IFERROR((((VLOOKUP($A26,'pricing overview all products'!$A$1:$M$55,4,FALSE))*'Country File'!$T$2)*'Country File'!$P$2),"N/A")*(1-#REF!)</f>
        <v>#VALUE!</v>
      </c>
      <c r="Z26" s="662">
        <f t="shared" si="18"/>
        <v>0</v>
      </c>
      <c r="AA26" s="662">
        <f t="shared" si="19"/>
        <v>0</v>
      </c>
      <c r="AB26" s="897">
        <f t="shared" si="20"/>
        <v>0</v>
      </c>
      <c r="AC26" s="896">
        <v>0</v>
      </c>
      <c r="AD26" s="662" t="str">
        <f>IFERROR((((VLOOKUP($A26,'pricing overview all products'!$A$1:$M$55,8,FALSE))*'Country File'!$T$2)*'Country File'!$P$2),"N/A")</f>
        <v>N/A</v>
      </c>
      <c r="AE26" s="662" t="str">
        <f>IFERROR((((VLOOKUP($A26,'pricing overview all products'!$A$1:$M$55,8,FALSE))*'Country File'!$T$3)*'Country File'!$P$2),"N/A")</f>
        <v>N/A</v>
      </c>
      <c r="AF26" s="662" t="str">
        <f>IFERROR((((VLOOKUP($A26,'pricing overview all products'!$A$1:$M$55,8,FALSE))*'Country File'!$T$2)*'Country File'!$P$2)*(1-#REF!),"N/A")</f>
        <v>N/A</v>
      </c>
      <c r="AG26" s="662">
        <f t="shared" si="21"/>
        <v>0</v>
      </c>
      <c r="AH26" s="662">
        <f t="shared" si="22"/>
        <v>0</v>
      </c>
      <c r="AI26" s="897">
        <f t="shared" si="23"/>
        <v>0</v>
      </c>
      <c r="AJ26" s="896">
        <v>0</v>
      </c>
      <c r="AK26" s="662" t="str">
        <f>IFERROR((((VLOOKUP($A26,'pricing overview all products'!$A$1:$M$55,10,FALSE))*'Country File'!$T$2)*'Country File'!$P$2),"N/A")</f>
        <v>N/A</v>
      </c>
      <c r="AL26" s="662" t="str">
        <f>IFERROR((((VLOOKUP($A26,'pricing overview all products'!$A$1:$M$55,10,FALSE))*'Country File'!$T$3)*'Country File'!$P$2),"N/A")</f>
        <v>N/A</v>
      </c>
      <c r="AM26" s="662" t="str">
        <f>IFERROR((((VLOOKUP($A26,'pricing overview all products'!$A$1:$M$55,10,FALSE))*'Country File'!$T$2)*'Country File'!$P$2)*(1-#REF!),"N/A")</f>
        <v>N/A</v>
      </c>
      <c r="AN26" s="662">
        <f t="shared" si="24"/>
        <v>0</v>
      </c>
      <c r="AO26" s="662">
        <f t="shared" si="25"/>
        <v>0</v>
      </c>
      <c r="AP26" s="780">
        <f t="shared" si="26"/>
        <v>0</v>
      </c>
      <c r="AQ26" s="889">
        <v>10</v>
      </c>
      <c r="AR26" s="890" t="str">
        <f>IFERROR((((VLOOKUP($A26,'pricing overview all products'!$A$1:$N$55,12,FALSE))*'Country File'!$T$2)*'Country File'!$P$2),"N/A")</f>
        <v>N/A</v>
      </c>
      <c r="AS26" s="665">
        <f t="shared" si="27"/>
        <v>0</v>
      </c>
      <c r="AT26" s="785">
        <v>10</v>
      </c>
      <c r="AU26" s="890" t="str">
        <f>IFERROR((((VLOOKUP($A26,'pricing overview all products'!$A$1:$N$55,14,FALSE))*'Country File'!$T$2)*'Country File'!$P$2),"N/A")</f>
        <v>N/A</v>
      </c>
      <c r="AV26" s="665">
        <f t="shared" si="28"/>
        <v>0</v>
      </c>
      <c r="AW26" s="898">
        <v>10</v>
      </c>
      <c r="AX26" s="899" t="s">
        <v>1411</v>
      </c>
      <c r="AY26" s="900"/>
      <c r="AZ26" s="670">
        <f t="shared" si="29"/>
        <v>0</v>
      </c>
      <c r="BA26" s="901">
        <f t="shared" si="30"/>
        <v>1</v>
      </c>
      <c r="BB26" s="902">
        <f>IFERROR((((VLOOKUP($BD26,'Packaging cost'!A:C,3,FALSE))*'Country File'!$P$2)),"tbc")</f>
        <v>320</v>
      </c>
      <c r="BC26" s="657">
        <f t="shared" si="31"/>
        <v>320</v>
      </c>
      <c r="BD26" s="903" t="s">
        <v>1068</v>
      </c>
      <c r="BE26" s="904" t="str">
        <f>IFERROR(VLOOKUP(BD26,'Common IDs'!A:C,3,FALSE),"not assigned yet")</f>
        <v>not asssigend yet</v>
      </c>
      <c r="BF26" s="843">
        <f t="shared" si="32"/>
        <v>59760</v>
      </c>
      <c r="BG26" s="674">
        <f t="shared" si="33"/>
        <v>59760</v>
      </c>
      <c r="BH26" s="895">
        <f t="shared" si="34"/>
        <v>38956</v>
      </c>
      <c r="BI26"/>
    </row>
    <row r="27" spans="1:61" s="150" customFormat="1" ht="15" customHeight="1" thickBot="1" x14ac:dyDescent="0.3">
      <c r="A27" s="107" t="s">
        <v>1072</v>
      </c>
      <c r="B27" s="99" t="s">
        <v>1073</v>
      </c>
      <c r="C27" s="100"/>
      <c r="D27" s="97"/>
      <c r="E27" s="97"/>
      <c r="F27" s="97"/>
      <c r="G27" s="97"/>
      <c r="H27" s="240">
        <v>1</v>
      </c>
      <c r="I27" s="662">
        <f>((VLOOKUP($A27,'pricing overview all products'!$A:$B,2,FALSE))*'Country File'!$T$2)*'Country File'!$P$2</f>
        <v>72450</v>
      </c>
      <c r="J27" s="662">
        <f>((VLOOKUP($A27,'pricing overview all products'!$A:$B,2,FALSE))*'Country File'!$T$3)*'Country File'!$P$2</f>
        <v>72450</v>
      </c>
      <c r="K27" s="636">
        <f>(((VLOOKUP($A27,'pricing overview all products'!$A:$B,2,FALSE))*'Country File'!$T$2)*'Country File'!$P$2)*(1-'Applied Discounts'!$C$17)</f>
        <v>47092.5</v>
      </c>
      <c r="L27" s="662">
        <f t="shared" si="13"/>
        <v>72450</v>
      </c>
      <c r="M27" s="662">
        <f t="shared" si="14"/>
        <v>72450</v>
      </c>
      <c r="N27" s="662">
        <f t="shared" si="3"/>
        <v>47092.5</v>
      </c>
      <c r="O27" s="896">
        <v>0</v>
      </c>
      <c r="P27" s="662" t="str">
        <f>IFERROR((((VLOOKUP($A27,'pricing overview all products'!$A$1:$M$55,6,FALSE))*'Country File'!$T$2)*'Country File'!$P$2),"N/A")</f>
        <v>N/A</v>
      </c>
      <c r="Q27" s="662" t="str">
        <f>IFERROR((((VLOOKUP($A27,'pricing overview all products'!$A$1:$M$55,6,FALSE))*'Country File'!$T$3)*'Country File'!$P$2),"N/A")</f>
        <v>N/A</v>
      </c>
      <c r="R27" s="661" t="str">
        <f>IFERROR((((VLOOKUP($A27,'pricing overview all products'!$A$1:$M$55,6,FALSE))*'Country File'!$T$2)*'Country File'!$P$2),"N/A")</f>
        <v>N/A</v>
      </c>
      <c r="S27" s="656">
        <f t="shared" si="15"/>
        <v>0</v>
      </c>
      <c r="T27" s="656">
        <f t="shared" si="16"/>
        <v>0</v>
      </c>
      <c r="U27" s="840">
        <f t="shared" si="17"/>
        <v>0</v>
      </c>
      <c r="V27" s="896">
        <v>0</v>
      </c>
      <c r="W27" s="662" t="str">
        <f>IFERROR((((VLOOKUP($A27,'pricing overview all products'!$A$1:$M$55,4,FALSE))*'Country File'!$T$2)*'Country File'!$P$2),"N/A")</f>
        <v>N/A</v>
      </c>
      <c r="X27" s="662" t="str">
        <f>IFERROR((((VLOOKUP($A27,'pricing overview all products'!$A$1:$M$55,4,FALSE))*'Country File'!$T$3)*'Country File'!$P$2),"N/A")</f>
        <v>N/A</v>
      </c>
      <c r="Y27" s="662" t="e">
        <f>IFERROR((((VLOOKUP($A27,'pricing overview all products'!$A$1:$M$55,4,FALSE))*'Country File'!$T$2)*'Country File'!$P$2),"N/A")*(1-#REF!)</f>
        <v>#VALUE!</v>
      </c>
      <c r="Z27" s="662">
        <f t="shared" si="18"/>
        <v>0</v>
      </c>
      <c r="AA27" s="662">
        <f t="shared" si="19"/>
        <v>0</v>
      </c>
      <c r="AB27" s="897">
        <f t="shared" si="20"/>
        <v>0</v>
      </c>
      <c r="AC27" s="896">
        <v>0</v>
      </c>
      <c r="AD27" s="662" t="str">
        <f>IFERROR((((VLOOKUP($A27,'pricing overview all products'!$A$1:$M$55,8,FALSE))*'Country File'!$T$2)*'Country File'!$P$2),"N/A")</f>
        <v>N/A</v>
      </c>
      <c r="AE27" s="662" t="str">
        <f>IFERROR((((VLOOKUP($A27,'pricing overview all products'!$A$1:$M$55,8,FALSE))*'Country File'!$T$3)*'Country File'!$P$2),"N/A")</f>
        <v>N/A</v>
      </c>
      <c r="AF27" s="662" t="str">
        <f>IFERROR((((VLOOKUP($A27,'pricing overview all products'!$A$1:$M$55,8,FALSE))*'Country File'!$T$2)*'Country File'!$P$2)*(1-#REF!),"N/A")</f>
        <v>N/A</v>
      </c>
      <c r="AG27" s="662">
        <f t="shared" si="21"/>
        <v>0</v>
      </c>
      <c r="AH27" s="662">
        <f t="shared" si="22"/>
        <v>0</v>
      </c>
      <c r="AI27" s="897">
        <f t="shared" si="23"/>
        <v>0</v>
      </c>
      <c r="AJ27" s="896">
        <v>0</v>
      </c>
      <c r="AK27" s="662" t="str">
        <f>IFERROR((((VLOOKUP($A27,'pricing overview all products'!$A$1:$M$55,10,FALSE))*'Country File'!$T$2)*'Country File'!$P$2),"N/A")</f>
        <v>N/A</v>
      </c>
      <c r="AL27" s="662" t="str">
        <f>IFERROR((((VLOOKUP($A27,'pricing overview all products'!$A$1:$M$55,10,FALSE))*'Country File'!$T$3)*'Country File'!$P$2),"N/A")</f>
        <v>N/A</v>
      </c>
      <c r="AM27" s="662" t="str">
        <f>IFERROR((((VLOOKUP($A27,'pricing overview all products'!$A$1:$M$55,10,FALSE))*'Country File'!$T$2)*'Country File'!$P$2)*(1-#REF!),"N/A")</f>
        <v>N/A</v>
      </c>
      <c r="AN27" s="662">
        <f t="shared" si="24"/>
        <v>0</v>
      </c>
      <c r="AO27" s="662">
        <f t="shared" si="25"/>
        <v>0</v>
      </c>
      <c r="AP27" s="780">
        <f t="shared" si="26"/>
        <v>0</v>
      </c>
      <c r="AQ27" s="889">
        <v>11</v>
      </c>
      <c r="AR27" s="890" t="str">
        <f>IFERROR((((VLOOKUP($A27,'pricing overview all products'!$A$1:$N$55,12,FALSE))*'Country File'!$T$2)*'Country File'!$P$2),"N/A")</f>
        <v>N/A</v>
      </c>
      <c r="AS27" s="665">
        <f t="shared" si="27"/>
        <v>0</v>
      </c>
      <c r="AT27" s="785">
        <v>11</v>
      </c>
      <c r="AU27" s="890" t="str">
        <f>IFERROR((((VLOOKUP($A27,'pricing overview all products'!$A$1:$N$55,14,FALSE))*'Country File'!$T$2)*'Country File'!$P$2),"N/A")</f>
        <v>N/A</v>
      </c>
      <c r="AV27" s="665">
        <f t="shared" si="28"/>
        <v>0</v>
      </c>
      <c r="AW27" s="898">
        <v>11</v>
      </c>
      <c r="AX27" s="899" t="s">
        <v>1411</v>
      </c>
      <c r="AY27" s="900"/>
      <c r="AZ27" s="670">
        <f t="shared" si="29"/>
        <v>0</v>
      </c>
      <c r="BA27" s="901">
        <f t="shared" si="30"/>
        <v>1</v>
      </c>
      <c r="BB27" s="902">
        <f>IFERROR((((VLOOKUP($BD27,'Packaging cost'!A:C,3,FALSE))*'Country File'!$P$2)),"tbc")</f>
        <v>320</v>
      </c>
      <c r="BC27" s="657">
        <f t="shared" si="31"/>
        <v>320</v>
      </c>
      <c r="BD27" s="903" t="s">
        <v>1071</v>
      </c>
      <c r="BE27" s="904" t="str">
        <f>IFERROR(VLOOKUP(BD27,'Common IDs'!A:C,3,FALSE),"not assigned yet")</f>
        <v>not asssigend yet</v>
      </c>
      <c r="BF27" s="843">
        <f t="shared" si="32"/>
        <v>72770</v>
      </c>
      <c r="BG27" s="674">
        <f t="shared" si="33"/>
        <v>72770</v>
      </c>
      <c r="BH27" s="895">
        <f t="shared" si="34"/>
        <v>47412.5</v>
      </c>
      <c r="BI27"/>
    </row>
    <row r="28" spans="1:61" s="150" customFormat="1" ht="15" customHeight="1" thickBot="1" x14ac:dyDescent="0.3">
      <c r="A28" s="107" t="s">
        <v>1075</v>
      </c>
      <c r="B28" s="99" t="s">
        <v>1076</v>
      </c>
      <c r="C28" s="100"/>
      <c r="D28" s="97"/>
      <c r="E28" s="97"/>
      <c r="F28" s="97"/>
      <c r="G28" s="97"/>
      <c r="H28" s="240">
        <v>1</v>
      </c>
      <c r="I28" s="662">
        <f>((VLOOKUP($A28,'pricing overview all products'!$A:$B,2,FALSE))*'Country File'!$T$2)*'Country File'!$P$2</f>
        <v>94950</v>
      </c>
      <c r="J28" s="662">
        <f>((VLOOKUP($A28,'pricing overview all products'!$A:$B,2,FALSE))*'Country File'!$T$3)*'Country File'!$P$2</f>
        <v>94950</v>
      </c>
      <c r="K28" s="636">
        <f>(((VLOOKUP($A28,'pricing overview all products'!$A:$B,2,FALSE))*'Country File'!$T$2)*'Country File'!$P$2)*(1-'Applied Discounts'!$C$17)</f>
        <v>61717.5</v>
      </c>
      <c r="L28" s="662">
        <f t="shared" si="13"/>
        <v>94950</v>
      </c>
      <c r="M28" s="662">
        <f t="shared" si="14"/>
        <v>94950</v>
      </c>
      <c r="N28" s="662">
        <f t="shared" si="3"/>
        <v>61717.5</v>
      </c>
      <c r="O28" s="896">
        <v>0</v>
      </c>
      <c r="P28" s="662" t="str">
        <f>IFERROR((((VLOOKUP($A28,'pricing overview all products'!$A$1:$M$55,6,FALSE))*'Country File'!$T$2)*'Country File'!$P$2),"N/A")</f>
        <v>N/A</v>
      </c>
      <c r="Q28" s="662" t="str">
        <f>IFERROR((((VLOOKUP($A28,'pricing overview all products'!$A$1:$M$55,6,FALSE))*'Country File'!$T$3)*'Country File'!$P$2),"N/A")</f>
        <v>N/A</v>
      </c>
      <c r="R28" s="661" t="str">
        <f>IFERROR((((VLOOKUP($A28,'pricing overview all products'!$A$1:$M$55,6,FALSE))*'Country File'!$T$2)*'Country File'!$P$2),"N/A")</f>
        <v>N/A</v>
      </c>
      <c r="S28" s="656">
        <f t="shared" si="15"/>
        <v>0</v>
      </c>
      <c r="T28" s="656">
        <f t="shared" si="16"/>
        <v>0</v>
      </c>
      <c r="U28" s="840">
        <f t="shared" si="17"/>
        <v>0</v>
      </c>
      <c r="V28" s="896">
        <v>0</v>
      </c>
      <c r="W28" s="662" t="str">
        <f>IFERROR((((VLOOKUP($A28,'pricing overview all products'!$A$1:$M$55,4,FALSE))*'Country File'!$T$2)*'Country File'!$P$2),"N/A")</f>
        <v>N/A</v>
      </c>
      <c r="X28" s="662" t="str">
        <f>IFERROR((((VLOOKUP($A28,'pricing overview all products'!$A$1:$M$55,4,FALSE))*'Country File'!$T$3)*'Country File'!$P$2),"N/A")</f>
        <v>N/A</v>
      </c>
      <c r="Y28" s="662" t="e">
        <f>IFERROR((((VLOOKUP($A28,'pricing overview all products'!$A$1:$M$55,4,FALSE))*'Country File'!$T$2)*'Country File'!$P$2),"N/A")*(1-#REF!)</f>
        <v>#VALUE!</v>
      </c>
      <c r="Z28" s="662">
        <f t="shared" si="18"/>
        <v>0</v>
      </c>
      <c r="AA28" s="662">
        <f t="shared" si="19"/>
        <v>0</v>
      </c>
      <c r="AB28" s="897">
        <f t="shared" si="20"/>
        <v>0</v>
      </c>
      <c r="AC28" s="896">
        <v>0</v>
      </c>
      <c r="AD28" s="662" t="str">
        <f>IFERROR((((VLOOKUP($A28,'pricing overview all products'!$A$1:$M$55,8,FALSE))*'Country File'!$T$2)*'Country File'!$P$2),"N/A")</f>
        <v>N/A</v>
      </c>
      <c r="AE28" s="662" t="str">
        <f>IFERROR((((VLOOKUP($A28,'pricing overview all products'!$A$1:$M$55,8,FALSE))*'Country File'!$T$3)*'Country File'!$P$2),"N/A")</f>
        <v>N/A</v>
      </c>
      <c r="AF28" s="662" t="str">
        <f>IFERROR((((VLOOKUP($A28,'pricing overview all products'!$A$1:$M$55,8,FALSE))*'Country File'!$T$2)*'Country File'!$P$2)*(1-#REF!),"N/A")</f>
        <v>N/A</v>
      </c>
      <c r="AG28" s="662">
        <f t="shared" si="21"/>
        <v>0</v>
      </c>
      <c r="AH28" s="662">
        <f t="shared" si="22"/>
        <v>0</v>
      </c>
      <c r="AI28" s="897">
        <f t="shared" si="23"/>
        <v>0</v>
      </c>
      <c r="AJ28" s="896">
        <v>0</v>
      </c>
      <c r="AK28" s="662" t="str">
        <f>IFERROR((((VLOOKUP($A28,'pricing overview all products'!$A$1:$M$55,10,FALSE))*'Country File'!$T$2)*'Country File'!$P$2),"N/A")</f>
        <v>N/A</v>
      </c>
      <c r="AL28" s="662" t="str">
        <f>IFERROR((((VLOOKUP($A28,'pricing overview all products'!$A$1:$M$55,10,FALSE))*'Country File'!$T$3)*'Country File'!$P$2),"N/A")</f>
        <v>N/A</v>
      </c>
      <c r="AM28" s="662" t="str">
        <f>IFERROR((((VLOOKUP($A28,'pricing overview all products'!$A$1:$M$55,10,FALSE))*'Country File'!$T$2)*'Country File'!$P$2)*(1-#REF!),"N/A")</f>
        <v>N/A</v>
      </c>
      <c r="AN28" s="662">
        <f t="shared" si="24"/>
        <v>0</v>
      </c>
      <c r="AO28" s="662">
        <f t="shared" si="25"/>
        <v>0</v>
      </c>
      <c r="AP28" s="780">
        <f t="shared" si="26"/>
        <v>0</v>
      </c>
      <c r="AQ28" s="889">
        <v>12</v>
      </c>
      <c r="AR28" s="890" t="str">
        <f>IFERROR((((VLOOKUP($A28,'pricing overview all products'!$A$1:$N$55,12,FALSE))*'Country File'!$T$2)*'Country File'!$P$2),"N/A")</f>
        <v>N/A</v>
      </c>
      <c r="AS28" s="665">
        <f t="shared" si="27"/>
        <v>0</v>
      </c>
      <c r="AT28" s="785">
        <v>12</v>
      </c>
      <c r="AU28" s="890" t="str">
        <f>IFERROR((((VLOOKUP($A28,'pricing overview all products'!$A$1:$N$55,14,FALSE))*'Country File'!$T$2)*'Country File'!$P$2),"N/A")</f>
        <v>N/A</v>
      </c>
      <c r="AV28" s="665">
        <f t="shared" si="28"/>
        <v>0</v>
      </c>
      <c r="AW28" s="898">
        <v>12</v>
      </c>
      <c r="AX28" s="899" t="s">
        <v>1411</v>
      </c>
      <c r="AY28" s="900"/>
      <c r="AZ28" s="670">
        <f t="shared" si="29"/>
        <v>0</v>
      </c>
      <c r="BA28" s="901">
        <f t="shared" si="30"/>
        <v>1</v>
      </c>
      <c r="BB28" s="902">
        <f>IFERROR((((VLOOKUP($BD28,'Packaging cost'!A:C,3,FALSE))*'Country File'!$P$2)),"tbc")</f>
        <v>490</v>
      </c>
      <c r="BC28" s="657">
        <f t="shared" si="31"/>
        <v>490</v>
      </c>
      <c r="BD28" s="903" t="s">
        <v>1074</v>
      </c>
      <c r="BE28" s="904" t="str">
        <f>IFERROR(VLOOKUP(BD28,'Common IDs'!A:C,3,FALSE),"not assigned yet")</f>
        <v>not asssigend yet</v>
      </c>
      <c r="BF28" s="843">
        <f t="shared" si="32"/>
        <v>95440</v>
      </c>
      <c r="BG28" s="674">
        <f t="shared" si="33"/>
        <v>95440</v>
      </c>
      <c r="BH28" s="895">
        <f t="shared" si="34"/>
        <v>62207.5</v>
      </c>
      <c r="BI28"/>
    </row>
    <row r="29" spans="1:61" s="150" customFormat="1" ht="15" customHeight="1" thickBot="1" x14ac:dyDescent="0.3">
      <c r="A29" s="107" t="s">
        <v>1078</v>
      </c>
      <c r="B29" s="99" t="s">
        <v>1079</v>
      </c>
      <c r="C29" s="100"/>
      <c r="D29" s="97"/>
      <c r="E29" s="97"/>
      <c r="F29" s="97"/>
      <c r="G29" s="97"/>
      <c r="H29" s="240">
        <v>1</v>
      </c>
      <c r="I29" s="662">
        <f>((VLOOKUP($A29,'pricing overview all products'!$A:$B,2,FALSE))*'Country File'!$T$2)*'Country File'!$P$2</f>
        <v>59640</v>
      </c>
      <c r="J29" s="662">
        <f>((VLOOKUP($A29,'pricing overview all products'!$A:$B,2,FALSE))*'Country File'!$T$3)*'Country File'!$P$2</f>
        <v>59640</v>
      </c>
      <c r="K29" s="636">
        <f>(((VLOOKUP($A29,'pricing overview all products'!$A:$B,2,FALSE))*'Country File'!$T$2)*'Country File'!$P$2)*(1-'Applied Discounts'!$C$17)</f>
        <v>38766</v>
      </c>
      <c r="L29" s="662">
        <f t="shared" si="13"/>
        <v>59640</v>
      </c>
      <c r="M29" s="662">
        <f t="shared" si="14"/>
        <v>59640</v>
      </c>
      <c r="N29" s="662">
        <f t="shared" si="3"/>
        <v>38766</v>
      </c>
      <c r="O29" s="896">
        <v>0</v>
      </c>
      <c r="P29" s="662" t="str">
        <f>IFERROR((((VLOOKUP($A29,'pricing overview all products'!$A$1:$M$55,6,FALSE))*'Country File'!$T$2)*'Country File'!$P$2),"N/A")</f>
        <v>N/A</v>
      </c>
      <c r="Q29" s="662" t="str">
        <f>IFERROR((((VLOOKUP($A29,'pricing overview all products'!$A$1:$M$55,6,FALSE))*'Country File'!$T$3)*'Country File'!$P$2),"N/A")</f>
        <v>N/A</v>
      </c>
      <c r="R29" s="661" t="str">
        <f>IFERROR((((VLOOKUP($A29,'pricing overview all products'!$A$1:$M$55,6,FALSE))*'Country File'!$T$2)*'Country File'!$P$2),"N/A")</f>
        <v>N/A</v>
      </c>
      <c r="S29" s="656">
        <f t="shared" si="15"/>
        <v>0</v>
      </c>
      <c r="T29" s="656">
        <f t="shared" si="16"/>
        <v>0</v>
      </c>
      <c r="U29" s="840">
        <f t="shared" si="17"/>
        <v>0</v>
      </c>
      <c r="V29" s="896">
        <v>0</v>
      </c>
      <c r="W29" s="662" t="str">
        <f>IFERROR((((VLOOKUP($A29,'pricing overview all products'!$A$1:$M$55,4,FALSE))*'Country File'!$T$2)*'Country File'!$P$2),"N/A")</f>
        <v>N/A</v>
      </c>
      <c r="X29" s="662" t="str">
        <f>IFERROR((((VLOOKUP($A29,'pricing overview all products'!$A$1:$M$55,4,FALSE))*'Country File'!$T$3)*'Country File'!$P$2),"N/A")</f>
        <v>N/A</v>
      </c>
      <c r="Y29" s="662" t="e">
        <f>IFERROR((((VLOOKUP($A29,'pricing overview all products'!$A$1:$M$55,4,FALSE))*'Country File'!$T$2)*'Country File'!$P$2),"N/A")*(1-#REF!)</f>
        <v>#VALUE!</v>
      </c>
      <c r="Z29" s="662">
        <f t="shared" si="18"/>
        <v>0</v>
      </c>
      <c r="AA29" s="662">
        <f t="shared" si="19"/>
        <v>0</v>
      </c>
      <c r="AB29" s="897">
        <f t="shared" si="20"/>
        <v>0</v>
      </c>
      <c r="AC29" s="896">
        <v>0</v>
      </c>
      <c r="AD29" s="662" t="str">
        <f>IFERROR((((VLOOKUP($A29,'pricing overview all products'!$A$1:$M$55,8,FALSE))*'Country File'!$T$2)*'Country File'!$P$2),"N/A")</f>
        <v>N/A</v>
      </c>
      <c r="AE29" s="662" t="str">
        <f>IFERROR((((VLOOKUP($A29,'pricing overview all products'!$A$1:$M$55,8,FALSE))*'Country File'!$T$3)*'Country File'!$P$2),"N/A")</f>
        <v>N/A</v>
      </c>
      <c r="AF29" s="662" t="str">
        <f>IFERROR((((VLOOKUP($A29,'pricing overview all products'!$A$1:$M$55,8,FALSE))*'Country File'!$T$2)*'Country File'!$P$2)*(1-#REF!),"N/A")</f>
        <v>N/A</v>
      </c>
      <c r="AG29" s="662">
        <f t="shared" si="21"/>
        <v>0</v>
      </c>
      <c r="AH29" s="662">
        <f t="shared" si="22"/>
        <v>0</v>
      </c>
      <c r="AI29" s="897">
        <f t="shared" si="23"/>
        <v>0</v>
      </c>
      <c r="AJ29" s="896">
        <v>0</v>
      </c>
      <c r="AK29" s="662" t="str">
        <f>IFERROR((((VLOOKUP($A29,'pricing overview all products'!$A$1:$M$55,10,FALSE))*'Country File'!$T$2)*'Country File'!$P$2),"N/A")</f>
        <v>N/A</v>
      </c>
      <c r="AL29" s="662" t="str">
        <f>IFERROR((((VLOOKUP($A29,'pricing overview all products'!$A$1:$M$55,10,FALSE))*'Country File'!$T$3)*'Country File'!$P$2),"N/A")</f>
        <v>N/A</v>
      </c>
      <c r="AM29" s="662" t="str">
        <f>IFERROR((((VLOOKUP($A29,'pricing overview all products'!$A$1:$M$55,10,FALSE))*'Country File'!$T$2)*'Country File'!$P$2)*(1-#REF!),"N/A")</f>
        <v>N/A</v>
      </c>
      <c r="AN29" s="662">
        <f t="shared" si="24"/>
        <v>0</v>
      </c>
      <c r="AO29" s="662">
        <f t="shared" si="25"/>
        <v>0</v>
      </c>
      <c r="AP29" s="780">
        <f t="shared" si="26"/>
        <v>0</v>
      </c>
      <c r="AQ29" s="889">
        <v>13</v>
      </c>
      <c r="AR29" s="890" t="str">
        <f>IFERROR((((VLOOKUP($A29,'pricing overview all products'!$A$1:$N$55,12,FALSE))*'Country File'!$T$2)*'Country File'!$P$2),"N/A")</f>
        <v>N/A</v>
      </c>
      <c r="AS29" s="665">
        <f t="shared" si="27"/>
        <v>0</v>
      </c>
      <c r="AT29" s="785">
        <v>13</v>
      </c>
      <c r="AU29" s="890" t="str">
        <f>IFERROR((((VLOOKUP($A29,'pricing overview all products'!$A$1:$N$55,14,FALSE))*'Country File'!$T$2)*'Country File'!$P$2),"N/A")</f>
        <v>N/A</v>
      </c>
      <c r="AV29" s="665">
        <f t="shared" si="28"/>
        <v>0</v>
      </c>
      <c r="AW29" s="898">
        <v>13</v>
      </c>
      <c r="AX29" s="899" t="s">
        <v>1411</v>
      </c>
      <c r="AY29" s="900"/>
      <c r="AZ29" s="670">
        <f t="shared" si="29"/>
        <v>0</v>
      </c>
      <c r="BA29" s="901">
        <f t="shared" si="30"/>
        <v>1</v>
      </c>
      <c r="BB29" s="902">
        <f>IFERROR((((VLOOKUP($BD29,'Packaging cost'!A:C,3,FALSE))*'Country File'!$P$2)),"tbc")</f>
        <v>320</v>
      </c>
      <c r="BC29" s="657">
        <f t="shared" si="31"/>
        <v>320</v>
      </c>
      <c r="BD29" s="903" t="s">
        <v>1077</v>
      </c>
      <c r="BE29" s="904" t="str">
        <f>IFERROR(VLOOKUP(BD29,'Common IDs'!A:C,3,FALSE),"not assigned yet")</f>
        <v>not asssigend yet</v>
      </c>
      <c r="BF29" s="843">
        <f t="shared" si="32"/>
        <v>59960</v>
      </c>
      <c r="BG29" s="674">
        <f t="shared" si="33"/>
        <v>59960</v>
      </c>
      <c r="BH29" s="895">
        <f t="shared" si="34"/>
        <v>39086</v>
      </c>
      <c r="BI29"/>
    </row>
    <row r="30" spans="1:61" s="150" customFormat="1" ht="15" customHeight="1" thickBot="1" x14ac:dyDescent="0.3">
      <c r="A30" s="107" t="s">
        <v>1081</v>
      </c>
      <c r="B30" s="99" t="s">
        <v>1082</v>
      </c>
      <c r="C30" s="100"/>
      <c r="D30" s="97"/>
      <c r="E30" s="97"/>
      <c r="F30" s="97"/>
      <c r="G30" s="97"/>
      <c r="H30" s="240">
        <v>1</v>
      </c>
      <c r="I30" s="662">
        <f>((VLOOKUP($A30,'pricing overview all products'!$A:$B,2,FALSE))*'Country File'!$T$2)*'Country File'!$P$2</f>
        <v>80140</v>
      </c>
      <c r="J30" s="662">
        <f>((VLOOKUP($A30,'pricing overview all products'!$A:$B,2,FALSE))*'Country File'!$T$3)*'Country File'!$P$2</f>
        <v>80140</v>
      </c>
      <c r="K30" s="636">
        <f>(((VLOOKUP($A30,'pricing overview all products'!$A:$B,2,FALSE))*'Country File'!$T$2)*'Country File'!$P$2)*(1-'Applied Discounts'!$C$17)</f>
        <v>52091</v>
      </c>
      <c r="L30" s="662">
        <f t="shared" si="13"/>
        <v>80140</v>
      </c>
      <c r="M30" s="662">
        <f t="shared" si="14"/>
        <v>80140</v>
      </c>
      <c r="N30" s="662">
        <f t="shared" si="3"/>
        <v>52091</v>
      </c>
      <c r="O30" s="896">
        <v>0</v>
      </c>
      <c r="P30" s="662" t="str">
        <f>IFERROR((((VLOOKUP($A30,'pricing overview all products'!$A$1:$M$55,6,FALSE))*'Country File'!$T$2)*'Country File'!$P$2),"N/A")</f>
        <v>N/A</v>
      </c>
      <c r="Q30" s="662" t="str">
        <f>IFERROR((((VLOOKUP($A30,'pricing overview all products'!$A$1:$M$55,6,FALSE))*'Country File'!$T$3)*'Country File'!$P$2),"N/A")</f>
        <v>N/A</v>
      </c>
      <c r="R30" s="661" t="str">
        <f>IFERROR((((VLOOKUP($A30,'pricing overview all products'!$A$1:$M$55,6,FALSE))*'Country File'!$T$2)*'Country File'!$P$2),"N/A")</f>
        <v>N/A</v>
      </c>
      <c r="S30" s="656">
        <f t="shared" si="15"/>
        <v>0</v>
      </c>
      <c r="T30" s="656">
        <f t="shared" si="16"/>
        <v>0</v>
      </c>
      <c r="U30" s="840">
        <f t="shared" si="17"/>
        <v>0</v>
      </c>
      <c r="V30" s="896">
        <v>0</v>
      </c>
      <c r="W30" s="662" t="str">
        <f>IFERROR((((VLOOKUP($A30,'pricing overview all products'!$A$1:$M$55,4,FALSE))*'Country File'!$T$2)*'Country File'!$P$2),"N/A")</f>
        <v>N/A</v>
      </c>
      <c r="X30" s="662" t="str">
        <f>IFERROR((((VLOOKUP($A30,'pricing overview all products'!$A$1:$M$55,4,FALSE))*'Country File'!$T$3)*'Country File'!$P$2),"N/A")</f>
        <v>N/A</v>
      </c>
      <c r="Y30" s="662" t="e">
        <f>IFERROR((((VLOOKUP($A30,'pricing overview all products'!$A$1:$M$55,4,FALSE))*'Country File'!$T$2)*'Country File'!$P$2),"N/A")*(1-#REF!)</f>
        <v>#VALUE!</v>
      </c>
      <c r="Z30" s="662">
        <f t="shared" si="18"/>
        <v>0</v>
      </c>
      <c r="AA30" s="662">
        <f t="shared" si="19"/>
        <v>0</v>
      </c>
      <c r="AB30" s="897">
        <f t="shared" si="20"/>
        <v>0</v>
      </c>
      <c r="AC30" s="896">
        <v>0</v>
      </c>
      <c r="AD30" s="662" t="str">
        <f>IFERROR((((VLOOKUP($A30,'pricing overview all products'!$A$1:$M$55,8,FALSE))*'Country File'!$T$2)*'Country File'!$P$2),"N/A")</f>
        <v>N/A</v>
      </c>
      <c r="AE30" s="662" t="str">
        <f>IFERROR((((VLOOKUP($A30,'pricing overview all products'!$A$1:$M$55,8,FALSE))*'Country File'!$T$3)*'Country File'!$P$2),"N/A")</f>
        <v>N/A</v>
      </c>
      <c r="AF30" s="662" t="str">
        <f>IFERROR((((VLOOKUP($A30,'pricing overview all products'!$A$1:$M$55,8,FALSE))*'Country File'!$T$2)*'Country File'!$P$2)*(1-#REF!),"N/A")</f>
        <v>N/A</v>
      </c>
      <c r="AG30" s="662">
        <f t="shared" si="21"/>
        <v>0</v>
      </c>
      <c r="AH30" s="662">
        <f t="shared" si="22"/>
        <v>0</v>
      </c>
      <c r="AI30" s="897">
        <f t="shared" si="23"/>
        <v>0</v>
      </c>
      <c r="AJ30" s="896">
        <v>0</v>
      </c>
      <c r="AK30" s="662" t="str">
        <f>IFERROR((((VLOOKUP($A30,'pricing overview all products'!$A$1:$M$55,10,FALSE))*'Country File'!$T$2)*'Country File'!$P$2),"N/A")</f>
        <v>N/A</v>
      </c>
      <c r="AL30" s="662" t="str">
        <f>IFERROR((((VLOOKUP($A30,'pricing overview all products'!$A$1:$M$55,10,FALSE))*'Country File'!$T$3)*'Country File'!$P$2),"N/A")</f>
        <v>N/A</v>
      </c>
      <c r="AM30" s="662" t="str">
        <f>IFERROR((((VLOOKUP($A30,'pricing overview all products'!$A$1:$M$55,10,FALSE))*'Country File'!$T$2)*'Country File'!$P$2)*(1-#REF!),"N/A")</f>
        <v>N/A</v>
      </c>
      <c r="AN30" s="662">
        <f t="shared" si="24"/>
        <v>0</v>
      </c>
      <c r="AO30" s="662">
        <f t="shared" si="25"/>
        <v>0</v>
      </c>
      <c r="AP30" s="780">
        <f t="shared" si="26"/>
        <v>0</v>
      </c>
      <c r="AQ30" s="889">
        <v>14</v>
      </c>
      <c r="AR30" s="890" t="str">
        <f>IFERROR((((VLOOKUP($A30,'pricing overview all products'!$A$1:$N$55,12,FALSE))*'Country File'!$T$2)*'Country File'!$P$2),"N/A")</f>
        <v>N/A</v>
      </c>
      <c r="AS30" s="665">
        <f t="shared" si="27"/>
        <v>0</v>
      </c>
      <c r="AT30" s="785">
        <v>14</v>
      </c>
      <c r="AU30" s="890" t="str">
        <f>IFERROR((((VLOOKUP($A30,'pricing overview all products'!$A$1:$N$55,14,FALSE))*'Country File'!$T$2)*'Country File'!$P$2),"N/A")</f>
        <v>N/A</v>
      </c>
      <c r="AV30" s="665">
        <f t="shared" si="28"/>
        <v>0</v>
      </c>
      <c r="AW30" s="898">
        <v>14</v>
      </c>
      <c r="AX30" s="899" t="s">
        <v>1411</v>
      </c>
      <c r="AY30" s="900"/>
      <c r="AZ30" s="670">
        <f t="shared" si="29"/>
        <v>0</v>
      </c>
      <c r="BA30" s="901">
        <f t="shared" si="30"/>
        <v>1</v>
      </c>
      <c r="BB30" s="902">
        <f>IFERROR((((VLOOKUP($BD30,'Packaging cost'!A:C,3,FALSE))*'Country File'!$P$2)),"tbc")</f>
        <v>320</v>
      </c>
      <c r="BC30" s="657">
        <f t="shared" si="31"/>
        <v>320</v>
      </c>
      <c r="BD30" s="903" t="s">
        <v>1080</v>
      </c>
      <c r="BE30" s="904" t="str">
        <f>IFERROR(VLOOKUP(BD30,'Common IDs'!A:C,3,FALSE),"not assigned yet")</f>
        <v>not asssigend yet</v>
      </c>
      <c r="BF30" s="843">
        <f t="shared" si="32"/>
        <v>80460</v>
      </c>
      <c r="BG30" s="674">
        <f t="shared" si="33"/>
        <v>80460</v>
      </c>
      <c r="BH30" s="895">
        <f t="shared" si="34"/>
        <v>52411</v>
      </c>
      <c r="BI30"/>
    </row>
    <row r="31" spans="1:61" s="150" customFormat="1" ht="15" customHeight="1" thickBot="1" x14ac:dyDescent="0.3">
      <c r="A31" s="107" t="s">
        <v>1084</v>
      </c>
      <c r="B31" s="99" t="s">
        <v>1085</v>
      </c>
      <c r="C31" s="100"/>
      <c r="D31" s="97"/>
      <c r="E31" s="97"/>
      <c r="F31" s="97"/>
      <c r="G31" s="97"/>
      <c r="H31" s="240">
        <v>1</v>
      </c>
      <c r="I31" s="662">
        <f>((VLOOKUP($A31,'pricing overview all products'!$A:$B,2,FALSE))*'Country File'!$T$2)*'Country File'!$P$2</f>
        <v>68420</v>
      </c>
      <c r="J31" s="662">
        <f>((VLOOKUP($A31,'pricing overview all products'!$A:$B,2,FALSE))*'Country File'!$T$3)*'Country File'!$P$2</f>
        <v>68420</v>
      </c>
      <c r="K31" s="636">
        <f>(((VLOOKUP($A31,'pricing overview all products'!$A:$B,2,FALSE))*'Country File'!$T$2)*'Country File'!$P$2)*(1-'Applied Discounts'!$C$17)</f>
        <v>44473</v>
      </c>
      <c r="L31" s="662">
        <f t="shared" si="13"/>
        <v>68420</v>
      </c>
      <c r="M31" s="662">
        <f t="shared" si="14"/>
        <v>68420</v>
      </c>
      <c r="N31" s="662">
        <f t="shared" si="3"/>
        <v>44473</v>
      </c>
      <c r="O31" s="896">
        <v>0</v>
      </c>
      <c r="P31" s="662" t="str">
        <f>IFERROR((((VLOOKUP($A31,'pricing overview all products'!$A$1:$M$55,6,FALSE))*'Country File'!$T$2)*'Country File'!$P$2),"N/A")</f>
        <v>N/A</v>
      </c>
      <c r="Q31" s="662" t="str">
        <f>IFERROR((((VLOOKUP($A31,'pricing overview all products'!$A$1:$M$55,6,FALSE))*'Country File'!$T$3)*'Country File'!$P$2),"N/A")</f>
        <v>N/A</v>
      </c>
      <c r="R31" s="661" t="str">
        <f>IFERROR((((VLOOKUP($A31,'pricing overview all products'!$A$1:$M$55,6,FALSE))*'Country File'!$T$2)*'Country File'!$P$2),"N/A")</f>
        <v>N/A</v>
      </c>
      <c r="S31" s="656">
        <f t="shared" si="15"/>
        <v>0</v>
      </c>
      <c r="T31" s="656">
        <f t="shared" si="16"/>
        <v>0</v>
      </c>
      <c r="U31" s="840">
        <f t="shared" si="17"/>
        <v>0</v>
      </c>
      <c r="V31" s="896">
        <v>0</v>
      </c>
      <c r="W31" s="662" t="str">
        <f>IFERROR((((VLOOKUP($A31,'pricing overview all products'!$A$1:$M$55,4,FALSE))*'Country File'!$T$2)*'Country File'!$P$2),"N/A")</f>
        <v>N/A</v>
      </c>
      <c r="X31" s="662" t="str">
        <f>IFERROR((((VLOOKUP($A31,'pricing overview all products'!$A$1:$M$55,4,FALSE))*'Country File'!$T$3)*'Country File'!$P$2),"N/A")</f>
        <v>N/A</v>
      </c>
      <c r="Y31" s="662" t="e">
        <f>IFERROR((((VLOOKUP($A31,'pricing overview all products'!$A$1:$M$55,4,FALSE))*'Country File'!$T$2)*'Country File'!$P$2),"N/A")*(1-#REF!)</f>
        <v>#VALUE!</v>
      </c>
      <c r="Z31" s="662">
        <f t="shared" si="18"/>
        <v>0</v>
      </c>
      <c r="AA31" s="662">
        <f t="shared" si="19"/>
        <v>0</v>
      </c>
      <c r="AB31" s="897">
        <f t="shared" si="20"/>
        <v>0</v>
      </c>
      <c r="AC31" s="896">
        <v>0</v>
      </c>
      <c r="AD31" s="662" t="str">
        <f>IFERROR((((VLOOKUP($A31,'pricing overview all products'!$A$1:$M$55,8,FALSE))*'Country File'!$T$2)*'Country File'!$P$2),"N/A")</f>
        <v>N/A</v>
      </c>
      <c r="AE31" s="662" t="str">
        <f>IFERROR((((VLOOKUP($A31,'pricing overview all products'!$A$1:$M$55,8,FALSE))*'Country File'!$T$3)*'Country File'!$P$2),"N/A")</f>
        <v>N/A</v>
      </c>
      <c r="AF31" s="662" t="str">
        <f>IFERROR((((VLOOKUP($A31,'pricing overview all products'!$A$1:$M$55,8,FALSE))*'Country File'!$T$2)*'Country File'!$P$2)*(1-#REF!),"N/A")</f>
        <v>N/A</v>
      </c>
      <c r="AG31" s="662">
        <f t="shared" si="21"/>
        <v>0</v>
      </c>
      <c r="AH31" s="662">
        <f t="shared" si="22"/>
        <v>0</v>
      </c>
      <c r="AI31" s="897">
        <f t="shared" si="23"/>
        <v>0</v>
      </c>
      <c r="AJ31" s="896">
        <v>0</v>
      </c>
      <c r="AK31" s="662" t="str">
        <f>IFERROR((((VLOOKUP($A31,'pricing overview all products'!$A$1:$M$55,10,FALSE))*'Country File'!$T$2)*'Country File'!$P$2),"N/A")</f>
        <v>N/A</v>
      </c>
      <c r="AL31" s="662" t="str">
        <f>IFERROR((((VLOOKUP($A31,'pricing overview all products'!$A$1:$M$55,10,FALSE))*'Country File'!$T$3)*'Country File'!$P$2),"N/A")</f>
        <v>N/A</v>
      </c>
      <c r="AM31" s="662" t="str">
        <f>IFERROR((((VLOOKUP($A31,'pricing overview all products'!$A$1:$M$55,10,FALSE))*'Country File'!$T$2)*'Country File'!$P$2)*(1-#REF!),"N/A")</f>
        <v>N/A</v>
      </c>
      <c r="AN31" s="662">
        <f t="shared" si="24"/>
        <v>0</v>
      </c>
      <c r="AO31" s="662">
        <f t="shared" si="25"/>
        <v>0</v>
      </c>
      <c r="AP31" s="780">
        <f t="shared" si="26"/>
        <v>0</v>
      </c>
      <c r="AQ31" s="889">
        <v>15</v>
      </c>
      <c r="AR31" s="890" t="str">
        <f>IFERROR((((VLOOKUP($A31,'pricing overview all products'!$A$1:$N$55,12,FALSE))*'Country File'!$T$2)*'Country File'!$P$2),"N/A")</f>
        <v>N/A</v>
      </c>
      <c r="AS31" s="665">
        <f t="shared" si="27"/>
        <v>0</v>
      </c>
      <c r="AT31" s="785">
        <v>15</v>
      </c>
      <c r="AU31" s="890" t="str">
        <f>IFERROR((((VLOOKUP($A31,'pricing overview all products'!$A$1:$N$55,14,FALSE))*'Country File'!$T$2)*'Country File'!$P$2),"N/A")</f>
        <v>N/A</v>
      </c>
      <c r="AV31" s="665">
        <f t="shared" si="28"/>
        <v>0</v>
      </c>
      <c r="AW31" s="898">
        <v>15</v>
      </c>
      <c r="AX31" s="899" t="s">
        <v>1411</v>
      </c>
      <c r="AY31" s="900"/>
      <c r="AZ31" s="670">
        <f t="shared" si="29"/>
        <v>0</v>
      </c>
      <c r="BA31" s="901">
        <f t="shared" si="30"/>
        <v>1</v>
      </c>
      <c r="BB31" s="902">
        <f>IFERROR((((VLOOKUP($BD31,'Packaging cost'!A:C,3,FALSE))*'Country File'!$P$2)),"tbc")</f>
        <v>320</v>
      </c>
      <c r="BC31" s="657">
        <f t="shared" si="31"/>
        <v>320</v>
      </c>
      <c r="BD31" s="903" t="s">
        <v>1083</v>
      </c>
      <c r="BE31" s="904" t="str">
        <f>IFERROR(VLOOKUP(BD31,'Common IDs'!A:C,3,FALSE),"not assigned yet")</f>
        <v>not asssigend yet</v>
      </c>
      <c r="BF31" s="843">
        <f t="shared" si="32"/>
        <v>68740</v>
      </c>
      <c r="BG31" s="674">
        <f t="shared" si="33"/>
        <v>68740</v>
      </c>
      <c r="BH31" s="895">
        <f t="shared" si="34"/>
        <v>44793</v>
      </c>
      <c r="BI31"/>
    </row>
    <row r="32" spans="1:61" s="150" customFormat="1" ht="15" customHeight="1" thickBot="1" x14ac:dyDescent="0.3">
      <c r="A32" s="499" t="s">
        <v>1087</v>
      </c>
      <c r="B32" s="500" t="s">
        <v>1088</v>
      </c>
      <c r="C32" s="189"/>
      <c r="D32" s="451"/>
      <c r="E32" s="451"/>
      <c r="F32" s="451"/>
      <c r="G32" s="451"/>
      <c r="H32" s="254">
        <v>1</v>
      </c>
      <c r="I32" s="685">
        <f>((VLOOKUP($A32,'pricing overview all products'!$A:$B,2,FALSE))*'Country File'!$T$2)*'Country File'!$P$2</f>
        <v>78450</v>
      </c>
      <c r="J32" s="685">
        <f>((VLOOKUP($A32,'pricing overview all products'!$A:$B,2,FALSE))*'Country File'!$T$3)*'Country File'!$P$2</f>
        <v>78450</v>
      </c>
      <c r="K32" s="636">
        <f>(((VLOOKUP($A32,'pricing overview all products'!$A:$B,2,FALSE))*'Country File'!$T$2)*'Country File'!$P$2)*(1-'Applied Discounts'!$C$17)</f>
        <v>50992.5</v>
      </c>
      <c r="L32" s="685">
        <f t="shared" si="13"/>
        <v>78450</v>
      </c>
      <c r="M32" s="685">
        <f t="shared" si="14"/>
        <v>78450</v>
      </c>
      <c r="N32" s="685">
        <f t="shared" si="3"/>
        <v>50992.5</v>
      </c>
      <c r="O32" s="874">
        <v>0</v>
      </c>
      <c r="P32" s="685" t="str">
        <f>IFERROR((((VLOOKUP($A32,'pricing overview all products'!$A$1:$M$55,6,FALSE))*'Country File'!$T$2)*'Country File'!$P$2),"N/A")</f>
        <v>N/A</v>
      </c>
      <c r="Q32" s="685" t="str">
        <f>IFERROR((((VLOOKUP($A32,'pricing overview all products'!$A$1:$M$55,6,FALSE))*'Country File'!$T$3)*'Country File'!$P$2),"N/A")</f>
        <v>N/A</v>
      </c>
      <c r="R32" s="661" t="str">
        <f>IFERROR((((VLOOKUP($A32,'pricing overview all products'!$A$1:$M$55,6,FALSE))*'Country File'!$T$2)*'Country File'!$P$2),"N/A")</f>
        <v>N/A</v>
      </c>
      <c r="S32" s="681">
        <f t="shared" si="15"/>
        <v>0</v>
      </c>
      <c r="T32" s="681">
        <f t="shared" si="16"/>
        <v>0</v>
      </c>
      <c r="U32" s="854">
        <f t="shared" si="17"/>
        <v>0</v>
      </c>
      <c r="V32" s="874">
        <v>0</v>
      </c>
      <c r="W32" s="685" t="str">
        <f>IFERROR((((VLOOKUP($A32,'pricing overview all products'!$A$1:$M$55,4,FALSE))*'Country File'!$T$2)*'Country File'!$P$2),"N/A")</f>
        <v>N/A</v>
      </c>
      <c r="X32" s="685" t="str">
        <f>IFERROR((((VLOOKUP($A32,'pricing overview all products'!$A$1:$M$55,4,FALSE))*'Country File'!$T$3)*'Country File'!$P$2),"N/A")</f>
        <v>N/A</v>
      </c>
      <c r="Y32" s="685" t="e">
        <f>IFERROR((((VLOOKUP($A32,'pricing overview all products'!$A$1:$M$55,4,FALSE))*'Country File'!$T$2)*'Country File'!$P$2),"N/A")*(1-#REF!)</f>
        <v>#VALUE!</v>
      </c>
      <c r="Z32" s="685">
        <f t="shared" si="18"/>
        <v>0</v>
      </c>
      <c r="AA32" s="685">
        <f t="shared" si="19"/>
        <v>0</v>
      </c>
      <c r="AB32" s="875">
        <f t="shared" si="20"/>
        <v>0</v>
      </c>
      <c r="AC32" s="874">
        <v>0</v>
      </c>
      <c r="AD32" s="685" t="str">
        <f>IFERROR((((VLOOKUP($A32,'pricing overview all products'!$A$1:$M$55,8,FALSE))*'Country File'!$T$2)*'Country File'!$P$2),"N/A")</f>
        <v>N/A</v>
      </c>
      <c r="AE32" s="685" t="str">
        <f>IFERROR((((VLOOKUP($A32,'pricing overview all products'!$A$1:$M$55,8,FALSE))*'Country File'!$T$3)*'Country File'!$P$2),"N/A")</f>
        <v>N/A</v>
      </c>
      <c r="AF32" s="685" t="str">
        <f>IFERROR((((VLOOKUP($A32,'pricing overview all products'!$A$1:$M$55,8,FALSE))*'Country File'!$T$2)*'Country File'!$P$2)*(1-#REF!),"N/A")</f>
        <v>N/A</v>
      </c>
      <c r="AG32" s="685">
        <f t="shared" si="21"/>
        <v>0</v>
      </c>
      <c r="AH32" s="685">
        <f t="shared" si="22"/>
        <v>0</v>
      </c>
      <c r="AI32" s="875">
        <f t="shared" si="23"/>
        <v>0</v>
      </c>
      <c r="AJ32" s="874">
        <v>0</v>
      </c>
      <c r="AK32" s="685" t="str">
        <f>IFERROR((((VLOOKUP($A32,'pricing overview all products'!$A$1:$M$55,10,FALSE))*'Country File'!$T$2)*'Country File'!$P$2),"N/A")</f>
        <v>N/A</v>
      </c>
      <c r="AL32" s="685" t="str">
        <f>IFERROR((((VLOOKUP($A32,'pricing overview all products'!$A$1:$M$55,10,FALSE))*'Country File'!$T$3)*'Country File'!$P$2),"N/A")</f>
        <v>N/A</v>
      </c>
      <c r="AM32" s="685" t="str">
        <f>IFERROR((((VLOOKUP($A32,'pricing overview all products'!$A$1:$M$55,10,FALSE))*'Country File'!$T$2)*'Country File'!$P$2)*(1-#REF!),"N/A")</f>
        <v>N/A</v>
      </c>
      <c r="AN32" s="685">
        <f t="shared" si="24"/>
        <v>0</v>
      </c>
      <c r="AO32" s="685">
        <f t="shared" si="25"/>
        <v>0</v>
      </c>
      <c r="AP32" s="794">
        <f t="shared" si="26"/>
        <v>0</v>
      </c>
      <c r="AQ32" s="924">
        <v>16</v>
      </c>
      <c r="AR32" s="925" t="str">
        <f>IFERROR((((VLOOKUP($A32,'pricing overview all products'!$A$1:$N$55,12,FALSE))*'Country File'!$T$2)*'Country File'!$P$2),"N/A")</f>
        <v>N/A</v>
      </c>
      <c r="AS32" s="852">
        <f t="shared" si="27"/>
        <v>0</v>
      </c>
      <c r="AT32" s="799">
        <v>16</v>
      </c>
      <c r="AU32" s="925" t="str">
        <f>IFERROR((((VLOOKUP($A32,'pricing overview all products'!$A$1:$N$55,14,FALSE))*'Country File'!$T$2)*'Country File'!$P$2),"N/A")</f>
        <v>N/A</v>
      </c>
      <c r="AV32" s="852">
        <f t="shared" si="28"/>
        <v>0</v>
      </c>
      <c r="AW32" s="880">
        <v>16</v>
      </c>
      <c r="AX32" s="881" t="s">
        <v>1411</v>
      </c>
      <c r="AY32" s="882"/>
      <c r="AZ32" s="926">
        <f t="shared" si="29"/>
        <v>0</v>
      </c>
      <c r="BA32" s="884">
        <f t="shared" si="30"/>
        <v>1</v>
      </c>
      <c r="BB32" s="885">
        <f>IFERROR((((VLOOKUP($BD32,'Packaging cost'!A:C,3,FALSE))*'Country File'!$P$2)),"tbc")</f>
        <v>390</v>
      </c>
      <c r="BC32" s="682">
        <f t="shared" si="31"/>
        <v>390</v>
      </c>
      <c r="BD32" s="886" t="s">
        <v>1086</v>
      </c>
      <c r="BE32" s="887" t="str">
        <f>IFERROR(VLOOKUP(BD32,'Common IDs'!A:C,3,FALSE),"not assigned yet")</f>
        <v>not asssigend yet</v>
      </c>
      <c r="BF32" s="858">
        <f t="shared" si="32"/>
        <v>78840</v>
      </c>
      <c r="BG32" s="697">
        <f t="shared" si="33"/>
        <v>78840</v>
      </c>
      <c r="BH32" s="927">
        <f t="shared" si="34"/>
        <v>51382.5</v>
      </c>
      <c r="BI32"/>
    </row>
  </sheetData>
  <sheetProtection algorithmName="SHA-512" hashValue="pQk4ad/cE+X5bnLjncYYiGk6GRpGuqgPHGBJIenqDmvuqkV6JzvYhbCE6Qv83SwWcFbvT0gOcBbU4k9KeO2/tQ==" saltValue="HlmahTkhJiXJrVywctt+JQ==" spinCount="100000" sheet="1" objects="1" scenarios="1"/>
  <mergeCells count="14">
    <mergeCell ref="BE3:BE4"/>
    <mergeCell ref="BD3:BD4"/>
    <mergeCell ref="H4:N4"/>
    <mergeCell ref="O4:U4"/>
    <mergeCell ref="V4:AB4"/>
    <mergeCell ref="AC4:AI4"/>
    <mergeCell ref="A3:A5"/>
    <mergeCell ref="H3:BC3"/>
    <mergeCell ref="AJ4:AP4"/>
    <mergeCell ref="AQ4:AS4"/>
    <mergeCell ref="AT4:AV4"/>
    <mergeCell ref="AW4:AZ4"/>
    <mergeCell ref="BA4:BC4"/>
    <mergeCell ref="B3:B5"/>
  </mergeCells>
  <phoneticPr fontId="6" type="noConversion"/>
  <dataValidations disablePrompts="1" count="1">
    <dataValidation type="list" allowBlank="1" showInputMessage="1" showErrorMessage="1" sqref="AX6:AX32" xr:uid="{66D216B4-7F81-4A82-93D9-14FAFDB8E824}">
      <formula1>"3m,5m,15m"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907EAAC-B726-4F9D-B910-7474F12B6118}">
          <x14:formula1>
            <xm:f>'Drop Downs'!$A$3:$A$4</xm:f>
          </x14:formula1>
          <xm:sqref>D6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23A16-DD9E-4360-8808-3EC5FB61C0AF}">
  <sheetPr codeName="Tabelle181"/>
  <dimension ref="A1:D488"/>
  <sheetViews>
    <sheetView topLeftCell="A457" zoomScale="96" workbookViewId="0">
      <selection activeCell="B484" sqref="B484"/>
    </sheetView>
  </sheetViews>
  <sheetFormatPr defaultColWidth="9.28515625" defaultRowHeight="15" x14ac:dyDescent="0.25"/>
  <cols>
    <col min="1" max="1" width="21.28515625" bestFit="1" customWidth="1"/>
    <col min="2" max="2" width="69.5703125" customWidth="1"/>
    <col min="3" max="3" width="18.28515625" customWidth="1"/>
  </cols>
  <sheetData>
    <row r="1" spans="1:3" x14ac:dyDescent="0.25">
      <c r="A1" s="45" t="s">
        <v>1567</v>
      </c>
      <c r="B1" s="45" t="s">
        <v>4</v>
      </c>
      <c r="C1" s="45" t="s">
        <v>1896</v>
      </c>
    </row>
    <row r="2" spans="1:3" x14ac:dyDescent="0.25">
      <c r="A2" s="610" t="s">
        <v>1897</v>
      </c>
      <c r="B2" s="610" t="s">
        <v>1898</v>
      </c>
      <c r="C2" s="618">
        <v>7609000000018</v>
      </c>
    </row>
    <row r="3" spans="1:3" x14ac:dyDescent="0.25">
      <c r="A3" s="610" t="s">
        <v>1899</v>
      </c>
      <c r="B3" s="610" t="s">
        <v>1900</v>
      </c>
      <c r="C3" s="618">
        <v>7609000000019</v>
      </c>
    </row>
    <row r="4" spans="1:3" x14ac:dyDescent="0.25">
      <c r="A4" s="610" t="s">
        <v>1901</v>
      </c>
      <c r="B4" s="610" t="s">
        <v>1902</v>
      </c>
      <c r="C4" s="618">
        <v>7609000000020</v>
      </c>
    </row>
    <row r="5" spans="1:3" x14ac:dyDescent="0.25">
      <c r="A5" s="610" t="s">
        <v>1903</v>
      </c>
      <c r="B5" s="610" t="s">
        <v>1904</v>
      </c>
      <c r="C5" s="618">
        <v>7609000000021</v>
      </c>
    </row>
    <row r="6" spans="1:3" x14ac:dyDescent="0.25">
      <c r="A6" s="610" t="s">
        <v>1905</v>
      </c>
      <c r="B6" s="610" t="s">
        <v>1906</v>
      </c>
      <c r="C6" s="618">
        <v>7609000000022</v>
      </c>
    </row>
    <row r="7" spans="1:3" x14ac:dyDescent="0.25">
      <c r="A7" s="610" t="s">
        <v>1907</v>
      </c>
      <c r="B7" s="610" t="s">
        <v>1908</v>
      </c>
      <c r="C7" s="618">
        <v>7609000000023</v>
      </c>
    </row>
    <row r="8" spans="1:3" x14ac:dyDescent="0.25">
      <c r="A8" s="610" t="s">
        <v>1909</v>
      </c>
      <c r="B8" s="610" t="s">
        <v>1910</v>
      </c>
      <c r="C8" s="618">
        <v>7609000000024</v>
      </c>
    </row>
    <row r="9" spans="1:3" x14ac:dyDescent="0.25">
      <c r="A9" s="610" t="s">
        <v>1911</v>
      </c>
      <c r="B9" s="610" t="s">
        <v>1912</v>
      </c>
      <c r="C9" s="618">
        <v>7609000000025</v>
      </c>
    </row>
    <row r="10" spans="1:3" x14ac:dyDescent="0.25">
      <c r="A10" s="610" t="s">
        <v>1913</v>
      </c>
      <c r="B10" s="610" t="s">
        <v>1914</v>
      </c>
      <c r="C10" s="618">
        <v>7609000000027</v>
      </c>
    </row>
    <row r="11" spans="1:3" x14ac:dyDescent="0.25">
      <c r="A11" s="610" t="s">
        <v>1915</v>
      </c>
      <c r="B11" s="610" t="s">
        <v>1916</v>
      </c>
      <c r="C11" s="618">
        <v>7609000000028</v>
      </c>
    </row>
    <row r="12" spans="1:3" x14ac:dyDescent="0.25">
      <c r="A12" s="610" t="s">
        <v>1917</v>
      </c>
      <c r="B12" s="610" t="s">
        <v>1918</v>
      </c>
      <c r="C12" s="618">
        <v>7609000000029</v>
      </c>
    </row>
    <row r="13" spans="1:3" x14ac:dyDescent="0.25">
      <c r="A13" s="610" t="s">
        <v>1919</v>
      </c>
      <c r="B13" s="610" t="s">
        <v>1920</v>
      </c>
      <c r="C13" s="618">
        <v>7609000000030</v>
      </c>
    </row>
    <row r="14" spans="1:3" x14ac:dyDescent="0.25">
      <c r="A14" s="610" t="s">
        <v>1921</v>
      </c>
      <c r="B14" s="610" t="s">
        <v>1922</v>
      </c>
      <c r="C14" s="618">
        <v>7609000000031</v>
      </c>
    </row>
    <row r="15" spans="1:3" x14ac:dyDescent="0.25">
      <c r="A15" s="610" t="s">
        <v>1923</v>
      </c>
      <c r="B15" s="610" t="s">
        <v>1924</v>
      </c>
      <c r="C15" s="618">
        <v>7609000000032</v>
      </c>
    </row>
    <row r="16" spans="1:3" x14ac:dyDescent="0.25">
      <c r="A16" s="610" t="s">
        <v>1925</v>
      </c>
      <c r="B16" s="610" t="s">
        <v>1926</v>
      </c>
      <c r="C16" s="618">
        <v>7609000000033</v>
      </c>
    </row>
    <row r="17" spans="1:3" x14ac:dyDescent="0.25">
      <c r="A17" s="610" t="s">
        <v>1927</v>
      </c>
      <c r="B17" s="610" t="s">
        <v>1928</v>
      </c>
      <c r="C17" s="618">
        <v>7609000000034</v>
      </c>
    </row>
    <row r="18" spans="1:3" x14ac:dyDescent="0.25">
      <c r="A18" s="610" t="s">
        <v>1929</v>
      </c>
      <c r="B18" s="610" t="s">
        <v>1930</v>
      </c>
      <c r="C18" s="618">
        <v>7609000000035</v>
      </c>
    </row>
    <row r="19" spans="1:3" x14ac:dyDescent="0.25">
      <c r="A19" s="610" t="s">
        <v>1931</v>
      </c>
      <c r="B19" s="610" t="s">
        <v>1932</v>
      </c>
      <c r="C19" s="618">
        <v>7609000000036</v>
      </c>
    </row>
    <row r="20" spans="1:3" x14ac:dyDescent="0.25">
      <c r="A20" s="610" t="s">
        <v>1933</v>
      </c>
      <c r="B20" s="610" t="s">
        <v>1934</v>
      </c>
      <c r="C20" s="618">
        <v>7609000000037</v>
      </c>
    </row>
    <row r="21" spans="1:3" x14ac:dyDescent="0.25">
      <c r="A21" s="610" t="s">
        <v>1892</v>
      </c>
      <c r="B21" s="610" t="s">
        <v>1935</v>
      </c>
      <c r="C21" s="618">
        <v>7609000000003</v>
      </c>
    </row>
    <row r="22" spans="1:3" x14ac:dyDescent="0.25">
      <c r="A22" s="610" t="s">
        <v>1893</v>
      </c>
      <c r="B22" s="610" t="s">
        <v>1935</v>
      </c>
      <c r="C22" s="618">
        <v>7609000000005</v>
      </c>
    </row>
    <row r="23" spans="1:3" x14ac:dyDescent="0.25">
      <c r="A23" s="610" t="s">
        <v>1894</v>
      </c>
      <c r="B23" s="610" t="s">
        <v>1935</v>
      </c>
      <c r="C23" s="618">
        <v>7609000000007</v>
      </c>
    </row>
    <row r="24" spans="1:3" x14ac:dyDescent="0.25">
      <c r="A24" s="610" t="s">
        <v>1895</v>
      </c>
      <c r="B24" s="610" t="s">
        <v>1935</v>
      </c>
      <c r="C24" s="618">
        <v>7609000000009</v>
      </c>
    </row>
    <row r="25" spans="1:3" x14ac:dyDescent="0.25">
      <c r="A25" s="610" t="s">
        <v>1137</v>
      </c>
      <c r="B25" s="610" t="s">
        <v>1935</v>
      </c>
      <c r="C25" s="618">
        <v>7609000000002</v>
      </c>
    </row>
    <row r="26" spans="1:3" x14ac:dyDescent="0.25">
      <c r="A26" s="610" t="s">
        <v>1936</v>
      </c>
      <c r="B26" s="610" t="s">
        <v>1935</v>
      </c>
      <c r="C26" s="618">
        <v>7609000000004</v>
      </c>
    </row>
    <row r="27" spans="1:3" x14ac:dyDescent="0.25">
      <c r="A27" s="610" t="s">
        <v>1890</v>
      </c>
      <c r="B27" s="610" t="s">
        <v>1935</v>
      </c>
      <c r="C27" s="618">
        <v>7609000000006</v>
      </c>
    </row>
    <row r="28" spans="1:3" x14ac:dyDescent="0.25">
      <c r="A28" s="610" t="s">
        <v>1891</v>
      </c>
      <c r="B28" s="610" t="s">
        <v>1935</v>
      </c>
      <c r="C28" s="618">
        <v>7609000000008</v>
      </c>
    </row>
    <row r="29" spans="1:3" x14ac:dyDescent="0.25">
      <c r="A29" s="610" t="s">
        <v>675</v>
      </c>
      <c r="B29" s="610" t="s">
        <v>1937</v>
      </c>
      <c r="C29" s="618">
        <v>7609000000015</v>
      </c>
    </row>
    <row r="30" spans="1:3" x14ac:dyDescent="0.25">
      <c r="A30" s="610" t="s">
        <v>676</v>
      </c>
      <c r="B30" s="610" t="s">
        <v>1937</v>
      </c>
      <c r="C30" s="618">
        <v>7609000000038</v>
      </c>
    </row>
    <row r="31" spans="1:3" x14ac:dyDescent="0.25">
      <c r="A31" s="610" t="s">
        <v>874</v>
      </c>
      <c r="B31" s="610" t="s">
        <v>1938</v>
      </c>
      <c r="C31" s="618">
        <v>7609000000016</v>
      </c>
    </row>
    <row r="32" spans="1:3" x14ac:dyDescent="0.25">
      <c r="A32" s="610" t="s">
        <v>876</v>
      </c>
      <c r="B32" s="610" t="s">
        <v>1938</v>
      </c>
      <c r="C32" s="618">
        <v>7609000000046</v>
      </c>
    </row>
    <row r="33" spans="1:3" x14ac:dyDescent="0.25">
      <c r="A33" s="610" t="s">
        <v>883</v>
      </c>
      <c r="B33" s="610" t="s">
        <v>1939</v>
      </c>
      <c r="C33" s="618">
        <v>7609000000017</v>
      </c>
    </row>
    <row r="34" spans="1:3" x14ac:dyDescent="0.25">
      <c r="A34" s="610" t="s">
        <v>884</v>
      </c>
      <c r="B34" s="610" t="s">
        <v>1939</v>
      </c>
      <c r="C34" s="618">
        <v>7609000000045</v>
      </c>
    </row>
    <row r="35" spans="1:3" x14ac:dyDescent="0.25">
      <c r="A35" s="610" t="s">
        <v>2102</v>
      </c>
      <c r="B35" s="610" t="s">
        <v>2106</v>
      </c>
      <c r="C35" s="618">
        <v>7609000000042</v>
      </c>
    </row>
    <row r="36" spans="1:3" x14ac:dyDescent="0.25">
      <c r="A36" s="610" t="s">
        <v>2103</v>
      </c>
      <c r="B36" s="610" t="s">
        <v>2107</v>
      </c>
      <c r="C36" s="618">
        <v>7609000000041</v>
      </c>
    </row>
    <row r="37" spans="1:3" x14ac:dyDescent="0.25">
      <c r="A37" s="610" t="s">
        <v>2104</v>
      </c>
      <c r="B37" s="610" t="s">
        <v>2107</v>
      </c>
      <c r="C37" s="618">
        <v>7609000000044</v>
      </c>
    </row>
    <row r="38" spans="1:3" x14ac:dyDescent="0.25">
      <c r="A38" s="610" t="s">
        <v>2105</v>
      </c>
      <c r="B38" s="610" t="s">
        <v>2106</v>
      </c>
      <c r="C38" s="618">
        <v>7609000000043</v>
      </c>
    </row>
    <row r="39" spans="1:3" x14ac:dyDescent="0.25">
      <c r="A39" s="610" t="s">
        <v>590</v>
      </c>
      <c r="B39" s="610" t="s">
        <v>1940</v>
      </c>
      <c r="C39" s="618">
        <v>7600000402515</v>
      </c>
    </row>
    <row r="40" spans="1:3" x14ac:dyDescent="0.25">
      <c r="A40" s="610" t="s">
        <v>591</v>
      </c>
      <c r="B40" s="610" t="s">
        <v>1940</v>
      </c>
      <c r="C40" s="618">
        <v>7600000402516</v>
      </c>
    </row>
    <row r="41" spans="1:3" x14ac:dyDescent="0.25">
      <c r="A41" s="610" t="s">
        <v>592</v>
      </c>
      <c r="B41" s="610" t="s">
        <v>1940</v>
      </c>
      <c r="C41" s="618">
        <v>7600000402517</v>
      </c>
    </row>
    <row r="42" spans="1:3" x14ac:dyDescent="0.25">
      <c r="A42" s="610" t="s">
        <v>593</v>
      </c>
      <c r="B42" s="610" t="s">
        <v>1940</v>
      </c>
      <c r="C42" s="618">
        <v>7600000402518</v>
      </c>
    </row>
    <row r="43" spans="1:3" x14ac:dyDescent="0.25">
      <c r="A43" s="610" t="s">
        <v>594</v>
      </c>
      <c r="B43" s="610" t="s">
        <v>1940</v>
      </c>
      <c r="C43" s="618">
        <v>7600000402519</v>
      </c>
    </row>
    <row r="44" spans="1:3" x14ac:dyDescent="0.25">
      <c r="A44" s="610" t="s">
        <v>595</v>
      </c>
      <c r="B44" s="610" t="s">
        <v>1940</v>
      </c>
      <c r="C44" s="618">
        <v>7600000402520</v>
      </c>
    </row>
    <row r="45" spans="1:3" x14ac:dyDescent="0.25">
      <c r="A45" s="610" t="s">
        <v>596</v>
      </c>
      <c r="B45" s="610" t="s">
        <v>1940</v>
      </c>
      <c r="C45" s="618">
        <v>7600000402521</v>
      </c>
    </row>
    <row r="46" spans="1:3" x14ac:dyDescent="0.25">
      <c r="A46" s="610" t="s">
        <v>597</v>
      </c>
      <c r="B46" s="610" t="s">
        <v>1941</v>
      </c>
      <c r="C46" s="618">
        <v>7600000402522</v>
      </c>
    </row>
    <row r="47" spans="1:3" x14ac:dyDescent="0.25">
      <c r="A47" s="610" t="s">
        <v>598</v>
      </c>
      <c r="B47" s="610" t="s">
        <v>1941</v>
      </c>
      <c r="C47" s="618">
        <v>7600000402523</v>
      </c>
    </row>
    <row r="48" spans="1:3" x14ac:dyDescent="0.25">
      <c r="A48" s="610" t="s">
        <v>599</v>
      </c>
      <c r="B48" s="610" t="s">
        <v>1941</v>
      </c>
      <c r="C48" s="618">
        <v>7600000402524</v>
      </c>
    </row>
    <row r="49" spans="1:3" x14ac:dyDescent="0.25">
      <c r="A49" s="610" t="s">
        <v>600</v>
      </c>
      <c r="B49" s="610" t="s">
        <v>1941</v>
      </c>
      <c r="C49" s="618">
        <v>7600000402525</v>
      </c>
    </row>
    <row r="50" spans="1:3" x14ac:dyDescent="0.25">
      <c r="A50" s="610" t="s">
        <v>601</v>
      </c>
      <c r="B50" s="610" t="s">
        <v>1941</v>
      </c>
      <c r="C50" s="618">
        <v>7600000402526</v>
      </c>
    </row>
    <row r="51" spans="1:3" x14ac:dyDescent="0.25">
      <c r="A51" s="610" t="s">
        <v>602</v>
      </c>
      <c r="B51" s="610" t="s">
        <v>1941</v>
      </c>
      <c r="C51" s="618">
        <v>7600000402527</v>
      </c>
    </row>
    <row r="52" spans="1:3" x14ac:dyDescent="0.25">
      <c r="A52" s="610" t="s">
        <v>603</v>
      </c>
      <c r="B52" s="610" t="s">
        <v>1941</v>
      </c>
      <c r="C52" s="618">
        <v>7600000402528</v>
      </c>
    </row>
    <row r="53" spans="1:3" x14ac:dyDescent="0.25">
      <c r="A53" s="610" t="s">
        <v>604</v>
      </c>
      <c r="B53" s="610" t="s">
        <v>1940</v>
      </c>
      <c r="C53" s="618">
        <v>7600000402501</v>
      </c>
    </row>
    <row r="54" spans="1:3" x14ac:dyDescent="0.25">
      <c r="A54" s="610" t="s">
        <v>605</v>
      </c>
      <c r="B54" s="610" t="s">
        <v>1940</v>
      </c>
      <c r="C54" s="618">
        <v>7600000402502</v>
      </c>
    </row>
    <row r="55" spans="1:3" x14ac:dyDescent="0.25">
      <c r="A55" s="610" t="s">
        <v>606</v>
      </c>
      <c r="B55" s="610" t="s">
        <v>1940</v>
      </c>
      <c r="C55" s="618">
        <v>7600000402503</v>
      </c>
    </row>
    <row r="56" spans="1:3" x14ac:dyDescent="0.25">
      <c r="A56" s="610" t="s">
        <v>607</v>
      </c>
      <c r="B56" s="610" t="s">
        <v>1940</v>
      </c>
      <c r="C56" s="618">
        <v>7600000402504</v>
      </c>
    </row>
    <row r="57" spans="1:3" x14ac:dyDescent="0.25">
      <c r="A57" s="610" t="s">
        <v>608</v>
      </c>
      <c r="B57" s="610" t="s">
        <v>1940</v>
      </c>
      <c r="C57" s="618">
        <v>7600000402505</v>
      </c>
    </row>
    <row r="58" spans="1:3" x14ac:dyDescent="0.25">
      <c r="A58" s="610" t="s">
        <v>609</v>
      </c>
      <c r="B58" s="610" t="s">
        <v>1940</v>
      </c>
      <c r="C58" s="618">
        <v>7600000402506</v>
      </c>
    </row>
    <row r="59" spans="1:3" x14ac:dyDescent="0.25">
      <c r="A59" s="610" t="s">
        <v>610</v>
      </c>
      <c r="B59" s="610" t="s">
        <v>1940</v>
      </c>
      <c r="C59" s="618">
        <v>7600000402507</v>
      </c>
    </row>
    <row r="60" spans="1:3" x14ac:dyDescent="0.25">
      <c r="A60" s="610" t="s">
        <v>611</v>
      </c>
      <c r="B60" s="610" t="s">
        <v>1941</v>
      </c>
      <c r="C60" s="618">
        <v>7600000402508</v>
      </c>
    </row>
    <row r="61" spans="1:3" x14ac:dyDescent="0.25">
      <c r="A61" s="610" t="s">
        <v>612</v>
      </c>
      <c r="B61" s="610" t="s">
        <v>1941</v>
      </c>
      <c r="C61" s="618">
        <v>7600000402509</v>
      </c>
    </row>
    <row r="62" spans="1:3" x14ac:dyDescent="0.25">
      <c r="A62" s="610" t="s">
        <v>613</v>
      </c>
      <c r="B62" s="610" t="s">
        <v>1941</v>
      </c>
      <c r="C62" s="618">
        <v>7600000402510</v>
      </c>
    </row>
    <row r="63" spans="1:3" x14ac:dyDescent="0.25">
      <c r="A63" s="610" t="s">
        <v>614</v>
      </c>
      <c r="B63" s="610" t="s">
        <v>1941</v>
      </c>
      <c r="C63" s="618">
        <v>7600000402511</v>
      </c>
    </row>
    <row r="64" spans="1:3" x14ac:dyDescent="0.25">
      <c r="A64" s="610" t="s">
        <v>615</v>
      </c>
      <c r="B64" s="610" t="s">
        <v>1941</v>
      </c>
      <c r="C64" s="618">
        <v>7600000402512</v>
      </c>
    </row>
    <row r="65" spans="1:3" x14ac:dyDescent="0.25">
      <c r="A65" s="610" t="s">
        <v>616</v>
      </c>
      <c r="B65" s="610" t="s">
        <v>1941</v>
      </c>
      <c r="C65" s="618">
        <v>7600000402513</v>
      </c>
    </row>
    <row r="66" spans="1:3" x14ac:dyDescent="0.25">
      <c r="A66" s="610" t="s">
        <v>617</v>
      </c>
      <c r="B66" s="610" t="s">
        <v>1941</v>
      </c>
      <c r="C66" s="618">
        <v>7600000402514</v>
      </c>
    </row>
    <row r="67" spans="1:3" x14ac:dyDescent="0.25">
      <c r="A67" s="610" t="s">
        <v>768</v>
      </c>
      <c r="B67" s="610"/>
      <c r="C67" s="618">
        <v>7600000400247</v>
      </c>
    </row>
    <row r="68" spans="1:3" x14ac:dyDescent="0.25">
      <c r="A68" s="610" t="s">
        <v>780</v>
      </c>
      <c r="B68" s="610"/>
      <c r="C68" s="618">
        <v>7600000400186</v>
      </c>
    </row>
    <row r="69" spans="1:3" x14ac:dyDescent="0.25">
      <c r="A69" s="610" t="s">
        <v>744</v>
      </c>
      <c r="B69" s="610"/>
      <c r="C69" s="618">
        <v>7600000400181</v>
      </c>
    </row>
    <row r="70" spans="1:3" x14ac:dyDescent="0.25">
      <c r="A70" s="610" t="s">
        <v>756</v>
      </c>
      <c r="B70" s="610"/>
      <c r="C70" s="618">
        <v>7600000400240</v>
      </c>
    </row>
    <row r="71" spans="1:3" x14ac:dyDescent="0.25">
      <c r="A71" s="610" t="s">
        <v>762</v>
      </c>
      <c r="B71" s="610"/>
      <c r="C71" s="618">
        <v>7600000400108</v>
      </c>
    </row>
    <row r="72" spans="1:3" x14ac:dyDescent="0.25">
      <c r="A72" s="610" t="s">
        <v>774</v>
      </c>
      <c r="B72" s="610"/>
      <c r="C72" s="618">
        <v>7600000400147</v>
      </c>
    </row>
    <row r="73" spans="1:3" x14ac:dyDescent="0.25">
      <c r="A73" s="610" t="s">
        <v>738</v>
      </c>
      <c r="B73" s="610"/>
      <c r="C73" s="618">
        <v>7600000400142</v>
      </c>
    </row>
    <row r="74" spans="1:3" x14ac:dyDescent="0.25">
      <c r="A74" s="610" t="s">
        <v>750</v>
      </c>
      <c r="B74" s="610"/>
      <c r="C74" s="618">
        <v>7600000400154</v>
      </c>
    </row>
    <row r="75" spans="1:3" x14ac:dyDescent="0.25">
      <c r="A75" s="610" t="s">
        <v>763</v>
      </c>
      <c r="B75" s="610"/>
      <c r="C75" s="618">
        <v>7600000400124</v>
      </c>
    </row>
    <row r="76" spans="1:3" x14ac:dyDescent="0.25">
      <c r="A76" s="610" t="s">
        <v>775</v>
      </c>
      <c r="B76" s="610"/>
      <c r="C76" s="618">
        <v>7600000400149</v>
      </c>
    </row>
    <row r="77" spans="1:3" x14ac:dyDescent="0.25">
      <c r="A77" s="610" t="s">
        <v>739</v>
      </c>
      <c r="B77" s="610"/>
      <c r="C77" s="618">
        <v>7600000400144</v>
      </c>
    </row>
    <row r="78" spans="1:3" x14ac:dyDescent="0.25">
      <c r="A78" s="610" t="s">
        <v>751</v>
      </c>
      <c r="B78" s="610"/>
      <c r="C78" s="618">
        <v>7600000400162</v>
      </c>
    </row>
    <row r="79" spans="1:3" x14ac:dyDescent="0.25">
      <c r="A79" s="610" t="s">
        <v>764</v>
      </c>
      <c r="B79" s="610"/>
      <c r="C79" s="618">
        <v>7600000400127</v>
      </c>
    </row>
    <row r="80" spans="1:3" x14ac:dyDescent="0.25">
      <c r="A80" s="610" t="s">
        <v>776</v>
      </c>
      <c r="B80" s="610"/>
      <c r="C80" s="618">
        <v>7600000400150</v>
      </c>
    </row>
    <row r="81" spans="1:3" x14ac:dyDescent="0.25">
      <c r="A81" s="610" t="s">
        <v>740</v>
      </c>
      <c r="B81" s="610"/>
      <c r="C81" s="618">
        <v>7600000400145</v>
      </c>
    </row>
    <row r="82" spans="1:3" x14ac:dyDescent="0.25">
      <c r="A82" s="610" t="s">
        <v>752</v>
      </c>
      <c r="B82" s="610"/>
      <c r="C82" s="618">
        <v>7600000400165</v>
      </c>
    </row>
    <row r="83" spans="1:3" x14ac:dyDescent="0.25">
      <c r="A83" s="610" t="s">
        <v>769</v>
      </c>
      <c r="B83" s="610"/>
      <c r="C83" s="618">
        <v>7600000400248</v>
      </c>
    </row>
    <row r="84" spans="1:3" x14ac:dyDescent="0.25">
      <c r="A84" s="610" t="s">
        <v>781</v>
      </c>
      <c r="B84" s="610"/>
      <c r="C84" s="618">
        <v>7600000400188</v>
      </c>
    </row>
    <row r="85" spans="1:3" x14ac:dyDescent="0.25">
      <c r="A85" s="610" t="s">
        <v>745</v>
      </c>
      <c r="B85" s="610"/>
      <c r="C85" s="618">
        <v>7600000400183</v>
      </c>
    </row>
    <row r="86" spans="1:3" x14ac:dyDescent="0.25">
      <c r="A86" s="610" t="s">
        <v>757</v>
      </c>
      <c r="B86" s="610"/>
      <c r="C86" s="618">
        <v>7600000400241</v>
      </c>
    </row>
    <row r="87" spans="1:3" x14ac:dyDescent="0.25">
      <c r="A87" s="610" t="s">
        <v>770</v>
      </c>
      <c r="B87" s="610"/>
      <c r="C87" s="618">
        <v>7600000400249</v>
      </c>
    </row>
    <row r="88" spans="1:3" x14ac:dyDescent="0.25">
      <c r="A88" s="610" t="s">
        <v>782</v>
      </c>
      <c r="B88" s="610"/>
      <c r="C88" s="618">
        <v>7600000400189</v>
      </c>
    </row>
    <row r="89" spans="1:3" x14ac:dyDescent="0.25">
      <c r="A89" s="610" t="s">
        <v>746</v>
      </c>
      <c r="B89" s="610"/>
      <c r="C89" s="618">
        <v>7600000400184</v>
      </c>
    </row>
    <row r="90" spans="1:3" x14ac:dyDescent="0.25">
      <c r="A90" s="610" t="s">
        <v>758</v>
      </c>
      <c r="B90" s="610"/>
      <c r="C90" s="618">
        <v>7600000400242</v>
      </c>
    </row>
    <row r="91" spans="1:3" x14ac:dyDescent="0.25">
      <c r="A91" s="610" t="s">
        <v>771</v>
      </c>
      <c r="B91" s="610"/>
      <c r="C91" s="618">
        <v>7600000400250</v>
      </c>
    </row>
    <row r="92" spans="1:3" x14ac:dyDescent="0.25">
      <c r="A92" s="610" t="s">
        <v>783</v>
      </c>
      <c r="B92" s="610"/>
      <c r="C92" s="618">
        <v>7600000400187</v>
      </c>
    </row>
    <row r="93" spans="1:3" x14ac:dyDescent="0.25">
      <c r="A93" s="610" t="s">
        <v>747</v>
      </c>
      <c r="B93" s="610"/>
      <c r="C93" s="618">
        <v>7600000400182</v>
      </c>
    </row>
    <row r="94" spans="1:3" x14ac:dyDescent="0.25">
      <c r="A94" s="610" t="s">
        <v>759</v>
      </c>
      <c r="B94" s="610"/>
      <c r="C94" s="618">
        <v>7600000400243</v>
      </c>
    </row>
    <row r="95" spans="1:3" x14ac:dyDescent="0.25">
      <c r="A95" s="610" t="s">
        <v>765</v>
      </c>
      <c r="B95" s="610"/>
      <c r="C95" s="618">
        <v>7600000400111</v>
      </c>
    </row>
    <row r="96" spans="1:3" x14ac:dyDescent="0.25">
      <c r="A96" s="610" t="s">
        <v>777</v>
      </c>
      <c r="B96" s="610"/>
      <c r="C96" s="618">
        <v>7600000400148</v>
      </c>
    </row>
    <row r="97" spans="1:3" x14ac:dyDescent="0.25">
      <c r="A97" s="610" t="s">
        <v>741</v>
      </c>
      <c r="B97" s="610"/>
      <c r="C97" s="618">
        <v>7600000400143</v>
      </c>
    </row>
    <row r="98" spans="1:3" x14ac:dyDescent="0.25">
      <c r="A98" s="610" t="s">
        <v>753</v>
      </c>
      <c r="B98" s="610"/>
      <c r="C98" s="618">
        <v>7600000400157</v>
      </c>
    </row>
    <row r="99" spans="1:3" x14ac:dyDescent="0.25">
      <c r="A99" s="610" t="s">
        <v>766</v>
      </c>
      <c r="B99" s="610"/>
      <c r="C99" s="618">
        <v>7600000400246</v>
      </c>
    </row>
    <row r="100" spans="1:3" x14ac:dyDescent="0.25">
      <c r="A100" s="610" t="s">
        <v>778</v>
      </c>
      <c r="B100" s="610"/>
      <c r="C100" s="618">
        <v>7600000400253</v>
      </c>
    </row>
    <row r="101" spans="1:3" x14ac:dyDescent="0.25">
      <c r="A101" s="610" t="s">
        <v>742</v>
      </c>
      <c r="B101" s="610"/>
      <c r="C101" s="618">
        <v>7600000400237</v>
      </c>
    </row>
    <row r="102" spans="1:3" x14ac:dyDescent="0.25">
      <c r="A102" s="610" t="s">
        <v>754</v>
      </c>
      <c r="B102" s="610"/>
      <c r="C102" s="618">
        <v>7600000400239</v>
      </c>
    </row>
    <row r="103" spans="1:3" x14ac:dyDescent="0.25">
      <c r="A103" s="610" t="s">
        <v>767</v>
      </c>
      <c r="B103" s="610"/>
      <c r="C103" s="618">
        <v>7600000400140</v>
      </c>
    </row>
    <row r="104" spans="1:3" x14ac:dyDescent="0.25">
      <c r="A104" s="610" t="s">
        <v>779</v>
      </c>
      <c r="B104" s="610"/>
      <c r="C104" s="618">
        <v>7600000400151</v>
      </c>
    </row>
    <row r="105" spans="1:3" x14ac:dyDescent="0.25">
      <c r="A105" s="610" t="s">
        <v>743</v>
      </c>
      <c r="B105" s="610"/>
      <c r="C105" s="618">
        <v>7600000400146</v>
      </c>
    </row>
    <row r="106" spans="1:3" x14ac:dyDescent="0.25">
      <c r="A106" s="610" t="s">
        <v>755</v>
      </c>
      <c r="B106" s="610"/>
      <c r="C106" s="618">
        <v>7600000400170</v>
      </c>
    </row>
    <row r="107" spans="1:3" x14ac:dyDescent="0.25">
      <c r="A107" s="610" t="s">
        <v>772</v>
      </c>
      <c r="B107" s="610"/>
      <c r="C107" s="618">
        <v>7600000400251</v>
      </c>
    </row>
    <row r="108" spans="1:3" x14ac:dyDescent="0.25">
      <c r="A108" s="610" t="s">
        <v>784</v>
      </c>
      <c r="B108" s="610"/>
      <c r="C108" s="618">
        <v>7600000400254</v>
      </c>
    </row>
    <row r="109" spans="1:3" x14ac:dyDescent="0.25">
      <c r="A109" s="610" t="s">
        <v>748</v>
      </c>
      <c r="B109" s="610"/>
      <c r="C109" s="618">
        <v>7600000400238</v>
      </c>
    </row>
    <row r="110" spans="1:3" x14ac:dyDescent="0.25">
      <c r="A110" s="610" t="s">
        <v>760</v>
      </c>
      <c r="B110" s="610"/>
      <c r="C110" s="618">
        <v>7600000400244</v>
      </c>
    </row>
    <row r="111" spans="1:3" x14ac:dyDescent="0.25">
      <c r="A111" s="610" t="s">
        <v>773</v>
      </c>
      <c r="B111" s="610"/>
      <c r="C111" s="618">
        <v>7600000400252</v>
      </c>
    </row>
    <row r="112" spans="1:3" x14ac:dyDescent="0.25">
      <c r="A112" s="610" t="s">
        <v>785</v>
      </c>
      <c r="B112" s="610"/>
      <c r="C112" s="618">
        <v>7600000400190</v>
      </c>
    </row>
    <row r="113" spans="1:3" x14ac:dyDescent="0.25">
      <c r="A113" s="610" t="s">
        <v>749</v>
      </c>
      <c r="B113" s="610"/>
      <c r="C113" s="618">
        <v>7600000400185</v>
      </c>
    </row>
    <row r="114" spans="1:3" x14ac:dyDescent="0.25">
      <c r="A114" s="610" t="s">
        <v>761</v>
      </c>
      <c r="B114" s="610"/>
      <c r="C114" s="618">
        <v>7600000400245</v>
      </c>
    </row>
    <row r="115" spans="1:3" x14ac:dyDescent="0.25">
      <c r="A115" s="610" t="s">
        <v>462</v>
      </c>
      <c r="B115" s="610"/>
      <c r="C115" s="618">
        <v>7600000400291</v>
      </c>
    </row>
    <row r="116" spans="1:3" x14ac:dyDescent="0.25">
      <c r="A116" s="610" t="s">
        <v>450</v>
      </c>
      <c r="B116" s="610"/>
      <c r="C116" s="618">
        <v>7600000400295</v>
      </c>
    </row>
    <row r="117" spans="1:3" x14ac:dyDescent="0.25">
      <c r="A117" s="610" t="s">
        <v>456</v>
      </c>
      <c r="B117" s="610"/>
      <c r="C117" s="618">
        <v>7600000400292</v>
      </c>
    </row>
    <row r="118" spans="1:3" x14ac:dyDescent="0.25">
      <c r="A118" s="610" t="s">
        <v>444</v>
      </c>
      <c r="B118" s="610"/>
      <c r="C118" s="618">
        <v>7600000400293</v>
      </c>
    </row>
    <row r="119" spans="1:3" x14ac:dyDescent="0.25">
      <c r="A119" s="610" t="s">
        <v>457</v>
      </c>
      <c r="B119" s="610"/>
      <c r="C119" s="618">
        <v>7600000400308</v>
      </c>
    </row>
    <row r="120" spans="1:3" x14ac:dyDescent="0.25">
      <c r="A120" s="610" t="s">
        <v>445</v>
      </c>
      <c r="B120" s="610"/>
      <c r="C120" s="618" t="e">
        <v>#N/A</v>
      </c>
    </row>
    <row r="121" spans="1:3" x14ac:dyDescent="0.25">
      <c r="A121" s="610" t="s">
        <v>458</v>
      </c>
      <c r="B121" s="610"/>
      <c r="C121" s="618" t="e">
        <v>#N/A</v>
      </c>
    </row>
    <row r="122" spans="1:3" x14ac:dyDescent="0.25">
      <c r="A122" s="610" t="s">
        <v>446</v>
      </c>
      <c r="B122" s="610"/>
      <c r="C122" s="618" t="e">
        <v>#N/A</v>
      </c>
    </row>
    <row r="123" spans="1:3" x14ac:dyDescent="0.25">
      <c r="A123" s="610" t="s">
        <v>463</v>
      </c>
      <c r="B123" s="610"/>
      <c r="C123" s="618" t="e">
        <v>#N/A</v>
      </c>
    </row>
    <row r="124" spans="1:3" x14ac:dyDescent="0.25">
      <c r="A124" s="610" t="s">
        <v>451</v>
      </c>
      <c r="B124" s="610"/>
      <c r="C124" s="618" t="e">
        <v>#N/A</v>
      </c>
    </row>
    <row r="125" spans="1:3" x14ac:dyDescent="0.25">
      <c r="A125" s="610" t="s">
        <v>464</v>
      </c>
      <c r="B125" s="610"/>
      <c r="C125" s="618" t="e">
        <v>#N/A</v>
      </c>
    </row>
    <row r="126" spans="1:3" x14ac:dyDescent="0.25">
      <c r="A126" s="610" t="s">
        <v>452</v>
      </c>
      <c r="B126" s="610"/>
      <c r="C126" s="618" t="e">
        <v>#N/A</v>
      </c>
    </row>
    <row r="127" spans="1:3" x14ac:dyDescent="0.25">
      <c r="A127" s="610" t="s">
        <v>465</v>
      </c>
      <c r="B127" s="610"/>
      <c r="C127" s="618">
        <v>7600000400303</v>
      </c>
    </row>
    <row r="128" spans="1:3" x14ac:dyDescent="0.25">
      <c r="A128" s="610" t="s">
        <v>453</v>
      </c>
      <c r="B128" s="610"/>
      <c r="C128" s="618">
        <v>7600000400306</v>
      </c>
    </row>
    <row r="129" spans="1:3" x14ac:dyDescent="0.25">
      <c r="A129" s="610" t="s">
        <v>459</v>
      </c>
      <c r="B129" s="610"/>
      <c r="C129" s="618">
        <v>7600000400297</v>
      </c>
    </row>
    <row r="130" spans="1:3" x14ac:dyDescent="0.25">
      <c r="A130" s="610" t="s">
        <v>447</v>
      </c>
      <c r="B130" s="610"/>
      <c r="C130" s="618">
        <v>7600000400300</v>
      </c>
    </row>
    <row r="131" spans="1:3" x14ac:dyDescent="0.25">
      <c r="A131" s="610" t="s">
        <v>460</v>
      </c>
      <c r="B131" s="610"/>
      <c r="C131" s="618">
        <v>7600000400298</v>
      </c>
    </row>
    <row r="132" spans="1:3" x14ac:dyDescent="0.25">
      <c r="A132" s="610" t="s">
        <v>448</v>
      </c>
      <c r="B132" s="610"/>
      <c r="C132" s="618">
        <v>7600000400301</v>
      </c>
    </row>
    <row r="133" spans="1:3" x14ac:dyDescent="0.25">
      <c r="A133" s="610" t="s">
        <v>461</v>
      </c>
      <c r="B133" s="610"/>
      <c r="C133" s="618" t="e">
        <v>#N/A</v>
      </c>
    </row>
    <row r="134" spans="1:3" x14ac:dyDescent="0.25">
      <c r="A134" s="610" t="s">
        <v>449</v>
      </c>
      <c r="B134" s="610"/>
      <c r="C134" s="618" t="e">
        <v>#N/A</v>
      </c>
    </row>
    <row r="135" spans="1:3" x14ac:dyDescent="0.25">
      <c r="A135" s="610" t="s">
        <v>466</v>
      </c>
      <c r="B135" s="610"/>
      <c r="C135" s="618">
        <v>7600000400304</v>
      </c>
    </row>
    <row r="136" spans="1:3" x14ac:dyDescent="0.25">
      <c r="A136" s="610" t="s">
        <v>454</v>
      </c>
      <c r="B136" s="610"/>
      <c r="C136" s="618" t="e">
        <v>#N/A</v>
      </c>
    </row>
    <row r="137" spans="1:3" x14ac:dyDescent="0.25">
      <c r="A137" s="610" t="s">
        <v>467</v>
      </c>
      <c r="B137" s="610"/>
      <c r="C137" s="618" t="e">
        <v>#N/A</v>
      </c>
    </row>
    <row r="138" spans="1:3" x14ac:dyDescent="0.25">
      <c r="A138" s="610" t="s">
        <v>455</v>
      </c>
      <c r="B138" s="610"/>
      <c r="C138" s="618" t="e">
        <v>#N/A</v>
      </c>
    </row>
    <row r="139" spans="1:3" x14ac:dyDescent="0.25">
      <c r="A139" s="610" t="s">
        <v>682</v>
      </c>
      <c r="B139" s="610"/>
      <c r="C139" s="618">
        <v>7600000400317</v>
      </c>
    </row>
    <row r="140" spans="1:3" x14ac:dyDescent="0.25">
      <c r="A140" s="610" t="s">
        <v>683</v>
      </c>
      <c r="B140" s="610"/>
      <c r="C140" s="618">
        <v>7600000400318</v>
      </c>
    </row>
    <row r="141" spans="1:3" x14ac:dyDescent="0.25">
      <c r="A141" s="610" t="s">
        <v>684</v>
      </c>
      <c r="B141" s="610"/>
      <c r="C141" s="618" t="e">
        <v>#N/A</v>
      </c>
    </row>
    <row r="142" spans="1:3" x14ac:dyDescent="0.25">
      <c r="A142" s="610" t="s">
        <v>685</v>
      </c>
      <c r="B142" s="610"/>
      <c r="C142" s="618">
        <v>7600000400319</v>
      </c>
    </row>
    <row r="143" spans="1:3" x14ac:dyDescent="0.25">
      <c r="A143" s="610" t="s">
        <v>686</v>
      </c>
      <c r="B143" s="610"/>
      <c r="C143" s="618" t="e">
        <v>#N/A</v>
      </c>
    </row>
    <row r="144" spans="1:3" x14ac:dyDescent="0.25">
      <c r="A144" s="610" t="s">
        <v>687</v>
      </c>
      <c r="B144" s="610"/>
      <c r="C144" s="618" t="e">
        <v>#N/A</v>
      </c>
    </row>
    <row r="145" spans="1:3" x14ac:dyDescent="0.25">
      <c r="A145" s="610" t="s">
        <v>688</v>
      </c>
      <c r="B145" s="610"/>
      <c r="C145" s="618" t="e">
        <v>#N/A</v>
      </c>
    </row>
    <row r="146" spans="1:3" x14ac:dyDescent="0.25">
      <c r="A146" s="610" t="s">
        <v>689</v>
      </c>
      <c r="B146" s="610"/>
      <c r="C146" s="618" t="e">
        <v>#N/A</v>
      </c>
    </row>
    <row r="147" spans="1:3" x14ac:dyDescent="0.25">
      <c r="A147" s="610" t="s">
        <v>690</v>
      </c>
      <c r="B147" s="610"/>
      <c r="C147" s="618" t="e">
        <v>#N/A</v>
      </c>
    </row>
    <row r="148" spans="1:3" x14ac:dyDescent="0.25">
      <c r="A148" s="610" t="s">
        <v>691</v>
      </c>
      <c r="B148" s="610"/>
      <c r="C148" s="618" t="e">
        <v>#N/A</v>
      </c>
    </row>
    <row r="149" spans="1:3" x14ac:dyDescent="0.25">
      <c r="A149" s="610" t="s">
        <v>692</v>
      </c>
      <c r="B149" s="610"/>
      <c r="C149" s="618" t="e">
        <v>#N/A</v>
      </c>
    </row>
    <row r="150" spans="1:3" x14ac:dyDescent="0.25">
      <c r="A150" s="610" t="s">
        <v>693</v>
      </c>
      <c r="B150" s="610"/>
      <c r="C150" s="618" t="e">
        <v>#N/A</v>
      </c>
    </row>
    <row r="151" spans="1:3" x14ac:dyDescent="0.25">
      <c r="A151" s="610" t="s">
        <v>694</v>
      </c>
      <c r="B151" s="610"/>
      <c r="C151" s="618">
        <v>7600000400312</v>
      </c>
    </row>
    <row r="152" spans="1:3" x14ac:dyDescent="0.25">
      <c r="A152" s="610" t="s">
        <v>695</v>
      </c>
      <c r="B152" s="610"/>
      <c r="C152" s="618">
        <v>7600000400313</v>
      </c>
    </row>
    <row r="153" spans="1:3" x14ac:dyDescent="0.25">
      <c r="A153" s="610" t="s">
        <v>696</v>
      </c>
      <c r="B153" s="610"/>
      <c r="C153" s="618">
        <v>7600000400574</v>
      </c>
    </row>
    <row r="154" spans="1:3" x14ac:dyDescent="0.25">
      <c r="A154" s="610" t="s">
        <v>697</v>
      </c>
      <c r="B154" s="610"/>
      <c r="C154" s="618">
        <v>7600000400315</v>
      </c>
    </row>
    <row r="155" spans="1:3" x14ac:dyDescent="0.25">
      <c r="A155" s="610" t="s">
        <v>698</v>
      </c>
      <c r="B155" s="610"/>
      <c r="C155" s="618" t="e">
        <v>#N/A</v>
      </c>
    </row>
    <row r="156" spans="1:3" x14ac:dyDescent="0.25">
      <c r="A156" s="610" t="s">
        <v>699</v>
      </c>
      <c r="B156" s="610"/>
      <c r="C156" s="618" t="e">
        <v>#N/A</v>
      </c>
    </row>
    <row r="157" spans="1:3" x14ac:dyDescent="0.25">
      <c r="A157" s="610" t="s">
        <v>700</v>
      </c>
      <c r="B157" s="610"/>
      <c r="C157" s="618">
        <v>7600000400428</v>
      </c>
    </row>
    <row r="158" spans="1:3" x14ac:dyDescent="0.25">
      <c r="A158" s="610" t="s">
        <v>701</v>
      </c>
      <c r="B158" s="610"/>
      <c r="C158" s="618" t="e">
        <v>#N/A</v>
      </c>
    </row>
    <row r="159" spans="1:3" x14ac:dyDescent="0.25">
      <c r="A159" s="610" t="s">
        <v>702</v>
      </c>
      <c r="B159" s="610"/>
      <c r="C159" s="618" t="e">
        <v>#N/A</v>
      </c>
    </row>
    <row r="160" spans="1:3" x14ac:dyDescent="0.25">
      <c r="A160" s="610" t="s">
        <v>703</v>
      </c>
      <c r="B160" s="610"/>
      <c r="C160" s="618" t="e">
        <v>#N/A</v>
      </c>
    </row>
    <row r="161" spans="1:3" x14ac:dyDescent="0.25">
      <c r="A161" s="610" t="s">
        <v>704</v>
      </c>
      <c r="B161" s="610"/>
      <c r="C161" s="618" t="e">
        <v>#N/A</v>
      </c>
    </row>
    <row r="162" spans="1:3" x14ac:dyDescent="0.25">
      <c r="A162" s="610" t="s">
        <v>705</v>
      </c>
      <c r="B162" s="610"/>
      <c r="C162" s="618" t="e">
        <v>#N/A</v>
      </c>
    </row>
    <row r="163" spans="1:3" x14ac:dyDescent="0.25">
      <c r="A163" s="611" t="s">
        <v>1942</v>
      </c>
      <c r="B163" s="611" t="s">
        <v>1943</v>
      </c>
      <c r="C163" s="612">
        <v>7600000401288</v>
      </c>
    </row>
    <row r="164" spans="1:3" x14ac:dyDescent="0.25">
      <c r="A164" s="611" t="s">
        <v>1944</v>
      </c>
      <c r="B164" s="611" t="s">
        <v>1943</v>
      </c>
      <c r="C164" s="612">
        <v>7600000401289</v>
      </c>
    </row>
    <row r="165" spans="1:3" x14ac:dyDescent="0.25">
      <c r="A165" s="611" t="s">
        <v>1945</v>
      </c>
      <c r="B165" s="611" t="s">
        <v>1946</v>
      </c>
      <c r="C165" s="612">
        <v>7600000401290</v>
      </c>
    </row>
    <row r="166" spans="1:3" x14ac:dyDescent="0.25">
      <c r="A166" s="611" t="s">
        <v>1947</v>
      </c>
      <c r="B166" s="611" t="s">
        <v>1948</v>
      </c>
      <c r="C166" s="612">
        <v>7600000401291</v>
      </c>
    </row>
    <row r="167" spans="1:3" x14ac:dyDescent="0.25">
      <c r="A167" s="611" t="s">
        <v>1949</v>
      </c>
      <c r="B167" s="611" t="s">
        <v>1950</v>
      </c>
      <c r="C167" s="612">
        <v>7600000401292</v>
      </c>
    </row>
    <row r="168" spans="1:3" x14ac:dyDescent="0.25">
      <c r="A168" s="611" t="s">
        <v>1951</v>
      </c>
      <c r="B168" s="611" t="s">
        <v>1950</v>
      </c>
      <c r="C168" s="612">
        <v>7600000401293</v>
      </c>
    </row>
    <row r="169" spans="1:3" x14ac:dyDescent="0.25">
      <c r="A169" s="611" t="s">
        <v>1952</v>
      </c>
      <c r="B169" s="611" t="s">
        <v>1953</v>
      </c>
      <c r="C169" s="612">
        <v>7600000401294</v>
      </c>
    </row>
    <row r="170" spans="1:3" x14ac:dyDescent="0.25">
      <c r="A170" s="611" t="s">
        <v>1954</v>
      </c>
      <c r="B170" s="611" t="s">
        <v>1953</v>
      </c>
      <c r="C170" s="612">
        <v>7600000401295</v>
      </c>
    </row>
    <row r="171" spans="1:3" x14ac:dyDescent="0.25">
      <c r="A171" s="611" t="s">
        <v>217</v>
      </c>
      <c r="B171" s="611" t="s">
        <v>1955</v>
      </c>
      <c r="C171" s="612">
        <v>7600000401224</v>
      </c>
    </row>
    <row r="172" spans="1:3" x14ac:dyDescent="0.25">
      <c r="A172" s="611" t="s">
        <v>218</v>
      </c>
      <c r="B172" s="611" t="s">
        <v>1955</v>
      </c>
      <c r="C172" s="612">
        <v>7600000401225</v>
      </c>
    </row>
    <row r="173" spans="1:3" x14ac:dyDescent="0.25">
      <c r="A173" s="611" t="s">
        <v>219</v>
      </c>
      <c r="B173" s="611" t="s">
        <v>1956</v>
      </c>
      <c r="C173" s="612">
        <v>7600000401226</v>
      </c>
    </row>
    <row r="174" spans="1:3" x14ac:dyDescent="0.25">
      <c r="A174" s="611" t="s">
        <v>220</v>
      </c>
      <c r="B174" s="611" t="s">
        <v>1957</v>
      </c>
      <c r="C174" s="612">
        <v>7600000401227</v>
      </c>
    </row>
    <row r="175" spans="1:3" x14ac:dyDescent="0.25">
      <c r="A175" s="611" t="s">
        <v>221</v>
      </c>
      <c r="B175" s="611" t="s">
        <v>1958</v>
      </c>
      <c r="C175" s="612">
        <v>7600000401228</v>
      </c>
    </row>
    <row r="176" spans="1:3" x14ac:dyDescent="0.25">
      <c r="A176" s="611" t="s">
        <v>222</v>
      </c>
      <c r="B176" s="611" t="s">
        <v>1958</v>
      </c>
      <c r="C176" s="612">
        <v>7600000401229</v>
      </c>
    </row>
    <row r="177" spans="1:3" x14ac:dyDescent="0.25">
      <c r="A177" s="611" t="s">
        <v>223</v>
      </c>
      <c r="B177" s="611" t="s">
        <v>1959</v>
      </c>
      <c r="C177" s="612">
        <v>7600000401230</v>
      </c>
    </row>
    <row r="178" spans="1:3" x14ac:dyDescent="0.25">
      <c r="A178" s="611" t="s">
        <v>224</v>
      </c>
      <c r="B178" s="611" t="s">
        <v>1959</v>
      </c>
      <c r="C178" s="612">
        <v>7600000401231</v>
      </c>
    </row>
    <row r="179" spans="1:3" x14ac:dyDescent="0.25">
      <c r="A179" s="611" t="s">
        <v>1090</v>
      </c>
      <c r="B179" s="611" t="s">
        <v>1960</v>
      </c>
      <c r="C179" s="612">
        <v>7600000401240</v>
      </c>
    </row>
    <row r="180" spans="1:3" x14ac:dyDescent="0.25">
      <c r="A180" s="611" t="s">
        <v>1961</v>
      </c>
      <c r="B180" s="611" t="s">
        <v>1960</v>
      </c>
      <c r="C180" s="612">
        <v>7600000401241</v>
      </c>
    </row>
    <row r="181" spans="1:3" x14ac:dyDescent="0.25">
      <c r="A181" s="611" t="s">
        <v>1091</v>
      </c>
      <c r="B181" s="611" t="s">
        <v>1962</v>
      </c>
      <c r="C181" s="612">
        <v>7600000401242</v>
      </c>
    </row>
    <row r="182" spans="1:3" x14ac:dyDescent="0.25">
      <c r="A182" s="611" t="s">
        <v>1092</v>
      </c>
      <c r="B182" s="611" t="s">
        <v>1963</v>
      </c>
      <c r="C182" s="612">
        <v>7600000401243</v>
      </c>
    </row>
    <row r="183" spans="1:3" x14ac:dyDescent="0.25">
      <c r="A183" s="611" t="s">
        <v>1093</v>
      </c>
      <c r="B183" s="611" t="s">
        <v>1964</v>
      </c>
      <c r="C183" s="612">
        <v>7600000401244</v>
      </c>
    </row>
    <row r="184" spans="1:3" x14ac:dyDescent="0.25">
      <c r="A184" s="611" t="s">
        <v>1965</v>
      </c>
      <c r="B184" s="611" t="s">
        <v>1966</v>
      </c>
      <c r="C184" s="612">
        <v>7600000401245</v>
      </c>
    </row>
    <row r="185" spans="1:3" x14ac:dyDescent="0.25">
      <c r="A185" s="611" t="s">
        <v>1967</v>
      </c>
      <c r="B185" s="611" t="s">
        <v>1968</v>
      </c>
      <c r="C185" s="612">
        <v>7600000401246</v>
      </c>
    </row>
    <row r="186" spans="1:3" x14ac:dyDescent="0.25">
      <c r="A186" s="611" t="s">
        <v>1094</v>
      </c>
      <c r="B186" s="611" t="s">
        <v>1968</v>
      </c>
      <c r="C186" s="612">
        <v>7600000401247</v>
      </c>
    </row>
    <row r="187" spans="1:3" x14ac:dyDescent="0.25">
      <c r="A187" s="611" t="s">
        <v>1969</v>
      </c>
      <c r="B187" s="611" t="s">
        <v>1970</v>
      </c>
      <c r="C187" s="611"/>
    </row>
    <row r="188" spans="1:3" x14ac:dyDescent="0.25">
      <c r="A188" s="611" t="s">
        <v>1971</v>
      </c>
      <c r="B188" s="611" t="s">
        <v>1972</v>
      </c>
      <c r="C188" s="612">
        <v>7600000401309</v>
      </c>
    </row>
    <row r="189" spans="1:3" x14ac:dyDescent="0.25">
      <c r="A189" s="611" t="s">
        <v>1973</v>
      </c>
      <c r="B189" s="611" t="s">
        <v>1974</v>
      </c>
      <c r="C189" s="612"/>
    </row>
    <row r="190" spans="1:3" x14ac:dyDescent="0.25">
      <c r="A190" s="611" t="s">
        <v>1975</v>
      </c>
      <c r="B190" s="611" t="s">
        <v>1976</v>
      </c>
      <c r="C190" s="612"/>
    </row>
    <row r="191" spans="1:3" x14ac:dyDescent="0.25">
      <c r="A191" s="611" t="s">
        <v>1977</v>
      </c>
      <c r="B191" s="611"/>
      <c r="C191" s="612"/>
    </row>
    <row r="192" spans="1:3" x14ac:dyDescent="0.25">
      <c r="A192" s="611" t="s">
        <v>1095</v>
      </c>
      <c r="B192" s="611" t="s">
        <v>1978</v>
      </c>
      <c r="C192" s="612">
        <v>7600000401311</v>
      </c>
    </row>
    <row r="193" spans="1:4" x14ac:dyDescent="0.25">
      <c r="A193" s="611" t="s">
        <v>1096</v>
      </c>
      <c r="B193" s="611" t="s">
        <v>1979</v>
      </c>
      <c r="C193" s="612"/>
    </row>
    <row r="194" spans="1:4" x14ac:dyDescent="0.25">
      <c r="A194" s="611" t="s">
        <v>1097</v>
      </c>
      <c r="B194" s="611" t="s">
        <v>1980</v>
      </c>
      <c r="C194" s="612">
        <v>7600000401314</v>
      </c>
    </row>
    <row r="195" spans="1:4" x14ac:dyDescent="0.25">
      <c r="A195" s="611" t="s">
        <v>1098</v>
      </c>
      <c r="B195" s="611" t="s">
        <v>1981</v>
      </c>
      <c r="C195" s="612">
        <v>7600000401319</v>
      </c>
    </row>
    <row r="196" spans="1:4" x14ac:dyDescent="0.25">
      <c r="A196" s="611" t="s">
        <v>1982</v>
      </c>
      <c r="B196" s="611" t="s">
        <v>1983</v>
      </c>
      <c r="C196" s="612">
        <v>7600000401318</v>
      </c>
    </row>
    <row r="197" spans="1:4" x14ac:dyDescent="0.25">
      <c r="A197" s="611" t="s">
        <v>1099</v>
      </c>
      <c r="B197" s="611" t="s">
        <v>1984</v>
      </c>
      <c r="C197" s="612">
        <v>7600000401248</v>
      </c>
    </row>
    <row r="198" spans="1:4" x14ac:dyDescent="0.25">
      <c r="A198" s="611" t="s">
        <v>1100</v>
      </c>
      <c r="B198" s="611" t="s">
        <v>1984</v>
      </c>
      <c r="C198" s="612">
        <v>7600000401249</v>
      </c>
      <c r="D198" s="41"/>
    </row>
    <row r="199" spans="1:4" x14ac:dyDescent="0.25">
      <c r="A199" s="611" t="s">
        <v>1985</v>
      </c>
      <c r="B199" s="611" t="s">
        <v>1986</v>
      </c>
      <c r="C199" s="612">
        <v>7600000401321</v>
      </c>
    </row>
    <row r="200" spans="1:4" x14ac:dyDescent="0.25">
      <c r="A200" s="611" t="s">
        <v>1101</v>
      </c>
      <c r="B200" s="611" t="s">
        <v>1987</v>
      </c>
      <c r="C200" s="612">
        <v>7600000401250</v>
      </c>
    </row>
    <row r="201" spans="1:4" x14ac:dyDescent="0.25">
      <c r="A201" s="611" t="s">
        <v>1102</v>
      </c>
      <c r="B201" s="611" t="s">
        <v>1988</v>
      </c>
      <c r="C201" s="612">
        <v>7600000401251</v>
      </c>
    </row>
    <row r="202" spans="1:4" x14ac:dyDescent="0.25">
      <c r="A202" s="611" t="s">
        <v>1103</v>
      </c>
      <c r="B202" s="611" t="s">
        <v>1989</v>
      </c>
      <c r="C202" s="612">
        <v>7600000401252</v>
      </c>
    </row>
    <row r="203" spans="1:4" x14ac:dyDescent="0.25">
      <c r="A203" s="611" t="s">
        <v>1104</v>
      </c>
      <c r="B203" s="611" t="s">
        <v>1989</v>
      </c>
      <c r="C203" s="612">
        <v>7600000401253</v>
      </c>
    </row>
    <row r="204" spans="1:4" x14ac:dyDescent="0.25">
      <c r="A204" s="611" t="s">
        <v>1105</v>
      </c>
      <c r="B204" s="611" t="s">
        <v>1990</v>
      </c>
      <c r="C204" s="612">
        <v>7600000401322</v>
      </c>
    </row>
    <row r="205" spans="1:4" x14ac:dyDescent="0.25">
      <c r="A205" s="611" t="s">
        <v>1106</v>
      </c>
      <c r="B205" s="611" t="s">
        <v>1991</v>
      </c>
      <c r="C205" s="612">
        <v>7600000401254</v>
      </c>
    </row>
    <row r="206" spans="1:4" x14ac:dyDescent="0.25">
      <c r="A206" s="611" t="s">
        <v>1107</v>
      </c>
      <c r="B206" s="611" t="s">
        <v>1991</v>
      </c>
      <c r="C206" s="612">
        <v>7600000401255</v>
      </c>
    </row>
    <row r="207" spans="1:4" x14ac:dyDescent="0.25">
      <c r="A207" s="611" t="s">
        <v>261</v>
      </c>
      <c r="B207" s="611" t="s">
        <v>1992</v>
      </c>
      <c r="C207" s="612">
        <v>7600000401216</v>
      </c>
    </row>
    <row r="208" spans="1:4" x14ac:dyDescent="0.25">
      <c r="A208" s="611" t="s">
        <v>262</v>
      </c>
      <c r="B208" s="611" t="s">
        <v>1992</v>
      </c>
      <c r="C208" s="612">
        <v>7600000401217</v>
      </c>
    </row>
    <row r="209" spans="1:3" x14ac:dyDescent="0.25">
      <c r="A209" s="611" t="s">
        <v>263</v>
      </c>
      <c r="B209" s="611" t="s">
        <v>1993</v>
      </c>
      <c r="C209" s="612">
        <v>7600000401218</v>
      </c>
    </row>
    <row r="210" spans="1:3" x14ac:dyDescent="0.25">
      <c r="A210" s="611" t="s">
        <v>264</v>
      </c>
      <c r="B210" s="611" t="s">
        <v>1994</v>
      </c>
      <c r="C210" s="612">
        <v>7600000401219</v>
      </c>
    </row>
    <row r="211" spans="1:3" x14ac:dyDescent="0.25">
      <c r="A211" s="611" t="s">
        <v>265</v>
      </c>
      <c r="B211" s="611" t="s">
        <v>1995</v>
      </c>
      <c r="C211" s="612">
        <v>7600000401220</v>
      </c>
    </row>
    <row r="212" spans="1:3" x14ac:dyDescent="0.25">
      <c r="A212" s="611" t="s">
        <v>266</v>
      </c>
      <c r="B212" s="611" t="s">
        <v>1996</v>
      </c>
      <c r="C212" s="612">
        <v>7600000401221</v>
      </c>
    </row>
    <row r="213" spans="1:3" x14ac:dyDescent="0.25">
      <c r="A213" s="611" t="s">
        <v>267</v>
      </c>
      <c r="B213" s="611" t="s">
        <v>1997</v>
      </c>
      <c r="C213" s="612">
        <v>7600000401222</v>
      </c>
    </row>
    <row r="214" spans="1:3" x14ac:dyDescent="0.25">
      <c r="A214" s="611" t="s">
        <v>268</v>
      </c>
      <c r="B214" s="611" t="s">
        <v>1997</v>
      </c>
      <c r="C214" s="612">
        <v>7600000401223</v>
      </c>
    </row>
    <row r="215" spans="1:3" x14ac:dyDescent="0.25">
      <c r="A215" s="611" t="s">
        <v>1998</v>
      </c>
      <c r="B215" s="611" t="s">
        <v>1999</v>
      </c>
      <c r="C215" s="612">
        <v>7600000401210</v>
      </c>
    </row>
    <row r="216" spans="1:3" x14ac:dyDescent="0.25">
      <c r="A216" s="611" t="s">
        <v>2000</v>
      </c>
      <c r="B216" s="611" t="s">
        <v>2001</v>
      </c>
      <c r="C216" s="612">
        <v>7600000401211</v>
      </c>
    </row>
    <row r="217" spans="1:3" x14ac:dyDescent="0.25">
      <c r="A217" s="611" t="s">
        <v>2002</v>
      </c>
      <c r="B217" s="611" t="s">
        <v>2003</v>
      </c>
      <c r="C217" s="612">
        <v>7600000401214</v>
      </c>
    </row>
    <row r="218" spans="1:3" x14ac:dyDescent="0.25">
      <c r="A218" s="611" t="s">
        <v>2004</v>
      </c>
      <c r="B218" s="611" t="s">
        <v>2003</v>
      </c>
      <c r="C218" s="612">
        <v>7600000401215</v>
      </c>
    </row>
    <row r="219" spans="1:3" x14ac:dyDescent="0.25">
      <c r="A219" s="611" t="s">
        <v>269</v>
      </c>
      <c r="B219" s="611" t="s">
        <v>2005</v>
      </c>
      <c r="C219" s="612">
        <v>7600000401200</v>
      </c>
    </row>
    <row r="220" spans="1:3" x14ac:dyDescent="0.25">
      <c r="A220" s="611" t="s">
        <v>270</v>
      </c>
      <c r="B220" s="611" t="s">
        <v>2005</v>
      </c>
      <c r="C220" s="612">
        <v>7600000401201</v>
      </c>
    </row>
    <row r="221" spans="1:3" x14ac:dyDescent="0.25">
      <c r="A221" s="611" t="s">
        <v>271</v>
      </c>
      <c r="B221" s="611" t="s">
        <v>2006</v>
      </c>
      <c r="C221" s="612">
        <v>7600000401202</v>
      </c>
    </row>
    <row r="222" spans="1:3" x14ac:dyDescent="0.25">
      <c r="A222" s="611" t="s">
        <v>272</v>
      </c>
      <c r="B222" s="611" t="s">
        <v>2007</v>
      </c>
      <c r="C222" s="612">
        <v>7600000401203</v>
      </c>
    </row>
    <row r="223" spans="1:3" x14ac:dyDescent="0.25">
      <c r="A223" s="611" t="s">
        <v>273</v>
      </c>
      <c r="B223" s="611" t="s">
        <v>2008</v>
      </c>
      <c r="C223" s="612">
        <v>7600000401204</v>
      </c>
    </row>
    <row r="224" spans="1:3" x14ac:dyDescent="0.25">
      <c r="A224" s="611" t="s">
        <v>274</v>
      </c>
      <c r="B224" s="611" t="s">
        <v>2008</v>
      </c>
      <c r="C224" s="612">
        <v>7600000401205</v>
      </c>
    </row>
    <row r="225" spans="1:3" x14ac:dyDescent="0.25">
      <c r="A225" s="611" t="s">
        <v>275</v>
      </c>
      <c r="B225" s="611" t="s">
        <v>2009</v>
      </c>
      <c r="C225" s="612">
        <v>7600000401206</v>
      </c>
    </row>
    <row r="226" spans="1:3" x14ac:dyDescent="0.25">
      <c r="A226" s="611" t="s">
        <v>276</v>
      </c>
      <c r="B226" s="611" t="s">
        <v>2009</v>
      </c>
      <c r="C226" s="612">
        <v>7600000401207</v>
      </c>
    </row>
    <row r="227" spans="1:3" x14ac:dyDescent="0.25">
      <c r="A227" s="611" t="s">
        <v>2010</v>
      </c>
      <c r="B227" s="611" t="s">
        <v>2011</v>
      </c>
      <c r="C227" s="612">
        <v>7600000401304</v>
      </c>
    </row>
    <row r="228" spans="1:3" x14ac:dyDescent="0.25">
      <c r="A228" s="611" t="s">
        <v>1108</v>
      </c>
      <c r="B228" s="611" t="s">
        <v>2012</v>
      </c>
      <c r="C228" s="612">
        <v>7600000401256</v>
      </c>
    </row>
    <row r="229" spans="1:3" x14ac:dyDescent="0.25">
      <c r="A229" s="611" t="s">
        <v>1109</v>
      </c>
      <c r="B229" s="611" t="s">
        <v>2013</v>
      </c>
      <c r="C229" s="612">
        <v>7600000401257</v>
      </c>
    </row>
    <row r="230" spans="1:3" x14ac:dyDescent="0.25">
      <c r="A230" s="611" t="s">
        <v>1110</v>
      </c>
      <c r="B230" s="611" t="s">
        <v>2014</v>
      </c>
      <c r="C230" s="612">
        <v>7600000401258</v>
      </c>
    </row>
    <row r="231" spans="1:3" x14ac:dyDescent="0.25">
      <c r="A231" s="611" t="s">
        <v>1111</v>
      </c>
      <c r="B231" s="611" t="s">
        <v>2015</v>
      </c>
      <c r="C231" s="612">
        <v>7600000401259</v>
      </c>
    </row>
    <row r="232" spans="1:3" x14ac:dyDescent="0.25">
      <c r="A232" s="611" t="s">
        <v>1112</v>
      </c>
      <c r="B232" s="611" t="s">
        <v>2016</v>
      </c>
      <c r="C232" s="612">
        <v>7600000401260</v>
      </c>
    </row>
    <row r="233" spans="1:3" x14ac:dyDescent="0.25">
      <c r="A233" s="611" t="s">
        <v>1113</v>
      </c>
      <c r="B233" s="611" t="s">
        <v>2016</v>
      </c>
      <c r="C233" s="612">
        <v>7600000401261</v>
      </c>
    </row>
    <row r="234" spans="1:3" x14ac:dyDescent="0.25">
      <c r="A234" s="611" t="s">
        <v>1114</v>
      </c>
      <c r="B234" s="611" t="s">
        <v>2017</v>
      </c>
      <c r="C234" s="612">
        <v>7600000401262</v>
      </c>
    </row>
    <row r="235" spans="1:3" x14ac:dyDescent="0.25">
      <c r="A235" s="611" t="s">
        <v>1115</v>
      </c>
      <c r="B235" s="611" t="s">
        <v>2017</v>
      </c>
      <c r="C235" s="612">
        <v>7600000401263</v>
      </c>
    </row>
    <row r="236" spans="1:3" x14ac:dyDescent="0.25">
      <c r="A236" s="611" t="s">
        <v>2018</v>
      </c>
      <c r="B236" s="611" t="s">
        <v>2019</v>
      </c>
      <c r="C236" s="612">
        <v>7600000401264</v>
      </c>
    </row>
    <row r="237" spans="1:3" x14ac:dyDescent="0.25">
      <c r="A237" s="611" t="s">
        <v>2020</v>
      </c>
      <c r="B237" s="611" t="s">
        <v>2021</v>
      </c>
      <c r="C237" s="612">
        <v>7600000401265</v>
      </c>
    </row>
    <row r="238" spans="1:3" x14ac:dyDescent="0.25">
      <c r="A238" s="611" t="s">
        <v>2022</v>
      </c>
      <c r="B238" s="611" t="s">
        <v>2023</v>
      </c>
      <c r="C238" s="612">
        <v>7600000401266</v>
      </c>
    </row>
    <row r="239" spans="1:3" x14ac:dyDescent="0.25">
      <c r="A239" s="611" t="s">
        <v>2024</v>
      </c>
      <c r="B239" s="611" t="s">
        <v>2025</v>
      </c>
      <c r="C239" s="612">
        <v>7600000401267</v>
      </c>
    </row>
    <row r="240" spans="1:3" x14ac:dyDescent="0.25">
      <c r="A240" s="611" t="s">
        <v>2026</v>
      </c>
      <c r="B240" s="611" t="s">
        <v>2027</v>
      </c>
      <c r="C240" s="612">
        <v>7600000401268</v>
      </c>
    </row>
    <row r="241" spans="1:3" x14ac:dyDescent="0.25">
      <c r="A241" s="611" t="s">
        <v>2028</v>
      </c>
      <c r="B241" s="611" t="s">
        <v>2027</v>
      </c>
      <c r="C241" s="612">
        <v>7600000401269</v>
      </c>
    </row>
    <row r="242" spans="1:3" x14ac:dyDescent="0.25">
      <c r="A242" s="611" t="s">
        <v>2029</v>
      </c>
      <c r="B242" s="611" t="s">
        <v>2030</v>
      </c>
      <c r="C242" s="612">
        <v>7600000401270</v>
      </c>
    </row>
    <row r="243" spans="1:3" x14ac:dyDescent="0.25">
      <c r="A243" s="611" t="s">
        <v>2031</v>
      </c>
      <c r="B243" s="611" t="s">
        <v>2030</v>
      </c>
      <c r="C243" s="612">
        <v>7600000401271</v>
      </c>
    </row>
    <row r="244" spans="1:3" x14ac:dyDescent="0.25">
      <c r="A244" s="611" t="s">
        <v>1116</v>
      </c>
      <c r="B244" s="611" t="s">
        <v>2032</v>
      </c>
      <c r="C244" s="612">
        <v>7600000401272</v>
      </c>
    </row>
    <row r="245" spans="1:3" x14ac:dyDescent="0.25">
      <c r="A245" s="611" t="s">
        <v>1117</v>
      </c>
      <c r="B245" s="611" t="s">
        <v>2032</v>
      </c>
      <c r="C245" s="612">
        <v>7600000401273</v>
      </c>
    </row>
    <row r="246" spans="1:3" x14ac:dyDescent="0.25">
      <c r="A246" s="611" t="s">
        <v>1118</v>
      </c>
      <c r="B246" s="611" t="s">
        <v>2033</v>
      </c>
      <c r="C246" s="612">
        <v>7600000401274</v>
      </c>
    </row>
    <row r="247" spans="1:3" x14ac:dyDescent="0.25">
      <c r="A247" s="611" t="s">
        <v>1119</v>
      </c>
      <c r="B247" s="611" t="s">
        <v>2034</v>
      </c>
      <c r="C247" s="612">
        <v>7600000401275</v>
      </c>
    </row>
    <row r="248" spans="1:3" x14ac:dyDescent="0.25">
      <c r="A248" s="611" t="s">
        <v>1120</v>
      </c>
      <c r="B248" s="611" t="s">
        <v>2035</v>
      </c>
      <c r="C248" s="612">
        <v>7600000401276</v>
      </c>
    </row>
    <row r="249" spans="1:3" x14ac:dyDescent="0.25">
      <c r="A249" s="611" t="s">
        <v>1121</v>
      </c>
      <c r="B249" s="611" t="s">
        <v>2035</v>
      </c>
      <c r="C249" s="612">
        <v>7600000401277</v>
      </c>
    </row>
    <row r="250" spans="1:3" x14ac:dyDescent="0.25">
      <c r="A250" s="611" t="s">
        <v>1122</v>
      </c>
      <c r="B250" s="611" t="s">
        <v>2036</v>
      </c>
      <c r="C250" s="612">
        <v>7600000401278</v>
      </c>
    </row>
    <row r="251" spans="1:3" x14ac:dyDescent="0.25">
      <c r="A251" s="611" t="s">
        <v>1123</v>
      </c>
      <c r="B251" s="611" t="s">
        <v>2036</v>
      </c>
      <c r="C251" s="612">
        <v>7600000401279</v>
      </c>
    </row>
    <row r="252" spans="1:3" x14ac:dyDescent="0.25">
      <c r="A252" s="611" t="s">
        <v>2037</v>
      </c>
      <c r="B252" s="611" t="s">
        <v>2038</v>
      </c>
      <c r="C252" s="612">
        <v>7600000401280</v>
      </c>
    </row>
    <row r="253" spans="1:3" x14ac:dyDescent="0.25">
      <c r="A253" s="611" t="s">
        <v>2039</v>
      </c>
      <c r="B253" s="611" t="s">
        <v>2038</v>
      </c>
      <c r="C253" s="612">
        <v>7600000401281</v>
      </c>
    </row>
    <row r="254" spans="1:3" x14ac:dyDescent="0.25">
      <c r="A254" s="611" t="s">
        <v>2040</v>
      </c>
      <c r="B254" s="611" t="s">
        <v>2041</v>
      </c>
      <c r="C254" s="612">
        <v>7600000401282</v>
      </c>
    </row>
    <row r="255" spans="1:3" x14ac:dyDescent="0.25">
      <c r="A255" s="611" t="s">
        <v>2042</v>
      </c>
      <c r="B255" s="611" t="s">
        <v>2043</v>
      </c>
      <c r="C255" s="612">
        <v>7600000401283</v>
      </c>
    </row>
    <row r="256" spans="1:3" x14ac:dyDescent="0.25">
      <c r="A256" s="611" t="s">
        <v>2044</v>
      </c>
      <c r="B256" s="611" t="s">
        <v>2045</v>
      </c>
      <c r="C256" s="612">
        <v>7600000401284</v>
      </c>
    </row>
    <row r="257" spans="1:3" x14ac:dyDescent="0.25">
      <c r="A257" s="611" t="s">
        <v>2046</v>
      </c>
      <c r="B257" s="611" t="s">
        <v>2045</v>
      </c>
      <c r="C257" s="612">
        <v>7600000401285</v>
      </c>
    </row>
    <row r="258" spans="1:3" x14ac:dyDescent="0.25">
      <c r="A258" s="611" t="s">
        <v>2047</v>
      </c>
      <c r="B258" s="611" t="s">
        <v>2048</v>
      </c>
      <c r="C258" s="612">
        <v>7600000401286</v>
      </c>
    </row>
    <row r="259" spans="1:3" x14ac:dyDescent="0.25">
      <c r="A259" s="611" t="s">
        <v>2049</v>
      </c>
      <c r="B259" s="611" t="s">
        <v>2048</v>
      </c>
      <c r="C259" s="612">
        <v>7600000401287</v>
      </c>
    </row>
    <row r="260" spans="1:3" x14ac:dyDescent="0.25">
      <c r="A260" s="611" t="s">
        <v>2050</v>
      </c>
      <c r="B260" s="611" t="s">
        <v>2051</v>
      </c>
      <c r="C260" s="612">
        <v>7600000401306</v>
      </c>
    </row>
    <row r="261" spans="1:3" x14ac:dyDescent="0.25">
      <c r="A261" s="611" t="s">
        <v>2052</v>
      </c>
      <c r="B261" s="611" t="s">
        <v>2053</v>
      </c>
      <c r="C261" s="612">
        <v>7600000401296</v>
      </c>
    </row>
    <row r="262" spans="1:3" x14ac:dyDescent="0.25">
      <c r="A262" s="611" t="s">
        <v>2054</v>
      </c>
      <c r="B262" s="611" t="s">
        <v>2055</v>
      </c>
      <c r="C262" s="612">
        <v>7600000401297</v>
      </c>
    </row>
    <row r="263" spans="1:3" x14ac:dyDescent="0.25">
      <c r="A263" s="611" t="s">
        <v>2056</v>
      </c>
      <c r="B263" s="611" t="s">
        <v>2057</v>
      </c>
      <c r="C263" s="612">
        <v>7600000401298</v>
      </c>
    </row>
    <row r="264" spans="1:3" x14ac:dyDescent="0.25">
      <c r="A264" s="611" t="s">
        <v>2058</v>
      </c>
      <c r="B264" s="611" t="s">
        <v>2059</v>
      </c>
      <c r="C264" s="612">
        <v>7600000401299</v>
      </c>
    </row>
    <row r="265" spans="1:3" x14ac:dyDescent="0.25">
      <c r="A265" s="611" t="s">
        <v>1124</v>
      </c>
      <c r="B265" s="611" t="s">
        <v>2060</v>
      </c>
      <c r="C265" s="612">
        <v>7600000401300</v>
      </c>
    </row>
    <row r="266" spans="1:3" x14ac:dyDescent="0.25">
      <c r="A266" s="611" t="s">
        <v>1125</v>
      </c>
      <c r="B266" s="611" t="s">
        <v>2061</v>
      </c>
      <c r="C266" s="612">
        <v>7600000401301</v>
      </c>
    </row>
    <row r="267" spans="1:3" x14ac:dyDescent="0.25">
      <c r="A267" s="611" t="s">
        <v>1126</v>
      </c>
      <c r="B267" s="611" t="s">
        <v>2062</v>
      </c>
      <c r="C267" s="612">
        <v>7600000401302</v>
      </c>
    </row>
    <row r="268" spans="1:3" x14ac:dyDescent="0.25">
      <c r="A268" s="611" t="s">
        <v>1127</v>
      </c>
      <c r="B268" s="611" t="s">
        <v>2063</v>
      </c>
      <c r="C268" s="612">
        <v>7600000401303</v>
      </c>
    </row>
    <row r="269" spans="1:3" x14ac:dyDescent="0.25">
      <c r="A269" s="611" t="s">
        <v>2064</v>
      </c>
      <c r="B269" s="611" t="s">
        <v>2065</v>
      </c>
      <c r="C269" s="612">
        <v>7600000401320</v>
      </c>
    </row>
    <row r="270" spans="1:3" x14ac:dyDescent="0.25">
      <c r="A270" s="611" t="s">
        <v>2066</v>
      </c>
      <c r="B270" s="611" t="s">
        <v>2067</v>
      </c>
      <c r="C270" s="612">
        <v>7600000401305</v>
      </c>
    </row>
    <row r="271" spans="1:3" x14ac:dyDescent="0.25">
      <c r="A271" s="611" t="s">
        <v>1128</v>
      </c>
      <c r="B271" s="611" t="s">
        <v>2068</v>
      </c>
      <c r="C271" s="612">
        <v>7600000401232</v>
      </c>
    </row>
    <row r="272" spans="1:3" x14ac:dyDescent="0.25">
      <c r="A272" s="611" t="s">
        <v>1129</v>
      </c>
      <c r="B272" s="611" t="s">
        <v>2068</v>
      </c>
      <c r="C272" s="612">
        <v>7600000401233</v>
      </c>
    </row>
    <row r="273" spans="1:3" x14ac:dyDescent="0.25">
      <c r="A273" s="611" t="s">
        <v>1130</v>
      </c>
      <c r="B273" s="611" t="s">
        <v>2069</v>
      </c>
      <c r="C273" s="612">
        <v>7600000401317</v>
      </c>
    </row>
    <row r="274" spans="1:3" x14ac:dyDescent="0.25">
      <c r="A274" s="611" t="s">
        <v>1131</v>
      </c>
      <c r="B274" s="611" t="s">
        <v>2070</v>
      </c>
      <c r="C274" s="612">
        <v>7600000401234</v>
      </c>
    </row>
    <row r="275" spans="1:3" x14ac:dyDescent="0.25">
      <c r="A275" s="611" t="s">
        <v>1132</v>
      </c>
      <c r="B275" s="611" t="s">
        <v>2071</v>
      </c>
      <c r="C275" s="612">
        <v>7600000401235</v>
      </c>
    </row>
    <row r="276" spans="1:3" x14ac:dyDescent="0.25">
      <c r="A276" s="611" t="s">
        <v>1133</v>
      </c>
      <c r="B276" s="611" t="s">
        <v>2072</v>
      </c>
      <c r="C276" s="612">
        <v>7600000401236</v>
      </c>
    </row>
    <row r="277" spans="1:3" x14ac:dyDescent="0.25">
      <c r="A277" s="611" t="s">
        <v>1134</v>
      </c>
      <c r="B277" s="611" t="s">
        <v>2072</v>
      </c>
      <c r="C277" s="612">
        <v>7600000401237</v>
      </c>
    </row>
    <row r="278" spans="1:3" x14ac:dyDescent="0.25">
      <c r="A278" s="611" t="s">
        <v>1135</v>
      </c>
      <c r="B278" s="611" t="s">
        <v>2073</v>
      </c>
      <c r="C278" s="612">
        <v>7600000401238</v>
      </c>
    </row>
    <row r="279" spans="1:3" x14ac:dyDescent="0.25">
      <c r="A279" s="611" t="s">
        <v>1136</v>
      </c>
      <c r="B279" s="611" t="s">
        <v>2073</v>
      </c>
      <c r="C279" s="612">
        <v>7600000401239</v>
      </c>
    </row>
    <row r="280" spans="1:3" x14ac:dyDescent="0.25">
      <c r="A280" s="43" t="s">
        <v>356</v>
      </c>
      <c r="B280" s="611"/>
      <c r="C280" s="613">
        <v>7600000400628</v>
      </c>
    </row>
    <row r="281" spans="1:3" x14ac:dyDescent="0.25">
      <c r="A281" s="43" t="s">
        <v>376</v>
      </c>
      <c r="B281" s="611"/>
      <c r="C281" s="613">
        <v>7600000400629</v>
      </c>
    </row>
    <row r="282" spans="1:3" x14ac:dyDescent="0.25">
      <c r="A282" s="43" t="s">
        <v>392</v>
      </c>
      <c r="B282" s="611"/>
      <c r="C282" s="613">
        <v>7600000400630</v>
      </c>
    </row>
    <row r="283" spans="1:3" x14ac:dyDescent="0.25">
      <c r="A283" s="43" t="s">
        <v>397</v>
      </c>
      <c r="B283" s="611"/>
      <c r="C283" s="613">
        <v>7600000400623</v>
      </c>
    </row>
    <row r="284" spans="1:3" x14ac:dyDescent="0.25">
      <c r="A284" s="43" t="s">
        <v>619</v>
      </c>
      <c r="B284" s="611"/>
      <c r="C284" s="613">
        <v>7600000400620</v>
      </c>
    </row>
    <row r="285" spans="1:3" x14ac:dyDescent="0.25">
      <c r="A285" s="43" t="s">
        <v>737</v>
      </c>
      <c r="B285" s="611"/>
      <c r="C285" s="613">
        <v>7600000400625</v>
      </c>
    </row>
    <row r="286" spans="1:3" x14ac:dyDescent="0.25">
      <c r="A286" s="43" t="s">
        <v>859</v>
      </c>
      <c r="B286" s="611"/>
      <c r="C286" s="613">
        <v>7600000400627</v>
      </c>
    </row>
    <row r="287" spans="1:3" x14ac:dyDescent="0.25">
      <c r="A287" s="43" t="s">
        <v>347</v>
      </c>
      <c r="B287" s="611"/>
      <c r="C287" s="613">
        <v>7600000400631</v>
      </c>
    </row>
    <row r="288" spans="1:3" x14ac:dyDescent="0.25">
      <c r="A288" s="43" t="s">
        <v>372</v>
      </c>
      <c r="B288" s="611"/>
      <c r="C288" s="613">
        <v>7600000400632</v>
      </c>
    </row>
    <row r="289" spans="1:3" x14ac:dyDescent="0.25">
      <c r="A289" s="43" t="s">
        <v>388</v>
      </c>
      <c r="B289" s="611"/>
      <c r="C289" s="613">
        <v>7600000400633</v>
      </c>
    </row>
    <row r="290" spans="1:3" x14ac:dyDescent="0.25">
      <c r="A290" s="43" t="s">
        <v>396</v>
      </c>
      <c r="B290" s="611"/>
      <c r="C290" s="613">
        <v>7600000400622</v>
      </c>
    </row>
    <row r="291" spans="1:3" x14ac:dyDescent="0.25">
      <c r="A291" s="43" t="s">
        <v>618</v>
      </c>
      <c r="B291" s="611"/>
      <c r="C291" s="613">
        <v>7600000400621</v>
      </c>
    </row>
    <row r="292" spans="1:3" x14ac:dyDescent="0.25">
      <c r="A292" s="43" t="s">
        <v>736</v>
      </c>
      <c r="B292" s="611"/>
      <c r="C292" s="613">
        <v>7600000400624</v>
      </c>
    </row>
    <row r="293" spans="1:3" x14ac:dyDescent="0.25">
      <c r="A293" s="43" t="s">
        <v>858</v>
      </c>
      <c r="B293" s="611"/>
      <c r="C293" s="613">
        <v>7600000400626</v>
      </c>
    </row>
    <row r="294" spans="1:3" x14ac:dyDescent="0.25">
      <c r="A294" s="43" t="s">
        <v>358</v>
      </c>
      <c r="B294" s="611"/>
      <c r="C294" s="613">
        <v>7600000400646</v>
      </c>
    </row>
    <row r="295" spans="1:3" x14ac:dyDescent="0.25">
      <c r="A295" s="43" t="s">
        <v>377</v>
      </c>
      <c r="B295" s="611"/>
      <c r="C295" s="613">
        <v>7600000400648</v>
      </c>
    </row>
    <row r="296" spans="1:3" x14ac:dyDescent="0.25">
      <c r="A296" s="43" t="s">
        <v>393</v>
      </c>
      <c r="B296" s="611"/>
      <c r="C296" s="613">
        <v>7600000400650</v>
      </c>
    </row>
    <row r="297" spans="1:3" x14ac:dyDescent="0.25">
      <c r="A297" s="43" t="s">
        <v>350</v>
      </c>
      <c r="B297" s="611"/>
      <c r="C297" s="613">
        <v>7600000400645</v>
      </c>
    </row>
    <row r="298" spans="1:3" x14ac:dyDescent="0.25">
      <c r="A298" s="43" t="s">
        <v>373</v>
      </c>
      <c r="B298" s="611"/>
      <c r="C298" s="613">
        <v>7600000400647</v>
      </c>
    </row>
    <row r="299" spans="1:3" x14ac:dyDescent="0.25">
      <c r="A299" s="43" t="s">
        <v>389</v>
      </c>
      <c r="B299" s="611"/>
      <c r="C299" s="613">
        <v>7600000400649</v>
      </c>
    </row>
    <row r="300" spans="1:3" x14ac:dyDescent="0.25">
      <c r="A300" s="43" t="s">
        <v>360</v>
      </c>
      <c r="B300" s="611"/>
      <c r="C300" s="613">
        <v>7600000400635</v>
      </c>
    </row>
    <row r="301" spans="1:3" x14ac:dyDescent="0.25">
      <c r="A301" s="43" t="s">
        <v>378</v>
      </c>
      <c r="B301" s="611"/>
      <c r="C301" s="613">
        <v>7600000400637</v>
      </c>
    </row>
    <row r="302" spans="1:3" x14ac:dyDescent="0.25">
      <c r="A302" s="43" t="s">
        <v>394</v>
      </c>
      <c r="B302" s="611"/>
      <c r="C302" s="613">
        <v>7600000400639</v>
      </c>
    </row>
    <row r="303" spans="1:3" x14ac:dyDescent="0.25">
      <c r="A303" s="43" t="s">
        <v>352</v>
      </c>
      <c r="B303" s="611"/>
      <c r="C303" s="613">
        <v>7600000400634</v>
      </c>
    </row>
    <row r="304" spans="1:3" x14ac:dyDescent="0.25">
      <c r="A304" s="43" t="s">
        <v>374</v>
      </c>
      <c r="B304" s="611"/>
      <c r="C304" s="613">
        <v>7600000400636</v>
      </c>
    </row>
    <row r="305" spans="1:3" x14ac:dyDescent="0.25">
      <c r="A305" s="43" t="s">
        <v>390</v>
      </c>
      <c r="B305" s="611"/>
      <c r="C305" s="613">
        <v>7600000400638</v>
      </c>
    </row>
    <row r="306" spans="1:3" x14ac:dyDescent="0.25">
      <c r="A306" s="43" t="s">
        <v>362</v>
      </c>
      <c r="B306" s="611"/>
      <c r="C306" s="613">
        <v>7600000400652</v>
      </c>
    </row>
    <row r="307" spans="1:3" x14ac:dyDescent="0.25">
      <c r="A307" s="43" t="s">
        <v>379</v>
      </c>
      <c r="B307" s="611"/>
      <c r="C307" s="613">
        <v>7600000400654</v>
      </c>
    </row>
    <row r="308" spans="1:3" x14ac:dyDescent="0.25">
      <c r="A308" s="43" t="s">
        <v>395</v>
      </c>
      <c r="B308" s="611"/>
      <c r="C308" s="613">
        <v>7600000400656</v>
      </c>
    </row>
    <row r="309" spans="1:3" x14ac:dyDescent="0.25">
      <c r="A309" s="43" t="s">
        <v>354</v>
      </c>
      <c r="B309" s="611"/>
      <c r="C309" s="613">
        <v>7600000400651</v>
      </c>
    </row>
    <row r="310" spans="1:3" x14ac:dyDescent="0.25">
      <c r="A310" s="43" t="s">
        <v>375</v>
      </c>
      <c r="B310" s="611"/>
      <c r="C310" s="613">
        <v>7600000400653</v>
      </c>
    </row>
    <row r="311" spans="1:3" x14ac:dyDescent="0.25">
      <c r="A311" s="43" t="s">
        <v>391</v>
      </c>
      <c r="B311" s="611"/>
      <c r="C311" s="613">
        <v>7600000400655</v>
      </c>
    </row>
    <row r="312" spans="1:3" x14ac:dyDescent="0.25">
      <c r="A312" s="43" t="s">
        <v>91</v>
      </c>
      <c r="B312" s="39"/>
      <c r="C312" s="613">
        <v>7600000401318</v>
      </c>
    </row>
    <row r="313" spans="1:3" x14ac:dyDescent="0.25">
      <c r="A313" s="43" t="s">
        <v>5</v>
      </c>
      <c r="B313" s="614"/>
      <c r="C313" s="615">
        <v>7600000401300</v>
      </c>
    </row>
    <row r="314" spans="1:3" x14ac:dyDescent="0.25">
      <c r="A314" s="43" t="s">
        <v>62</v>
      </c>
      <c r="B314" s="611"/>
      <c r="C314" s="615">
        <v>7600000401310</v>
      </c>
    </row>
    <row r="315" spans="1:3" x14ac:dyDescent="0.25">
      <c r="A315" s="43" t="s">
        <v>119</v>
      </c>
      <c r="B315" s="611"/>
      <c r="C315" s="615">
        <v>7600000401326</v>
      </c>
    </row>
    <row r="316" spans="1:3" x14ac:dyDescent="0.25">
      <c r="A316" s="43" t="s">
        <v>147</v>
      </c>
      <c r="B316" s="611"/>
      <c r="C316" s="615">
        <v>7600000401334</v>
      </c>
    </row>
    <row r="317" spans="1:3" x14ac:dyDescent="0.25">
      <c r="A317" s="43" t="s">
        <v>105</v>
      </c>
      <c r="B317" s="611"/>
      <c r="C317" s="613">
        <v>7600000401324</v>
      </c>
    </row>
    <row r="318" spans="1:3" x14ac:dyDescent="0.25">
      <c r="A318" s="43" t="s">
        <v>34</v>
      </c>
      <c r="B318" s="611"/>
      <c r="C318" s="613">
        <v>7600000401307</v>
      </c>
    </row>
    <row r="319" spans="1:3" x14ac:dyDescent="0.25">
      <c r="A319" s="43" t="s">
        <v>76</v>
      </c>
      <c r="B319" s="611"/>
      <c r="C319" s="613">
        <v>7600000401316</v>
      </c>
    </row>
    <row r="320" spans="1:3" x14ac:dyDescent="0.25">
      <c r="A320" s="43" t="s">
        <v>133</v>
      </c>
      <c r="B320" s="611"/>
      <c r="C320" s="613">
        <v>7600000401332</v>
      </c>
    </row>
    <row r="321" spans="1:3" x14ac:dyDescent="0.25">
      <c r="A321" s="43" t="s">
        <v>161</v>
      </c>
      <c r="B321" s="611"/>
      <c r="C321" s="613">
        <v>7600000401342</v>
      </c>
    </row>
    <row r="322" spans="1:3" x14ac:dyDescent="0.25">
      <c r="A322" s="43" t="s">
        <v>112</v>
      </c>
      <c r="B322" s="611"/>
      <c r="C322" s="613"/>
    </row>
    <row r="323" spans="1:3" x14ac:dyDescent="0.25">
      <c r="A323" s="43" t="s">
        <v>48</v>
      </c>
      <c r="B323" s="611"/>
      <c r="C323" s="613"/>
    </row>
    <row r="324" spans="1:3" x14ac:dyDescent="0.25">
      <c r="A324" s="43" t="s">
        <v>84</v>
      </c>
      <c r="B324" s="611"/>
      <c r="C324" s="613"/>
    </row>
    <row r="325" spans="1:3" x14ac:dyDescent="0.25">
      <c r="A325" s="43" t="s">
        <v>140</v>
      </c>
      <c r="B325" s="611"/>
      <c r="C325" s="613"/>
    </row>
    <row r="326" spans="1:3" x14ac:dyDescent="0.25">
      <c r="A326" s="43" t="s">
        <v>168</v>
      </c>
      <c r="B326" s="611"/>
      <c r="C326" s="613"/>
    </row>
    <row r="327" spans="1:3" x14ac:dyDescent="0.25">
      <c r="A327" s="43" t="s">
        <v>93</v>
      </c>
      <c r="B327" s="611"/>
      <c r="C327" s="613">
        <v>7600000401343</v>
      </c>
    </row>
    <row r="328" spans="1:3" x14ac:dyDescent="0.25">
      <c r="A328" s="43" t="s">
        <v>10</v>
      </c>
      <c r="B328" s="611"/>
      <c r="C328" s="613">
        <v>7600000401344</v>
      </c>
    </row>
    <row r="329" spans="1:3" x14ac:dyDescent="0.25">
      <c r="A329" s="43" t="s">
        <v>64</v>
      </c>
      <c r="B329" s="611"/>
      <c r="C329" s="613">
        <v>7600000401345</v>
      </c>
    </row>
    <row r="330" spans="1:3" x14ac:dyDescent="0.25">
      <c r="A330" s="43" t="s">
        <v>121</v>
      </c>
      <c r="B330" s="611"/>
      <c r="C330" s="613">
        <v>7600000401346</v>
      </c>
    </row>
    <row r="331" spans="1:3" x14ac:dyDescent="0.25">
      <c r="A331" s="43" t="s">
        <v>149</v>
      </c>
      <c r="B331" s="611"/>
      <c r="C331" s="613">
        <v>7600000401336</v>
      </c>
    </row>
    <row r="332" spans="1:3" x14ac:dyDescent="0.25">
      <c r="A332" s="43" t="s">
        <v>100</v>
      </c>
      <c r="B332" s="611"/>
      <c r="C332" s="613"/>
    </row>
    <row r="333" spans="1:3" x14ac:dyDescent="0.25">
      <c r="A333" s="43" t="s">
        <v>24</v>
      </c>
      <c r="B333" s="611"/>
      <c r="C333" s="613"/>
    </row>
    <row r="334" spans="1:3" x14ac:dyDescent="0.25">
      <c r="A334" s="43" t="s">
        <v>71</v>
      </c>
      <c r="B334" s="611"/>
      <c r="C334" s="613"/>
    </row>
    <row r="335" spans="1:3" x14ac:dyDescent="0.25">
      <c r="A335" s="43" t="s">
        <v>128</v>
      </c>
      <c r="B335" s="611"/>
      <c r="C335" s="613"/>
    </row>
    <row r="336" spans="1:3" x14ac:dyDescent="0.25">
      <c r="A336" s="43" t="s">
        <v>156</v>
      </c>
      <c r="B336" s="611"/>
      <c r="C336" s="613"/>
    </row>
    <row r="337" spans="1:3" x14ac:dyDescent="0.25">
      <c r="A337" s="43" t="s">
        <v>107</v>
      </c>
      <c r="B337" s="611"/>
      <c r="C337" s="613"/>
    </row>
    <row r="338" spans="1:3" x14ac:dyDescent="0.25">
      <c r="A338" s="43" t="s">
        <v>38</v>
      </c>
      <c r="B338" s="611"/>
      <c r="C338" s="613"/>
    </row>
    <row r="339" spans="1:3" x14ac:dyDescent="0.25">
      <c r="A339" s="43" t="s">
        <v>79</v>
      </c>
      <c r="B339" s="611"/>
      <c r="C339" s="613"/>
    </row>
    <row r="340" spans="1:3" x14ac:dyDescent="0.25">
      <c r="A340" s="43" t="s">
        <v>135</v>
      </c>
      <c r="B340" s="611"/>
      <c r="C340" s="613"/>
    </row>
    <row r="341" spans="1:3" x14ac:dyDescent="0.25">
      <c r="A341" s="43" t="s">
        <v>163</v>
      </c>
      <c r="B341" s="611"/>
      <c r="C341" s="613"/>
    </row>
    <row r="342" spans="1:3" x14ac:dyDescent="0.25">
      <c r="A342" s="43" t="s">
        <v>114</v>
      </c>
      <c r="B342" s="611"/>
      <c r="C342" s="613"/>
    </row>
    <row r="343" spans="1:3" x14ac:dyDescent="0.25">
      <c r="A343" s="43" t="s">
        <v>52</v>
      </c>
      <c r="B343" s="611"/>
      <c r="C343" s="613"/>
    </row>
    <row r="344" spans="1:3" x14ac:dyDescent="0.25">
      <c r="A344" s="43" t="s">
        <v>86</v>
      </c>
      <c r="B344" s="611"/>
      <c r="C344" s="613"/>
    </row>
    <row r="345" spans="1:3" x14ac:dyDescent="0.25">
      <c r="A345" s="43" t="s">
        <v>142</v>
      </c>
      <c r="B345" s="611"/>
      <c r="C345" s="613"/>
    </row>
    <row r="346" spans="1:3" x14ac:dyDescent="0.25">
      <c r="A346" s="43" t="s">
        <v>170</v>
      </c>
      <c r="B346" s="611"/>
      <c r="C346" s="613"/>
    </row>
    <row r="347" spans="1:3" x14ac:dyDescent="0.25">
      <c r="A347" s="43" t="s">
        <v>92</v>
      </c>
      <c r="B347" s="611"/>
      <c r="C347" s="613">
        <v>7600000401319</v>
      </c>
    </row>
    <row r="348" spans="1:3" x14ac:dyDescent="0.25">
      <c r="A348" s="43" t="s">
        <v>8</v>
      </c>
      <c r="B348" s="611"/>
      <c r="C348" s="613">
        <v>7600000401302</v>
      </c>
    </row>
    <row r="349" spans="1:3" x14ac:dyDescent="0.25">
      <c r="A349" s="43" t="s">
        <v>63</v>
      </c>
      <c r="B349" s="611"/>
      <c r="C349" s="613">
        <v>7600000401311</v>
      </c>
    </row>
    <row r="350" spans="1:3" x14ac:dyDescent="0.25">
      <c r="A350" s="43" t="s">
        <v>120</v>
      </c>
      <c r="B350" s="611"/>
      <c r="C350" s="613">
        <v>7600000401327</v>
      </c>
    </row>
    <row r="351" spans="1:3" x14ac:dyDescent="0.25">
      <c r="A351" s="43" t="s">
        <v>148</v>
      </c>
      <c r="B351" s="611"/>
      <c r="C351" s="613">
        <v>7600000401335</v>
      </c>
    </row>
    <row r="352" spans="1:3" x14ac:dyDescent="0.25">
      <c r="A352" s="43" t="s">
        <v>99</v>
      </c>
      <c r="B352" s="611"/>
      <c r="C352" s="613"/>
    </row>
    <row r="353" spans="1:3" x14ac:dyDescent="0.25">
      <c r="A353" s="43" t="s">
        <v>22</v>
      </c>
      <c r="B353" s="611"/>
      <c r="C353" s="613"/>
    </row>
    <row r="354" spans="1:3" x14ac:dyDescent="0.25">
      <c r="A354" s="43" t="s">
        <v>70</v>
      </c>
      <c r="B354" s="611"/>
      <c r="C354" s="613"/>
    </row>
    <row r="355" spans="1:3" x14ac:dyDescent="0.25">
      <c r="A355" s="43" t="s">
        <v>127</v>
      </c>
      <c r="B355" s="611"/>
      <c r="C355" s="613"/>
    </row>
    <row r="356" spans="1:3" x14ac:dyDescent="0.25">
      <c r="A356" s="43" t="s">
        <v>155</v>
      </c>
      <c r="B356" s="611"/>
      <c r="C356" s="613"/>
    </row>
    <row r="357" spans="1:3" x14ac:dyDescent="0.25">
      <c r="A357" s="43" t="s">
        <v>106</v>
      </c>
      <c r="B357" s="611"/>
      <c r="C357" s="613"/>
    </row>
    <row r="358" spans="1:3" x14ac:dyDescent="0.25">
      <c r="A358" s="43" t="s">
        <v>36</v>
      </c>
      <c r="B358" s="611"/>
      <c r="C358" s="613"/>
    </row>
    <row r="359" spans="1:3" x14ac:dyDescent="0.25">
      <c r="A359" s="43" t="s">
        <v>77</v>
      </c>
      <c r="B359" s="611"/>
      <c r="C359" s="613"/>
    </row>
    <row r="360" spans="1:3" x14ac:dyDescent="0.25">
      <c r="A360" s="43" t="s">
        <v>134</v>
      </c>
      <c r="B360" s="611"/>
      <c r="C360" s="613"/>
    </row>
    <row r="361" spans="1:3" x14ac:dyDescent="0.25">
      <c r="A361" s="43" t="s">
        <v>162</v>
      </c>
      <c r="B361" s="611"/>
      <c r="C361" s="613"/>
    </row>
    <row r="362" spans="1:3" x14ac:dyDescent="0.25">
      <c r="A362" s="43" t="s">
        <v>113</v>
      </c>
      <c r="B362" s="611"/>
      <c r="C362" s="613"/>
    </row>
    <row r="363" spans="1:3" x14ac:dyDescent="0.25">
      <c r="A363" s="43" t="s">
        <v>50</v>
      </c>
      <c r="B363" s="611"/>
      <c r="C363" s="613"/>
    </row>
    <row r="364" spans="1:3" x14ac:dyDescent="0.25">
      <c r="A364" s="43" t="s">
        <v>85</v>
      </c>
      <c r="B364" s="611"/>
      <c r="C364" s="613"/>
    </row>
    <row r="365" spans="1:3" x14ac:dyDescent="0.25">
      <c r="A365" s="43" t="s">
        <v>141</v>
      </c>
      <c r="B365" s="611"/>
      <c r="C365" s="613"/>
    </row>
    <row r="366" spans="1:3" x14ac:dyDescent="0.25">
      <c r="A366" s="43" t="s">
        <v>169</v>
      </c>
      <c r="B366" s="611"/>
      <c r="C366" s="613"/>
    </row>
    <row r="367" spans="1:3" x14ac:dyDescent="0.25">
      <c r="A367" s="43" t="s">
        <v>94</v>
      </c>
      <c r="B367" s="611"/>
      <c r="C367" s="613">
        <v>7600000401347</v>
      </c>
    </row>
    <row r="368" spans="1:3" x14ac:dyDescent="0.25">
      <c r="A368" s="43" t="s">
        <v>12</v>
      </c>
      <c r="B368" s="611"/>
      <c r="C368" s="613">
        <v>7600000401348</v>
      </c>
    </row>
    <row r="369" spans="1:3" x14ac:dyDescent="0.25">
      <c r="A369" s="43" t="s">
        <v>65</v>
      </c>
      <c r="B369" s="611"/>
      <c r="C369" s="613">
        <v>7600000401349</v>
      </c>
    </row>
    <row r="370" spans="1:3" x14ac:dyDescent="0.25">
      <c r="A370" s="43" t="s">
        <v>122</v>
      </c>
      <c r="B370" s="611"/>
      <c r="C370" s="613">
        <v>7600000401350</v>
      </c>
    </row>
    <row r="371" spans="1:3" x14ac:dyDescent="0.25">
      <c r="A371" s="43" t="s">
        <v>150</v>
      </c>
      <c r="B371" s="611"/>
      <c r="C371" s="613">
        <v>7600000401337</v>
      </c>
    </row>
    <row r="372" spans="1:3" x14ac:dyDescent="0.25">
      <c r="A372" s="43" t="s">
        <v>101</v>
      </c>
      <c r="B372" s="611"/>
      <c r="C372" s="613"/>
    </row>
    <row r="373" spans="1:3" x14ac:dyDescent="0.25">
      <c r="A373" s="43" t="s">
        <v>26</v>
      </c>
      <c r="B373" s="611"/>
      <c r="C373" s="613"/>
    </row>
    <row r="374" spans="1:3" x14ac:dyDescent="0.25">
      <c r="A374" s="43" t="s">
        <v>72</v>
      </c>
      <c r="B374" s="611"/>
      <c r="C374" s="613"/>
    </row>
    <row r="375" spans="1:3" x14ac:dyDescent="0.25">
      <c r="A375" s="43" t="s">
        <v>129</v>
      </c>
      <c r="B375" s="611"/>
      <c r="C375" s="613"/>
    </row>
    <row r="376" spans="1:3" x14ac:dyDescent="0.25">
      <c r="A376" s="43" t="s">
        <v>157</v>
      </c>
      <c r="B376" s="611"/>
      <c r="C376" s="613"/>
    </row>
    <row r="377" spans="1:3" x14ac:dyDescent="0.25">
      <c r="A377" s="43" t="s">
        <v>108</v>
      </c>
      <c r="B377" s="611"/>
      <c r="C377" s="613"/>
    </row>
    <row r="378" spans="1:3" x14ac:dyDescent="0.25">
      <c r="A378" s="43" t="s">
        <v>40</v>
      </c>
      <c r="B378" s="611"/>
      <c r="C378" s="613"/>
    </row>
    <row r="379" spans="1:3" x14ac:dyDescent="0.25">
      <c r="A379" s="43" t="s">
        <v>80</v>
      </c>
      <c r="B379" s="611"/>
      <c r="C379" s="613"/>
    </row>
    <row r="380" spans="1:3" x14ac:dyDescent="0.25">
      <c r="A380" s="43" t="s">
        <v>136</v>
      </c>
      <c r="B380" s="611"/>
      <c r="C380" s="613"/>
    </row>
    <row r="381" spans="1:3" x14ac:dyDescent="0.25">
      <c r="A381" s="43" t="s">
        <v>164</v>
      </c>
      <c r="B381" s="611"/>
      <c r="C381" s="613"/>
    </row>
    <row r="382" spans="1:3" x14ac:dyDescent="0.25">
      <c r="A382" s="43" t="s">
        <v>115</v>
      </c>
      <c r="B382" s="611"/>
      <c r="C382" s="613"/>
    </row>
    <row r="383" spans="1:3" x14ac:dyDescent="0.25">
      <c r="A383" s="43" t="s">
        <v>54</v>
      </c>
      <c r="B383" s="611"/>
      <c r="C383" s="613"/>
    </row>
    <row r="384" spans="1:3" x14ac:dyDescent="0.25">
      <c r="A384" s="43" t="s">
        <v>87</v>
      </c>
      <c r="B384" s="611"/>
      <c r="C384" s="613"/>
    </row>
    <row r="385" spans="1:3" x14ac:dyDescent="0.25">
      <c r="A385" s="43" t="s">
        <v>143</v>
      </c>
      <c r="B385" s="611"/>
      <c r="C385" s="613"/>
    </row>
    <row r="386" spans="1:3" x14ac:dyDescent="0.25">
      <c r="A386" s="43" t="s">
        <v>171</v>
      </c>
      <c r="B386" s="611"/>
      <c r="C386" s="613"/>
    </row>
    <row r="387" spans="1:3" x14ac:dyDescent="0.25">
      <c r="A387" s="43" t="s">
        <v>95</v>
      </c>
      <c r="B387" s="611"/>
      <c r="C387" s="613">
        <v>7600000401320</v>
      </c>
    </row>
    <row r="388" spans="1:3" x14ac:dyDescent="0.25">
      <c r="A388" s="43" t="s">
        <v>14</v>
      </c>
      <c r="B388" s="611"/>
      <c r="C388" s="613">
        <v>7600000401303</v>
      </c>
    </row>
    <row r="389" spans="1:3" x14ac:dyDescent="0.25">
      <c r="A389" s="43" t="s">
        <v>66</v>
      </c>
      <c r="B389" s="611"/>
      <c r="C389" s="613">
        <v>7600000401312</v>
      </c>
    </row>
    <row r="390" spans="1:3" x14ac:dyDescent="0.25">
      <c r="A390" s="43" t="s">
        <v>123</v>
      </c>
      <c r="B390" s="611"/>
      <c r="C390" s="613">
        <v>7600000401328</v>
      </c>
    </row>
    <row r="391" spans="1:3" x14ac:dyDescent="0.25">
      <c r="A391" s="43" t="s">
        <v>151</v>
      </c>
      <c r="B391" s="611"/>
      <c r="C391" s="613">
        <v>7600000401338</v>
      </c>
    </row>
    <row r="392" spans="1:3" x14ac:dyDescent="0.25">
      <c r="A392" s="43" t="s">
        <v>102</v>
      </c>
      <c r="B392" s="611"/>
      <c r="C392" s="613"/>
    </row>
    <row r="393" spans="1:3" x14ac:dyDescent="0.25">
      <c r="A393" s="43" t="s">
        <v>28</v>
      </c>
      <c r="B393" s="611"/>
      <c r="C393" s="613"/>
    </row>
    <row r="394" spans="1:3" x14ac:dyDescent="0.25">
      <c r="A394" s="43" t="s">
        <v>73</v>
      </c>
      <c r="B394" s="611"/>
      <c r="C394" s="613"/>
    </row>
    <row r="395" spans="1:3" x14ac:dyDescent="0.25">
      <c r="A395" s="43" t="s">
        <v>130</v>
      </c>
      <c r="B395" s="611"/>
      <c r="C395" s="613"/>
    </row>
    <row r="396" spans="1:3" x14ac:dyDescent="0.25">
      <c r="A396" s="43" t="s">
        <v>158</v>
      </c>
      <c r="B396" s="611"/>
      <c r="C396" s="613"/>
    </row>
    <row r="397" spans="1:3" x14ac:dyDescent="0.25">
      <c r="A397" s="43" t="s">
        <v>109</v>
      </c>
      <c r="B397" s="611"/>
      <c r="C397" s="613"/>
    </row>
    <row r="398" spans="1:3" x14ac:dyDescent="0.25">
      <c r="A398" s="43" t="s">
        <v>42</v>
      </c>
      <c r="B398" s="611"/>
      <c r="C398" s="613"/>
    </row>
    <row r="399" spans="1:3" x14ac:dyDescent="0.25">
      <c r="A399" s="43" t="s">
        <v>81</v>
      </c>
      <c r="B399" s="611"/>
      <c r="C399" s="613"/>
    </row>
    <row r="400" spans="1:3" x14ac:dyDescent="0.25">
      <c r="A400" s="43" t="s">
        <v>137</v>
      </c>
      <c r="B400" s="611"/>
      <c r="C400" s="613"/>
    </row>
    <row r="401" spans="1:3" x14ac:dyDescent="0.25">
      <c r="A401" s="43" t="s">
        <v>165</v>
      </c>
      <c r="B401" s="611"/>
      <c r="C401" s="613"/>
    </row>
    <row r="402" spans="1:3" x14ac:dyDescent="0.25">
      <c r="A402" s="43" t="s">
        <v>116</v>
      </c>
      <c r="B402" s="611"/>
      <c r="C402" s="613"/>
    </row>
    <row r="403" spans="1:3" x14ac:dyDescent="0.25">
      <c r="A403" s="43" t="s">
        <v>56</v>
      </c>
      <c r="B403" s="611"/>
      <c r="C403" s="613"/>
    </row>
    <row r="404" spans="1:3" x14ac:dyDescent="0.25">
      <c r="A404" s="43" t="s">
        <v>88</v>
      </c>
      <c r="B404" s="611"/>
      <c r="C404" s="613"/>
    </row>
    <row r="405" spans="1:3" x14ac:dyDescent="0.25">
      <c r="A405" s="43" t="s">
        <v>144</v>
      </c>
      <c r="B405" s="611"/>
      <c r="C405" s="613"/>
    </row>
    <row r="406" spans="1:3" x14ac:dyDescent="0.25">
      <c r="A406" s="43" t="s">
        <v>172</v>
      </c>
      <c r="B406" s="611"/>
      <c r="C406" s="613"/>
    </row>
    <row r="407" spans="1:3" x14ac:dyDescent="0.25">
      <c r="A407" s="43" t="s">
        <v>97</v>
      </c>
      <c r="B407" s="611"/>
      <c r="C407" s="613">
        <v>7600000401322</v>
      </c>
    </row>
    <row r="408" spans="1:3" x14ac:dyDescent="0.25">
      <c r="A408" s="43" t="s">
        <v>18</v>
      </c>
      <c r="B408" s="611"/>
      <c r="C408" s="613">
        <v>7600000401305</v>
      </c>
    </row>
    <row r="409" spans="1:3" x14ac:dyDescent="0.25">
      <c r="A409" s="43" t="s">
        <v>68</v>
      </c>
      <c r="B409" s="611"/>
      <c r="C409" s="613">
        <v>7600000401314</v>
      </c>
    </row>
    <row r="410" spans="1:3" x14ac:dyDescent="0.25">
      <c r="A410" s="43" t="s">
        <v>125</v>
      </c>
      <c r="B410" s="611"/>
      <c r="C410" s="613">
        <v>7600000401330</v>
      </c>
    </row>
    <row r="411" spans="1:3" x14ac:dyDescent="0.25">
      <c r="A411" s="43" t="s">
        <v>153</v>
      </c>
      <c r="B411" s="611"/>
      <c r="C411" s="613">
        <v>7600000401340</v>
      </c>
    </row>
    <row r="412" spans="1:3" x14ac:dyDescent="0.25">
      <c r="A412" s="43" t="s">
        <v>104</v>
      </c>
      <c r="B412" s="611"/>
      <c r="C412" s="613"/>
    </row>
    <row r="413" spans="1:3" x14ac:dyDescent="0.25">
      <c r="A413" s="43" t="s">
        <v>32</v>
      </c>
      <c r="B413" s="611"/>
      <c r="C413" s="613"/>
    </row>
    <row r="414" spans="1:3" x14ac:dyDescent="0.25">
      <c r="A414" s="43" t="s">
        <v>75</v>
      </c>
      <c r="B414" s="611"/>
      <c r="C414" s="613"/>
    </row>
    <row r="415" spans="1:3" x14ac:dyDescent="0.25">
      <c r="A415" s="43" t="s">
        <v>132</v>
      </c>
      <c r="B415" s="611"/>
      <c r="C415" s="613"/>
    </row>
    <row r="416" spans="1:3" x14ac:dyDescent="0.25">
      <c r="A416" s="43" t="s">
        <v>160</v>
      </c>
      <c r="B416" s="611"/>
      <c r="C416" s="613"/>
    </row>
    <row r="417" spans="1:3" x14ac:dyDescent="0.25">
      <c r="A417" s="43" t="s">
        <v>111</v>
      </c>
      <c r="B417" s="611"/>
      <c r="C417" s="613"/>
    </row>
    <row r="418" spans="1:3" x14ac:dyDescent="0.25">
      <c r="A418" s="43" t="s">
        <v>46</v>
      </c>
      <c r="B418" s="611"/>
      <c r="C418" s="613"/>
    </row>
    <row r="419" spans="1:3" x14ac:dyDescent="0.25">
      <c r="A419" s="43" t="s">
        <v>83</v>
      </c>
      <c r="B419" s="611"/>
      <c r="C419" s="613"/>
    </row>
    <row r="420" spans="1:3" x14ac:dyDescent="0.25">
      <c r="A420" s="43" t="s">
        <v>139</v>
      </c>
      <c r="B420" s="611"/>
      <c r="C420" s="613"/>
    </row>
    <row r="421" spans="1:3" x14ac:dyDescent="0.25">
      <c r="A421" s="43" t="s">
        <v>167</v>
      </c>
      <c r="B421" s="611"/>
      <c r="C421" s="613"/>
    </row>
    <row r="422" spans="1:3" x14ac:dyDescent="0.25">
      <c r="A422" s="43" t="s">
        <v>118</v>
      </c>
      <c r="B422" s="611"/>
      <c r="C422" s="613"/>
    </row>
    <row r="423" spans="1:3" x14ac:dyDescent="0.25">
      <c r="A423" s="43" t="s">
        <v>60</v>
      </c>
      <c r="B423" s="611"/>
      <c r="C423" s="613"/>
    </row>
    <row r="424" spans="1:3" x14ac:dyDescent="0.25">
      <c r="A424" s="43" t="s">
        <v>90</v>
      </c>
      <c r="B424" s="611"/>
      <c r="C424" s="613"/>
    </row>
    <row r="425" spans="1:3" x14ac:dyDescent="0.25">
      <c r="A425" s="43" t="s">
        <v>146</v>
      </c>
      <c r="B425" s="611"/>
      <c r="C425" s="613"/>
    </row>
    <row r="426" spans="1:3" x14ac:dyDescent="0.25">
      <c r="A426" s="43" t="s">
        <v>174</v>
      </c>
      <c r="B426" s="611"/>
      <c r="C426" s="613"/>
    </row>
    <row r="427" spans="1:3" x14ac:dyDescent="0.25">
      <c r="A427" s="43" t="s">
        <v>96</v>
      </c>
      <c r="B427" s="611"/>
      <c r="C427" s="613">
        <v>7600000401321</v>
      </c>
    </row>
    <row r="428" spans="1:3" x14ac:dyDescent="0.25">
      <c r="A428" s="43" t="s">
        <v>16</v>
      </c>
      <c r="B428" s="611"/>
      <c r="C428" s="613">
        <v>7600000401304</v>
      </c>
    </row>
    <row r="429" spans="1:3" x14ac:dyDescent="0.25">
      <c r="A429" s="43" t="s">
        <v>67</v>
      </c>
      <c r="B429" s="611"/>
      <c r="C429" s="613">
        <v>7600000401313</v>
      </c>
    </row>
    <row r="430" spans="1:3" x14ac:dyDescent="0.25">
      <c r="A430" s="43" t="s">
        <v>124</v>
      </c>
      <c r="B430" s="611"/>
      <c r="C430" s="613">
        <v>7600000401329</v>
      </c>
    </row>
    <row r="431" spans="1:3" x14ac:dyDescent="0.25">
      <c r="A431" s="43" t="s">
        <v>152</v>
      </c>
      <c r="B431" s="611"/>
      <c r="C431" s="613">
        <v>7600000401339</v>
      </c>
    </row>
    <row r="432" spans="1:3" x14ac:dyDescent="0.25">
      <c r="A432" s="43" t="s">
        <v>103</v>
      </c>
      <c r="B432" s="616"/>
      <c r="C432" s="611"/>
    </row>
    <row r="433" spans="1:3" x14ac:dyDescent="0.25">
      <c r="A433" s="43" t="s">
        <v>30</v>
      </c>
      <c r="B433" s="616"/>
      <c r="C433" s="611"/>
    </row>
    <row r="434" spans="1:3" x14ac:dyDescent="0.25">
      <c r="A434" s="43" t="s">
        <v>74</v>
      </c>
      <c r="B434" s="616"/>
      <c r="C434" s="611"/>
    </row>
    <row r="435" spans="1:3" x14ac:dyDescent="0.25">
      <c r="A435" s="43" t="s">
        <v>131</v>
      </c>
      <c r="B435" s="616"/>
      <c r="C435" s="611"/>
    </row>
    <row r="436" spans="1:3" x14ac:dyDescent="0.25">
      <c r="A436" s="43" t="s">
        <v>159</v>
      </c>
      <c r="B436" s="616"/>
      <c r="C436" s="611"/>
    </row>
    <row r="437" spans="1:3" x14ac:dyDescent="0.25">
      <c r="A437" s="43" t="s">
        <v>110</v>
      </c>
      <c r="B437" s="616"/>
      <c r="C437" s="611"/>
    </row>
    <row r="438" spans="1:3" x14ac:dyDescent="0.25">
      <c r="A438" s="43" t="s">
        <v>44</v>
      </c>
      <c r="B438" s="616"/>
      <c r="C438" s="611"/>
    </row>
    <row r="439" spans="1:3" x14ac:dyDescent="0.25">
      <c r="A439" s="43" t="s">
        <v>82</v>
      </c>
      <c r="B439" s="616"/>
      <c r="C439" s="611"/>
    </row>
    <row r="440" spans="1:3" x14ac:dyDescent="0.25">
      <c r="A440" s="43" t="s">
        <v>138</v>
      </c>
      <c r="B440" s="616"/>
      <c r="C440" s="611"/>
    </row>
    <row r="441" spans="1:3" x14ac:dyDescent="0.25">
      <c r="A441" s="43" t="s">
        <v>166</v>
      </c>
      <c r="B441" s="616"/>
      <c r="C441" s="611"/>
    </row>
    <row r="442" spans="1:3" x14ac:dyDescent="0.25">
      <c r="A442" s="43" t="s">
        <v>117</v>
      </c>
      <c r="B442" s="616"/>
      <c r="C442" s="611"/>
    </row>
    <row r="443" spans="1:3" x14ac:dyDescent="0.25">
      <c r="A443" s="43" t="s">
        <v>58</v>
      </c>
      <c r="B443" s="616"/>
      <c r="C443" s="611"/>
    </row>
    <row r="444" spans="1:3" x14ac:dyDescent="0.25">
      <c r="A444" s="43" t="s">
        <v>89</v>
      </c>
      <c r="B444" s="616"/>
      <c r="C444" s="611"/>
    </row>
    <row r="445" spans="1:3" x14ac:dyDescent="0.25">
      <c r="A445" s="43" t="s">
        <v>145</v>
      </c>
      <c r="B445" s="616"/>
      <c r="C445" s="611"/>
    </row>
    <row r="446" spans="1:3" x14ac:dyDescent="0.25">
      <c r="A446" s="43" t="s">
        <v>173</v>
      </c>
      <c r="B446" s="616"/>
      <c r="C446" s="611"/>
    </row>
    <row r="447" spans="1:3" x14ac:dyDescent="0.25">
      <c r="A447" s="43" t="s">
        <v>1011</v>
      </c>
      <c r="B447" s="616"/>
      <c r="C447" s="613">
        <v>7600000403228</v>
      </c>
    </row>
    <row r="448" spans="1:3" x14ac:dyDescent="0.25">
      <c r="A448" s="43" t="s">
        <v>1014</v>
      </c>
      <c r="B448" s="616"/>
      <c r="C448" s="613">
        <v>7600000403234</v>
      </c>
    </row>
    <row r="449" spans="1:3" x14ac:dyDescent="0.25">
      <c r="A449" s="43" t="s">
        <v>1015</v>
      </c>
      <c r="B449" s="616"/>
      <c r="C449" s="613">
        <v>7600000403222</v>
      </c>
    </row>
    <row r="450" spans="1:3" x14ac:dyDescent="0.25">
      <c r="A450" s="617" t="s">
        <v>1016</v>
      </c>
      <c r="B450" s="616"/>
      <c r="C450" s="613">
        <v>7600000403231</v>
      </c>
    </row>
    <row r="451" spans="1:3" x14ac:dyDescent="0.25">
      <c r="A451" s="43" t="s">
        <v>1018</v>
      </c>
      <c r="B451" s="43"/>
      <c r="C451" s="613">
        <v>7600000403237</v>
      </c>
    </row>
    <row r="452" spans="1:3" x14ac:dyDescent="0.25">
      <c r="A452" s="43" t="s">
        <v>1020</v>
      </c>
      <c r="B452" s="43"/>
      <c r="C452" s="613">
        <v>7600000403225</v>
      </c>
    </row>
    <row r="453" spans="1:3" x14ac:dyDescent="0.25">
      <c r="A453" s="43" t="s">
        <v>1021</v>
      </c>
      <c r="B453" s="43"/>
      <c r="C453" s="613">
        <v>7600000403254</v>
      </c>
    </row>
    <row r="454" spans="1:3" x14ac:dyDescent="0.25">
      <c r="A454" s="43" t="s">
        <v>1023</v>
      </c>
      <c r="B454" s="43"/>
      <c r="C454" s="613">
        <v>7600000403252</v>
      </c>
    </row>
    <row r="455" spans="1:3" x14ac:dyDescent="0.25">
      <c r="A455" s="43" t="s">
        <v>1024</v>
      </c>
      <c r="B455" s="43"/>
      <c r="C455" s="613">
        <v>7600000403250</v>
      </c>
    </row>
    <row r="456" spans="1:3" x14ac:dyDescent="0.25">
      <c r="A456" s="43" t="s">
        <v>1025</v>
      </c>
      <c r="B456" s="43"/>
      <c r="C456" s="613">
        <v>7600000403255</v>
      </c>
    </row>
    <row r="457" spans="1:3" x14ac:dyDescent="0.25">
      <c r="A457" s="43" t="s">
        <v>1027</v>
      </c>
      <c r="B457" s="43"/>
      <c r="C457" s="613">
        <v>7600000403253</v>
      </c>
    </row>
    <row r="458" spans="1:3" x14ac:dyDescent="0.25">
      <c r="A458" s="43" t="s">
        <v>1029</v>
      </c>
      <c r="B458" s="43"/>
      <c r="C458" s="613">
        <v>7600000403251</v>
      </c>
    </row>
    <row r="459" spans="1:3" x14ac:dyDescent="0.25">
      <c r="A459" s="43" t="s">
        <v>323</v>
      </c>
      <c r="B459" s="43"/>
      <c r="C459" s="613">
        <v>7600000403000</v>
      </c>
    </row>
    <row r="460" spans="1:3" x14ac:dyDescent="0.25">
      <c r="A460" s="43" t="s">
        <v>325</v>
      </c>
      <c r="B460" s="43"/>
      <c r="C460" s="613">
        <v>7600000403001</v>
      </c>
    </row>
    <row r="461" spans="1:3" x14ac:dyDescent="0.25">
      <c r="A461" s="43" t="s">
        <v>326</v>
      </c>
      <c r="B461" s="43"/>
      <c r="C461" s="613">
        <v>7600000403002</v>
      </c>
    </row>
    <row r="462" spans="1:3" x14ac:dyDescent="0.25">
      <c r="A462" s="43" t="s">
        <v>327</v>
      </c>
      <c r="B462" s="43"/>
      <c r="C462" s="613">
        <v>7600000403014</v>
      </c>
    </row>
    <row r="463" spans="1:3" x14ac:dyDescent="0.25">
      <c r="A463" s="43" t="s">
        <v>328</v>
      </c>
      <c r="B463" s="43"/>
      <c r="C463" s="613">
        <v>7600000403016</v>
      </c>
    </row>
    <row r="464" spans="1:3" x14ac:dyDescent="0.25">
      <c r="A464" s="43" t="s">
        <v>329</v>
      </c>
      <c r="B464" s="43"/>
      <c r="C464" s="613">
        <v>7600000403018</v>
      </c>
    </row>
    <row r="465" spans="1:3" x14ac:dyDescent="0.25">
      <c r="A465" s="43" t="s">
        <v>319</v>
      </c>
      <c r="B465" s="43"/>
      <c r="C465" s="613">
        <v>7600000403006</v>
      </c>
    </row>
    <row r="466" spans="1:3" x14ac:dyDescent="0.25">
      <c r="A466" s="43" t="s">
        <v>322</v>
      </c>
      <c r="B466" s="43"/>
      <c r="C466" s="613">
        <v>7600000403010</v>
      </c>
    </row>
    <row r="467" spans="1:3" x14ac:dyDescent="0.25">
      <c r="A467" s="43" t="s">
        <v>1030</v>
      </c>
      <c r="B467" s="611"/>
      <c r="C467" s="615">
        <v>7600000600503</v>
      </c>
    </row>
    <row r="468" spans="1:3" x14ac:dyDescent="0.25">
      <c r="A468" s="43" t="s">
        <v>1031</v>
      </c>
      <c r="B468" s="611"/>
      <c r="C468" s="615">
        <v>7600000600504</v>
      </c>
    </row>
    <row r="469" spans="1:3" x14ac:dyDescent="0.25">
      <c r="A469" s="43" t="s">
        <v>1032</v>
      </c>
      <c r="B469" s="611"/>
      <c r="C469" s="615">
        <v>7600000600020</v>
      </c>
    </row>
    <row r="470" spans="1:3" x14ac:dyDescent="0.25">
      <c r="A470" s="43" t="s">
        <v>1033</v>
      </c>
      <c r="B470" s="611"/>
      <c r="C470" s="615">
        <v>7600000600021</v>
      </c>
    </row>
    <row r="471" spans="1:3" x14ac:dyDescent="0.25">
      <c r="A471" s="43" t="s">
        <v>1034</v>
      </c>
      <c r="B471" s="611"/>
      <c r="C471" s="615">
        <v>7600000600022</v>
      </c>
    </row>
    <row r="472" spans="1:3" x14ac:dyDescent="0.25">
      <c r="A472" s="43" t="s">
        <v>1035</v>
      </c>
      <c r="B472" s="611"/>
      <c r="C472" s="615">
        <v>7600000600023</v>
      </c>
    </row>
    <row r="473" spans="1:3" x14ac:dyDescent="0.25">
      <c r="A473" s="43" t="s">
        <v>1041</v>
      </c>
      <c r="B473" s="611"/>
      <c r="C473" s="611" t="s">
        <v>2108</v>
      </c>
    </row>
    <row r="474" spans="1:3" x14ac:dyDescent="0.25">
      <c r="A474" s="43" t="s">
        <v>1044</v>
      </c>
      <c r="B474" s="611"/>
      <c r="C474" s="611" t="s">
        <v>2108</v>
      </c>
    </row>
    <row r="475" spans="1:3" x14ac:dyDescent="0.25">
      <c r="A475" s="43" t="s">
        <v>1047</v>
      </c>
      <c r="B475" s="611"/>
      <c r="C475" s="611" t="s">
        <v>2108</v>
      </c>
    </row>
    <row r="476" spans="1:3" x14ac:dyDescent="0.25">
      <c r="A476" s="43" t="s">
        <v>1050</v>
      </c>
      <c r="B476" s="611"/>
      <c r="C476" s="615">
        <v>7600000600024</v>
      </c>
    </row>
    <row r="477" spans="1:3" x14ac:dyDescent="0.25">
      <c r="A477" s="43" t="s">
        <v>1053</v>
      </c>
      <c r="B477" s="611"/>
      <c r="C477" s="615">
        <v>7600000600025</v>
      </c>
    </row>
    <row r="478" spans="1:3" x14ac:dyDescent="0.25">
      <c r="A478" s="43" t="s">
        <v>1056</v>
      </c>
      <c r="B478" s="611"/>
      <c r="C478" s="615">
        <v>7600000600026</v>
      </c>
    </row>
    <row r="479" spans="1:3" x14ac:dyDescent="0.25">
      <c r="A479" s="43" t="s">
        <v>1059</v>
      </c>
      <c r="B479" s="611"/>
      <c r="C479" s="611" t="s">
        <v>2108</v>
      </c>
    </row>
    <row r="480" spans="1:3" x14ac:dyDescent="0.25">
      <c r="A480" s="43" t="s">
        <v>1062</v>
      </c>
      <c r="B480" s="611"/>
      <c r="C480" s="611" t="s">
        <v>2108</v>
      </c>
    </row>
    <row r="481" spans="1:3" x14ac:dyDescent="0.25">
      <c r="A481" s="43" t="s">
        <v>1065</v>
      </c>
      <c r="B481" s="611"/>
      <c r="C481" s="611" t="s">
        <v>2108</v>
      </c>
    </row>
    <row r="482" spans="1:3" x14ac:dyDescent="0.25">
      <c r="A482" s="43" t="s">
        <v>1068</v>
      </c>
      <c r="B482" s="611"/>
      <c r="C482" s="611" t="s">
        <v>2108</v>
      </c>
    </row>
    <row r="483" spans="1:3" x14ac:dyDescent="0.25">
      <c r="A483" s="43" t="s">
        <v>1071</v>
      </c>
      <c r="B483" s="611"/>
      <c r="C483" s="611" t="s">
        <v>2108</v>
      </c>
    </row>
    <row r="484" spans="1:3" x14ac:dyDescent="0.25">
      <c r="A484" s="43" t="s">
        <v>1074</v>
      </c>
      <c r="B484" s="611"/>
      <c r="C484" s="611" t="s">
        <v>2108</v>
      </c>
    </row>
    <row r="485" spans="1:3" x14ac:dyDescent="0.25">
      <c r="A485" s="43" t="s">
        <v>1077</v>
      </c>
      <c r="B485" s="611"/>
      <c r="C485" s="611" t="s">
        <v>2108</v>
      </c>
    </row>
    <row r="486" spans="1:3" x14ac:dyDescent="0.25">
      <c r="A486" s="43" t="s">
        <v>1080</v>
      </c>
      <c r="B486" s="611"/>
      <c r="C486" s="611" t="s">
        <v>2108</v>
      </c>
    </row>
    <row r="487" spans="1:3" x14ac:dyDescent="0.25">
      <c r="A487" s="43" t="s">
        <v>1083</v>
      </c>
      <c r="B487" s="611"/>
      <c r="C487" s="611" t="s">
        <v>2108</v>
      </c>
    </row>
    <row r="488" spans="1:3" x14ac:dyDescent="0.25">
      <c r="A488" s="43" t="s">
        <v>1086</v>
      </c>
      <c r="B488" s="611"/>
      <c r="C488" s="611" t="s">
        <v>2108</v>
      </c>
    </row>
  </sheetData>
  <autoFilter ref="A1:C488" xr:uid="{93C23A16-DD9E-4360-8808-3EC5FB61C0AF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86E4-8C50-417F-A9A5-F8ACCAB6B1F8}">
  <sheetPr codeName="Tabelle15">
    <tabColor rgb="FF00B050"/>
    <pageSetUpPr fitToPage="1"/>
  </sheetPr>
  <dimension ref="A1:S120"/>
  <sheetViews>
    <sheetView zoomScaleNormal="100" workbookViewId="0">
      <pane ySplit="1" topLeftCell="A17" activePane="bottomLeft" state="frozen"/>
      <selection activeCell="AO4" sqref="AO4:AQ4"/>
      <selection pane="bottomLeft" activeCell="B30" sqref="B30"/>
    </sheetView>
  </sheetViews>
  <sheetFormatPr defaultColWidth="9.28515625" defaultRowHeight="15" customHeight="1" x14ac:dyDescent="0.25"/>
  <cols>
    <col min="1" max="1" width="25.7109375" bestFit="1" customWidth="1"/>
    <col min="2" max="2" width="13.42578125" style="44" customWidth="1"/>
    <col min="3" max="3" width="13" customWidth="1"/>
    <col min="4" max="4" width="13" style="44" customWidth="1"/>
    <col min="5" max="5" width="14.7109375" customWidth="1"/>
    <col min="6" max="6" width="14.7109375" style="44" customWidth="1"/>
    <col min="7" max="7" width="9.42578125" bestFit="1" customWidth="1"/>
    <col min="8" max="8" width="11.28515625" style="44" bestFit="1" customWidth="1"/>
    <col min="9" max="9" width="12" customWidth="1"/>
    <col min="10" max="10" width="12" style="44" customWidth="1"/>
    <col min="11" max="11" width="9.28515625" hidden="1" customWidth="1"/>
    <col min="12" max="12" width="11.28515625" style="44" hidden="1" customWidth="1"/>
    <col min="13" max="13" width="11.7109375" hidden="1" customWidth="1"/>
    <col min="14" max="14" width="11.28515625" style="44" hidden="1" customWidth="1"/>
    <col min="15" max="15" width="10.28515625" customWidth="1"/>
    <col min="16" max="16" width="11.7109375" customWidth="1"/>
    <col min="17" max="17" width="11.28515625" style="44" customWidth="1"/>
  </cols>
  <sheetData>
    <row r="1" spans="1:19" s="146" customFormat="1" ht="30" x14ac:dyDescent="0.25">
      <c r="A1" s="277" t="s">
        <v>1567</v>
      </c>
      <c r="B1" s="278" t="s">
        <v>1577</v>
      </c>
      <c r="C1" s="279" t="s">
        <v>1578</v>
      </c>
      <c r="D1" s="280" t="s">
        <v>1579</v>
      </c>
      <c r="E1" s="281" t="s">
        <v>1580</v>
      </c>
      <c r="F1" s="282" t="s">
        <v>1577</v>
      </c>
      <c r="G1" s="283" t="s">
        <v>1581</v>
      </c>
      <c r="H1" s="284" t="s">
        <v>1577</v>
      </c>
      <c r="I1" s="285" t="s">
        <v>1582</v>
      </c>
      <c r="J1" s="286" t="s">
        <v>1577</v>
      </c>
      <c r="K1" s="287" t="s">
        <v>489</v>
      </c>
      <c r="L1" s="288" t="s">
        <v>1577</v>
      </c>
      <c r="M1" s="289" t="s">
        <v>1388</v>
      </c>
      <c r="N1" s="290" t="s">
        <v>1577</v>
      </c>
      <c r="O1" s="291" t="s">
        <v>1479</v>
      </c>
      <c r="P1" s="292" t="s">
        <v>1583</v>
      </c>
      <c r="Q1" s="293" t="s">
        <v>1577</v>
      </c>
      <c r="R1" s="292" t="s">
        <v>1584</v>
      </c>
      <c r="S1" s="293" t="s">
        <v>1577</v>
      </c>
    </row>
    <row r="2" spans="1:19" x14ac:dyDescent="0.25">
      <c r="A2" s="158" t="s">
        <v>1402</v>
      </c>
      <c r="B2" s="307">
        <v>3940</v>
      </c>
      <c r="C2" s="305" t="s">
        <v>1585</v>
      </c>
      <c r="D2" s="125">
        <v>780</v>
      </c>
      <c r="E2" s="86" t="s">
        <v>1586</v>
      </c>
      <c r="F2" s="200" t="s">
        <v>1868</v>
      </c>
      <c r="G2" s="199" t="s">
        <v>1586</v>
      </c>
      <c r="H2" s="200" t="s">
        <v>1586</v>
      </c>
      <c r="I2" s="294" t="s">
        <v>1586</v>
      </c>
      <c r="J2" s="200" t="s">
        <v>1586</v>
      </c>
      <c r="K2" s="199" t="s">
        <v>1586</v>
      </c>
      <c r="L2" s="200" t="str">
        <f>IFERROR(VLOOKUP(K2,#REF!,3,FALSE),"N/A")</f>
        <v>N/A</v>
      </c>
      <c r="M2" s="218" t="s">
        <v>1587</v>
      </c>
      <c r="N2" s="200"/>
      <c r="O2" s="12"/>
      <c r="P2" s="88"/>
      <c r="Q2" s="295"/>
      <c r="R2" s="196"/>
      <c r="S2" s="296"/>
    </row>
    <row r="3" spans="1:19" x14ac:dyDescent="0.25">
      <c r="A3" s="159" t="s">
        <v>1408</v>
      </c>
      <c r="B3" s="308">
        <v>4670</v>
      </c>
      <c r="C3" s="306" t="s">
        <v>1585</v>
      </c>
      <c r="D3" s="125">
        <v>780</v>
      </c>
      <c r="E3" s="85" t="s">
        <v>1586</v>
      </c>
      <c r="F3" s="202" t="s">
        <v>1868</v>
      </c>
      <c r="G3" s="201" t="s">
        <v>1586</v>
      </c>
      <c r="H3" s="202" t="s">
        <v>1586</v>
      </c>
      <c r="I3" s="221" t="s">
        <v>1586</v>
      </c>
      <c r="J3" s="202" t="s">
        <v>1586</v>
      </c>
      <c r="K3" s="201" t="s">
        <v>1586</v>
      </c>
      <c r="L3" s="202" t="str">
        <f>IFERROR(VLOOKUP(K3,#REF!,3,FALSE),"N/A")</f>
        <v>N/A</v>
      </c>
      <c r="M3" s="219" t="s">
        <v>1587</v>
      </c>
      <c r="N3" s="202"/>
      <c r="P3" s="89"/>
      <c r="Q3" s="181"/>
      <c r="R3" s="40"/>
      <c r="S3" s="47"/>
    </row>
    <row r="4" spans="1:19" x14ac:dyDescent="0.25">
      <c r="A4" s="159" t="s">
        <v>1412</v>
      </c>
      <c r="B4" s="308">
        <v>5500</v>
      </c>
      <c r="C4" s="306" t="s">
        <v>1585</v>
      </c>
      <c r="D4" s="125">
        <v>780</v>
      </c>
      <c r="E4" s="85" t="s">
        <v>1586</v>
      </c>
      <c r="F4" s="202" t="s">
        <v>1868</v>
      </c>
      <c r="G4" s="201" t="s">
        <v>1586</v>
      </c>
      <c r="H4" s="202" t="s">
        <v>1586</v>
      </c>
      <c r="I4" s="92" t="s">
        <v>1586</v>
      </c>
      <c r="J4" s="202" t="s">
        <v>1586</v>
      </c>
      <c r="K4" s="201" t="s">
        <v>1586</v>
      </c>
      <c r="L4" s="202" t="str">
        <f>IFERROR(VLOOKUP(K4,#REF!,3,FALSE),"N/A")</f>
        <v>N/A</v>
      </c>
      <c r="M4" s="219" t="s">
        <v>1587</v>
      </c>
      <c r="N4" s="202"/>
      <c r="P4" s="89"/>
      <c r="Q4" s="181"/>
      <c r="R4" s="40"/>
      <c r="S4" s="47"/>
    </row>
    <row r="5" spans="1:19" x14ac:dyDescent="0.25">
      <c r="A5" s="159" t="s">
        <v>1416</v>
      </c>
      <c r="B5" s="308">
        <v>7400</v>
      </c>
      <c r="C5" s="306" t="s">
        <v>1588</v>
      </c>
      <c r="D5" s="125">
        <v>1720</v>
      </c>
      <c r="E5" s="85" t="s">
        <v>1589</v>
      </c>
      <c r="F5" s="202">
        <v>6950</v>
      </c>
      <c r="G5" s="201" t="s">
        <v>1586</v>
      </c>
      <c r="H5" s="202" t="s">
        <v>1586</v>
      </c>
      <c r="I5" s="85">
        <v>1</v>
      </c>
      <c r="J5" s="202">
        <v>2030</v>
      </c>
      <c r="K5" s="201" t="s">
        <v>1589</v>
      </c>
      <c r="L5" s="202" t="str">
        <f>IFERROR(VLOOKUP(K5,#REF!,3,FALSE),"N/A")</f>
        <v>N/A</v>
      </c>
      <c r="M5" s="219" t="s">
        <v>1587</v>
      </c>
      <c r="N5" s="202"/>
      <c r="P5" s="89"/>
      <c r="Q5" s="181"/>
      <c r="R5" s="40"/>
      <c r="S5" s="47"/>
    </row>
    <row r="6" spans="1:19" x14ac:dyDescent="0.25">
      <c r="A6" s="159" t="s">
        <v>1419</v>
      </c>
      <c r="B6" s="308">
        <v>8860</v>
      </c>
      <c r="C6" s="306" t="s">
        <v>1588</v>
      </c>
      <c r="D6" s="125">
        <v>1720</v>
      </c>
      <c r="E6" s="85" t="s">
        <v>1589</v>
      </c>
      <c r="F6" s="202">
        <v>6950</v>
      </c>
      <c r="G6" s="201" t="s">
        <v>1586</v>
      </c>
      <c r="H6" s="202" t="s">
        <v>1586</v>
      </c>
      <c r="I6" s="85">
        <v>1</v>
      </c>
      <c r="J6" s="202">
        <v>2030</v>
      </c>
      <c r="K6" s="201" t="s">
        <v>1589</v>
      </c>
      <c r="L6" s="202" t="str">
        <f>IFERROR(VLOOKUP(K6,#REF!,3,FALSE),"N/A")</f>
        <v>N/A</v>
      </c>
      <c r="M6" s="219" t="s">
        <v>1587</v>
      </c>
      <c r="N6" s="202"/>
      <c r="P6" s="89"/>
      <c r="Q6" s="181"/>
      <c r="R6" s="40"/>
      <c r="S6" s="47"/>
    </row>
    <row r="7" spans="1:19" x14ac:dyDescent="0.25">
      <c r="A7" s="159" t="s">
        <v>1422</v>
      </c>
      <c r="B7" s="308">
        <v>11520</v>
      </c>
      <c r="C7" s="306" t="s">
        <v>1588</v>
      </c>
      <c r="D7" s="125">
        <v>1720</v>
      </c>
      <c r="E7" s="85" t="s">
        <v>1589</v>
      </c>
      <c r="F7" s="202">
        <v>6950</v>
      </c>
      <c r="G7" s="201">
        <v>2</v>
      </c>
      <c r="H7" s="202">
        <v>2850</v>
      </c>
      <c r="I7" s="85">
        <v>2</v>
      </c>
      <c r="J7" s="202">
        <v>2240</v>
      </c>
      <c r="K7" s="201" t="s">
        <v>1589</v>
      </c>
      <c r="L7" s="202" t="str">
        <f>IFERROR(VLOOKUP(K7,#REF!,3,FALSE),"N/A")</f>
        <v>N/A</v>
      </c>
      <c r="M7" s="219" t="s">
        <v>1587</v>
      </c>
      <c r="N7" s="202"/>
      <c r="P7" s="89"/>
      <c r="Q7" s="181"/>
      <c r="R7" s="40"/>
      <c r="S7" s="47"/>
    </row>
    <row r="8" spans="1:19" x14ac:dyDescent="0.25">
      <c r="A8" s="159" t="s">
        <v>1425</v>
      </c>
      <c r="B8" s="308">
        <v>19980</v>
      </c>
      <c r="C8" s="306" t="s">
        <v>1588</v>
      </c>
      <c r="D8" s="125">
        <v>1720</v>
      </c>
      <c r="E8" s="85" t="s">
        <v>1589</v>
      </c>
      <c r="F8" s="202">
        <v>6950</v>
      </c>
      <c r="G8" s="201">
        <v>3</v>
      </c>
      <c r="H8" s="202">
        <v>3850</v>
      </c>
      <c r="I8" s="85">
        <v>3</v>
      </c>
      <c r="J8" s="202">
        <v>2760</v>
      </c>
      <c r="K8" s="201"/>
      <c r="L8" s="202" t="str">
        <f>IFERROR(VLOOKUP(K8,#REF!,3,FALSE),"N/A")</f>
        <v>N/A</v>
      </c>
      <c r="M8" s="219" t="s">
        <v>1587</v>
      </c>
      <c r="N8" s="202"/>
      <c r="P8" s="89"/>
      <c r="Q8" s="181"/>
      <c r="R8" s="40"/>
      <c r="S8" s="47"/>
    </row>
    <row r="9" spans="1:19" x14ac:dyDescent="0.25">
      <c r="A9" s="159" t="s">
        <v>1428</v>
      </c>
      <c r="B9" s="308">
        <v>23970</v>
      </c>
      <c r="C9" s="306" t="s">
        <v>1588</v>
      </c>
      <c r="D9" s="125">
        <v>1720</v>
      </c>
      <c r="E9" s="85" t="s">
        <v>1589</v>
      </c>
      <c r="F9" s="202">
        <v>6950</v>
      </c>
      <c r="G9" s="201">
        <v>4</v>
      </c>
      <c r="H9" s="202">
        <v>4850</v>
      </c>
      <c r="I9" s="85">
        <v>4</v>
      </c>
      <c r="J9" s="202">
        <v>3380</v>
      </c>
      <c r="K9" s="201"/>
      <c r="L9" s="202" t="str">
        <f>IFERROR(VLOOKUP(K9,#REF!,3,FALSE),"N/A")</f>
        <v>N/A</v>
      </c>
      <c r="M9" s="219" t="s">
        <v>1587</v>
      </c>
      <c r="N9" s="202"/>
      <c r="P9" s="89"/>
      <c r="Q9" s="181"/>
      <c r="R9" s="40"/>
      <c r="S9" s="47"/>
    </row>
    <row r="10" spans="1:19" x14ac:dyDescent="0.25">
      <c r="A10" s="159" t="s">
        <v>1431</v>
      </c>
      <c r="B10" s="308">
        <v>33250</v>
      </c>
      <c r="C10" s="306" t="s">
        <v>1588</v>
      </c>
      <c r="D10" s="125">
        <v>1720</v>
      </c>
      <c r="E10" s="85" t="s">
        <v>1589</v>
      </c>
      <c r="F10" s="202">
        <v>6950</v>
      </c>
      <c r="G10" s="201">
        <v>4</v>
      </c>
      <c r="H10" s="202">
        <v>4850</v>
      </c>
      <c r="I10" s="85">
        <v>4</v>
      </c>
      <c r="J10" s="202">
        <v>3380</v>
      </c>
      <c r="K10" s="201"/>
      <c r="L10" s="202" t="str">
        <f>IFERROR(VLOOKUP(K10,#REF!,3,FALSE),"N/A")</f>
        <v>N/A</v>
      </c>
      <c r="M10" s="219" t="s">
        <v>1587</v>
      </c>
      <c r="N10" s="202"/>
      <c r="P10" s="89"/>
      <c r="Q10" s="181"/>
      <c r="R10" s="40"/>
      <c r="S10" s="47"/>
    </row>
    <row r="11" spans="1:19" x14ac:dyDescent="0.25">
      <c r="A11" s="159" t="s">
        <v>1434</v>
      </c>
      <c r="B11" s="308">
        <v>41000</v>
      </c>
      <c r="C11" s="306" t="s">
        <v>1590</v>
      </c>
      <c r="D11" s="125">
        <v>1980</v>
      </c>
      <c r="E11" s="85" t="s">
        <v>1590</v>
      </c>
      <c r="F11" s="202">
        <v>7100</v>
      </c>
      <c r="G11" s="201">
        <v>8</v>
      </c>
      <c r="H11" s="202">
        <v>8850</v>
      </c>
      <c r="I11" s="85">
        <v>8</v>
      </c>
      <c r="J11" s="202">
        <v>4420</v>
      </c>
      <c r="K11" s="214"/>
      <c r="L11" s="202" t="str">
        <f>IFERROR(VLOOKUP(K11,#REF!,3,FALSE),"N/A")</f>
        <v>N/A</v>
      </c>
      <c r="M11" s="219" t="s">
        <v>1591</v>
      </c>
      <c r="N11" s="202"/>
      <c r="P11" s="89"/>
      <c r="Q11" s="181"/>
      <c r="R11" s="40"/>
      <c r="S11" s="47"/>
    </row>
    <row r="12" spans="1:19" x14ac:dyDescent="0.25">
      <c r="A12" s="159" t="s">
        <v>1439</v>
      </c>
      <c r="B12" s="308">
        <v>49000</v>
      </c>
      <c r="C12" s="306" t="s">
        <v>1590</v>
      </c>
      <c r="D12" s="125">
        <v>1980</v>
      </c>
      <c r="E12" s="85" t="s">
        <v>1590</v>
      </c>
      <c r="F12" s="202">
        <v>7100</v>
      </c>
      <c r="G12" s="201">
        <v>8</v>
      </c>
      <c r="H12" s="202">
        <v>8850</v>
      </c>
      <c r="I12" s="85">
        <v>8</v>
      </c>
      <c r="J12" s="202">
        <v>4420</v>
      </c>
      <c r="K12" s="214"/>
      <c r="L12" s="202" t="str">
        <f>IFERROR(VLOOKUP(K12,#REF!,3,FALSE),"N/A")</f>
        <v>N/A</v>
      </c>
      <c r="M12" s="219" t="s">
        <v>1591</v>
      </c>
      <c r="N12" s="202"/>
      <c r="P12" s="89"/>
      <c r="Q12" s="181"/>
      <c r="R12" s="40"/>
      <c r="S12" s="47"/>
    </row>
    <row r="13" spans="1:19" x14ac:dyDescent="0.25">
      <c r="A13" s="159" t="s">
        <v>1441</v>
      </c>
      <c r="B13" s="308">
        <v>57000</v>
      </c>
      <c r="C13" s="409" t="s">
        <v>1590</v>
      </c>
      <c r="D13" s="125">
        <v>1980</v>
      </c>
      <c r="E13" s="410" t="s">
        <v>1590</v>
      </c>
      <c r="F13" s="202">
        <v>7100</v>
      </c>
      <c r="G13" s="201">
        <v>8</v>
      </c>
      <c r="H13" s="202">
        <v>8850</v>
      </c>
      <c r="I13" s="85">
        <v>8</v>
      </c>
      <c r="J13" s="202">
        <v>4420</v>
      </c>
      <c r="K13" s="214"/>
      <c r="L13" s="202" t="str">
        <f>IFERROR(VLOOKUP(K13,#REF!,3,FALSE),"N/A")</f>
        <v>N/A</v>
      </c>
      <c r="M13" s="219" t="s">
        <v>1591</v>
      </c>
      <c r="N13" s="202"/>
      <c r="P13" s="89"/>
      <c r="Q13" s="181"/>
      <c r="R13" s="40"/>
      <c r="S13" s="47"/>
    </row>
    <row r="14" spans="1:19" x14ac:dyDescent="0.25">
      <c r="A14" s="159" t="s">
        <v>1443</v>
      </c>
      <c r="B14" s="308">
        <v>62500</v>
      </c>
      <c r="C14" s="306" t="s">
        <v>1590</v>
      </c>
      <c r="D14" s="125">
        <v>1980</v>
      </c>
      <c r="E14" s="85" t="s">
        <v>1592</v>
      </c>
      <c r="F14" s="202">
        <v>7800</v>
      </c>
      <c r="G14" s="201">
        <v>12</v>
      </c>
      <c r="H14" s="202">
        <v>10850</v>
      </c>
      <c r="I14" s="85">
        <v>12</v>
      </c>
      <c r="J14" s="202">
        <v>5710</v>
      </c>
      <c r="K14" s="201"/>
      <c r="L14" s="202" t="str">
        <f>IFERROR(VLOOKUP(K14,#REF!,3,FALSE),"N/A")</f>
        <v>N/A</v>
      </c>
      <c r="M14" s="219" t="s">
        <v>1591</v>
      </c>
      <c r="N14" s="202"/>
      <c r="P14" s="89"/>
      <c r="Q14" s="181"/>
      <c r="R14" s="40"/>
      <c r="S14" s="47"/>
    </row>
    <row r="15" spans="1:19" x14ac:dyDescent="0.25">
      <c r="A15" s="159" t="s">
        <v>1446</v>
      </c>
      <c r="B15" s="308">
        <v>75000</v>
      </c>
      <c r="C15" s="306" t="s">
        <v>1592</v>
      </c>
      <c r="D15" s="125">
        <v>3950</v>
      </c>
      <c r="E15" s="85" t="s">
        <v>1592</v>
      </c>
      <c r="F15" s="202">
        <v>7800</v>
      </c>
      <c r="G15" s="201">
        <v>12</v>
      </c>
      <c r="H15" s="202">
        <v>10850</v>
      </c>
      <c r="I15" s="85">
        <v>12</v>
      </c>
      <c r="J15" s="202">
        <v>5710</v>
      </c>
      <c r="K15" s="201"/>
      <c r="L15" s="202" t="str">
        <f>IFERROR(VLOOKUP(K15,#REF!,3,FALSE),"N/A")</f>
        <v>N/A</v>
      </c>
      <c r="M15" s="219" t="s">
        <v>1591</v>
      </c>
      <c r="N15" s="202"/>
      <c r="P15" s="89"/>
      <c r="Q15" s="181"/>
      <c r="R15" s="40"/>
      <c r="S15" s="47"/>
    </row>
    <row r="16" spans="1:19" x14ac:dyDescent="0.25">
      <c r="A16" s="159" t="s">
        <v>1448</v>
      </c>
      <c r="B16" s="308">
        <v>97500</v>
      </c>
      <c r="C16" s="306" t="s">
        <v>1592</v>
      </c>
      <c r="D16" s="125">
        <v>3950</v>
      </c>
      <c r="E16" s="85" t="s">
        <v>1593</v>
      </c>
      <c r="F16" s="202">
        <v>8650</v>
      </c>
      <c r="G16" s="201">
        <v>24</v>
      </c>
      <c r="H16" s="202">
        <v>11850</v>
      </c>
      <c r="I16" s="85">
        <v>24</v>
      </c>
      <c r="J16" s="202">
        <v>10070</v>
      </c>
      <c r="K16" s="201"/>
      <c r="L16" s="202" t="str">
        <f>IFERROR(VLOOKUP(K16,#REF!,3,FALSE),"N/A")</f>
        <v>N/A</v>
      </c>
      <c r="M16" s="219" t="s">
        <v>1591</v>
      </c>
      <c r="N16" s="202"/>
      <c r="P16" s="89"/>
      <c r="Q16" s="181"/>
      <c r="R16" s="40"/>
      <c r="S16" s="47"/>
    </row>
    <row r="17" spans="1:19" x14ac:dyDescent="0.25">
      <c r="A17" s="159" t="s">
        <v>1451</v>
      </c>
      <c r="B17" s="308">
        <v>115000</v>
      </c>
      <c r="C17" s="306" t="s">
        <v>1592</v>
      </c>
      <c r="D17" s="125">
        <v>3950</v>
      </c>
      <c r="E17" s="85" t="s">
        <v>1593</v>
      </c>
      <c r="F17" s="202">
        <v>8650</v>
      </c>
      <c r="G17" s="203">
        <v>24</v>
      </c>
      <c r="H17" s="202">
        <v>11850</v>
      </c>
      <c r="I17" s="198">
        <v>24</v>
      </c>
      <c r="J17" s="299">
        <v>10070</v>
      </c>
      <c r="K17" s="203"/>
      <c r="L17" s="202" t="str">
        <f>IFERROR(VLOOKUP(K17,#REF!,3,FALSE),"N/A")</f>
        <v>N/A</v>
      </c>
      <c r="M17" s="219" t="s">
        <v>1591</v>
      </c>
      <c r="N17" s="202"/>
      <c r="P17" s="89"/>
      <c r="Q17" s="181"/>
      <c r="R17" s="40"/>
      <c r="S17" s="47"/>
    </row>
    <row r="18" spans="1:19" x14ac:dyDescent="0.25">
      <c r="A18" s="276" t="s">
        <v>1453</v>
      </c>
      <c r="B18" s="389">
        <v>135000</v>
      </c>
      <c r="C18" s="435" t="s">
        <v>1593</v>
      </c>
      <c r="D18" s="131">
        <v>8830</v>
      </c>
      <c r="E18" s="436" t="s">
        <v>1593</v>
      </c>
      <c r="F18" s="299">
        <v>8650</v>
      </c>
      <c r="G18" s="203">
        <v>60</v>
      </c>
      <c r="H18" s="299">
        <v>14850</v>
      </c>
      <c r="I18" s="198">
        <v>60</v>
      </c>
      <c r="J18" s="299">
        <v>24610</v>
      </c>
      <c r="K18" s="198"/>
      <c r="L18" s="299" t="str">
        <f>IFERROR(VLOOKUP(K18,#REF!,3,FALSE),"N/A")</f>
        <v>N/A</v>
      </c>
      <c r="M18" s="301" t="s">
        <v>1591</v>
      </c>
      <c r="N18" s="299"/>
      <c r="P18" s="302"/>
      <c r="Q18" s="437"/>
      <c r="R18" s="33"/>
      <c r="S18" s="391"/>
    </row>
    <row r="19" spans="1:19" x14ac:dyDescent="0.25">
      <c r="A19" s="413" t="s">
        <v>1460</v>
      </c>
      <c r="B19" s="414">
        <v>21750</v>
      </c>
      <c r="C19" s="415" t="s">
        <v>1588</v>
      </c>
      <c r="D19" s="414">
        <v>1720</v>
      </c>
      <c r="E19" s="415" t="s">
        <v>1589</v>
      </c>
      <c r="F19" s="416">
        <v>6950</v>
      </c>
      <c r="G19" s="415">
        <v>4</v>
      </c>
      <c r="H19" s="416">
        <v>0</v>
      </c>
      <c r="I19" s="415">
        <v>4</v>
      </c>
      <c r="J19" s="416">
        <v>3380</v>
      </c>
      <c r="K19" s="415"/>
      <c r="L19" s="416" t="str">
        <f>IFERROR(VLOOKUP(K19,#REF!,3,FALSE),"N/A")</f>
        <v>N/A</v>
      </c>
      <c r="M19" s="417" t="s">
        <v>1586</v>
      </c>
      <c r="N19" s="417"/>
      <c r="O19" s="418"/>
      <c r="P19" s="419"/>
      <c r="Q19" s="420"/>
      <c r="R19" s="421"/>
      <c r="S19" s="422"/>
    </row>
    <row r="20" spans="1:19" x14ac:dyDescent="0.25">
      <c r="A20" s="423" t="s">
        <v>1464</v>
      </c>
      <c r="B20" s="308">
        <v>30270</v>
      </c>
      <c r="C20" s="201" t="s">
        <v>1590</v>
      </c>
      <c r="D20" s="411">
        <v>1980</v>
      </c>
      <c r="E20" s="201" t="s">
        <v>1589</v>
      </c>
      <c r="F20" s="202">
        <v>6950</v>
      </c>
      <c r="G20" s="201">
        <v>6</v>
      </c>
      <c r="H20" s="202">
        <v>0</v>
      </c>
      <c r="I20" s="201">
        <v>6</v>
      </c>
      <c r="J20" s="202">
        <v>3900</v>
      </c>
      <c r="K20" s="201"/>
      <c r="L20" s="202" t="str">
        <f>IFERROR(VLOOKUP(K20,#REF!,3,FALSE),"N/A")</f>
        <v>N/A</v>
      </c>
      <c r="M20" s="219" t="s">
        <v>1586</v>
      </c>
      <c r="N20" s="219"/>
      <c r="P20" s="89"/>
      <c r="Q20" s="193"/>
      <c r="R20" s="40"/>
      <c r="S20" s="424"/>
    </row>
    <row r="21" spans="1:19" x14ac:dyDescent="0.25">
      <c r="A21" s="423" t="s">
        <v>1466</v>
      </c>
      <c r="B21" s="308">
        <v>39130</v>
      </c>
      <c r="C21" s="201" t="s">
        <v>1590</v>
      </c>
      <c r="D21" s="411">
        <v>1980</v>
      </c>
      <c r="E21" s="201" t="s">
        <v>1589</v>
      </c>
      <c r="F21" s="202">
        <v>6950</v>
      </c>
      <c r="G21" s="201">
        <v>10</v>
      </c>
      <c r="H21" s="202">
        <v>0</v>
      </c>
      <c r="I21" s="201">
        <v>10</v>
      </c>
      <c r="J21" s="202">
        <v>4990</v>
      </c>
      <c r="K21" s="201"/>
      <c r="L21" s="202" t="str">
        <f>IFERROR(VLOOKUP(K21,#REF!,3,FALSE),"N/A")</f>
        <v>N/A</v>
      </c>
      <c r="M21" s="219" t="s">
        <v>1586</v>
      </c>
      <c r="N21" s="219"/>
      <c r="P21" s="89"/>
      <c r="Q21" s="193"/>
      <c r="R21" s="40"/>
      <c r="S21" s="424"/>
    </row>
    <row r="22" spans="1:19" x14ac:dyDescent="0.25">
      <c r="A22" s="423" t="s">
        <v>1468</v>
      </c>
      <c r="B22" s="308">
        <v>53560</v>
      </c>
      <c r="C22" s="201" t="s">
        <v>1592</v>
      </c>
      <c r="D22" s="411">
        <v>3950</v>
      </c>
      <c r="E22" s="201" t="s">
        <v>1592</v>
      </c>
      <c r="F22" s="202">
        <v>7800</v>
      </c>
      <c r="G22" s="201">
        <v>16</v>
      </c>
      <c r="H22" s="202">
        <v>0</v>
      </c>
      <c r="I22" s="201">
        <v>16</v>
      </c>
      <c r="J22" s="202">
        <v>6960</v>
      </c>
      <c r="K22" s="201"/>
      <c r="L22" s="202" t="str">
        <f>IFERROR(VLOOKUP(K22,#REF!,3,FALSE),"N/A")</f>
        <v>N/A</v>
      </c>
      <c r="M22" s="219" t="s">
        <v>1586</v>
      </c>
      <c r="N22" s="219"/>
      <c r="P22" s="89"/>
      <c r="Q22" s="193"/>
      <c r="R22" s="40"/>
      <c r="S22" s="424"/>
    </row>
    <row r="23" spans="1:19" x14ac:dyDescent="0.25">
      <c r="A23" s="423" t="s">
        <v>1470</v>
      </c>
      <c r="B23" s="308">
        <v>66650</v>
      </c>
      <c r="C23" s="201" t="s">
        <v>1592</v>
      </c>
      <c r="D23" s="411">
        <v>3950</v>
      </c>
      <c r="E23" s="201" t="s">
        <v>1592</v>
      </c>
      <c r="F23" s="202">
        <v>7800</v>
      </c>
      <c r="G23" s="201">
        <v>24</v>
      </c>
      <c r="H23" s="202">
        <v>0</v>
      </c>
      <c r="I23" s="201">
        <v>24</v>
      </c>
      <c r="J23" s="202">
        <v>10070</v>
      </c>
      <c r="K23" s="201"/>
      <c r="L23" s="202" t="str">
        <f>IFERROR(VLOOKUP(K23,#REF!,3,FALSE),"N/A")</f>
        <v>N/A</v>
      </c>
      <c r="M23" s="219" t="s">
        <v>1586</v>
      </c>
      <c r="N23" s="219"/>
      <c r="P23" s="89"/>
      <c r="Q23" s="193"/>
      <c r="R23" s="40"/>
      <c r="S23" s="424"/>
    </row>
    <row r="24" spans="1:19" x14ac:dyDescent="0.25">
      <c r="A24" s="423" t="s">
        <v>1472</v>
      </c>
      <c r="B24" s="308">
        <v>83540</v>
      </c>
      <c r="C24" s="201" t="s">
        <v>1592</v>
      </c>
      <c r="D24" s="411">
        <v>3950</v>
      </c>
      <c r="E24" s="201" t="s">
        <v>1592</v>
      </c>
      <c r="F24" s="202">
        <v>7800</v>
      </c>
      <c r="G24" s="201">
        <v>32</v>
      </c>
      <c r="H24" s="202">
        <v>0</v>
      </c>
      <c r="I24" s="201">
        <v>32</v>
      </c>
      <c r="J24" s="202">
        <v>13400</v>
      </c>
      <c r="K24" s="201"/>
      <c r="L24" s="202" t="str">
        <f>IFERROR(VLOOKUP(K24,#REF!,3,FALSE),"N/A")</f>
        <v>N/A</v>
      </c>
      <c r="M24" s="219" t="s">
        <v>1586</v>
      </c>
      <c r="N24" s="219"/>
      <c r="P24" s="89"/>
      <c r="Q24" s="193"/>
      <c r="R24" s="40"/>
      <c r="S24" s="424"/>
    </row>
    <row r="25" spans="1:19" x14ac:dyDescent="0.25">
      <c r="A25" s="425" t="s">
        <v>1476</v>
      </c>
      <c r="B25" s="426">
        <v>119850</v>
      </c>
      <c r="C25" s="427" t="s">
        <v>1593</v>
      </c>
      <c r="D25" s="470">
        <v>8830</v>
      </c>
      <c r="E25" s="427" t="s">
        <v>1593</v>
      </c>
      <c r="F25" s="428">
        <v>8650</v>
      </c>
      <c r="G25" s="427">
        <v>60</v>
      </c>
      <c r="H25" s="428">
        <v>0</v>
      </c>
      <c r="I25" s="427">
        <v>60</v>
      </c>
      <c r="J25" s="428">
        <v>24610</v>
      </c>
      <c r="K25" s="427"/>
      <c r="L25" s="428" t="str">
        <f>IFERROR(VLOOKUP(K25,#REF!,3,FALSE),"N/A")</f>
        <v>N/A</v>
      </c>
      <c r="M25" s="429" t="s">
        <v>1586</v>
      </c>
      <c r="N25" s="429"/>
      <c r="O25" s="430"/>
      <c r="P25" s="431"/>
      <c r="Q25" s="432"/>
      <c r="R25" s="433"/>
      <c r="S25" s="434"/>
    </row>
    <row r="26" spans="1:19" x14ac:dyDescent="0.25">
      <c r="A26" s="222" t="s">
        <v>1480</v>
      </c>
      <c r="B26" s="411">
        <v>9360</v>
      </c>
      <c r="C26" s="213" t="s">
        <v>1588</v>
      </c>
      <c r="D26" s="411">
        <v>1720</v>
      </c>
      <c r="E26" s="213" t="s">
        <v>1589</v>
      </c>
      <c r="F26" s="207">
        <v>6950</v>
      </c>
      <c r="G26" s="298">
        <v>1</v>
      </c>
      <c r="H26" s="207"/>
      <c r="I26" s="213" t="s">
        <v>1586</v>
      </c>
      <c r="J26" s="207" t="str">
        <f>IFERROR(VLOOKUP(I26,#REF!,3,FALSE),"N/A")</f>
        <v>N/A</v>
      </c>
      <c r="K26" s="213"/>
      <c r="L26" s="207" t="str">
        <f>IFERROR(VLOOKUP(K26,#REF!,3,FALSE),"N/A")</f>
        <v>N/A</v>
      </c>
      <c r="M26" s="223" t="s">
        <v>1586</v>
      </c>
      <c r="N26" s="207"/>
      <c r="P26" s="438"/>
      <c r="Q26" s="197"/>
      <c r="R26" s="35"/>
      <c r="S26" s="439"/>
    </row>
    <row r="27" spans="1:19" x14ac:dyDescent="0.25">
      <c r="A27" s="159" t="s">
        <v>1483</v>
      </c>
      <c r="B27" s="308">
        <v>10890</v>
      </c>
      <c r="C27" s="201" t="s">
        <v>1588</v>
      </c>
      <c r="D27" s="308">
        <v>1720</v>
      </c>
      <c r="E27" s="201" t="s">
        <v>1589</v>
      </c>
      <c r="F27" s="202">
        <v>6950</v>
      </c>
      <c r="G27" s="208">
        <v>1</v>
      </c>
      <c r="H27" s="202"/>
      <c r="I27" s="213" t="s">
        <v>1586</v>
      </c>
      <c r="J27" s="202" t="str">
        <f>IFERROR(VLOOKUP(I27,#REF!,3,FALSE),"N/A")</f>
        <v>N/A</v>
      </c>
      <c r="K27" s="201"/>
      <c r="L27" s="202" t="str">
        <f>IFERROR(VLOOKUP(K27,#REF!,3,FALSE),"N/A")</f>
        <v>N/A</v>
      </c>
      <c r="M27" s="219" t="s">
        <v>1586</v>
      </c>
      <c r="N27" s="202"/>
      <c r="P27" s="89"/>
      <c r="Q27" s="181"/>
      <c r="R27" s="40"/>
      <c r="S27" s="47"/>
    </row>
    <row r="28" spans="1:19" x14ac:dyDescent="0.25">
      <c r="A28" s="159" t="s">
        <v>1485</v>
      </c>
      <c r="B28" s="308">
        <v>13490</v>
      </c>
      <c r="C28" s="201" t="s">
        <v>1588</v>
      </c>
      <c r="D28" s="308">
        <v>1720</v>
      </c>
      <c r="E28" s="201" t="s">
        <v>1589</v>
      </c>
      <c r="F28" s="202">
        <v>6950</v>
      </c>
      <c r="G28" s="208">
        <v>2</v>
      </c>
      <c r="H28" s="202"/>
      <c r="I28" s="213" t="s">
        <v>1586</v>
      </c>
      <c r="J28" s="202" t="str">
        <f>IFERROR(VLOOKUP(I28,#REF!,3,FALSE),"N/A")</f>
        <v>N/A</v>
      </c>
      <c r="K28" s="201"/>
      <c r="L28" s="202" t="str">
        <f>IFERROR(VLOOKUP(K28,#REF!,3,FALSE),"N/A")</f>
        <v>N/A</v>
      </c>
      <c r="M28" s="219" t="s">
        <v>1586</v>
      </c>
      <c r="N28" s="202"/>
      <c r="P28" s="89"/>
      <c r="Q28" s="181"/>
      <c r="R28" s="40"/>
      <c r="S28" s="47"/>
    </row>
    <row r="29" spans="1:19" x14ac:dyDescent="0.25">
      <c r="A29" s="159" t="s">
        <v>1487</v>
      </c>
      <c r="B29" s="308">
        <v>18760</v>
      </c>
      <c r="C29" s="201" t="s">
        <v>1588</v>
      </c>
      <c r="D29" s="308">
        <v>1720</v>
      </c>
      <c r="E29" s="201" t="s">
        <v>1589</v>
      </c>
      <c r="F29" s="202">
        <v>6950</v>
      </c>
      <c r="G29" s="208">
        <v>4</v>
      </c>
      <c r="H29" s="202"/>
      <c r="I29" s="213" t="s">
        <v>1586</v>
      </c>
      <c r="J29" s="202" t="str">
        <f>IFERROR(VLOOKUP(I29,#REF!,3,FALSE),"N/A")</f>
        <v>N/A</v>
      </c>
      <c r="K29" s="201"/>
      <c r="L29" s="202" t="str">
        <f>IFERROR(VLOOKUP(K29,#REF!,3,FALSE),"N/A")</f>
        <v>N/A</v>
      </c>
      <c r="M29" s="219" t="s">
        <v>1586</v>
      </c>
      <c r="N29" s="202"/>
      <c r="P29" s="89"/>
      <c r="Q29" s="181"/>
      <c r="R29" s="40"/>
      <c r="S29" s="47"/>
    </row>
    <row r="30" spans="1:19" x14ac:dyDescent="0.25">
      <c r="A30" s="160" t="s">
        <v>1489</v>
      </c>
      <c r="B30" s="389">
        <v>24140</v>
      </c>
      <c r="C30" s="204" t="s">
        <v>1590</v>
      </c>
      <c r="D30" s="308">
        <v>1980</v>
      </c>
      <c r="E30" s="204" t="s">
        <v>1589</v>
      </c>
      <c r="F30" s="202">
        <v>6950</v>
      </c>
      <c r="G30" s="209">
        <v>6</v>
      </c>
      <c r="H30" s="205"/>
      <c r="I30" s="224" t="s">
        <v>1586</v>
      </c>
      <c r="J30" s="205" t="str">
        <f>IFERROR(VLOOKUP(I30,#REF!,3,FALSE),"N/A")</f>
        <v>N/A</v>
      </c>
      <c r="K30" s="204"/>
      <c r="L30" s="205" t="str">
        <f>IFERROR(VLOOKUP(K30,#REF!,3,FALSE),"N/A")</f>
        <v>N/A</v>
      </c>
      <c r="M30" s="220" t="s">
        <v>1586</v>
      </c>
      <c r="N30" s="205"/>
      <c r="O30" s="17"/>
      <c r="P30" s="91"/>
      <c r="Q30" s="297"/>
      <c r="R30" s="48"/>
      <c r="S30" s="49"/>
    </row>
    <row r="31" spans="1:19" x14ac:dyDescent="0.25">
      <c r="A31" s="158" t="s">
        <v>1497</v>
      </c>
      <c r="B31" s="382">
        <v>7760</v>
      </c>
      <c r="C31" s="86" t="s">
        <v>1585</v>
      </c>
      <c r="D31" s="200" t="s">
        <v>1586</v>
      </c>
      <c r="E31" s="199" t="s">
        <v>1586</v>
      </c>
      <c r="F31" s="200" t="s">
        <v>1586</v>
      </c>
      <c r="G31" s="206">
        <v>1</v>
      </c>
      <c r="H31" s="200"/>
      <c r="I31" s="86" t="s">
        <v>1586</v>
      </c>
      <c r="J31" s="200" t="str">
        <f>IFERROR(VLOOKUP(I31,#REF!,3,FALSE),"N/A")</f>
        <v>N/A</v>
      </c>
      <c r="K31" s="215"/>
      <c r="L31" s="309" t="s">
        <v>1594</v>
      </c>
      <c r="M31" s="218" t="s">
        <v>1586</v>
      </c>
      <c r="N31" s="210"/>
      <c r="O31" s="12"/>
      <c r="P31" s="88"/>
      <c r="Q31" s="195"/>
      <c r="R31" s="196"/>
      <c r="S31" s="296"/>
    </row>
    <row r="32" spans="1:19" x14ac:dyDescent="0.25">
      <c r="A32" s="159" t="s">
        <v>1500</v>
      </c>
      <c r="B32" s="383">
        <v>8325</v>
      </c>
      <c r="C32" s="85" t="s">
        <v>1585</v>
      </c>
      <c r="D32" s="89" t="s">
        <v>1586</v>
      </c>
      <c r="E32" s="201" t="s">
        <v>1586</v>
      </c>
      <c r="F32" s="202" t="s">
        <v>1586</v>
      </c>
      <c r="G32" s="208">
        <v>1</v>
      </c>
      <c r="H32" s="202"/>
      <c r="I32" s="221" t="s">
        <v>1586</v>
      </c>
      <c r="J32" s="202" t="str">
        <f>IFERROR(VLOOKUP(I32,#REF!,3,FALSE),"N/A")</f>
        <v>N/A</v>
      </c>
      <c r="K32" s="216"/>
      <c r="L32" s="310" t="s">
        <v>1594</v>
      </c>
      <c r="M32" s="219" t="s">
        <v>1586</v>
      </c>
      <c r="N32" s="211"/>
      <c r="P32" s="89"/>
      <c r="Q32" s="193"/>
      <c r="R32" s="40"/>
      <c r="S32" s="47"/>
    </row>
    <row r="33" spans="1:19" x14ac:dyDescent="0.25">
      <c r="A33" s="159" t="s">
        <v>1502</v>
      </c>
      <c r="B33" s="383">
        <v>9198</v>
      </c>
      <c r="C33" s="85" t="s">
        <v>1585</v>
      </c>
      <c r="D33" s="89" t="s">
        <v>1586</v>
      </c>
      <c r="E33" s="201" t="s">
        <v>1586</v>
      </c>
      <c r="F33" s="202" t="s">
        <v>1586</v>
      </c>
      <c r="G33" s="208">
        <v>1</v>
      </c>
      <c r="H33" s="202"/>
      <c r="I33" s="221" t="s">
        <v>1586</v>
      </c>
      <c r="J33" s="202" t="str">
        <f>IFERROR(VLOOKUP(I33,#REF!,3,FALSE),"N/A")</f>
        <v>N/A</v>
      </c>
      <c r="K33" s="216"/>
      <c r="L33" s="310" t="s">
        <v>1594</v>
      </c>
      <c r="M33" s="219" t="s">
        <v>1586</v>
      </c>
      <c r="N33" s="211"/>
      <c r="P33" s="89"/>
      <c r="Q33" s="193"/>
      <c r="R33" s="40"/>
      <c r="S33" s="47"/>
    </row>
    <row r="34" spans="1:19" x14ac:dyDescent="0.25">
      <c r="A34" s="159" t="s">
        <v>1504</v>
      </c>
      <c r="B34" s="383">
        <v>10350</v>
      </c>
      <c r="C34" s="85" t="s">
        <v>1588</v>
      </c>
      <c r="D34" s="89" t="s">
        <v>1586</v>
      </c>
      <c r="E34" s="201" t="s">
        <v>1586</v>
      </c>
      <c r="F34" s="202" t="s">
        <v>1586</v>
      </c>
      <c r="G34" s="208">
        <v>1</v>
      </c>
      <c r="H34" s="202"/>
      <c r="I34" s="85" t="s">
        <v>1586</v>
      </c>
      <c r="J34" s="202" t="str">
        <f>IFERROR(VLOOKUP(I34,#REF!,3,FALSE),"N/A")</f>
        <v>N/A</v>
      </c>
      <c r="K34" s="216"/>
      <c r="L34" s="310" t="s">
        <v>1594</v>
      </c>
      <c r="M34" s="219" t="s">
        <v>1586</v>
      </c>
      <c r="N34" s="211"/>
      <c r="P34" s="89"/>
      <c r="Q34" s="193"/>
      <c r="R34" s="40"/>
      <c r="S34" s="47"/>
    </row>
    <row r="35" spans="1:19" x14ac:dyDescent="0.25">
      <c r="A35" s="159" t="s">
        <v>1506</v>
      </c>
      <c r="B35" s="383">
        <v>11920</v>
      </c>
      <c r="C35" s="85" t="s">
        <v>1588</v>
      </c>
      <c r="D35" s="89" t="s">
        <v>1586</v>
      </c>
      <c r="E35" s="201" t="s">
        <v>1586</v>
      </c>
      <c r="F35" s="202" t="s">
        <v>1586</v>
      </c>
      <c r="G35" s="208">
        <v>1</v>
      </c>
      <c r="H35" s="202"/>
      <c r="I35" s="85" t="s">
        <v>1586</v>
      </c>
      <c r="J35" s="202" t="str">
        <f>IFERROR(VLOOKUP(I35,#REF!,3,FALSE),"N/A")</f>
        <v>N/A</v>
      </c>
      <c r="K35" s="216"/>
      <c r="L35" s="310" t="s">
        <v>1594</v>
      </c>
      <c r="M35" s="219" t="s">
        <v>1586</v>
      </c>
      <c r="N35" s="211"/>
      <c r="P35" s="89"/>
      <c r="Q35" s="193"/>
      <c r="R35" s="40"/>
      <c r="S35" s="47"/>
    </row>
    <row r="36" spans="1:19" x14ac:dyDescent="0.25">
      <c r="A36" s="159" t="s">
        <v>1508</v>
      </c>
      <c r="B36" s="383">
        <v>13430</v>
      </c>
      <c r="C36" s="85" t="s">
        <v>1588</v>
      </c>
      <c r="D36" s="89" t="s">
        <v>1586</v>
      </c>
      <c r="E36" s="201" t="s">
        <v>1586</v>
      </c>
      <c r="F36" s="202" t="s">
        <v>1586</v>
      </c>
      <c r="G36" s="208">
        <v>2</v>
      </c>
      <c r="H36" s="202"/>
      <c r="I36" s="85" t="s">
        <v>1586</v>
      </c>
      <c r="J36" s="202" t="str">
        <f>IFERROR(VLOOKUP(I36,#REF!,3,FALSE),"N/A")</f>
        <v>N/A</v>
      </c>
      <c r="K36" s="216"/>
      <c r="L36" s="310" t="s">
        <v>1594</v>
      </c>
      <c r="M36" s="219" t="s">
        <v>1586</v>
      </c>
      <c r="N36" s="211"/>
      <c r="P36" s="89"/>
      <c r="Q36" s="193"/>
      <c r="R36" s="40"/>
      <c r="S36" s="47"/>
    </row>
    <row r="37" spans="1:19" ht="15.75" thickBot="1" x14ac:dyDescent="0.3">
      <c r="A37" s="160" t="s">
        <v>1510</v>
      </c>
      <c r="B37" s="384">
        <v>19000</v>
      </c>
      <c r="C37" s="93" t="s">
        <v>1588</v>
      </c>
      <c r="D37" s="91" t="s">
        <v>1586</v>
      </c>
      <c r="E37" s="204" t="s">
        <v>1586</v>
      </c>
      <c r="F37" s="202" t="s">
        <v>1586</v>
      </c>
      <c r="G37" s="209">
        <v>3</v>
      </c>
      <c r="H37" s="205"/>
      <c r="I37" s="93" t="s">
        <v>1586</v>
      </c>
      <c r="J37" s="205" t="str">
        <f>IFERROR(VLOOKUP(I37,#REF!,3,FALSE),"N/A")</f>
        <v>N/A</v>
      </c>
      <c r="K37" s="217"/>
      <c r="L37" s="311" t="s">
        <v>1594</v>
      </c>
      <c r="M37" s="220" t="s">
        <v>1586</v>
      </c>
      <c r="N37" s="212"/>
      <c r="P37" s="302"/>
      <c r="Q37" s="303"/>
      <c r="R37" s="33"/>
      <c r="S37" s="391"/>
    </row>
    <row r="38" spans="1:19" x14ac:dyDescent="0.25">
      <c r="A38" s="222" t="s">
        <v>1516</v>
      </c>
      <c r="B38" s="385">
        <v>23370</v>
      </c>
      <c r="C38" s="92" t="s">
        <v>1588</v>
      </c>
      <c r="D38" s="207" t="s">
        <v>1586</v>
      </c>
      <c r="E38" s="213" t="s">
        <v>1586</v>
      </c>
      <c r="F38" s="200" t="s">
        <v>1586</v>
      </c>
      <c r="G38" s="298">
        <v>2</v>
      </c>
      <c r="H38" s="207"/>
      <c r="I38" s="213" t="s">
        <v>1586</v>
      </c>
      <c r="J38" s="207" t="str">
        <f>IFERROR(VLOOKUP(I38,#REF!,3,FALSE),"N/A")</f>
        <v>N/A</v>
      </c>
      <c r="K38" s="213" t="s">
        <v>1586</v>
      </c>
      <c r="L38" s="207" t="str">
        <f>IFERROR(VLOOKUP(K38,#REF!,3,FALSE),"N/A")</f>
        <v>N/A</v>
      </c>
      <c r="M38" s="223" t="s">
        <v>1586</v>
      </c>
      <c r="N38" s="197"/>
      <c r="O38" s="50"/>
      <c r="P38" s="406">
        <v>1</v>
      </c>
      <c r="Q38" s="295">
        <v>1670</v>
      </c>
      <c r="R38" s="196" t="s">
        <v>1595</v>
      </c>
      <c r="S38" s="105">
        <v>1720</v>
      </c>
    </row>
    <row r="39" spans="1:19" x14ac:dyDescent="0.25">
      <c r="A39" s="159" t="s">
        <v>1518</v>
      </c>
      <c r="B39" s="386">
        <v>28900</v>
      </c>
      <c r="C39" s="85" t="s">
        <v>1588</v>
      </c>
      <c r="D39" s="202" t="s">
        <v>1586</v>
      </c>
      <c r="E39" s="201" t="s">
        <v>1586</v>
      </c>
      <c r="F39" s="202" t="s">
        <v>1586</v>
      </c>
      <c r="G39" s="208">
        <v>4</v>
      </c>
      <c r="H39" s="202"/>
      <c r="I39" s="201" t="s">
        <v>1586</v>
      </c>
      <c r="J39" s="202" t="str">
        <f>IFERROR(VLOOKUP(I39,#REF!,3,FALSE),"N/A")</f>
        <v>N/A</v>
      </c>
      <c r="K39" s="201" t="s">
        <v>1586</v>
      </c>
      <c r="L39" s="202" t="str">
        <f>IFERROR(VLOOKUP(K39,#REF!,3,FALSE),"N/A")</f>
        <v>N/A</v>
      </c>
      <c r="M39" s="219" t="s">
        <v>1586</v>
      </c>
      <c r="N39" s="181"/>
      <c r="O39" s="130"/>
      <c r="P39" s="407">
        <v>3</v>
      </c>
      <c r="Q39" s="197">
        <v>4990</v>
      </c>
      <c r="R39" s="40" t="s">
        <v>1595</v>
      </c>
      <c r="S39" s="405">
        <v>1720</v>
      </c>
    </row>
    <row r="40" spans="1:19" ht="15.75" thickBot="1" x14ac:dyDescent="0.3">
      <c r="A40" s="160" t="s">
        <v>1520</v>
      </c>
      <c r="B40" s="387">
        <v>37380</v>
      </c>
      <c r="C40" s="93" t="s">
        <v>1588</v>
      </c>
      <c r="D40" s="205" t="s">
        <v>1586</v>
      </c>
      <c r="E40" s="204" t="s">
        <v>1586</v>
      </c>
      <c r="F40" s="202" t="s">
        <v>1586</v>
      </c>
      <c r="G40" s="209">
        <v>4</v>
      </c>
      <c r="H40" s="205"/>
      <c r="I40" s="204" t="s">
        <v>1586</v>
      </c>
      <c r="J40" s="205" t="str">
        <f>IFERROR(VLOOKUP(I40,#REF!,3,FALSE),"N/A")</f>
        <v>N/A</v>
      </c>
      <c r="K40" s="204" t="s">
        <v>1586</v>
      </c>
      <c r="L40" s="205" t="str">
        <f>IFERROR(VLOOKUP(K40,#REF!,3,FALSE),"N/A")</f>
        <v>N/A</v>
      </c>
      <c r="M40" s="220" t="s">
        <v>1586</v>
      </c>
      <c r="N40" s="181"/>
      <c r="O40" s="51"/>
      <c r="P40" s="408">
        <v>3</v>
      </c>
      <c r="Q40" s="227">
        <v>4990</v>
      </c>
      <c r="R40" s="404" t="s">
        <v>1595</v>
      </c>
      <c r="S40" s="250">
        <v>1720</v>
      </c>
    </row>
    <row r="41" spans="1:19" x14ac:dyDescent="0.25">
      <c r="A41" s="158" t="s">
        <v>1526</v>
      </c>
      <c r="B41" s="382">
        <v>870</v>
      </c>
      <c r="C41" s="86" t="s">
        <v>1586</v>
      </c>
      <c r="D41" s="200"/>
      <c r="E41" s="199" t="s">
        <v>1586</v>
      </c>
      <c r="F41" s="210"/>
      <c r="G41" s="199">
        <v>1</v>
      </c>
      <c r="H41" s="210"/>
      <c r="I41" s="199" t="s">
        <v>1586</v>
      </c>
      <c r="J41" s="210" t="str">
        <f>IFERROR(VLOOKUP(I41,#REF!,3,FALSE),"N/A")</f>
        <v>N/A</v>
      </c>
      <c r="K41" s="199" t="s">
        <v>1586</v>
      </c>
      <c r="L41" s="210"/>
      <c r="M41" s="218" t="s">
        <v>1586</v>
      </c>
      <c r="N41" s="210"/>
      <c r="P41" s="218"/>
      <c r="Q41" s="195"/>
      <c r="R41" s="196"/>
      <c r="S41" s="296"/>
    </row>
    <row r="42" spans="1:19" x14ac:dyDescent="0.25">
      <c r="A42" s="159" t="s">
        <v>1527</v>
      </c>
      <c r="B42" s="386">
        <v>1080</v>
      </c>
      <c r="C42" s="85" t="s">
        <v>1586</v>
      </c>
      <c r="D42" s="202"/>
      <c r="E42" s="201" t="s">
        <v>1586</v>
      </c>
      <c r="F42" s="211"/>
      <c r="G42" s="201">
        <v>1</v>
      </c>
      <c r="H42" s="211"/>
      <c r="I42" s="201" t="s">
        <v>1586</v>
      </c>
      <c r="J42" s="211" t="str">
        <f>IFERROR(VLOOKUP(I42,#REF!,3,FALSE),"N/A")</f>
        <v>N/A</v>
      </c>
      <c r="K42" s="201" t="s">
        <v>1586</v>
      </c>
      <c r="L42" s="211"/>
      <c r="M42" s="219" t="s">
        <v>1586</v>
      </c>
      <c r="N42" s="211"/>
      <c r="P42" s="219"/>
      <c r="Q42" s="193"/>
      <c r="R42" s="40"/>
      <c r="S42" s="47"/>
    </row>
    <row r="43" spans="1:19" x14ac:dyDescent="0.25">
      <c r="A43" s="159" t="s">
        <v>1528</v>
      </c>
      <c r="B43" s="386">
        <v>1700</v>
      </c>
      <c r="C43" s="85" t="s">
        <v>1586</v>
      </c>
      <c r="D43" s="202"/>
      <c r="E43" s="201" t="s">
        <v>1586</v>
      </c>
      <c r="F43" s="211"/>
      <c r="G43" s="201">
        <v>1</v>
      </c>
      <c r="H43" s="211"/>
      <c r="I43" s="201" t="s">
        <v>1586</v>
      </c>
      <c r="J43" s="211" t="str">
        <f>IFERROR(VLOOKUP(I43,#REF!,3,FALSE),"N/A")</f>
        <v>N/A</v>
      </c>
      <c r="K43" s="201" t="s">
        <v>1586</v>
      </c>
      <c r="L43" s="211"/>
      <c r="M43" s="219" t="s">
        <v>1586</v>
      </c>
      <c r="N43" s="211"/>
      <c r="P43" s="219"/>
      <c r="Q43" s="193"/>
      <c r="R43" s="40"/>
      <c r="S43" s="47"/>
    </row>
    <row r="44" spans="1:19" x14ac:dyDescent="0.25">
      <c r="A44" s="159" t="s">
        <v>1530</v>
      </c>
      <c r="B44" s="386">
        <v>1000</v>
      </c>
      <c r="C44" s="85" t="s">
        <v>1586</v>
      </c>
      <c r="D44" s="202"/>
      <c r="E44" s="201" t="s">
        <v>1586</v>
      </c>
      <c r="F44" s="211"/>
      <c r="G44" s="201">
        <v>1</v>
      </c>
      <c r="H44" s="211"/>
      <c r="I44" s="201" t="s">
        <v>1586</v>
      </c>
      <c r="J44" s="211" t="str">
        <f>IFERROR(VLOOKUP(I44,#REF!,3,FALSE),"N/A")</f>
        <v>N/A</v>
      </c>
      <c r="K44" s="201" t="s">
        <v>1586</v>
      </c>
      <c r="L44" s="211"/>
      <c r="M44" s="219" t="s">
        <v>1586</v>
      </c>
      <c r="N44" s="211"/>
      <c r="P44" s="219"/>
      <c r="Q44" s="193"/>
      <c r="R44" s="40"/>
      <c r="S44" s="47"/>
    </row>
    <row r="45" spans="1:19" x14ac:dyDescent="0.25">
      <c r="A45" s="159" t="s">
        <v>1531</v>
      </c>
      <c r="B45" s="386">
        <v>1220</v>
      </c>
      <c r="C45" s="85" t="s">
        <v>1586</v>
      </c>
      <c r="D45" s="202"/>
      <c r="E45" s="201" t="s">
        <v>1586</v>
      </c>
      <c r="F45" s="211"/>
      <c r="G45" s="201">
        <v>1</v>
      </c>
      <c r="H45" s="211"/>
      <c r="I45" s="201" t="s">
        <v>1586</v>
      </c>
      <c r="J45" s="211" t="str">
        <f>IFERROR(VLOOKUP(I45,#REF!,3,FALSE),"N/A")</f>
        <v>N/A</v>
      </c>
      <c r="K45" s="201" t="s">
        <v>1586</v>
      </c>
      <c r="L45" s="211"/>
      <c r="M45" s="219" t="s">
        <v>1586</v>
      </c>
      <c r="N45" s="211"/>
      <c r="P45" s="219"/>
      <c r="Q45" s="193"/>
      <c r="R45" s="40"/>
      <c r="S45" s="47"/>
    </row>
    <row r="46" spans="1:19" x14ac:dyDescent="0.25">
      <c r="A46" s="159" t="s">
        <v>1532</v>
      </c>
      <c r="B46" s="386">
        <v>1830</v>
      </c>
      <c r="C46" s="85" t="s">
        <v>1586</v>
      </c>
      <c r="D46" s="202"/>
      <c r="E46" s="201" t="s">
        <v>1586</v>
      </c>
      <c r="F46" s="211"/>
      <c r="G46" s="201">
        <v>1</v>
      </c>
      <c r="H46" s="211"/>
      <c r="I46" s="201" t="s">
        <v>1586</v>
      </c>
      <c r="J46" s="211" t="str">
        <f>IFERROR(VLOOKUP(I46,#REF!,3,FALSE),"N/A")</f>
        <v>N/A</v>
      </c>
      <c r="K46" s="201" t="s">
        <v>1586</v>
      </c>
      <c r="L46" s="211"/>
      <c r="M46" s="219" t="s">
        <v>1586</v>
      </c>
      <c r="N46" s="211"/>
      <c r="P46" s="219"/>
      <c r="Q46" s="193"/>
      <c r="R46" s="40"/>
      <c r="S46" s="47"/>
    </row>
    <row r="47" spans="1:19" x14ac:dyDescent="0.25">
      <c r="A47" s="159" t="s">
        <v>1533</v>
      </c>
      <c r="B47" s="386">
        <v>1460</v>
      </c>
      <c r="C47" s="85" t="s">
        <v>1586</v>
      </c>
      <c r="D47" s="202"/>
      <c r="E47" s="201" t="s">
        <v>1586</v>
      </c>
      <c r="F47" s="211"/>
      <c r="G47" s="201">
        <v>1</v>
      </c>
      <c r="H47" s="211"/>
      <c r="I47" s="201" t="s">
        <v>1586</v>
      </c>
      <c r="J47" s="211" t="str">
        <f>IFERROR(VLOOKUP(I47,#REF!,3,FALSE),"N/A")</f>
        <v>N/A</v>
      </c>
      <c r="K47" s="201" t="s">
        <v>1586</v>
      </c>
      <c r="L47" s="211"/>
      <c r="M47" s="219" t="s">
        <v>1586</v>
      </c>
      <c r="N47" s="211"/>
      <c r="P47" s="219"/>
      <c r="Q47" s="193"/>
      <c r="R47" s="40"/>
      <c r="S47" s="47"/>
    </row>
    <row r="48" spans="1:19" x14ac:dyDescent="0.25">
      <c r="A48" s="159" t="s">
        <v>1534</v>
      </c>
      <c r="B48" s="386">
        <v>1680</v>
      </c>
      <c r="C48" s="85" t="s">
        <v>1586</v>
      </c>
      <c r="D48" s="202"/>
      <c r="E48" s="201" t="s">
        <v>1586</v>
      </c>
      <c r="F48" s="211"/>
      <c r="G48" s="201">
        <v>1</v>
      </c>
      <c r="H48" s="211"/>
      <c r="I48" s="201" t="s">
        <v>1586</v>
      </c>
      <c r="J48" s="211" t="str">
        <f>IFERROR(VLOOKUP(I48,#REF!,3,FALSE),"N/A")</f>
        <v>N/A</v>
      </c>
      <c r="K48" s="201" t="s">
        <v>1586</v>
      </c>
      <c r="L48" s="211"/>
      <c r="M48" s="219" t="s">
        <v>1586</v>
      </c>
      <c r="N48" s="211"/>
      <c r="P48" s="219"/>
      <c r="Q48" s="193"/>
      <c r="R48" s="40"/>
      <c r="S48" s="47"/>
    </row>
    <row r="49" spans="1:19" x14ac:dyDescent="0.25">
      <c r="A49" s="159" t="s">
        <v>1535</v>
      </c>
      <c r="B49" s="386">
        <v>2200</v>
      </c>
      <c r="C49" s="85" t="s">
        <v>1586</v>
      </c>
      <c r="D49" s="202"/>
      <c r="E49" s="201" t="s">
        <v>1586</v>
      </c>
      <c r="F49" s="211"/>
      <c r="G49" s="201">
        <v>1</v>
      </c>
      <c r="H49" s="211"/>
      <c r="I49" s="201" t="s">
        <v>1586</v>
      </c>
      <c r="J49" s="211" t="str">
        <f>IFERROR(VLOOKUP(I49,#REF!,3,FALSE),"N/A")</f>
        <v>N/A</v>
      </c>
      <c r="K49" s="201" t="s">
        <v>1586</v>
      </c>
      <c r="L49" s="211"/>
      <c r="M49" s="219" t="s">
        <v>1586</v>
      </c>
      <c r="N49" s="211"/>
      <c r="P49" s="219"/>
      <c r="Q49" s="193"/>
      <c r="R49" s="40"/>
      <c r="S49" s="47"/>
    </row>
    <row r="50" spans="1:19" x14ac:dyDescent="0.25">
      <c r="A50" s="159" t="s">
        <v>1536</v>
      </c>
      <c r="B50" s="386">
        <v>2500</v>
      </c>
      <c r="C50" s="85" t="s">
        <v>1586</v>
      </c>
      <c r="D50" s="202"/>
      <c r="E50" s="201" t="s">
        <v>1586</v>
      </c>
      <c r="F50" s="211"/>
      <c r="G50" s="201">
        <v>1</v>
      </c>
      <c r="H50" s="211"/>
      <c r="I50" s="201" t="s">
        <v>1586</v>
      </c>
      <c r="J50" s="211" t="str">
        <f>IFERROR(VLOOKUP(I50,#REF!,3,FALSE),"N/A")</f>
        <v>N/A</v>
      </c>
      <c r="K50" s="201" t="s">
        <v>1586</v>
      </c>
      <c r="L50" s="211"/>
      <c r="M50" s="219" t="s">
        <v>1586</v>
      </c>
      <c r="N50" s="211"/>
      <c r="P50" s="219"/>
      <c r="Q50" s="193"/>
      <c r="R50" s="40"/>
      <c r="S50" s="47"/>
    </row>
    <row r="51" spans="1:19" x14ac:dyDescent="0.25">
      <c r="A51" s="159" t="s">
        <v>1537</v>
      </c>
      <c r="B51" s="386">
        <v>2720</v>
      </c>
      <c r="C51" s="85" t="s">
        <v>1586</v>
      </c>
      <c r="D51" s="202"/>
      <c r="E51" s="201" t="s">
        <v>1586</v>
      </c>
      <c r="F51" s="211"/>
      <c r="G51" s="201">
        <v>1</v>
      </c>
      <c r="H51" s="211"/>
      <c r="I51" s="201" t="s">
        <v>1586</v>
      </c>
      <c r="J51" s="211" t="str">
        <f>IFERROR(VLOOKUP(I51,#REF!,3,FALSE),"N/A")</f>
        <v>N/A</v>
      </c>
      <c r="K51" s="201" t="s">
        <v>1586</v>
      </c>
      <c r="L51" s="211"/>
      <c r="M51" s="219" t="s">
        <v>1586</v>
      </c>
      <c r="N51" s="211"/>
      <c r="P51" s="219"/>
      <c r="Q51" s="193"/>
      <c r="R51" s="40"/>
      <c r="S51" s="47"/>
    </row>
    <row r="52" spans="1:19" x14ac:dyDescent="0.25">
      <c r="A52" s="159" t="s">
        <v>1538</v>
      </c>
      <c r="B52" s="386">
        <v>3190</v>
      </c>
      <c r="C52" s="85" t="s">
        <v>1586</v>
      </c>
      <c r="D52" s="202"/>
      <c r="E52" s="201" t="s">
        <v>1586</v>
      </c>
      <c r="F52" s="211"/>
      <c r="G52" s="201">
        <v>1</v>
      </c>
      <c r="H52" s="211"/>
      <c r="I52" s="201" t="s">
        <v>1586</v>
      </c>
      <c r="J52" s="211" t="str">
        <f>IFERROR(VLOOKUP(I52,#REF!,3,FALSE),"N/A")</f>
        <v>N/A</v>
      </c>
      <c r="K52" s="201" t="s">
        <v>1586</v>
      </c>
      <c r="L52" s="211"/>
      <c r="M52" s="219" t="s">
        <v>1586</v>
      </c>
      <c r="N52" s="211"/>
      <c r="P52" s="219"/>
      <c r="Q52" s="193"/>
      <c r="R52" s="40"/>
      <c r="S52" s="47"/>
    </row>
    <row r="53" spans="1:19" x14ac:dyDescent="0.25">
      <c r="A53" s="159" t="s">
        <v>1539</v>
      </c>
      <c r="B53" s="386">
        <v>2890</v>
      </c>
      <c r="C53" s="85" t="s">
        <v>1586</v>
      </c>
      <c r="D53" s="202"/>
      <c r="E53" s="201" t="s">
        <v>1586</v>
      </c>
      <c r="F53" s="211"/>
      <c r="G53" s="201">
        <v>1</v>
      </c>
      <c r="H53" s="211"/>
      <c r="I53" s="201" t="s">
        <v>1586</v>
      </c>
      <c r="J53" s="211" t="str">
        <f>IFERROR(VLOOKUP(I53,#REF!,3,FALSE),"N/A")</f>
        <v>N/A</v>
      </c>
      <c r="K53" s="201" t="s">
        <v>1586</v>
      </c>
      <c r="L53" s="211"/>
      <c r="M53" s="219" t="s">
        <v>1586</v>
      </c>
      <c r="N53" s="211"/>
      <c r="P53" s="219"/>
      <c r="Q53" s="193"/>
      <c r="R53" s="40"/>
      <c r="S53" s="47"/>
    </row>
    <row r="54" spans="1:19" x14ac:dyDescent="0.25">
      <c r="A54" s="159" t="s">
        <v>1540</v>
      </c>
      <c r="B54" s="386">
        <v>3040</v>
      </c>
      <c r="C54" s="85" t="s">
        <v>1586</v>
      </c>
      <c r="D54" s="202"/>
      <c r="E54" s="201" t="s">
        <v>1586</v>
      </c>
      <c r="F54" s="211"/>
      <c r="G54" s="201">
        <v>1</v>
      </c>
      <c r="H54" s="211"/>
      <c r="I54" s="201" t="s">
        <v>1586</v>
      </c>
      <c r="J54" s="211" t="str">
        <f>IFERROR(VLOOKUP(I54,#REF!,3,FALSE),"N/A")</f>
        <v>N/A</v>
      </c>
      <c r="K54" s="201" t="s">
        <v>1586</v>
      </c>
      <c r="L54" s="211"/>
      <c r="M54" s="219" t="s">
        <v>1586</v>
      </c>
      <c r="N54" s="211"/>
      <c r="P54" s="219"/>
      <c r="Q54" s="193"/>
      <c r="R54" s="40"/>
      <c r="S54" s="47"/>
    </row>
    <row r="55" spans="1:19" ht="15.75" thickBot="1" x14ac:dyDescent="0.3">
      <c r="A55" s="276" t="s">
        <v>1541</v>
      </c>
      <c r="B55" s="388">
        <v>3640</v>
      </c>
      <c r="C55" s="198" t="s">
        <v>1586</v>
      </c>
      <c r="D55" s="299"/>
      <c r="E55" s="203" t="s">
        <v>1586</v>
      </c>
      <c r="F55" s="300"/>
      <c r="G55" s="203">
        <v>1</v>
      </c>
      <c r="H55" s="300"/>
      <c r="I55" s="203" t="s">
        <v>1586</v>
      </c>
      <c r="J55" s="300" t="str">
        <f>IFERROR(VLOOKUP(I55,#REF!,3,FALSE),"N/A")</f>
        <v>N/A</v>
      </c>
      <c r="K55" s="203" t="s">
        <v>1586</v>
      </c>
      <c r="L55" s="300"/>
      <c r="M55" s="301" t="s">
        <v>1586</v>
      </c>
      <c r="N55" s="300"/>
      <c r="P55" s="220"/>
      <c r="Q55" s="194"/>
      <c r="R55" s="48"/>
      <c r="S55" s="49"/>
    </row>
    <row r="56" spans="1:19" ht="15" customHeight="1" x14ac:dyDescent="0.25">
      <c r="A56" s="314" t="s">
        <v>1559</v>
      </c>
      <c r="B56" s="398">
        <v>2420</v>
      </c>
      <c r="C56" s="316"/>
      <c r="D56" s="315"/>
      <c r="E56" s="316"/>
      <c r="F56" s="315"/>
      <c r="G56" s="316"/>
      <c r="H56" s="315"/>
      <c r="I56" s="316"/>
      <c r="J56" s="315"/>
      <c r="K56" s="316"/>
      <c r="L56" s="315"/>
      <c r="M56" s="316"/>
      <c r="N56" s="315"/>
      <c r="O56" s="316"/>
      <c r="P56" s="304"/>
      <c r="Q56" s="323"/>
      <c r="R56" s="304"/>
      <c r="S56" s="325"/>
    </row>
    <row r="57" spans="1:19" ht="15" customHeight="1" x14ac:dyDescent="0.25">
      <c r="A57" s="317" t="s">
        <v>1560</v>
      </c>
      <c r="B57" s="399">
        <v>2730</v>
      </c>
      <c r="C57" s="83"/>
      <c r="D57" s="313"/>
      <c r="E57" s="83"/>
      <c r="F57" s="313"/>
      <c r="G57" s="83"/>
      <c r="H57" s="313"/>
      <c r="I57" s="83"/>
      <c r="J57" s="313"/>
      <c r="K57" s="83"/>
      <c r="L57" s="313"/>
      <c r="M57" s="83"/>
      <c r="N57" s="313"/>
      <c r="O57" s="83"/>
      <c r="P57" s="83"/>
      <c r="Q57" s="313"/>
      <c r="R57" s="83"/>
      <c r="S57" s="318"/>
    </row>
    <row r="58" spans="1:19" ht="15" customHeight="1" x14ac:dyDescent="0.25">
      <c r="A58" s="317" t="s">
        <v>1561</v>
      </c>
      <c r="B58" s="399">
        <v>4300</v>
      </c>
      <c r="C58" s="83"/>
      <c r="D58" s="313"/>
      <c r="E58" s="83"/>
      <c r="F58" s="313"/>
      <c r="G58" s="83"/>
      <c r="H58" s="313"/>
      <c r="I58" s="83"/>
      <c r="J58" s="313"/>
      <c r="K58" s="83"/>
      <c r="L58" s="313"/>
      <c r="M58" s="83"/>
      <c r="N58" s="313"/>
      <c r="O58" s="83"/>
      <c r="P58" s="83"/>
      <c r="Q58" s="313"/>
      <c r="R58" s="83"/>
      <c r="S58" s="318"/>
    </row>
    <row r="59" spans="1:19" ht="15" customHeight="1" x14ac:dyDescent="0.25">
      <c r="A59" s="317" t="s">
        <v>1562</v>
      </c>
      <c r="B59" s="399">
        <v>12770</v>
      </c>
      <c r="C59" s="83"/>
      <c r="D59" s="313"/>
      <c r="E59" s="83"/>
      <c r="F59" s="313"/>
      <c r="G59" s="83"/>
      <c r="H59" s="313"/>
      <c r="I59" s="83"/>
      <c r="J59" s="313"/>
      <c r="K59" s="83"/>
      <c r="L59" s="313"/>
      <c r="M59" s="83"/>
      <c r="N59" s="313"/>
      <c r="O59" s="83"/>
      <c r="P59" s="83"/>
      <c r="Q59" s="313"/>
      <c r="R59" s="83"/>
      <c r="S59" s="318"/>
    </row>
    <row r="60" spans="1:19" ht="15" customHeight="1" x14ac:dyDescent="0.25">
      <c r="A60" s="317" t="s">
        <v>1563</v>
      </c>
      <c r="B60" s="399">
        <v>15260</v>
      </c>
      <c r="C60" s="83"/>
      <c r="D60" s="313"/>
      <c r="E60" s="83"/>
      <c r="F60" s="313"/>
      <c r="G60" s="83"/>
      <c r="H60" s="313"/>
      <c r="I60" s="83"/>
      <c r="J60" s="313"/>
      <c r="K60" s="83"/>
      <c r="L60" s="313"/>
      <c r="M60" s="83"/>
      <c r="N60" s="313"/>
      <c r="O60" s="83"/>
      <c r="P60" s="83"/>
      <c r="Q60" s="313"/>
      <c r="R60" s="83"/>
      <c r="S60" s="318"/>
    </row>
    <row r="61" spans="1:19" ht="15" customHeight="1" x14ac:dyDescent="0.25">
      <c r="A61" s="319" t="s">
        <v>1564</v>
      </c>
      <c r="B61" s="400">
        <v>23150</v>
      </c>
      <c r="C61" s="321"/>
      <c r="D61" s="320"/>
      <c r="E61" s="321"/>
      <c r="F61" s="320"/>
      <c r="G61" s="321"/>
      <c r="H61" s="320"/>
      <c r="I61" s="321"/>
      <c r="J61" s="320"/>
      <c r="K61" s="321"/>
      <c r="L61" s="320"/>
      <c r="M61" s="321"/>
      <c r="N61" s="320"/>
      <c r="O61" s="321"/>
      <c r="P61" s="321"/>
      <c r="Q61" s="320"/>
      <c r="R61" s="321"/>
      <c r="S61" s="322"/>
    </row>
    <row r="62" spans="1:19" ht="15" customHeight="1" x14ac:dyDescent="0.25">
      <c r="A62" s="324" t="s">
        <v>1565</v>
      </c>
      <c r="B62" s="398">
        <v>10230</v>
      </c>
      <c r="C62" s="304"/>
      <c r="D62" s="323"/>
      <c r="E62" s="304"/>
      <c r="F62" s="323"/>
      <c r="G62" s="304"/>
      <c r="H62" s="323"/>
      <c r="I62" s="304"/>
      <c r="J62" s="323"/>
      <c r="K62" s="304"/>
      <c r="L62" s="323"/>
      <c r="M62" s="304"/>
      <c r="N62" s="323"/>
      <c r="O62" s="304"/>
      <c r="P62" s="304"/>
      <c r="Q62" s="323"/>
      <c r="R62" s="304"/>
      <c r="S62" s="325"/>
    </row>
    <row r="63" spans="1:19" ht="15" customHeight="1" thickBot="1" x14ac:dyDescent="0.3">
      <c r="A63" s="319" t="s">
        <v>1566</v>
      </c>
      <c r="B63" s="400">
        <v>10770</v>
      </c>
      <c r="C63" s="321"/>
      <c r="D63" s="320"/>
      <c r="E63" s="321"/>
      <c r="F63" s="320"/>
      <c r="G63" s="321"/>
      <c r="H63" s="320"/>
      <c r="I63" s="321"/>
      <c r="J63" s="320"/>
      <c r="K63" s="321"/>
      <c r="L63" s="320"/>
      <c r="M63" s="321"/>
      <c r="N63" s="320"/>
      <c r="O63" s="321"/>
      <c r="P63" s="321"/>
      <c r="Q63" s="320"/>
      <c r="R63" s="321"/>
      <c r="S63" s="322"/>
    </row>
    <row r="64" spans="1:19" ht="15" customHeight="1" x14ac:dyDescent="0.25">
      <c r="A64" s="324" t="s">
        <v>1030</v>
      </c>
      <c r="B64" s="398">
        <v>14000</v>
      </c>
      <c r="C64" s="304"/>
      <c r="D64" s="323"/>
      <c r="E64" s="304"/>
      <c r="F64" s="323"/>
      <c r="G64" s="304"/>
      <c r="H64" s="323"/>
      <c r="I64" s="304"/>
      <c r="J64" s="323"/>
      <c r="K64" s="304"/>
      <c r="L64" s="323"/>
      <c r="M64" s="304"/>
      <c r="N64" s="323"/>
      <c r="O64" s="304"/>
      <c r="P64" s="304"/>
      <c r="Q64" s="323"/>
      <c r="R64" s="304"/>
      <c r="S64" s="325"/>
    </row>
    <row r="65" spans="1:19" ht="15" customHeight="1" thickBot="1" x14ac:dyDescent="0.3">
      <c r="A65" s="319" t="s">
        <v>1031</v>
      </c>
      <c r="B65" s="622">
        <v>16500</v>
      </c>
      <c r="C65" s="321"/>
      <c r="D65" s="320"/>
      <c r="E65" s="321"/>
      <c r="F65" s="320"/>
      <c r="G65" s="321"/>
      <c r="H65" s="320"/>
      <c r="I65" s="321"/>
      <c r="J65" s="320"/>
      <c r="K65" s="321"/>
      <c r="L65" s="320"/>
      <c r="M65" s="321"/>
      <c r="N65" s="320"/>
      <c r="O65" s="321"/>
      <c r="P65" s="321"/>
      <c r="Q65" s="320"/>
      <c r="R65" s="321"/>
      <c r="S65" s="322"/>
    </row>
    <row r="66" spans="1:19" ht="15" customHeight="1" x14ac:dyDescent="0.25">
      <c r="A66" s="324" t="s">
        <v>1032</v>
      </c>
      <c r="B66" s="398">
        <v>25450</v>
      </c>
      <c r="C66" s="304"/>
      <c r="D66" s="323"/>
      <c r="E66" s="304"/>
      <c r="F66" s="323"/>
      <c r="G66" s="304"/>
      <c r="H66" s="323"/>
      <c r="I66" s="304"/>
      <c r="J66" s="323"/>
      <c r="K66" s="304"/>
      <c r="L66" s="323"/>
      <c r="M66" s="304"/>
      <c r="N66" s="323"/>
      <c r="O66" s="304"/>
      <c r="P66" s="304"/>
      <c r="Q66" s="323"/>
      <c r="R66" s="304"/>
      <c r="S66" s="325"/>
    </row>
    <row r="67" spans="1:19" ht="15" customHeight="1" x14ac:dyDescent="0.25">
      <c r="A67" s="317" t="s">
        <v>1033</v>
      </c>
      <c r="B67" s="399">
        <v>27850</v>
      </c>
      <c r="C67" s="83"/>
      <c r="D67" s="313"/>
      <c r="E67" s="83"/>
      <c r="F67" s="313"/>
      <c r="G67" s="83"/>
      <c r="H67" s="313"/>
      <c r="I67" s="83"/>
      <c r="J67" s="313"/>
      <c r="K67" s="83"/>
      <c r="L67" s="313"/>
      <c r="M67" s="83"/>
      <c r="N67" s="313"/>
      <c r="O67" s="83"/>
      <c r="P67" s="83"/>
      <c r="Q67" s="313"/>
      <c r="R67" s="83"/>
      <c r="S67" s="318"/>
    </row>
    <row r="68" spans="1:19" ht="15" customHeight="1" x14ac:dyDescent="0.25">
      <c r="A68" s="317" t="s">
        <v>1034</v>
      </c>
      <c r="B68" s="399">
        <v>30450</v>
      </c>
      <c r="C68" s="83"/>
      <c r="D68" s="313"/>
      <c r="E68" s="83"/>
      <c r="F68" s="313"/>
      <c r="G68" s="83"/>
      <c r="H68" s="313"/>
      <c r="I68" s="83"/>
      <c r="J68" s="313"/>
      <c r="K68" s="83"/>
      <c r="L68" s="313"/>
      <c r="M68" s="83"/>
      <c r="N68" s="313"/>
      <c r="O68" s="83"/>
      <c r="P68" s="83"/>
      <c r="Q68" s="313"/>
      <c r="R68" s="83"/>
      <c r="S68" s="318"/>
    </row>
    <row r="69" spans="1:19" ht="15" customHeight="1" thickBot="1" x14ac:dyDescent="0.3">
      <c r="A69" s="319" t="s">
        <v>1035</v>
      </c>
      <c r="B69" s="400">
        <v>34120</v>
      </c>
      <c r="C69" s="321"/>
      <c r="D69" s="320"/>
      <c r="E69" s="321"/>
      <c r="F69" s="320"/>
      <c r="G69" s="321"/>
      <c r="H69" s="320"/>
      <c r="I69" s="321"/>
      <c r="J69" s="320"/>
      <c r="K69" s="321"/>
      <c r="L69" s="320"/>
      <c r="M69" s="321"/>
      <c r="N69" s="320"/>
      <c r="O69" s="321"/>
      <c r="P69" s="321"/>
      <c r="Q69" s="320"/>
      <c r="R69" s="321"/>
      <c r="S69" s="322"/>
    </row>
    <row r="70" spans="1:19" ht="15" customHeight="1" x14ac:dyDescent="0.25">
      <c r="A70" s="324" t="s">
        <v>1036</v>
      </c>
      <c r="B70" s="398">
        <v>0</v>
      </c>
      <c r="C70" s="304"/>
      <c r="D70" s="323"/>
      <c r="E70" s="304"/>
      <c r="F70" s="323"/>
      <c r="G70" s="304"/>
      <c r="H70" s="323"/>
      <c r="I70" s="304"/>
      <c r="J70" s="323"/>
      <c r="K70" s="304"/>
      <c r="L70" s="323"/>
      <c r="M70" s="304"/>
      <c r="N70" s="323"/>
      <c r="O70" s="304"/>
      <c r="P70" s="304"/>
      <c r="Q70" s="323"/>
      <c r="R70" s="304"/>
      <c r="S70" s="325"/>
    </row>
    <row r="71" spans="1:19" ht="15" customHeight="1" x14ac:dyDescent="0.25">
      <c r="A71" s="317" t="s">
        <v>1037</v>
      </c>
      <c r="B71" s="399">
        <v>0</v>
      </c>
      <c r="C71" s="83"/>
      <c r="D71" s="313"/>
      <c r="E71" s="83"/>
      <c r="F71" s="313"/>
      <c r="G71" s="83"/>
      <c r="H71" s="313"/>
      <c r="I71" s="83"/>
      <c r="J71" s="313"/>
      <c r="K71" s="83"/>
      <c r="L71" s="313"/>
      <c r="M71" s="83"/>
      <c r="N71" s="313"/>
      <c r="O71" s="83"/>
      <c r="P71" s="83"/>
      <c r="Q71" s="313"/>
      <c r="R71" s="83"/>
      <c r="S71" s="318"/>
    </row>
    <row r="72" spans="1:19" ht="15" customHeight="1" x14ac:dyDescent="0.25">
      <c r="A72" s="317" t="s">
        <v>1038</v>
      </c>
      <c r="B72" s="399">
        <v>0</v>
      </c>
      <c r="C72" s="83"/>
      <c r="D72" s="313"/>
      <c r="E72" s="83"/>
      <c r="F72" s="313"/>
      <c r="G72" s="83"/>
      <c r="H72" s="313"/>
      <c r="I72" s="83"/>
      <c r="J72" s="313"/>
      <c r="K72" s="83"/>
      <c r="L72" s="313"/>
      <c r="M72" s="83"/>
      <c r="N72" s="313"/>
      <c r="O72" s="83"/>
      <c r="P72" s="83"/>
      <c r="Q72" s="313"/>
      <c r="R72" s="83"/>
      <c r="S72" s="318"/>
    </row>
    <row r="73" spans="1:19" ht="15" customHeight="1" x14ac:dyDescent="0.25">
      <c r="A73" s="317" t="s">
        <v>1039</v>
      </c>
      <c r="B73" s="399">
        <v>0</v>
      </c>
      <c r="C73" s="83"/>
      <c r="D73" s="313"/>
      <c r="E73" s="83"/>
      <c r="F73" s="313"/>
      <c r="G73" s="83"/>
      <c r="H73" s="313"/>
      <c r="I73" s="83"/>
      <c r="J73" s="313"/>
      <c r="K73" s="83"/>
      <c r="L73" s="313"/>
      <c r="M73" s="83"/>
      <c r="N73" s="313"/>
      <c r="O73" s="83"/>
      <c r="P73" s="83"/>
      <c r="Q73" s="313"/>
      <c r="R73" s="83"/>
      <c r="S73" s="318"/>
    </row>
    <row r="74" spans="1:19" ht="15" customHeight="1" thickBot="1" x14ac:dyDescent="0.3">
      <c r="A74" s="375" t="s">
        <v>1040</v>
      </c>
      <c r="B74" s="401">
        <v>0</v>
      </c>
      <c r="C74" s="377"/>
      <c r="D74" s="376"/>
      <c r="E74" s="377"/>
      <c r="F74" s="376"/>
      <c r="G74" s="377"/>
      <c r="H74" s="376"/>
      <c r="I74" s="377"/>
      <c r="J74" s="376"/>
      <c r="K74" s="377"/>
      <c r="L74" s="376"/>
      <c r="M74" s="377"/>
      <c r="N74" s="376"/>
      <c r="O74" s="377"/>
      <c r="P74" s="377"/>
      <c r="Q74" s="376"/>
      <c r="R74" s="377"/>
      <c r="S74" s="378"/>
    </row>
    <row r="75" spans="1:19" ht="15" customHeight="1" x14ac:dyDescent="0.25">
      <c r="A75" s="364" t="s">
        <v>1042</v>
      </c>
      <c r="B75" s="133">
        <v>47700</v>
      </c>
      <c r="C75" s="196"/>
      <c r="D75" s="380"/>
      <c r="E75" s="196"/>
      <c r="F75" s="380"/>
      <c r="G75" s="196"/>
      <c r="H75" s="380"/>
      <c r="I75" s="196"/>
      <c r="J75" s="380"/>
      <c r="K75" s="196"/>
      <c r="L75" s="380"/>
      <c r="M75" s="196"/>
      <c r="N75" s="380"/>
      <c r="O75" s="196"/>
      <c r="P75" s="196"/>
      <c r="Q75" s="380"/>
      <c r="R75" s="196"/>
      <c r="S75" s="296"/>
    </row>
    <row r="76" spans="1:19" ht="15" customHeight="1" x14ac:dyDescent="0.25">
      <c r="A76" s="365" t="s">
        <v>1045</v>
      </c>
      <c r="B76" s="127">
        <v>49850</v>
      </c>
      <c r="C76" s="40"/>
      <c r="D76" s="379"/>
      <c r="E76" s="40"/>
      <c r="F76" s="379"/>
      <c r="G76" s="40"/>
      <c r="H76" s="379"/>
      <c r="I76" s="40"/>
      <c r="J76" s="379"/>
      <c r="K76" s="40"/>
      <c r="L76" s="379"/>
      <c r="M76" s="40"/>
      <c r="N76" s="379"/>
      <c r="O76" s="40"/>
      <c r="P76" s="40"/>
      <c r="Q76" s="379"/>
      <c r="R76" s="40"/>
      <c r="S76" s="47"/>
    </row>
    <row r="77" spans="1:19" ht="15" customHeight="1" x14ac:dyDescent="0.25">
      <c r="A77" s="365" t="s">
        <v>1048</v>
      </c>
      <c r="B77" s="127">
        <v>61350</v>
      </c>
      <c r="C77" s="40"/>
      <c r="D77" s="379"/>
      <c r="E77" s="40"/>
      <c r="F77" s="379"/>
      <c r="G77" s="40"/>
      <c r="H77" s="379"/>
      <c r="I77" s="40"/>
      <c r="J77" s="379"/>
      <c r="K77" s="40"/>
      <c r="L77" s="379"/>
      <c r="M77" s="40"/>
      <c r="N77" s="379"/>
      <c r="O77" s="40"/>
      <c r="P77" s="40"/>
      <c r="Q77" s="379"/>
      <c r="R77" s="40"/>
      <c r="S77" s="47"/>
    </row>
    <row r="78" spans="1:19" ht="15" customHeight="1" x14ac:dyDescent="0.25">
      <c r="A78" s="365" t="s">
        <v>1051</v>
      </c>
      <c r="B78" s="127">
        <v>28540</v>
      </c>
      <c r="C78" s="40"/>
      <c r="D78" s="379"/>
      <c r="E78" s="40"/>
      <c r="F78" s="379"/>
      <c r="G78" s="40"/>
      <c r="H78" s="379"/>
      <c r="I78" s="40"/>
      <c r="J78" s="379"/>
      <c r="K78" s="40"/>
      <c r="L78" s="379"/>
      <c r="M78" s="40"/>
      <c r="N78" s="379"/>
      <c r="O78" s="40"/>
      <c r="P78" s="40"/>
      <c r="Q78" s="379"/>
      <c r="R78" s="40"/>
      <c r="S78" s="47"/>
    </row>
    <row r="79" spans="1:19" ht="15" customHeight="1" x14ac:dyDescent="0.25">
      <c r="A79" s="365" t="s">
        <v>1054</v>
      </c>
      <c r="B79" s="127">
        <v>31400</v>
      </c>
      <c r="C79" s="40"/>
      <c r="D79" s="379"/>
      <c r="E79" s="40"/>
      <c r="F79" s="379"/>
      <c r="G79" s="40"/>
      <c r="H79" s="379"/>
      <c r="I79" s="40"/>
      <c r="J79" s="379"/>
      <c r="K79" s="40"/>
      <c r="L79" s="379"/>
      <c r="M79" s="40"/>
      <c r="N79" s="379"/>
      <c r="O79" s="40"/>
      <c r="P79" s="40"/>
      <c r="Q79" s="379"/>
      <c r="R79" s="40"/>
      <c r="S79" s="47"/>
    </row>
    <row r="80" spans="1:19" ht="15" customHeight="1" x14ac:dyDescent="0.25">
      <c r="A80" s="365" t="s">
        <v>1057</v>
      </c>
      <c r="B80" s="127">
        <v>35950</v>
      </c>
      <c r="C80" s="40"/>
      <c r="D80" s="379"/>
      <c r="E80" s="40"/>
      <c r="F80" s="379"/>
      <c r="G80" s="40"/>
      <c r="H80" s="379"/>
      <c r="I80" s="40"/>
      <c r="J80" s="379"/>
      <c r="K80" s="40"/>
      <c r="L80" s="379"/>
      <c r="M80" s="40"/>
      <c r="N80" s="379"/>
      <c r="O80" s="40"/>
      <c r="P80" s="40"/>
      <c r="Q80" s="379"/>
      <c r="R80" s="40"/>
      <c r="S80" s="47"/>
    </row>
    <row r="81" spans="1:19" ht="15" customHeight="1" x14ac:dyDescent="0.25">
      <c r="A81" s="365" t="s">
        <v>1060</v>
      </c>
      <c r="B81" s="127">
        <v>51540</v>
      </c>
      <c r="C81" s="40"/>
      <c r="D81" s="379"/>
      <c r="E81" s="40"/>
      <c r="F81" s="379"/>
      <c r="G81" s="40"/>
      <c r="H81" s="379"/>
      <c r="I81" s="40"/>
      <c r="J81" s="379"/>
      <c r="K81" s="40"/>
      <c r="L81" s="379"/>
      <c r="M81" s="40"/>
      <c r="N81" s="379"/>
      <c r="O81" s="40"/>
      <c r="P81" s="40"/>
      <c r="Q81" s="379"/>
      <c r="R81" s="40"/>
      <c r="S81" s="47"/>
    </row>
    <row r="82" spans="1:19" ht="15" customHeight="1" x14ac:dyDescent="0.25">
      <c r="A82" s="365" t="s">
        <v>1063</v>
      </c>
      <c r="B82" s="127">
        <v>67950</v>
      </c>
      <c r="C82" s="40"/>
      <c r="D82" s="379"/>
      <c r="E82" s="40"/>
      <c r="F82" s="379"/>
      <c r="G82" s="40"/>
      <c r="H82" s="379"/>
      <c r="I82" s="40"/>
      <c r="J82" s="379"/>
      <c r="K82" s="40"/>
      <c r="L82" s="379"/>
      <c r="M82" s="40"/>
      <c r="N82" s="379"/>
      <c r="O82" s="40"/>
      <c r="P82" s="40"/>
      <c r="Q82" s="379"/>
      <c r="R82" s="40"/>
      <c r="S82" s="47"/>
    </row>
    <row r="83" spans="1:19" ht="15" customHeight="1" x14ac:dyDescent="0.25">
      <c r="A83" s="365" t="s">
        <v>1066</v>
      </c>
      <c r="B83" s="127">
        <v>90450</v>
      </c>
      <c r="C83" s="40"/>
      <c r="D83" s="379"/>
      <c r="E83" s="40"/>
      <c r="F83" s="379"/>
      <c r="G83" s="40"/>
      <c r="H83" s="379"/>
      <c r="I83" s="40"/>
      <c r="J83" s="379"/>
      <c r="K83" s="40"/>
      <c r="L83" s="379"/>
      <c r="M83" s="40"/>
      <c r="N83" s="379"/>
      <c r="O83" s="40"/>
      <c r="P83" s="40"/>
      <c r="Q83" s="379"/>
      <c r="R83" s="40"/>
      <c r="S83" s="47"/>
    </row>
    <row r="84" spans="1:19" ht="15" customHeight="1" x14ac:dyDescent="0.25">
      <c r="A84" s="365" t="s">
        <v>1069</v>
      </c>
      <c r="B84" s="127">
        <v>59440</v>
      </c>
      <c r="C84" s="40"/>
      <c r="D84" s="379"/>
      <c r="E84" s="40"/>
      <c r="F84" s="379"/>
      <c r="G84" s="40"/>
      <c r="H84" s="379"/>
      <c r="I84" s="40"/>
      <c r="J84" s="379"/>
      <c r="K84" s="40"/>
      <c r="L84" s="379"/>
      <c r="M84" s="40"/>
      <c r="N84" s="379"/>
      <c r="O84" s="40"/>
      <c r="P84" s="40"/>
      <c r="Q84" s="379"/>
      <c r="R84" s="40"/>
      <c r="S84" s="47"/>
    </row>
    <row r="85" spans="1:19" ht="15" customHeight="1" x14ac:dyDescent="0.25">
      <c r="A85" s="365" t="s">
        <v>1072</v>
      </c>
      <c r="B85" s="127">
        <v>72450</v>
      </c>
      <c r="C85" s="40"/>
      <c r="D85" s="379"/>
      <c r="E85" s="40"/>
      <c r="F85" s="379"/>
      <c r="G85" s="40"/>
      <c r="H85" s="379"/>
      <c r="I85" s="40"/>
      <c r="J85" s="379"/>
      <c r="K85" s="40"/>
      <c r="L85" s="379"/>
      <c r="M85" s="40"/>
      <c r="N85" s="379"/>
      <c r="O85" s="40"/>
      <c r="P85" s="40"/>
      <c r="Q85" s="379"/>
      <c r="R85" s="40"/>
      <c r="S85" s="47"/>
    </row>
    <row r="86" spans="1:19" ht="15" customHeight="1" x14ac:dyDescent="0.25">
      <c r="A86" s="365" t="s">
        <v>1075</v>
      </c>
      <c r="B86" s="127">
        <v>94950</v>
      </c>
      <c r="C86" s="40"/>
      <c r="D86" s="379"/>
      <c r="E86" s="40"/>
      <c r="F86" s="379"/>
      <c r="G86" s="40"/>
      <c r="H86" s="379"/>
      <c r="I86" s="40"/>
      <c r="J86" s="379"/>
      <c r="K86" s="40"/>
      <c r="L86" s="379"/>
      <c r="M86" s="40"/>
      <c r="N86" s="379"/>
      <c r="O86" s="40"/>
      <c r="P86" s="40"/>
      <c r="Q86" s="379"/>
      <c r="R86" s="40"/>
      <c r="S86" s="47"/>
    </row>
    <row r="87" spans="1:19" ht="15" customHeight="1" x14ac:dyDescent="0.25">
      <c r="A87" s="365" t="s">
        <v>1078</v>
      </c>
      <c r="B87" s="127">
        <v>59640</v>
      </c>
      <c r="C87" s="40"/>
      <c r="D87" s="379"/>
      <c r="E87" s="40"/>
      <c r="F87" s="379"/>
      <c r="G87" s="40"/>
      <c r="H87" s="379"/>
      <c r="I87" s="40"/>
      <c r="J87" s="379"/>
      <c r="K87" s="40"/>
      <c r="L87" s="379"/>
      <c r="M87" s="40"/>
      <c r="N87" s="379"/>
      <c r="O87" s="40"/>
      <c r="P87" s="40"/>
      <c r="Q87" s="379"/>
      <c r="R87" s="40"/>
      <c r="S87" s="47"/>
    </row>
    <row r="88" spans="1:19" ht="15" customHeight="1" x14ac:dyDescent="0.25">
      <c r="A88" s="365" t="s">
        <v>1081</v>
      </c>
      <c r="B88" s="127">
        <v>80140</v>
      </c>
      <c r="C88" s="40"/>
      <c r="D88" s="379"/>
      <c r="E88" s="40"/>
      <c r="F88" s="379"/>
      <c r="G88" s="40"/>
      <c r="H88" s="379"/>
      <c r="I88" s="40"/>
      <c r="J88" s="379"/>
      <c r="K88" s="40"/>
      <c r="L88" s="379"/>
      <c r="M88" s="40"/>
      <c r="N88" s="379"/>
      <c r="O88" s="40"/>
      <c r="P88" s="40"/>
      <c r="Q88" s="379"/>
      <c r="R88" s="40"/>
      <c r="S88" s="47"/>
    </row>
    <row r="89" spans="1:19" ht="15" customHeight="1" x14ac:dyDescent="0.25">
      <c r="A89" s="392" t="s">
        <v>1084</v>
      </c>
      <c r="B89" s="132">
        <v>68420</v>
      </c>
      <c r="C89" s="33"/>
      <c r="D89" s="390"/>
      <c r="E89" s="33"/>
      <c r="F89" s="390"/>
      <c r="G89" s="33"/>
      <c r="H89" s="390"/>
      <c r="I89" s="33"/>
      <c r="J89" s="390"/>
      <c r="K89" s="33"/>
      <c r="L89" s="390"/>
      <c r="M89" s="33"/>
      <c r="N89" s="390"/>
      <c r="O89" s="33"/>
      <c r="P89" s="33"/>
      <c r="Q89" s="390"/>
      <c r="R89" s="33"/>
      <c r="S89" s="391"/>
    </row>
    <row r="90" spans="1:19" ht="15" customHeight="1" thickBot="1" x14ac:dyDescent="0.3">
      <c r="A90" s="392" t="s">
        <v>1087</v>
      </c>
      <c r="B90" s="132">
        <v>78450</v>
      </c>
      <c r="C90" s="33"/>
      <c r="D90" s="390"/>
      <c r="E90" s="33"/>
      <c r="F90" s="390"/>
      <c r="G90" s="33"/>
      <c r="H90" s="390"/>
      <c r="I90" s="33"/>
      <c r="J90" s="390"/>
      <c r="K90" s="33"/>
      <c r="L90" s="390"/>
      <c r="M90" s="33"/>
      <c r="N90" s="390"/>
      <c r="O90" s="33"/>
      <c r="P90" s="33"/>
      <c r="Q90" s="390"/>
      <c r="R90" s="33"/>
      <c r="S90" s="391"/>
    </row>
    <row r="91" spans="1:19" ht="15" customHeight="1" x14ac:dyDescent="0.25">
      <c r="A91" s="393" t="s">
        <v>1548</v>
      </c>
      <c r="B91" s="133">
        <v>0</v>
      </c>
      <c r="C91" s="196"/>
      <c r="D91" s="380"/>
      <c r="E91" s="196"/>
      <c r="F91" s="380"/>
      <c r="G91" s="196"/>
      <c r="H91" s="380"/>
      <c r="I91" s="196"/>
      <c r="J91" s="380"/>
      <c r="K91" s="196"/>
      <c r="L91" s="380"/>
      <c r="M91" s="196"/>
      <c r="N91" s="380"/>
      <c r="O91" s="196"/>
      <c r="P91" s="196"/>
      <c r="Q91" s="380"/>
      <c r="R91" s="196"/>
      <c r="S91" s="296"/>
    </row>
    <row r="92" spans="1:19" ht="15" customHeight="1" x14ac:dyDescent="0.25">
      <c r="A92" s="394" t="s">
        <v>1550</v>
      </c>
      <c r="B92" s="127">
        <v>990</v>
      </c>
      <c r="C92" s="40"/>
      <c r="D92" s="379"/>
      <c r="E92" s="40"/>
      <c r="F92" s="379"/>
      <c r="G92" s="40"/>
      <c r="H92" s="379"/>
      <c r="I92" s="40"/>
      <c r="J92" s="379"/>
      <c r="K92" s="40"/>
      <c r="L92" s="379"/>
      <c r="M92" s="40"/>
      <c r="N92" s="379"/>
      <c r="O92" s="40"/>
      <c r="P92" s="40"/>
      <c r="Q92" s="379"/>
      <c r="R92" s="40"/>
      <c r="S92" s="47"/>
    </row>
    <row r="93" spans="1:19" ht="15" customHeight="1" x14ac:dyDescent="0.25">
      <c r="A93" s="395" t="s">
        <v>1552</v>
      </c>
      <c r="B93" s="127">
        <v>855</v>
      </c>
      <c r="C93" s="40"/>
      <c r="D93" s="379"/>
      <c r="E93" s="40"/>
      <c r="F93" s="379"/>
      <c r="G93" s="40"/>
      <c r="H93" s="379"/>
      <c r="I93" s="40"/>
      <c r="J93" s="379"/>
      <c r="K93" s="40"/>
      <c r="L93" s="379"/>
      <c r="M93" s="40"/>
      <c r="N93" s="379"/>
      <c r="O93" s="40"/>
      <c r="P93" s="40"/>
      <c r="Q93" s="379"/>
      <c r="R93" s="40"/>
      <c r="S93" s="47"/>
    </row>
    <row r="94" spans="1:19" ht="15" customHeight="1" x14ac:dyDescent="0.25">
      <c r="A94" s="395" t="s">
        <v>1553</v>
      </c>
      <c r="B94" s="127">
        <v>855</v>
      </c>
      <c r="C94" s="40"/>
      <c r="D94" s="379"/>
      <c r="E94" s="40"/>
      <c r="F94" s="379"/>
      <c r="G94" s="40"/>
      <c r="H94" s="379"/>
      <c r="I94" s="40"/>
      <c r="J94" s="379"/>
      <c r="K94" s="40"/>
      <c r="L94" s="379"/>
      <c r="M94" s="40"/>
      <c r="N94" s="379"/>
      <c r="O94" s="40"/>
      <c r="P94" s="40"/>
      <c r="Q94" s="379"/>
      <c r="R94" s="40"/>
      <c r="S94" s="47"/>
    </row>
    <row r="95" spans="1:19" ht="15" customHeight="1" x14ac:dyDescent="0.25">
      <c r="A95" s="395" t="s">
        <v>1554</v>
      </c>
      <c r="B95" s="127">
        <v>855</v>
      </c>
      <c r="C95" s="40"/>
      <c r="D95" s="379"/>
      <c r="E95" s="40"/>
      <c r="F95" s="379"/>
      <c r="G95" s="40"/>
      <c r="H95" s="379"/>
      <c r="I95" s="40"/>
      <c r="J95" s="379"/>
      <c r="K95" s="40"/>
      <c r="L95" s="379"/>
      <c r="M95" s="40"/>
      <c r="N95" s="379"/>
      <c r="O95" s="40"/>
      <c r="P95" s="40"/>
      <c r="Q95" s="379"/>
      <c r="R95" s="40"/>
      <c r="S95" s="47"/>
    </row>
    <row r="96" spans="1:19" ht="15" customHeight="1" x14ac:dyDescent="0.25">
      <c r="A96" s="395" t="s">
        <v>1555</v>
      </c>
      <c r="B96" s="127">
        <v>855</v>
      </c>
      <c r="C96" s="40"/>
      <c r="D96" s="379"/>
      <c r="E96" s="40"/>
      <c r="F96" s="379"/>
      <c r="G96" s="40"/>
      <c r="H96" s="379"/>
      <c r="I96" s="40"/>
      <c r="J96" s="379"/>
      <c r="K96" s="40"/>
      <c r="L96" s="379"/>
      <c r="M96" s="40"/>
      <c r="N96" s="379"/>
      <c r="O96" s="40"/>
      <c r="P96" s="40"/>
      <c r="Q96" s="379"/>
      <c r="R96" s="40"/>
      <c r="S96" s="47"/>
    </row>
    <row r="97" spans="1:19" ht="15" customHeight="1" x14ac:dyDescent="0.25">
      <c r="A97" s="395" t="s">
        <v>1138</v>
      </c>
      <c r="B97" s="132">
        <v>10950</v>
      </c>
      <c r="C97" s="33"/>
      <c r="D97" s="390"/>
      <c r="E97" s="33"/>
      <c r="F97" s="390"/>
      <c r="G97" s="33"/>
      <c r="H97" s="390"/>
      <c r="I97" s="33"/>
      <c r="J97" s="390"/>
      <c r="K97" s="33"/>
      <c r="L97" s="390"/>
      <c r="M97" s="33"/>
      <c r="N97" s="390"/>
      <c r="O97" s="33"/>
      <c r="P97" s="33"/>
      <c r="Q97" s="390"/>
      <c r="R97" s="33"/>
      <c r="S97" s="391"/>
    </row>
    <row r="98" spans="1:19" ht="15" customHeight="1" x14ac:dyDescent="0.25">
      <c r="A98" s="395" t="s">
        <v>1556</v>
      </c>
      <c r="B98" s="132">
        <v>11820</v>
      </c>
      <c r="C98" s="33"/>
      <c r="D98" s="390"/>
      <c r="E98" s="33"/>
      <c r="F98" s="390"/>
      <c r="G98" s="33"/>
      <c r="H98" s="390"/>
      <c r="I98" s="33"/>
      <c r="J98" s="390"/>
      <c r="K98" s="33"/>
      <c r="L98" s="390"/>
      <c r="M98" s="33"/>
      <c r="N98" s="390"/>
      <c r="O98" s="33"/>
      <c r="P98" s="33"/>
      <c r="Q98" s="390"/>
      <c r="R98" s="33"/>
      <c r="S98" s="391"/>
    </row>
    <row r="99" spans="1:19" ht="15" customHeight="1" thickBot="1" x14ac:dyDescent="0.3">
      <c r="A99" s="562" t="s">
        <v>1557</v>
      </c>
      <c r="B99" s="132">
        <v>1824</v>
      </c>
      <c r="C99" s="33"/>
      <c r="D99" s="390"/>
      <c r="E99" s="33"/>
      <c r="F99" s="390"/>
      <c r="G99" s="33"/>
      <c r="H99" s="390"/>
      <c r="I99" s="33"/>
      <c r="J99" s="390"/>
      <c r="K99" s="33"/>
      <c r="L99" s="390"/>
      <c r="M99" s="33"/>
      <c r="N99" s="390"/>
      <c r="O99" s="33"/>
      <c r="P99" s="33"/>
      <c r="Q99" s="390"/>
      <c r="R99" s="33"/>
      <c r="S99" s="391"/>
    </row>
    <row r="100" spans="1:19" ht="15" customHeight="1" x14ac:dyDescent="0.25">
      <c r="A100" s="573" t="s">
        <v>2095</v>
      </c>
      <c r="B100" s="574">
        <v>142</v>
      </c>
      <c r="C100" s="196"/>
      <c r="D100" s="380"/>
      <c r="E100" s="196"/>
      <c r="F100" s="380"/>
      <c r="G100" s="196"/>
      <c r="H100" s="380"/>
      <c r="I100" s="196"/>
      <c r="J100" s="380"/>
      <c r="K100" s="196"/>
      <c r="L100" s="380"/>
      <c r="M100" s="196"/>
      <c r="N100" s="380"/>
      <c r="O100" s="196"/>
      <c r="P100" s="196"/>
      <c r="Q100" s="380"/>
      <c r="R100" s="196"/>
      <c r="S100" s="296"/>
    </row>
    <row r="101" spans="1:19" ht="15" customHeight="1" x14ac:dyDescent="0.25">
      <c r="A101" s="575" t="s">
        <v>2096</v>
      </c>
      <c r="B101" s="132">
        <v>235</v>
      </c>
      <c r="C101" s="40"/>
      <c r="D101" s="379"/>
      <c r="E101" s="40"/>
      <c r="F101" s="379"/>
      <c r="G101" s="40"/>
      <c r="H101" s="379"/>
      <c r="I101" s="40"/>
      <c r="J101" s="379"/>
      <c r="K101" s="40"/>
      <c r="L101" s="379"/>
      <c r="M101" s="40"/>
      <c r="N101" s="379"/>
      <c r="O101" s="40"/>
      <c r="P101" s="40"/>
      <c r="Q101" s="379"/>
      <c r="R101" s="40"/>
      <c r="S101" s="47"/>
    </row>
    <row r="102" spans="1:19" ht="15" customHeight="1" x14ac:dyDescent="0.25">
      <c r="A102" s="575" t="s">
        <v>2097</v>
      </c>
      <c r="B102" s="132">
        <v>237</v>
      </c>
      <c r="C102" s="40"/>
      <c r="D102" s="379"/>
      <c r="E102" s="40"/>
      <c r="F102" s="379"/>
      <c r="G102" s="40"/>
      <c r="H102" s="379"/>
      <c r="I102" s="40"/>
      <c r="J102" s="379"/>
      <c r="K102" s="40"/>
      <c r="L102" s="379"/>
      <c r="M102" s="40"/>
      <c r="N102" s="379"/>
      <c r="O102" s="40"/>
      <c r="P102" s="40"/>
      <c r="Q102" s="379"/>
      <c r="R102" s="40"/>
      <c r="S102" s="47"/>
    </row>
    <row r="103" spans="1:19" ht="15" customHeight="1" x14ac:dyDescent="0.25">
      <c r="A103" s="575" t="s">
        <v>2098</v>
      </c>
      <c r="B103" s="132">
        <v>608</v>
      </c>
      <c r="C103" s="40"/>
      <c r="D103" s="379"/>
      <c r="E103" s="40"/>
      <c r="F103" s="379"/>
      <c r="G103" s="40"/>
      <c r="H103" s="379"/>
      <c r="I103" s="40"/>
      <c r="J103" s="379"/>
      <c r="K103" s="40"/>
      <c r="L103" s="379"/>
      <c r="M103" s="40"/>
      <c r="N103" s="379"/>
      <c r="O103" s="40"/>
      <c r="P103" s="40"/>
      <c r="Q103" s="379"/>
      <c r="R103" s="40"/>
      <c r="S103" s="47"/>
    </row>
    <row r="104" spans="1:19" ht="15" customHeight="1" thickBot="1" x14ac:dyDescent="0.3">
      <c r="A104" s="576" t="s">
        <v>1546</v>
      </c>
      <c r="B104" s="134">
        <v>768</v>
      </c>
      <c r="C104" s="48"/>
      <c r="D104" s="381"/>
      <c r="E104" s="48"/>
      <c r="F104" s="381"/>
      <c r="G104" s="48"/>
      <c r="H104" s="381"/>
      <c r="I104" s="48"/>
      <c r="J104" s="381"/>
      <c r="K104" s="48"/>
      <c r="L104" s="381"/>
      <c r="M104" s="48"/>
      <c r="N104" s="381"/>
      <c r="O104" s="48"/>
      <c r="P104" s="48"/>
      <c r="Q104" s="381"/>
      <c r="R104" s="48"/>
      <c r="S104" s="49"/>
    </row>
    <row r="117" spans="1:1" x14ac:dyDescent="0.25">
      <c r="A117" t="s">
        <v>1575</v>
      </c>
    </row>
    <row r="118" spans="1:1" x14ac:dyDescent="0.25">
      <c r="A118" t="s">
        <v>1407</v>
      </c>
    </row>
    <row r="119" spans="1:1" x14ac:dyDescent="0.25">
      <c r="A119" t="s">
        <v>1411</v>
      </c>
    </row>
    <row r="120" spans="1:1" x14ac:dyDescent="0.25">
      <c r="A120" t="s">
        <v>1415</v>
      </c>
    </row>
  </sheetData>
  <phoneticPr fontId="6" type="noConversion"/>
  <pageMargins left="0.7" right="0.7" top="0.75" bottom="0.75" header="0.3" footer="0.3"/>
  <pageSetup paperSize="9" scale="68" fitToHeight="0" orientation="landscape" horizontalDpi="360" verticalDpi="36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3A23-1C67-445E-A557-6B72CADB17A4}">
  <sheetPr codeName="Tabelle131">
    <tabColor rgb="FFFF0000"/>
  </sheetPr>
  <dimension ref="A1:S165"/>
  <sheetViews>
    <sheetView showFormulas="1" topLeftCell="M1" zoomScaleNormal="100" workbookViewId="0">
      <selection activeCell="Q6" sqref="Q6"/>
    </sheetView>
  </sheetViews>
  <sheetFormatPr defaultColWidth="11.42578125" defaultRowHeight="15" x14ac:dyDescent="0.25"/>
  <cols>
    <col min="1" max="1" width="24" customWidth="1"/>
    <col min="2" max="2" width="12" bestFit="1" customWidth="1"/>
    <col min="3" max="3" width="13" style="9" bestFit="1" customWidth="1"/>
    <col min="4" max="4" width="3.5703125" customWidth="1"/>
    <col min="5" max="5" width="79" style="9" bestFit="1" customWidth="1"/>
    <col min="6" max="6" width="13.28515625" style="9" bestFit="1" customWidth="1"/>
    <col min="7" max="7" width="3.5703125" customWidth="1"/>
    <col min="8" max="8" width="40.42578125" style="9" bestFit="1" customWidth="1"/>
    <col min="9" max="9" width="4.42578125" customWidth="1"/>
    <col min="10" max="10" width="38.7109375" style="9" bestFit="1" customWidth="1"/>
    <col min="11" max="11" width="15.28515625" customWidth="1"/>
    <col min="12" max="12" width="26" customWidth="1"/>
    <col min="15" max="15" width="14.42578125" bestFit="1" customWidth="1"/>
    <col min="17" max="17" width="33.28515625" customWidth="1"/>
    <col min="18" max="18" width="4.5703125" customWidth="1"/>
    <col min="19" max="19" width="93.5703125" bestFit="1" customWidth="1"/>
  </cols>
  <sheetData>
    <row r="1" spans="1:19" ht="15.75" thickBot="1" x14ac:dyDescent="0.3">
      <c r="A1" s="8" t="s">
        <v>1596</v>
      </c>
      <c r="E1" s="10" t="s">
        <v>1597</v>
      </c>
      <c r="F1" s="11"/>
      <c r="G1" s="12"/>
      <c r="H1" s="11"/>
      <c r="I1" s="12"/>
      <c r="J1" s="13"/>
    </row>
    <row r="2" spans="1:19" ht="15.75" thickBot="1" x14ac:dyDescent="0.3">
      <c r="A2" s="8"/>
      <c r="B2" s="12">
        <v>2</v>
      </c>
      <c r="C2" s="14"/>
      <c r="E2" s="15" t="b">
        <v>1</v>
      </c>
      <c r="F2" s="16"/>
      <c r="G2" s="17"/>
      <c r="H2" s="16"/>
      <c r="I2" s="17"/>
      <c r="J2" s="18"/>
      <c r="S2" t="s">
        <v>1598</v>
      </c>
    </row>
    <row r="3" spans="1:19" x14ac:dyDescent="0.25">
      <c r="A3" s="19" t="s">
        <v>1599</v>
      </c>
      <c r="C3" s="20"/>
      <c r="O3" t="s">
        <v>1600</v>
      </c>
      <c r="P3" t="s">
        <v>1601</v>
      </c>
      <c r="Q3" t="str">
        <f>C8&amp;IF($A$4="No","XXX",'Drop Downs'!$C$3)&amp;IF('Spektron e'!E6=1,1,2)&amp;IF('Spektron e'!G6=1,1,"X")&amp;IF('Spektron e'!V6&gt;0,1,2)&amp;IF('Spektron e'!F6="16 bar",2,1)&amp;IF('Spektron e'!AJ6=0,0,3)&amp;"0"&amp;IF('Spektron e'!AQ6&gt;0,2,1)&amp;IF('Spektron e'!AC6=0,0,"X")&amp;IF('Spektron e'!O6&gt;0,2,1)</f>
        <v>SP02.1e0112200101</v>
      </c>
      <c r="S3" t="str">
        <f>Q3</f>
        <v>SP02.1e0112200101</v>
      </c>
    </row>
    <row r="4" spans="1:19" ht="15.75" thickBot="1" x14ac:dyDescent="0.3">
      <c r="A4" s="7" t="s">
        <v>1602</v>
      </c>
      <c r="B4" s="17"/>
      <c r="C4" s="21"/>
      <c r="E4" s="22"/>
      <c r="P4" s="32" t="s">
        <v>1603</v>
      </c>
      <c r="Q4" t="str">
        <f>C9&amp;IF($A$4="No","XXX",'Drop Downs'!$C$7)&amp;IF('Spektron e'!E7=1,1,2)&amp;IF('Spektron e'!G7=1,1,"X")&amp;IF('Spektron e'!V7&gt;0,1,2)&amp;IF('Spektron e'!F7="16 bar",2,1)&amp;IF('Spektron e'!AJ7=0,0,3)&amp;"0"&amp;IF('Spektron e'!AQ7&gt;0,2,1)&amp;IF('Spektron e'!AC7=0,0,"X")&amp;IF('Spektron e'!O7&gt;0,2,1)</f>
        <v>SP05.1e0112200101</v>
      </c>
      <c r="S4" t="str">
        <f t="shared" ref="S4:S7" si="0">Q4</f>
        <v>SP05.1e0112200101</v>
      </c>
    </row>
    <row r="5" spans="1:19" x14ac:dyDescent="0.25">
      <c r="E5" s="23" t="s">
        <v>1604</v>
      </c>
      <c r="K5" s="25" t="s">
        <v>1605</v>
      </c>
      <c r="L5" t="s">
        <v>1606</v>
      </c>
      <c r="P5" t="s">
        <v>1607</v>
      </c>
      <c r="Q5" t="str">
        <f>C10&amp;IF($A$4="No","XXX",'Drop Downs'!$C$11)&amp;IF('Spektron e'!E8=1,1,2)&amp;IF('Spektron e'!G8=1,1,"X")&amp;IF('Spektron e'!V8&gt;0,1,2)&amp;IF('Spektron e'!F8="16 bar",2,1)&amp;IF('Spektron e'!AJ8=0,0,3)&amp;"0"&amp;IF('Spektron e'!AQ8&gt;0,2,1)&amp;IF('Spektron e'!AC8=0,0,"X")&amp;IF('Spektron e'!O8&gt;0,2,1)</f>
        <v>SP10.1e0112200101</v>
      </c>
      <c r="S5" t="str">
        <f t="shared" si="0"/>
        <v>SP10.1e0112200101</v>
      </c>
    </row>
    <row r="6" spans="1:19" x14ac:dyDescent="0.25">
      <c r="A6" s="24" t="s">
        <v>1608</v>
      </c>
      <c r="C6" s="23" t="s">
        <v>1609</v>
      </c>
      <c r="D6" s="25"/>
      <c r="E6" s="23" t="s">
        <v>1610</v>
      </c>
      <c r="F6" s="23" t="s">
        <v>1611</v>
      </c>
      <c r="H6" s="23" t="s">
        <v>1612</v>
      </c>
      <c r="J6" s="23" t="s">
        <v>1613</v>
      </c>
      <c r="K6" s="25" t="s">
        <v>1614</v>
      </c>
      <c r="L6" t="s">
        <v>1615</v>
      </c>
      <c r="P6" t="s">
        <v>1616</v>
      </c>
      <c r="Q6" t="str">
        <f>C11&amp;IF('Spektron e'!AT9=0,2,1)&amp;IF('Spektron e'!E9=1,1,2)&amp;IF('Spektron e'!G9=1,1,"X")&amp;IF('Spektron e'!V9&gt;0,1,2)&amp;IF('Spektron e'!F9="16 bar",2,1)&amp;IF('Spektron e'!AJ9=0,0,3)&amp;"0"&amp;IF('Spektron e'!AQ9&gt;0,2,1)&amp;IF('Spektron e'!AC9=0,1,2)&amp;IF('Spektron e'!O9&gt;0,2,1)</f>
        <v>SP22e2112200111</v>
      </c>
      <c r="S6" t="str">
        <f t="shared" si="0"/>
        <v>SP22e2112200111</v>
      </c>
    </row>
    <row r="7" spans="1:19" x14ac:dyDescent="0.25">
      <c r="P7" t="s">
        <v>1617</v>
      </c>
      <c r="Q7" t="str">
        <f>C12&amp;IF('Spektron e'!AT10=0,2,1)&amp;IF('Spektron e'!E10=1,1,2)&amp;IF('Spektron e'!G10=1,1,"X")&amp;IF('Spektron e'!V10&gt;0,1,2)&amp;IF('Spektron e'!F10="16 bar",2,1)&amp;IF('Spektron e'!AJ10=0,0,3)&amp;"0"&amp;IF('Spektron e'!AQ10&gt;0,2,1)&amp;IF('Spektron e'!AC10=0,1,2)&amp;IF('Spektron e'!O10&gt;0,2,1)</f>
        <v>SP35e2112200111</v>
      </c>
      <c r="S7" t="str">
        <f t="shared" si="0"/>
        <v>SP35e2112200111</v>
      </c>
    </row>
    <row r="8" spans="1:19" x14ac:dyDescent="0.25">
      <c r="A8" s="25" t="s">
        <v>1618</v>
      </c>
      <c r="C8" s="23" t="s">
        <v>1619</v>
      </c>
      <c r="E8" s="1108">
        <v>1</v>
      </c>
      <c r="F8" s="1108" t="s">
        <v>1620</v>
      </c>
      <c r="H8" s="1107" t="str">
        <f>CHOOSE(E8,C8,C9,C10,C11,C12,C14,C16,C18,C19,C20,C21,C22,C23,C24,C25,C26,C27,C28)</f>
        <v>SP02.1e</v>
      </c>
      <c r="J8" s="1107" t="str">
        <f>CHOOSE(E8,A8,A9,A10,A11,A12,A14,A16,A18,A19,A20,A21,A22,A23,A24,A25,A26,A27,A28)</f>
        <v>Spektron 02.1e</v>
      </c>
      <c r="P8" t="s">
        <v>1621</v>
      </c>
      <c r="S8">
        <f t="shared" ref="S8:S23" si="1">Q8</f>
        <v>0</v>
      </c>
    </row>
    <row r="9" spans="1:19" x14ac:dyDescent="0.25">
      <c r="A9" s="25" t="s">
        <v>1622</v>
      </c>
      <c r="C9" s="23" t="s">
        <v>1623</v>
      </c>
      <c r="E9" s="1108"/>
      <c r="F9" s="1108"/>
      <c r="H9" s="1107"/>
      <c r="J9" s="1107"/>
      <c r="P9" t="s">
        <v>1624</v>
      </c>
      <c r="Q9" t="str">
        <f>C14&amp;IF('Spektron e'!AT11=0,2,1)&amp;IF('Spektron e'!E11=1,1,2)&amp;IF('Spektron e'!G11=1,1,"X")&amp;IF('Spektron e'!V11&gt;0,1,2)&amp;IF('Spektron e'!F11="16 bar",2,1)&amp;IF('Spektron e'!AJ11=0,0,3)&amp;"0"&amp;IF('Spektron e'!AQ11&gt;0,2,1)&amp;IF('Spektron e'!AC11=0,1,2)&amp;IF('Spektron e'!O11&gt;0,2,1)</f>
        <v>SP95e2112200111</v>
      </c>
      <c r="S9" t="str">
        <f t="shared" si="1"/>
        <v>SP95e2112200111</v>
      </c>
    </row>
    <row r="10" spans="1:19" x14ac:dyDescent="0.25">
      <c r="A10" s="25" t="s">
        <v>1412</v>
      </c>
      <c r="C10" s="23" t="s">
        <v>1413</v>
      </c>
      <c r="E10" s="1108"/>
      <c r="F10" s="1108"/>
      <c r="H10" s="1107"/>
      <c r="J10" s="1107"/>
      <c r="P10" t="s">
        <v>1625</v>
      </c>
      <c r="S10">
        <f t="shared" si="1"/>
        <v>0</v>
      </c>
    </row>
    <row r="11" spans="1:19" x14ac:dyDescent="0.25">
      <c r="A11" s="25" t="s">
        <v>1416</v>
      </c>
      <c r="C11" s="23" t="s">
        <v>1417</v>
      </c>
      <c r="E11" s="1108"/>
      <c r="F11" s="1108"/>
      <c r="H11" s="1107"/>
      <c r="J11" s="1107"/>
      <c r="P11" t="s">
        <v>1626</v>
      </c>
      <c r="Q11" t="str">
        <f>C16&amp;IF('Spektron e'!AT12=0,2,1)&amp;IF('Spektron e'!E12=1,1,2)&amp;IF('Spektron e'!G12=1,1,"X")&amp;IF('Spektron e'!V12&gt;0,1,2)&amp;IF('Spektron e'!F12="16 bar",2,1)&amp;IF('Spektron e'!AJ12=0,0,3)&amp;"0"&amp;IF('Spektron e'!AQ12&gt;0,2,1)&amp;IF('Spektron e'!AC12=0,1,2)&amp;IF('Spektron e'!O12&gt;0,2,1)</f>
        <v>SP200e2112200111</v>
      </c>
      <c r="S11" t="str">
        <f t="shared" si="1"/>
        <v>SP200e2112200111</v>
      </c>
    </row>
    <row r="12" spans="1:19" x14ac:dyDescent="0.25">
      <c r="A12" s="25" t="s">
        <v>1419</v>
      </c>
      <c r="C12" s="23" t="s">
        <v>1420</v>
      </c>
      <c r="E12" s="1108"/>
      <c r="F12" s="1108"/>
      <c r="H12" s="1107"/>
      <c r="J12" s="1107"/>
      <c r="P12" t="s">
        <v>1627</v>
      </c>
      <c r="S12">
        <f t="shared" si="1"/>
        <v>0</v>
      </c>
    </row>
    <row r="13" spans="1:19" x14ac:dyDescent="0.25">
      <c r="A13" s="397" t="s">
        <v>1568</v>
      </c>
      <c r="C13" s="23" t="s">
        <v>1628</v>
      </c>
      <c r="E13" s="1108"/>
      <c r="F13" s="1108"/>
      <c r="H13" s="1107"/>
      <c r="J13" s="1107"/>
      <c r="P13" t="s">
        <v>1629</v>
      </c>
      <c r="Q13" t="str">
        <f>C18&amp;IF('Spektron e'!AT13=0,2,1)&amp;IF('Spektron e'!E13=1,1,2)&amp;IF('Spektron e'!G13=1,1,"X")&amp;IF('Spektron e'!V13&gt;0,1,2)&amp;IF('Spektron e'!F13="16 bar",2,1)&amp;IF('Spektron e'!AJ13=0,0,3)&amp;"0"&amp;IF('Spektron e'!AQ13&gt;0,2,1)&amp;IF('Spektron e'!AC13=0,1,2)&amp;IF('Spektron e'!O13&gt;0,2,1)</f>
        <v>SP280e2112200111</v>
      </c>
      <c r="S13" t="str">
        <f t="shared" si="1"/>
        <v>SP280e2112200111</v>
      </c>
    </row>
    <row r="14" spans="1:19" x14ac:dyDescent="0.25">
      <c r="A14" s="25" t="s">
        <v>1422</v>
      </c>
      <c r="C14" s="23" t="s">
        <v>1423</v>
      </c>
      <c r="E14" s="1108"/>
      <c r="F14" s="1108"/>
      <c r="H14" s="1107"/>
      <c r="J14" s="1107"/>
      <c r="P14" t="s">
        <v>1630</v>
      </c>
      <c r="S14">
        <f t="shared" si="1"/>
        <v>0</v>
      </c>
    </row>
    <row r="15" spans="1:19" x14ac:dyDescent="0.25">
      <c r="A15" s="397" t="s">
        <v>1569</v>
      </c>
      <c r="C15" s="23" t="s">
        <v>1631</v>
      </c>
      <c r="E15" s="1108"/>
      <c r="F15" s="1108"/>
      <c r="H15" s="1107"/>
      <c r="J15" s="1107"/>
      <c r="P15" t="s">
        <v>1632</v>
      </c>
      <c r="Q15" t="str">
        <f>C20&amp;IF('Spektron e'!AT14=0,2,1)&amp;IF('Spektron e'!E14=1,1,2)&amp;IF('Spektron e'!G14=1,1,"X")&amp;IF('Spektron e'!V14&gt;0,1,2)&amp;IF('Spektron e'!F14="16 bar",2,1)&amp;IF('Spektron e'!AJ14=0,0,3)&amp;"0"&amp;IF('Spektron e'!AQ14&gt;0,2,1)&amp;IF('Spektron e'!AC14=0,1,2)&amp;IF('Spektron e'!O14&gt;0,2,1)</f>
        <v>SP400e2112200111</v>
      </c>
      <c r="S15" t="str">
        <f t="shared" si="1"/>
        <v>SP400e2112200111</v>
      </c>
    </row>
    <row r="16" spans="1:19" x14ac:dyDescent="0.25">
      <c r="A16" s="25" t="s">
        <v>1425</v>
      </c>
      <c r="C16" s="23" t="s">
        <v>1426</v>
      </c>
      <c r="E16" s="1108"/>
      <c r="F16" s="1108"/>
      <c r="H16" s="1107"/>
      <c r="J16" s="1107"/>
      <c r="P16" t="s">
        <v>1633</v>
      </c>
      <c r="Q16" t="str">
        <f>C21&amp;IF('Spektron e'!AT15=0,2,1)&amp;IF('Spektron e'!E15=1,1,2)&amp;IF('Spektron e'!G15=1,1,"X")&amp;IF('Spektron e'!V15&gt;0,1,2)&amp;IF('Spektron e'!F15="16 bar",2,1)&amp;IF('Spektron e'!AJ15=0,0,3)&amp;"0"&amp;IF('Spektron e'!AQ15&gt;0,2,1)&amp;IF('Spektron e'!AC15=0,1,2)&amp;IF('Spektron e'!O15&gt;0,2,1)</f>
        <v>SP650e2212100111</v>
      </c>
      <c r="S16" t="str">
        <f t="shared" si="1"/>
        <v>SP650e2212100111</v>
      </c>
    </row>
    <row r="17" spans="1:19" x14ac:dyDescent="0.25">
      <c r="A17" s="397" t="s">
        <v>1570</v>
      </c>
      <c r="B17" t="s">
        <v>1634</v>
      </c>
      <c r="C17" s="23" t="s">
        <v>1635</v>
      </c>
      <c r="E17" s="1108"/>
      <c r="F17" s="1108"/>
      <c r="H17" s="1107"/>
      <c r="J17" s="1107"/>
      <c r="P17" t="s">
        <v>1636</v>
      </c>
      <c r="Q17" t="str">
        <f>C22&amp;IF('Spektron e'!AT16=0,2,1)&amp;IF('Spektron e'!E16=1,1,2)&amp;IF('Spektron e'!G16=1,1,"X")&amp;IF('Spektron e'!V16&gt;0,1,2)&amp;IF('Spektron e'!F16="16 bar",2,1)&amp;IF('Spektron e'!AJ16=0,0,3)&amp;"0"&amp;IF('Spektron e'!AQ16&gt;0,2,1)&amp;IF('Spektron e'!AC16=0,1,2)&amp;IF('Spektron e'!O16&gt;0,2,1)</f>
        <v>SP660e2212100111</v>
      </c>
      <c r="S17" t="str">
        <f t="shared" si="1"/>
        <v>SP660e2212100111</v>
      </c>
    </row>
    <row r="18" spans="1:19" x14ac:dyDescent="0.25">
      <c r="A18" s="25" t="s">
        <v>1428</v>
      </c>
      <c r="C18" s="23" t="s">
        <v>1429</v>
      </c>
      <c r="E18" s="1108"/>
      <c r="F18" s="1108"/>
      <c r="H18" s="1107"/>
      <c r="J18" s="1107"/>
      <c r="P18" t="s">
        <v>1637</v>
      </c>
      <c r="Q18" t="str">
        <f>C23&amp;IF('Spektron e'!AT17=0,2,1)&amp;IF('Spektron e'!E17=1,1,2)&amp;IF('Spektron e'!G17=1,1,"X")&amp;IF('Spektron e'!V17&gt;0,1,2)&amp;IF('Spektron e'!F17="16 bar",2,1)&amp;IF('Spektron e'!AJ17=0,0,3)&amp;"0"&amp;IF('Spektron e'!AQ17&gt;0,2,1)&amp;IF('Spektron e'!AC17=0,1,2)&amp;IF('Spektron e'!O17&gt;0,2,1)</f>
        <v>SP680e2212100111</v>
      </c>
      <c r="S18" t="str">
        <f t="shared" si="1"/>
        <v>SP680e2212100111</v>
      </c>
    </row>
    <row r="19" spans="1:19" x14ac:dyDescent="0.25">
      <c r="A19" s="397" t="s">
        <v>1571</v>
      </c>
      <c r="B19" t="s">
        <v>1634</v>
      </c>
      <c r="C19" s="23" t="s">
        <v>1638</v>
      </c>
      <c r="E19" s="1108"/>
      <c r="F19" s="1108"/>
      <c r="H19" s="1107"/>
      <c r="J19" s="1107"/>
      <c r="P19" t="s">
        <v>1639</v>
      </c>
      <c r="Q19" t="str">
        <f>C24&amp;IF('Spektron e'!AT18=0,2,1)&amp;IF('Spektron e'!E18=1,1,2)&amp;IF('Spektron e'!G18=1,1,"X")&amp;IF('Spektron e'!V18&gt;0,1,2)&amp;IF('Spektron e'!F18="16 bar",2,1)&amp;IF('Spektron e'!AJ18=0,0,3)&amp;"0"&amp;IF('Spektron e'!AQ18&gt;0,2,1)&amp;IF('Spektron e'!AC18=0,1,2)&amp;IF('Spektron e'!O18&gt;0,2,1)</f>
        <v>SP2000e2112100111</v>
      </c>
      <c r="S19" t="str">
        <f t="shared" si="1"/>
        <v>SP2000e2112100111</v>
      </c>
    </row>
    <row r="20" spans="1:19" x14ac:dyDescent="0.25">
      <c r="A20" s="25" t="s">
        <v>1431</v>
      </c>
      <c r="C20" s="23" t="s">
        <v>1432</v>
      </c>
      <c r="E20" s="1108"/>
      <c r="F20" s="1108"/>
      <c r="H20" s="1107"/>
      <c r="J20" s="1107"/>
      <c r="P20" t="s">
        <v>1640</v>
      </c>
      <c r="Q20" t="str">
        <f>C25&amp;IF('Spektron e'!AT19=0,2,1)&amp;IF('Spektron e'!E19=1,1,2)&amp;IF('Spektron e'!G19=1,1,"X")&amp;IF('Spektron e'!V19&gt;0,1,2)&amp;IF('Spektron e'!F19="16 bar",2,1)&amp;IF('Spektron e'!AJ19=0,0,3)&amp;"0"&amp;IF('Spektron e'!AQ19&gt;0,2,1)&amp;IF('Spektron e'!AC19=0,1,2)&amp;IF('Spektron e'!O19&gt;0,2,1)</f>
        <v>SP2800e2112100111</v>
      </c>
      <c r="S20" t="str">
        <f t="shared" si="1"/>
        <v>SP2800e2112100111</v>
      </c>
    </row>
    <row r="21" spans="1:19" x14ac:dyDescent="0.25">
      <c r="A21" s="25" t="s">
        <v>1434</v>
      </c>
      <c r="B21" t="s">
        <v>1634</v>
      </c>
      <c r="C21" s="23" t="s">
        <v>1435</v>
      </c>
      <c r="E21" s="1108"/>
      <c r="F21" s="1108"/>
      <c r="H21" s="1107"/>
      <c r="J21" s="1107"/>
      <c r="P21" t="s">
        <v>1641</v>
      </c>
      <c r="Q21" t="str">
        <f>C26&amp;IF('Spektron e'!AT20=0,2,1)&amp;IF('Spektron e'!E20=1,1,2)&amp;IF('Spektron e'!G20=1,1,"X")&amp;IF('Spektron e'!V20&gt;0,1,2)&amp;IF('Spektron e'!F20="16 bar",2,1)&amp;IF('Spektron e'!AJ20=0,0,3)&amp;"0"&amp;IF('Spektron e'!AQ20&gt;0,2,1)&amp;IF('Spektron e'!AC20=0,1,2)&amp;IF('Spektron e'!O20&gt;0,2,1)</f>
        <v>SP4000e2112100111</v>
      </c>
      <c r="S21" t="str">
        <f t="shared" si="1"/>
        <v>SP4000e2112100111</v>
      </c>
    </row>
    <row r="22" spans="1:19" x14ac:dyDescent="0.25">
      <c r="A22" s="25" t="s">
        <v>1439</v>
      </c>
      <c r="B22" t="s">
        <v>1634</v>
      </c>
      <c r="C22" s="23" t="s">
        <v>1440</v>
      </c>
      <c r="E22" s="1108"/>
      <c r="F22" s="1108"/>
      <c r="H22" s="1107"/>
      <c r="J22" s="1107"/>
      <c r="P22" t="s">
        <v>1642</v>
      </c>
      <c r="Q22" t="str">
        <f>C27&amp;IF('Spektron e'!AT21=0,2,1)&amp;IF('Spektron e'!E21=1,1,2)&amp;IF('Spektron e'!G21=1,1,"X")&amp;IF('Spektron e'!V21&gt;0,1,2)&amp;IF('Spektron e'!F21="16 bar",2,1)&amp;IF('Spektron e'!AJ21=0,0,3)&amp;"0"&amp;IF('Spektron e'!AQ21&gt;0,2,1)&amp;IF('Spektron e'!AC21=0,1,2)&amp;IF('Spektron e'!O21&gt;0,2,1)</f>
        <v>SP4800e2112100111</v>
      </c>
      <c r="S22" t="str">
        <f t="shared" si="1"/>
        <v>SP4800e2112100111</v>
      </c>
    </row>
    <row r="23" spans="1:19" x14ac:dyDescent="0.25">
      <c r="A23" s="25" t="s">
        <v>1441</v>
      </c>
      <c r="B23" t="s">
        <v>1634</v>
      </c>
      <c r="C23" s="23" t="s">
        <v>1442</v>
      </c>
      <c r="E23" s="1108"/>
      <c r="F23" s="1108"/>
      <c r="H23" s="1107"/>
      <c r="J23" s="1107"/>
      <c r="P23" t="s">
        <v>1643</v>
      </c>
      <c r="Q23" t="str">
        <f>C28&amp;IF('Spektron e'!AT22=0,2,1)&amp;IF('Spektron e'!E22=1,1,2)&amp;IF('Spektron e'!G22=1,1,"X")&amp;IF('Spektron e'!V22&gt;0,1,2)&amp;IF('Spektron e'!F22="16 bar",2,1)&amp;IF('Spektron e'!AJ22=0,0,3)&amp;"0"&amp;IF('Spektron e'!AQ22&gt;0,2,1)&amp;IF('Spektron e'!AC22=0,1,2)&amp;IF('Spektron e'!O22&gt;0,2,1)</f>
        <v>SP6000e2112100111</v>
      </c>
      <c r="S23" t="str">
        <f t="shared" si="1"/>
        <v>SP6000e2112100111</v>
      </c>
    </row>
    <row r="24" spans="1:19" x14ac:dyDescent="0.25">
      <c r="A24" t="s">
        <v>1443</v>
      </c>
      <c r="C24" s="23" t="s">
        <v>1444</v>
      </c>
      <c r="E24" s="1108"/>
      <c r="F24" s="1108"/>
      <c r="H24" s="1107"/>
      <c r="J24" s="1107"/>
    </row>
    <row r="25" spans="1:19" x14ac:dyDescent="0.25">
      <c r="A25" t="s">
        <v>1446</v>
      </c>
      <c r="C25" s="23" t="s">
        <v>1447</v>
      </c>
      <c r="E25" s="1108"/>
      <c r="F25" s="1108"/>
      <c r="H25" s="1107"/>
      <c r="J25" s="1107"/>
    </row>
    <row r="26" spans="1:19" x14ac:dyDescent="0.25">
      <c r="A26" t="s">
        <v>1448</v>
      </c>
      <c r="C26" s="23" t="s">
        <v>1449</v>
      </c>
      <c r="E26" s="1108"/>
      <c r="F26" s="1108"/>
      <c r="H26" s="1107"/>
      <c r="J26" s="1107"/>
      <c r="O26" s="1106"/>
      <c r="P26" s="1106"/>
      <c r="Q26" s="1106"/>
      <c r="R26" s="1106"/>
      <c r="S26" s="1106"/>
    </row>
    <row r="27" spans="1:19" x14ac:dyDescent="0.25">
      <c r="A27" t="s">
        <v>1451</v>
      </c>
      <c r="C27" s="23" t="s">
        <v>1452</v>
      </c>
      <c r="E27" s="1108"/>
      <c r="F27" s="1108"/>
      <c r="H27" s="1107"/>
      <c r="J27" s="1107"/>
      <c r="O27" s="1106"/>
      <c r="P27" s="1106"/>
      <c r="Q27" s="1106"/>
      <c r="R27" s="1106"/>
      <c r="S27" s="1106"/>
    </row>
    <row r="28" spans="1:19" x14ac:dyDescent="0.25">
      <c r="A28" t="s">
        <v>1453</v>
      </c>
      <c r="C28" s="23" t="s">
        <v>1454</v>
      </c>
      <c r="E28" s="1108"/>
      <c r="F28" s="1108"/>
      <c r="H28" s="1107"/>
      <c r="J28" s="1107"/>
    </row>
    <row r="29" spans="1:19" x14ac:dyDescent="0.25">
      <c r="C29" s="23"/>
      <c r="E29" s="1108"/>
      <c r="F29" s="1108"/>
      <c r="H29" s="1107"/>
      <c r="J29" s="1107"/>
      <c r="O29" s="1105"/>
      <c r="P29" s="1105"/>
      <c r="Q29" s="1105"/>
      <c r="R29" s="1105"/>
      <c r="S29" s="1105"/>
    </row>
    <row r="30" spans="1:19" x14ac:dyDescent="0.25">
      <c r="C30" s="23"/>
      <c r="E30" s="1108"/>
      <c r="F30" s="1108"/>
      <c r="H30" s="1107"/>
      <c r="J30" s="1107"/>
    </row>
    <row r="31" spans="1:19" x14ac:dyDescent="0.25">
      <c r="C31" s="23"/>
      <c r="E31" s="1108"/>
      <c r="F31" s="1108"/>
      <c r="H31" s="1107"/>
      <c r="J31" s="1107"/>
    </row>
    <row r="32" spans="1:19" x14ac:dyDescent="0.25">
      <c r="E32" s="1108"/>
      <c r="F32" s="1108"/>
      <c r="H32" s="1107"/>
      <c r="J32" s="1107"/>
    </row>
    <row r="33" spans="1:10" x14ac:dyDescent="0.25">
      <c r="E33" s="1108"/>
      <c r="F33" s="1108"/>
      <c r="H33" s="1107"/>
      <c r="J33" s="1107"/>
    </row>
    <row r="34" spans="1:10" x14ac:dyDescent="0.25">
      <c r="C34" s="23"/>
      <c r="E34" s="23"/>
      <c r="F34" s="23"/>
    </row>
    <row r="35" spans="1:10" x14ac:dyDescent="0.25">
      <c r="C35" s="23"/>
      <c r="E35" s="23"/>
      <c r="F35" s="23"/>
    </row>
    <row r="36" spans="1:10" x14ac:dyDescent="0.25">
      <c r="C36" s="23"/>
      <c r="E36" s="23"/>
      <c r="F36" s="23"/>
    </row>
    <row r="37" spans="1:10" x14ac:dyDescent="0.25">
      <c r="C37" s="23"/>
      <c r="E37" s="23"/>
      <c r="F37" s="23"/>
    </row>
    <row r="39" spans="1:10" x14ac:dyDescent="0.25">
      <c r="A39" s="24" t="s">
        <v>1644</v>
      </c>
    </row>
    <row r="40" spans="1:10" x14ac:dyDescent="0.25">
      <c r="A40" t="s">
        <v>1645</v>
      </c>
    </row>
    <row r="41" spans="1:10" x14ac:dyDescent="0.25">
      <c r="A41" s="25" t="s">
        <v>1646</v>
      </c>
      <c r="C41" s="1108" t="s">
        <v>1620</v>
      </c>
      <c r="E41" s="1107">
        <f>'Drop Downs'!C3</f>
        <v>0</v>
      </c>
      <c r="F41" s="1107">
        <f>E41-1</f>
        <v>-1</v>
      </c>
      <c r="H41" s="1109">
        <f>F41</f>
        <v>-1</v>
      </c>
      <c r="J41" s="1107">
        <v>0</v>
      </c>
    </row>
    <row r="42" spans="1:10" x14ac:dyDescent="0.25">
      <c r="A42" s="25" t="s">
        <v>1647</v>
      </c>
      <c r="C42" s="1107"/>
      <c r="E42" s="1107"/>
      <c r="F42" s="1107"/>
      <c r="H42" s="1109"/>
      <c r="J42" s="1107"/>
    </row>
    <row r="43" spans="1:10" x14ac:dyDescent="0.25">
      <c r="A43" s="25" t="s">
        <v>1648</v>
      </c>
      <c r="C43" s="1107"/>
      <c r="E43" s="1107"/>
      <c r="F43" s="1107"/>
      <c r="H43" s="1109"/>
      <c r="J43" s="1107"/>
    </row>
    <row r="44" spans="1:10" x14ac:dyDescent="0.25">
      <c r="A44" s="25"/>
      <c r="H44" s="26"/>
    </row>
    <row r="45" spans="1:10" x14ac:dyDescent="0.25">
      <c r="A45" s="25" t="s">
        <v>1603</v>
      </c>
      <c r="H45" s="26"/>
    </row>
    <row r="46" spans="1:10" x14ac:dyDescent="0.25">
      <c r="A46" s="25" t="s">
        <v>1646</v>
      </c>
      <c r="C46" s="1108" t="s">
        <v>1620</v>
      </c>
      <c r="E46" s="1107">
        <f>'Drop Downs'!C7</f>
        <v>0</v>
      </c>
      <c r="F46" s="1107">
        <f>E46-1</f>
        <v>-1</v>
      </c>
      <c r="H46" s="1109">
        <f>F46</f>
        <v>-1</v>
      </c>
      <c r="J46" s="1107">
        <v>0</v>
      </c>
    </row>
    <row r="47" spans="1:10" x14ac:dyDescent="0.25">
      <c r="A47" s="25" t="s">
        <v>1647</v>
      </c>
      <c r="C47" s="1107"/>
      <c r="E47" s="1107"/>
      <c r="F47" s="1107"/>
      <c r="H47" s="1109"/>
      <c r="J47" s="1107"/>
    </row>
    <row r="48" spans="1:10" x14ac:dyDescent="0.25">
      <c r="A48" s="25" t="s">
        <v>1648</v>
      </c>
      <c r="C48" s="1107"/>
      <c r="E48" s="1107"/>
      <c r="F48" s="1107"/>
      <c r="H48" s="1109"/>
      <c r="J48" s="1107"/>
    </row>
    <row r="49" spans="1:11" x14ac:dyDescent="0.25">
      <c r="A49" s="25"/>
      <c r="H49" s="26"/>
    </row>
    <row r="50" spans="1:11" x14ac:dyDescent="0.25">
      <c r="A50" s="25" t="s">
        <v>1649</v>
      </c>
      <c r="H50" s="26"/>
    </row>
    <row r="51" spans="1:11" x14ac:dyDescent="0.25">
      <c r="A51" s="25" t="s">
        <v>1646</v>
      </c>
      <c r="C51" s="1108" t="s">
        <v>1620</v>
      </c>
      <c r="E51" s="1107">
        <f>'Drop Downs'!C11</f>
        <v>0</v>
      </c>
      <c r="F51" s="1107">
        <f>E51-1</f>
        <v>-1</v>
      </c>
      <c r="H51" s="1109">
        <f>F46</f>
        <v>-1</v>
      </c>
      <c r="J51" s="1107">
        <v>0</v>
      </c>
    </row>
    <row r="52" spans="1:11" x14ac:dyDescent="0.25">
      <c r="A52" s="25" t="s">
        <v>1647</v>
      </c>
      <c r="C52" s="1107"/>
      <c r="E52" s="1107"/>
      <c r="F52" s="1107"/>
      <c r="H52" s="1109"/>
      <c r="J52" s="1107"/>
    </row>
    <row r="53" spans="1:11" x14ac:dyDescent="0.25">
      <c r="A53" s="25" t="s">
        <v>1648</v>
      </c>
      <c r="C53" s="1107"/>
      <c r="E53" s="1107"/>
      <c r="F53" s="1107"/>
      <c r="H53" s="1109"/>
      <c r="J53" s="1107"/>
    </row>
    <row r="54" spans="1:11" x14ac:dyDescent="0.25">
      <c r="A54" s="25"/>
      <c r="H54" s="26"/>
    </row>
    <row r="55" spans="1:11" x14ac:dyDescent="0.25">
      <c r="A55" s="25" t="s">
        <v>1650</v>
      </c>
      <c r="H55" s="26"/>
    </row>
    <row r="56" spans="1:11" x14ac:dyDescent="0.25">
      <c r="A56" s="25" t="s">
        <v>1648</v>
      </c>
      <c r="H56" s="1109">
        <f>IF('Spektron e'!AT9=0,2,1)</f>
        <v>2</v>
      </c>
    </row>
    <row r="57" spans="1:11" x14ac:dyDescent="0.25">
      <c r="A57" s="25" t="s">
        <v>1651</v>
      </c>
      <c r="H57" s="1109"/>
    </row>
    <row r="58" spans="1:11" x14ac:dyDescent="0.25">
      <c r="A58" s="25"/>
      <c r="H58" s="26"/>
    </row>
    <row r="59" spans="1:11" x14ac:dyDescent="0.25">
      <c r="A59" s="25"/>
      <c r="H59" s="26"/>
    </row>
    <row r="62" spans="1:11" x14ac:dyDescent="0.25">
      <c r="A62" s="24" t="s">
        <v>1652</v>
      </c>
    </row>
    <row r="63" spans="1:11" x14ac:dyDescent="0.25">
      <c r="A63" s="38" t="s">
        <v>1653</v>
      </c>
    </row>
    <row r="64" spans="1:11" x14ac:dyDescent="0.25">
      <c r="A64" s="57" t="s">
        <v>1654</v>
      </c>
      <c r="C64" s="1108" t="s">
        <v>1620</v>
      </c>
      <c r="E64" s="1107">
        <v>1</v>
      </c>
      <c r="F64" s="1108" t="s">
        <v>1620</v>
      </c>
      <c r="H64" s="1109">
        <f>J64</f>
        <v>1</v>
      </c>
      <c r="J64" s="1107">
        <f>IF(E64=1,E64,"x")</f>
        <v>1</v>
      </c>
      <c r="K64" t="s">
        <v>1655</v>
      </c>
    </row>
    <row r="65" spans="1:11" x14ac:dyDescent="0.25">
      <c r="A65" s="57" t="s">
        <v>1656</v>
      </c>
      <c r="C65" s="1107"/>
      <c r="E65" s="1107"/>
      <c r="F65" s="1107"/>
      <c r="H65" s="1109"/>
      <c r="J65" s="1107"/>
      <c r="K65" t="s">
        <v>1657</v>
      </c>
    </row>
    <row r="68" spans="1:11" x14ac:dyDescent="0.25">
      <c r="A68" s="24" t="s">
        <v>1658</v>
      </c>
    </row>
    <row r="70" spans="1:11" x14ac:dyDescent="0.25">
      <c r="A70" s="25" t="s">
        <v>1659</v>
      </c>
      <c r="C70" s="23" t="s">
        <v>1620</v>
      </c>
      <c r="E70" s="9">
        <v>1</v>
      </c>
      <c r="H70" s="1107">
        <f>E70</f>
        <v>1</v>
      </c>
      <c r="J70" s="1107">
        <f>E70</f>
        <v>1</v>
      </c>
    </row>
    <row r="71" spans="1:11" x14ac:dyDescent="0.25">
      <c r="A71" s="25" t="s">
        <v>1660</v>
      </c>
      <c r="B71" s="27" t="s">
        <v>1661</v>
      </c>
      <c r="H71" s="1107"/>
      <c r="J71" s="1107"/>
    </row>
    <row r="74" spans="1:11" x14ac:dyDescent="0.25">
      <c r="A74" s="24" t="s">
        <v>1662</v>
      </c>
    </row>
    <row r="76" spans="1:11" x14ac:dyDescent="0.25">
      <c r="A76" s="25" t="s">
        <v>1663</v>
      </c>
      <c r="C76" s="1108" t="s">
        <v>1620</v>
      </c>
      <c r="E76" s="1107">
        <v>2</v>
      </c>
      <c r="H76" s="1109">
        <v>2</v>
      </c>
      <c r="J76" s="1107" t="e">
        <v>#REF!</v>
      </c>
    </row>
    <row r="77" spans="1:11" x14ac:dyDescent="0.25">
      <c r="A77" s="25" t="s">
        <v>1664</v>
      </c>
      <c r="C77" s="1107"/>
      <c r="E77" s="1107"/>
      <c r="H77" s="1109"/>
      <c r="J77" s="1107"/>
    </row>
    <row r="80" spans="1:11" x14ac:dyDescent="0.25">
      <c r="A80" s="24" t="s">
        <v>1665</v>
      </c>
    </row>
    <row r="82" spans="1:11" x14ac:dyDescent="0.25">
      <c r="A82" s="25" t="str">
        <f>IF(E8&gt;9,"10 bar (1)","16 bar (2)")</f>
        <v>16 bar (2)</v>
      </c>
      <c r="C82" s="1108" t="s">
        <v>1620</v>
      </c>
      <c r="E82" s="1107">
        <v>1</v>
      </c>
      <c r="F82" s="1107">
        <f>IF(AND(E8&lt;10,E82=1),2,E82)</f>
        <v>2</v>
      </c>
      <c r="H82" s="1109">
        <v>2</v>
      </c>
      <c r="J82" s="1107">
        <v>2</v>
      </c>
      <c r="K82" t="s">
        <v>1406</v>
      </c>
    </row>
    <row r="83" spans="1:11" x14ac:dyDescent="0.25">
      <c r="A83" s="25" t="s">
        <v>1666</v>
      </c>
      <c r="C83" s="1107"/>
      <c r="E83" s="1107"/>
      <c r="F83" s="1107"/>
      <c r="H83" s="1109"/>
      <c r="J83" s="1107"/>
    </row>
    <row r="86" spans="1:11" x14ac:dyDescent="0.25">
      <c r="A86" s="24" t="s">
        <v>1667</v>
      </c>
    </row>
    <row r="88" spans="1:11" x14ac:dyDescent="0.25">
      <c r="A88" s="25" t="s">
        <v>1668</v>
      </c>
      <c r="C88" s="1108" t="s">
        <v>1620</v>
      </c>
      <c r="E88" s="1107">
        <v>1</v>
      </c>
      <c r="H88" s="1108" t="s">
        <v>1620</v>
      </c>
      <c r="J88" s="1108" t="str">
        <f>CHOOSE(E88,A88,A89,A90,A91,A92)</f>
        <v>PSS</v>
      </c>
    </row>
    <row r="89" spans="1:11" x14ac:dyDescent="0.25">
      <c r="A89" s="25" t="s">
        <v>1436</v>
      </c>
      <c r="C89" s="1107"/>
      <c r="E89" s="1107"/>
      <c r="H89" s="1107"/>
      <c r="J89" s="1107"/>
    </row>
    <row r="90" spans="1:11" x14ac:dyDescent="0.25">
      <c r="A90" s="25" t="s">
        <v>1669</v>
      </c>
      <c r="C90" s="1107"/>
      <c r="E90" s="1107"/>
      <c r="H90" s="1107"/>
      <c r="J90" s="1107"/>
    </row>
    <row r="91" spans="1:11" x14ac:dyDescent="0.25">
      <c r="A91" s="25" t="s">
        <v>1670</v>
      </c>
      <c r="C91" s="1107"/>
      <c r="E91" s="1107"/>
      <c r="H91" s="1107"/>
      <c r="J91" s="1107"/>
    </row>
    <row r="92" spans="1:11" x14ac:dyDescent="0.25">
      <c r="A92" s="25" t="s">
        <v>1671</v>
      </c>
      <c r="C92" s="1107"/>
      <c r="E92" s="1107"/>
    </row>
    <row r="93" spans="1:11" x14ac:dyDescent="0.25">
      <c r="A93" s="25"/>
    </row>
    <row r="94" spans="1:11" x14ac:dyDescent="0.25">
      <c r="A94" s="24" t="s">
        <v>1672</v>
      </c>
      <c r="B94" s="28"/>
      <c r="C94" s="29"/>
    </row>
    <row r="95" spans="1:11" x14ac:dyDescent="0.25">
      <c r="A95" s="25"/>
    </row>
    <row r="96" spans="1:11" x14ac:dyDescent="0.25">
      <c r="A96" s="25" t="s">
        <v>1673</v>
      </c>
      <c r="C96" s="9">
        <v>1</v>
      </c>
      <c r="E96" s="23" t="s">
        <v>1620</v>
      </c>
      <c r="F96" s="26"/>
      <c r="H96">
        <v>0</v>
      </c>
      <c r="J96" s="9">
        <f>H96</f>
        <v>0</v>
      </c>
      <c r="K96" t="s">
        <v>1674</v>
      </c>
    </row>
    <row r="97" spans="1:11" x14ac:dyDescent="0.25">
      <c r="A97" s="25"/>
      <c r="K97" t="s">
        <v>1675</v>
      </c>
    </row>
    <row r="98" spans="1:11" x14ac:dyDescent="0.25">
      <c r="A98" s="25" t="s">
        <v>1676</v>
      </c>
      <c r="C98" s="9">
        <v>1</v>
      </c>
    </row>
    <row r="100" spans="1:11" x14ac:dyDescent="0.25">
      <c r="A100" s="24" t="s">
        <v>1677</v>
      </c>
    </row>
    <row r="102" spans="1:11" x14ac:dyDescent="0.25">
      <c r="A102" s="25" t="s">
        <v>1678</v>
      </c>
      <c r="C102" s="1108" t="s">
        <v>1620</v>
      </c>
      <c r="E102" s="1107">
        <v>1</v>
      </c>
      <c r="F102" s="1108" t="s">
        <v>1620</v>
      </c>
      <c r="H102" s="1107" t="s">
        <v>1679</v>
      </c>
      <c r="J102" s="1107" t="s">
        <v>1679</v>
      </c>
    </row>
    <row r="103" spans="1:11" x14ac:dyDescent="0.25">
      <c r="A103" s="25" t="s">
        <v>1680</v>
      </c>
      <c r="C103" s="1107"/>
      <c r="E103" s="1107"/>
      <c r="F103" s="1107"/>
      <c r="H103" s="1107"/>
      <c r="J103" s="1107"/>
    </row>
    <row r="106" spans="1:11" x14ac:dyDescent="0.25">
      <c r="A106" s="24" t="s">
        <v>1681</v>
      </c>
    </row>
    <row r="108" spans="1:11" x14ac:dyDescent="0.25">
      <c r="A108" s="25" t="s">
        <v>1682</v>
      </c>
      <c r="C108" s="1108" t="s">
        <v>1620</v>
      </c>
      <c r="E108" s="1107">
        <v>2</v>
      </c>
      <c r="F108" s="1107">
        <f>E108-1</f>
        <v>1</v>
      </c>
      <c r="H108" s="1107" t="s">
        <v>1679</v>
      </c>
      <c r="J108" s="1107" t="s">
        <v>1679</v>
      </c>
    </row>
    <row r="109" spans="1:11" x14ac:dyDescent="0.25">
      <c r="A109" s="25" t="s">
        <v>1683</v>
      </c>
      <c r="C109" s="1107"/>
      <c r="E109" s="1107"/>
      <c r="F109" s="1107"/>
      <c r="H109" s="1107"/>
      <c r="J109" s="1107"/>
    </row>
    <row r="110" spans="1:11" x14ac:dyDescent="0.25">
      <c r="A110" s="25" t="s">
        <v>1684</v>
      </c>
      <c r="C110" s="1107"/>
      <c r="E110" s="1107"/>
      <c r="F110" s="1107"/>
      <c r="H110" s="1107"/>
      <c r="J110" s="1107"/>
    </row>
    <row r="113" spans="1:14" x14ac:dyDescent="0.25">
      <c r="A113" s="24" t="s">
        <v>1685</v>
      </c>
      <c r="B113" s="25"/>
    </row>
    <row r="115" spans="1:14" x14ac:dyDescent="0.25">
      <c r="A115" s="25"/>
      <c r="C115" s="30"/>
    </row>
    <row r="116" spans="1:14" x14ac:dyDescent="0.25">
      <c r="A116" s="25" t="s">
        <v>1686</v>
      </c>
      <c r="C116" s="31"/>
      <c r="E116" s="1107">
        <v>1</v>
      </c>
      <c r="F116" s="1108" t="s">
        <v>1620</v>
      </c>
      <c r="H116" s="1107">
        <f>E116</f>
        <v>1</v>
      </c>
      <c r="J116" s="1107">
        <f>E116</f>
        <v>1</v>
      </c>
    </row>
    <row r="117" spans="1:14" x14ac:dyDescent="0.25">
      <c r="A117" s="25" t="s">
        <v>1687</v>
      </c>
      <c r="C117" s="31"/>
      <c r="E117" s="1107"/>
      <c r="F117" s="1107"/>
      <c r="H117" s="1107"/>
      <c r="J117" s="1107"/>
    </row>
    <row r="118" spans="1:14" x14ac:dyDescent="0.25">
      <c r="A118" s="25"/>
      <c r="C118" s="31"/>
    </row>
    <row r="122" spans="1:14" s="36" customFormat="1" x14ac:dyDescent="0.25">
      <c r="C122" s="37"/>
      <c r="E122" s="37"/>
      <c r="F122" s="37"/>
      <c r="H122" s="37"/>
      <c r="J122" s="37"/>
    </row>
    <row r="123" spans="1:14" x14ac:dyDescent="0.25">
      <c r="A123" t="s">
        <v>1688</v>
      </c>
      <c r="C123" s="9" t="s">
        <v>193</v>
      </c>
    </row>
    <row r="124" spans="1:14" ht="15.75" thickBot="1" x14ac:dyDescent="0.3">
      <c r="L124" t="s">
        <v>1689</v>
      </c>
    </row>
    <row r="125" spans="1:14" x14ac:dyDescent="0.25">
      <c r="A125" s="2" t="s">
        <v>1572</v>
      </c>
      <c r="B125" s="2" t="s">
        <v>1690</v>
      </c>
      <c r="J125" t="s">
        <v>1600</v>
      </c>
      <c r="K125" s="2" t="s">
        <v>1690</v>
      </c>
      <c r="L125" t="e">
        <f>K125&amp;IF(LBX!#REF!=0,2,1)&amp;1&amp;'Drop Downs'!D43&amp;IF(LBX!#REF!=0,2,1)&amp;IF(LBX!#REF!="10 bar",1,2)&amp;0&amp;IF(LBX!#REF!=0,0,3)&amp;IF(LBX!#REF!=0,1,2)&amp;IF(LBX!#REF!=0,1,2)&amp;IF(LBX!#REF!=0,1,2)</f>
        <v>#REF!</v>
      </c>
    </row>
    <row r="126" spans="1:14" x14ac:dyDescent="0.25">
      <c r="A126" s="3" t="s">
        <v>1573</v>
      </c>
      <c r="B126" s="6" t="s">
        <v>1691</v>
      </c>
      <c r="J126"/>
      <c r="K126" s="6" t="s">
        <v>1691</v>
      </c>
      <c r="L126" t="e">
        <f>K126&amp;IF(LBX!#REF!=0,2,1)&amp;1&amp;'Drop Downs'!D44&amp;IF(LBX!#REF!=0,2,1)&amp;IF(LBX!#REF!="10 bar",1,2)&amp;0&amp;IF(LBX!#REF!=0,0,3)&amp;IF(LBX!#REF!=0,1,2)&amp;IF(LBX!#REF!=0,1,2)&amp;IF(LBX!#REF!=0,1,2)</f>
        <v>#REF!</v>
      </c>
    </row>
    <row r="127" spans="1:14" x14ac:dyDescent="0.25">
      <c r="A127" s="3" t="s">
        <v>1574</v>
      </c>
      <c r="B127" s="6" t="s">
        <v>1692</v>
      </c>
      <c r="J127"/>
      <c r="K127" s="6" t="s">
        <v>1692</v>
      </c>
      <c r="L127" t="e">
        <f>K127&amp;IF(LBX!#REF!=0,2,1)&amp;1&amp;'Drop Downs'!D45&amp;IF(LBX!#REF!=0,2,1)&amp;IF(LBX!#REF!="10 bar",1,2)&amp;0&amp;IF(LBX!#REF!=0,0,3)&amp;IF(LBX!#REF!=0,1,2)&amp;IF(LBX!#REF!=0,1,2)&amp;IF(LBX!#REF!=0,1,2)</f>
        <v>#REF!</v>
      </c>
    </row>
    <row r="128" spans="1:14" x14ac:dyDescent="0.25">
      <c r="A128" s="3" t="s">
        <v>1693</v>
      </c>
      <c r="B128" s="6" t="s">
        <v>1461</v>
      </c>
      <c r="J128"/>
      <c r="K128" s="6" t="s">
        <v>1694</v>
      </c>
      <c r="L128" t="str">
        <f>K128&amp;IF(LBX!AT6=0,2,1)&amp;1&amp;'Drop Downs'!D46&amp;IF(LBX!AC6=0,2,1)&amp;IF(LBX!F6="10 bar",1,2)&amp;0&amp;IF(LBX!AJ6=0,0,3)&amp;IF(LBX!AQ6=0,1,2)&amp;IF(LBX!V6=0,1,2)&amp;IF(LBX!O6=0,1,2)</f>
        <v>LBX90e2111200111</v>
      </c>
      <c r="N128" t="s">
        <v>310</v>
      </c>
    </row>
    <row r="129" spans="1:14" x14ac:dyDescent="0.25">
      <c r="A129" s="3" t="s">
        <v>1695</v>
      </c>
      <c r="B129" s="6" t="s">
        <v>1465</v>
      </c>
      <c r="J129"/>
      <c r="K129" s="6" t="s">
        <v>1696</v>
      </c>
      <c r="L129" t="str">
        <f>K129&amp;IF(LBX!AT7=0,2,1)&amp;1&amp;'Drop Downs'!D47&amp;IF(LBX!AC7=0,2,1)&amp;IF(LBX!F7="10 bar",1,2)&amp;0&amp;IF(LBX!AJ7=0,0,3)&amp;IF(LBX!AQ7=0,1,2)&amp;IF(LBX!V7=0,1,2)&amp;IF(LBX!O7=0,1,2)</f>
        <v>LBX120e2111100111</v>
      </c>
      <c r="N129" t="s">
        <v>1129</v>
      </c>
    </row>
    <row r="130" spans="1:14" x14ac:dyDescent="0.25">
      <c r="A130" s="3" t="s">
        <v>1697</v>
      </c>
      <c r="B130" s="6" t="s">
        <v>1467</v>
      </c>
      <c r="J130"/>
      <c r="K130" s="6" t="s">
        <v>1698</v>
      </c>
      <c r="L130" t="str">
        <f>K130&amp;IF(LBX!AT8=0,2,1)&amp;1&amp;'Drop Downs'!D48&amp;IF(LBX!AC8=0,2,1)&amp;IF(LBX!F8="10 bar",1,2)&amp;0&amp;IF(LBX!AJ8=0,0,3)&amp;IF(LBX!AQ8=0,1,2)&amp;IF(LBX!V8=0,1,2)&amp;IF(LBX!O8=0,1,2)</f>
        <v>LBX200e2111100111</v>
      </c>
    </row>
    <row r="131" spans="1:14" x14ac:dyDescent="0.25">
      <c r="A131" s="3" t="s">
        <v>1699</v>
      </c>
      <c r="B131" s="6" t="s">
        <v>1469</v>
      </c>
      <c r="J131"/>
      <c r="K131" s="6" t="s">
        <v>1700</v>
      </c>
      <c r="L131" t="str">
        <f>K131&amp;IF(LBX!AT9=0,2,1)&amp;1&amp;'Drop Downs'!D49&amp;IF(LBX!AC9=0,2,1)&amp;IF(LBX!F9="10 bar",1,2)&amp;0&amp;IF(LBX!AJ9=0,0,3)&amp;IF(LBX!AQ9=0,1,2)&amp;IF(LBX!V9=0,1,2)&amp;IF(LBX!O9=0,1,2)</f>
        <v>LBX400e2111100111</v>
      </c>
    </row>
    <row r="132" spans="1:14" x14ac:dyDescent="0.25">
      <c r="A132" s="3" t="s">
        <v>1701</v>
      </c>
      <c r="B132" s="6" t="s">
        <v>1471</v>
      </c>
      <c r="J132"/>
      <c r="K132" s="6" t="s">
        <v>1702</v>
      </c>
      <c r="L132" t="str">
        <f>K132&amp;IF(LBX!AT10=0,2,1)&amp;1&amp;'Drop Downs'!D50&amp;IF(LBX!AC10=0,2,1)&amp;IF(LBX!F10="10 bar",1,2)&amp;0&amp;IF(LBX!AJ10=0,0,3)&amp;IF(LBX!AQ10=0,1,2)&amp;IF(LBX!V10=0,1,2)&amp;IF(LBX!O10=0,1,2)</f>
        <v>LBX550e2111100111</v>
      </c>
    </row>
    <row r="133" spans="1:14" x14ac:dyDescent="0.25">
      <c r="A133" s="3" t="s">
        <v>1703</v>
      </c>
      <c r="B133" s="6" t="s">
        <v>1473</v>
      </c>
      <c r="J133"/>
      <c r="K133" s="6" t="s">
        <v>1704</v>
      </c>
      <c r="L133" t="str">
        <f>K133&amp;IF(LBX!AT11=0,2,1)&amp;1&amp;'Drop Downs'!D51&amp;IF(LBX!AC11=0,2,1)&amp;IF(LBX!F11="10 bar",1,2)&amp;0&amp;IF(LBX!AJ11=0,0,3)&amp;IF(LBX!AQ11=0,1,2)&amp;IF(LBX!V11=0,1,2)&amp;IF(LBX!O11=0,1,2)</f>
        <v>LBX850e2101100111</v>
      </c>
    </row>
    <row r="134" spans="1:14" x14ac:dyDescent="0.25">
      <c r="A134" s="3" t="s">
        <v>1705</v>
      </c>
      <c r="B134" s="6" t="s">
        <v>1706</v>
      </c>
      <c r="J134"/>
      <c r="K134" s="6" t="s">
        <v>1707</v>
      </c>
      <c r="L134" t="e">
        <f>K134&amp;IF(LBX!#REF!=0,2,1)&amp;1&amp;'Drop Downs'!D52&amp;IF(LBX!#REF!=0,2,1)&amp;IF(LBX!#REF!="10 bar",1,2)&amp;0&amp;IF(LBX!#REF!=0,0,3)&amp;IF(LBX!#REF!=0,1,2)&amp;IF(LBX!#REF!=0,1,2)&amp;IF(LBX!#REF!=0,1,2)</f>
        <v>#REF!</v>
      </c>
    </row>
    <row r="135" spans="1:14" x14ac:dyDescent="0.25">
      <c r="A135" s="3" t="s">
        <v>1708</v>
      </c>
      <c r="B135" s="6" t="s">
        <v>1477</v>
      </c>
      <c r="J135"/>
      <c r="K135" s="6" t="s">
        <v>1709</v>
      </c>
      <c r="L135" t="str">
        <f>K135&amp;IF(LBX!AT12=0,2,1)&amp;1&amp;'Drop Downs'!D53&amp;IF(LBX!AC12=0,2,1)&amp;IF(LBX!F12="10 bar",1,2)&amp;0&amp;IF(LBX!AJ12=0,0,3)&amp;IF(LBX!AQ12=0,1,2)&amp;IF(LBX!V12=0,1,2)&amp;IF(LBX!O12=0,1,2)</f>
        <v>LBX1500e2101100111</v>
      </c>
    </row>
    <row r="136" spans="1:14" x14ac:dyDescent="0.25">
      <c r="J136"/>
    </row>
    <row r="137" spans="1:14" x14ac:dyDescent="0.25">
      <c r="J137"/>
    </row>
    <row r="138" spans="1:14" s="36" customFormat="1" x14ac:dyDescent="0.25">
      <c r="C138" s="37"/>
      <c r="E138" s="37"/>
      <c r="F138" s="37"/>
      <c r="H138" s="37"/>
    </row>
    <row r="139" spans="1:14" x14ac:dyDescent="0.25">
      <c r="C139" s="9" t="s">
        <v>6</v>
      </c>
      <c r="J139"/>
    </row>
    <row r="142" spans="1:14" ht="15.75" thickBot="1" x14ac:dyDescent="0.3">
      <c r="M142" t="s">
        <v>1710</v>
      </c>
    </row>
    <row r="143" spans="1:14" x14ac:dyDescent="0.25">
      <c r="K143" s="2" t="s">
        <v>2101</v>
      </c>
      <c r="L143" t="str">
        <f>K143&amp;2&amp;1&amp;3&amp;2&amp;2&amp;1&amp;0&amp;IF(Acton!AJ6=0,1,2)&amp;IF(Acton!AT6=0,1,2)&amp;IF(Acton!O6=0,1,2)</f>
        <v>AC27e2132210111</v>
      </c>
    </row>
    <row r="144" spans="1:14" x14ac:dyDescent="0.25">
      <c r="K144" s="6" t="s">
        <v>1484</v>
      </c>
      <c r="L144" t="str">
        <f>K144&amp;2&amp;1&amp;3&amp;2&amp;2&amp;1&amp;0&amp;IF(Acton!AJ7=0,1,2)&amp;IF(Acton!AT7=0,1,2)&amp;IF(Acton!O7=0,1,2)</f>
        <v>AC160e2132210111</v>
      </c>
    </row>
    <row r="145" spans="1:12" x14ac:dyDescent="0.25">
      <c r="K145" s="6" t="s">
        <v>1486</v>
      </c>
      <c r="L145" t="str">
        <f>K145&amp;2&amp;1&amp;3&amp;2&amp;2&amp;1&amp;0&amp;IF(Acton!AJ8=0,1,2)&amp;IF(Acton!AT8=0,1,2)&amp;IF(Acton!O8=0,1,2)</f>
        <v>AC260e2132210111</v>
      </c>
    </row>
    <row r="146" spans="1:12" x14ac:dyDescent="0.25">
      <c r="K146" s="6" t="s">
        <v>1488</v>
      </c>
      <c r="L146" t="str">
        <f>K146&amp;2&amp;1&amp;3&amp;2&amp;2&amp;1&amp;0&amp;IF(Acton!AJ9=0,1,2)&amp;IF(Acton!AT9=0,1,2)&amp;IF(Acton!O9=0,1,2)</f>
        <v>AC460e2132210111</v>
      </c>
    </row>
    <row r="147" spans="1:12" x14ac:dyDescent="0.25">
      <c r="K147" s="6" t="s">
        <v>1490</v>
      </c>
      <c r="L147" t="str">
        <f>K147&amp;2&amp;1&amp;3&amp;2&amp;2&amp;1&amp;0&amp;IF(Acton!AJ10=0,1,2)&amp;IF(Acton!AT10=0,1,2)&amp;IF(Acton!O10=0,1,2)</f>
        <v>AC660e2132210111</v>
      </c>
    </row>
    <row r="149" spans="1:12" s="36" customFormat="1" x14ac:dyDescent="0.25">
      <c r="C149" s="37"/>
      <c r="E149" s="37"/>
      <c r="F149" s="37"/>
      <c r="H149" s="37"/>
      <c r="J149" s="37"/>
    </row>
    <row r="151" spans="1:12" x14ac:dyDescent="0.25">
      <c r="A151" s="9" t="s">
        <v>1711</v>
      </c>
    </row>
    <row r="152" spans="1:12" x14ac:dyDescent="0.25">
      <c r="K152" s="39" t="s">
        <v>1712</v>
      </c>
      <c r="L152" t="str">
        <f>K152&amp;'Drop Downs'!F57&amp;1&amp;2&amp;2&amp;2&amp;0&amp;0&amp;1&amp;0&amp;2</f>
        <v>SP02i3122200102</v>
      </c>
    </row>
    <row r="153" spans="1:12" x14ac:dyDescent="0.25">
      <c r="K153" s="39" t="s">
        <v>1713</v>
      </c>
      <c r="L153" t="str">
        <f>K153&amp;'Drop Downs'!F58&amp;1&amp;2&amp;2&amp;2&amp;0&amp;0&amp;1&amp;0&amp;2</f>
        <v>SP05i3122200102</v>
      </c>
    </row>
    <row r="154" spans="1:12" x14ac:dyDescent="0.25">
      <c r="K154" s="39" t="s">
        <v>1503</v>
      </c>
      <c r="L154" t="str">
        <f>K154&amp;'Drop Downs'!F59&amp;1&amp;2&amp;2&amp;2&amp;0&amp;0&amp;1&amp;0&amp;2</f>
        <v>SP10i3122200102</v>
      </c>
    </row>
    <row r="155" spans="1:12" x14ac:dyDescent="0.25">
      <c r="K155" s="39" t="s">
        <v>1505</v>
      </c>
      <c r="L155" t="str">
        <f>K155&amp;'Drop Downs'!F60&amp;1&amp;2&amp;2&amp;1&amp;0&amp;0&amp;1&amp;0&amp;2</f>
        <v>SP15i3122100102</v>
      </c>
    </row>
    <row r="156" spans="1:12" x14ac:dyDescent="0.25">
      <c r="K156" s="39" t="s">
        <v>1507</v>
      </c>
      <c r="L156" t="str">
        <f>K156&amp;'Drop Downs'!F61&amp;1&amp;2&amp;2&amp;1&amp;0&amp;0&amp;1&amp;0&amp;2</f>
        <v>SP30i3122100102</v>
      </c>
    </row>
    <row r="157" spans="1:12" x14ac:dyDescent="0.25">
      <c r="K157" s="39" t="s">
        <v>1509</v>
      </c>
      <c r="L157" t="str">
        <f>K157&amp;'Drop Downs'!F62&amp;1&amp;2&amp;2&amp;1&amp;0&amp;0&amp;1&amp;0&amp;2</f>
        <v>SP50i3122100102</v>
      </c>
    </row>
    <row r="158" spans="1:12" x14ac:dyDescent="0.25">
      <c r="K158" s="39" t="s">
        <v>1511</v>
      </c>
      <c r="L158" t="str">
        <f>K158&amp;'Drop Downs'!F63&amp;1&amp;2&amp;2&amp;1&amp;0&amp;0&amp;1&amp;0&amp;2</f>
        <v>SP90i3122100102</v>
      </c>
    </row>
    <row r="161" spans="1:12" s="36" customFormat="1" x14ac:dyDescent="0.25">
      <c r="C161" s="37"/>
      <c r="E161" s="37"/>
      <c r="F161" s="37"/>
      <c r="H161" s="37"/>
      <c r="J161" s="37"/>
    </row>
    <row r="162" spans="1:12" x14ac:dyDescent="0.25">
      <c r="A162" t="s">
        <v>1359</v>
      </c>
      <c r="K162" t="s">
        <v>1714</v>
      </c>
      <c r="L162" t="s">
        <v>1715</v>
      </c>
    </row>
    <row r="163" spans="1:12" x14ac:dyDescent="0.25">
      <c r="B163" t="s">
        <v>1517</v>
      </c>
      <c r="K163" t="str">
        <f>B163&amp;'Drop Downs'!C89&amp;0&amp;L163</f>
        <v>PT60000</v>
      </c>
      <c r="L163">
        <f>'Drop Downs'!C99</f>
        <v>0</v>
      </c>
    </row>
    <row r="164" spans="1:12" x14ac:dyDescent="0.25">
      <c r="B164" t="s">
        <v>1519</v>
      </c>
      <c r="K164" t="str">
        <f>B164&amp;'Drop Downs'!C92&amp;0&amp;L164</f>
        <v>PT80000</v>
      </c>
      <c r="L164">
        <f>'Drop Downs'!C103</f>
        <v>0</v>
      </c>
    </row>
    <row r="165" spans="1:12" x14ac:dyDescent="0.25">
      <c r="B165" t="s">
        <v>1521</v>
      </c>
      <c r="K165" t="str">
        <f>B165&amp;'Drop Downs'!C95&amp;0&amp;L165</f>
        <v>PT100000</v>
      </c>
      <c r="L165">
        <f>'Drop Downs'!C107</f>
        <v>0</v>
      </c>
    </row>
  </sheetData>
  <mergeCells count="57">
    <mergeCell ref="H108:H110"/>
    <mergeCell ref="J108:J110"/>
    <mergeCell ref="C76:C77"/>
    <mergeCell ref="E76:E77"/>
    <mergeCell ref="H76:H77"/>
    <mergeCell ref="J76:J77"/>
    <mergeCell ref="C82:C83"/>
    <mergeCell ref="E82:E83"/>
    <mergeCell ref="F82:F83"/>
    <mergeCell ref="H82:H83"/>
    <mergeCell ref="E116:E117"/>
    <mergeCell ref="F116:F117"/>
    <mergeCell ref="H116:H117"/>
    <mergeCell ref="J116:J117"/>
    <mergeCell ref="C88:C92"/>
    <mergeCell ref="E88:E92"/>
    <mergeCell ref="H88:H91"/>
    <mergeCell ref="J88:J91"/>
    <mergeCell ref="C102:C103"/>
    <mergeCell ref="E102:E103"/>
    <mergeCell ref="F102:F103"/>
    <mergeCell ref="H102:H103"/>
    <mergeCell ref="J102:J103"/>
    <mergeCell ref="C108:C110"/>
    <mergeCell ref="E108:E110"/>
    <mergeCell ref="F108:F110"/>
    <mergeCell ref="C64:C65"/>
    <mergeCell ref="E64:E65"/>
    <mergeCell ref="F64:F65"/>
    <mergeCell ref="H64:H65"/>
    <mergeCell ref="J64:J65"/>
    <mergeCell ref="F41:F43"/>
    <mergeCell ref="H41:H43"/>
    <mergeCell ref="F8:F33"/>
    <mergeCell ref="H8:H33"/>
    <mergeCell ref="J82:J83"/>
    <mergeCell ref="H70:H71"/>
    <mergeCell ref="J70:J71"/>
    <mergeCell ref="J8:J33"/>
    <mergeCell ref="H56:H57"/>
    <mergeCell ref="J41:J43"/>
    <mergeCell ref="O29:S29"/>
    <mergeCell ref="O26:S26"/>
    <mergeCell ref="O27:S27"/>
    <mergeCell ref="J46:J48"/>
    <mergeCell ref="C51:C53"/>
    <mergeCell ref="E51:E53"/>
    <mergeCell ref="F51:F53"/>
    <mergeCell ref="H51:H53"/>
    <mergeCell ref="J51:J53"/>
    <mergeCell ref="E8:E33"/>
    <mergeCell ref="C46:C48"/>
    <mergeCell ref="E46:E48"/>
    <mergeCell ref="F46:F48"/>
    <mergeCell ref="H46:H48"/>
    <mergeCell ref="C41:C43"/>
    <mergeCell ref="E41:E43"/>
  </mergeCells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6240B-3411-49BA-ACE4-18868C3E8865}">
  <sheetPr codeName="Tabelle18">
    <tabColor rgb="FF00B0F0"/>
  </sheetPr>
  <dimension ref="A1:I137"/>
  <sheetViews>
    <sheetView workbookViewId="0">
      <selection activeCell="F26" sqref="F26"/>
    </sheetView>
  </sheetViews>
  <sheetFormatPr defaultColWidth="11.42578125" defaultRowHeight="15" x14ac:dyDescent="0.25"/>
  <cols>
    <col min="1" max="1" width="19" bestFit="1" customWidth="1"/>
    <col min="2" max="2" width="15.42578125" bestFit="1" customWidth="1"/>
    <col min="3" max="3" width="11.42578125" bestFit="1" customWidth="1"/>
    <col min="4" max="4" width="16.28515625" bestFit="1" customWidth="1"/>
    <col min="5" max="5" width="26" customWidth="1"/>
    <col min="6" max="6" width="19.28515625" customWidth="1"/>
    <col min="9" max="9" width="17.28515625" customWidth="1"/>
  </cols>
  <sheetData>
    <row r="1" spans="1:9" ht="15.75" thickBot="1" x14ac:dyDescent="0.3">
      <c r="A1" s="115" t="s">
        <v>0</v>
      </c>
      <c r="B1" s="116" t="s">
        <v>1716</v>
      </c>
      <c r="C1" s="115" t="s">
        <v>1</v>
      </c>
      <c r="D1" t="s">
        <v>1524</v>
      </c>
      <c r="E1" t="s">
        <v>1525</v>
      </c>
      <c r="F1" s="535"/>
      <c r="G1" s="535"/>
      <c r="H1" s="535"/>
      <c r="I1" t="s">
        <v>1391</v>
      </c>
    </row>
    <row r="2" spans="1:9" ht="15.75" thickBot="1" x14ac:dyDescent="0.3">
      <c r="A2" s="117" t="s">
        <v>1717</v>
      </c>
      <c r="B2" s="118">
        <v>7600000403540</v>
      </c>
      <c r="C2" s="43" t="s">
        <v>1543</v>
      </c>
      <c r="D2" t="s">
        <v>1718</v>
      </c>
      <c r="E2" t="s">
        <v>1719</v>
      </c>
      <c r="F2" s="535" t="s">
        <v>1720</v>
      </c>
      <c r="G2" s="554" t="s">
        <v>1721</v>
      </c>
      <c r="H2" s="555">
        <v>37155</v>
      </c>
      <c r="I2" s="557" t="str">
        <f>CONCATENATE(76000000,H2)</f>
        <v>7600000037155</v>
      </c>
    </row>
    <row r="3" spans="1:9" ht="15.75" thickBot="1" x14ac:dyDescent="0.3">
      <c r="A3" s="117" t="s">
        <v>1722</v>
      </c>
      <c r="B3" s="118">
        <v>7600000403535</v>
      </c>
      <c r="C3" s="43" t="s">
        <v>1543</v>
      </c>
      <c r="D3" t="s">
        <v>1723</v>
      </c>
      <c r="E3" t="s">
        <v>1529</v>
      </c>
      <c r="F3" s="535" t="s">
        <v>1724</v>
      </c>
      <c r="G3" s="536" t="s">
        <v>1725</v>
      </c>
      <c r="H3" s="555">
        <v>36944</v>
      </c>
      <c r="I3" s="558" t="str">
        <f>CONCATENATE(76000000,H3)</f>
        <v>7600000036944</v>
      </c>
    </row>
    <row r="4" spans="1:9" ht="15.75" thickBot="1" x14ac:dyDescent="0.3">
      <c r="A4" s="117" t="s">
        <v>1726</v>
      </c>
      <c r="B4" s="118">
        <v>7600000403525</v>
      </c>
      <c r="C4" s="43" t="s">
        <v>1543</v>
      </c>
      <c r="D4" t="s">
        <v>1727</v>
      </c>
      <c r="E4" t="s">
        <v>1720</v>
      </c>
      <c r="F4" s="535" t="s">
        <v>1728</v>
      </c>
      <c r="G4" s="536" t="s">
        <v>1729</v>
      </c>
      <c r="H4" s="555">
        <v>37156</v>
      </c>
      <c r="I4" s="558" t="str">
        <f>CONCATENATE(76000000,H4)</f>
        <v>7600000037156</v>
      </c>
    </row>
    <row r="5" spans="1:9" ht="15.75" thickBot="1" x14ac:dyDescent="0.3">
      <c r="A5" s="117" t="s">
        <v>1730</v>
      </c>
      <c r="B5" s="118">
        <v>7600000403520</v>
      </c>
      <c r="C5" s="43" t="s">
        <v>1543</v>
      </c>
      <c r="D5" t="s">
        <v>1724</v>
      </c>
      <c r="E5" t="s">
        <v>1724</v>
      </c>
      <c r="F5" s="535" t="s">
        <v>1719</v>
      </c>
      <c r="G5" s="536" t="s">
        <v>1731</v>
      </c>
      <c r="H5" s="555">
        <v>45158</v>
      </c>
      <c r="I5" s="558" t="str">
        <f>CONCATENATE(76000000,H5)</f>
        <v>7600000045158</v>
      </c>
    </row>
    <row r="6" spans="1:9" ht="15.75" thickBot="1" x14ac:dyDescent="0.3">
      <c r="A6" s="119" t="s">
        <v>1732</v>
      </c>
      <c r="B6" s="120">
        <v>7600000403530</v>
      </c>
      <c r="C6" s="43" t="s">
        <v>1543</v>
      </c>
      <c r="D6" t="s">
        <v>1728</v>
      </c>
      <c r="E6" t="s">
        <v>1728</v>
      </c>
      <c r="F6" s="535" t="s">
        <v>1529</v>
      </c>
      <c r="G6" s="536" t="s">
        <v>1733</v>
      </c>
      <c r="H6" s="555">
        <v>38127</v>
      </c>
      <c r="I6" s="559" t="str">
        <f>CONCATENATE(76000000,H6)</f>
        <v>7600000038127</v>
      </c>
    </row>
    <row r="7" spans="1:9" x14ac:dyDescent="0.25">
      <c r="A7" s="117" t="s">
        <v>1734</v>
      </c>
      <c r="B7" s="118">
        <v>7600000403541</v>
      </c>
      <c r="C7" s="43" t="s">
        <v>1735</v>
      </c>
      <c r="D7">
        <v>0</v>
      </c>
      <c r="G7" s="553" t="s">
        <v>1736</v>
      </c>
      <c r="H7" s="534"/>
    </row>
    <row r="8" spans="1:9" x14ac:dyDescent="0.25">
      <c r="A8" s="117" t="s">
        <v>1737</v>
      </c>
      <c r="B8" s="118">
        <v>7600000403536</v>
      </c>
      <c r="C8" s="43" t="s">
        <v>1735</v>
      </c>
    </row>
    <row r="9" spans="1:9" x14ac:dyDescent="0.25">
      <c r="A9" s="117" t="s">
        <v>1738</v>
      </c>
      <c r="B9" s="118">
        <v>7600000403526</v>
      </c>
      <c r="C9" s="43" t="s">
        <v>1735</v>
      </c>
    </row>
    <row r="10" spans="1:9" x14ac:dyDescent="0.25">
      <c r="A10" s="117" t="s">
        <v>1739</v>
      </c>
      <c r="B10" s="118">
        <v>7600000403521</v>
      </c>
      <c r="C10" s="43" t="s">
        <v>1735</v>
      </c>
      <c r="D10" s="583" t="s">
        <v>2074</v>
      </c>
      <c r="E10" s="583" t="s">
        <v>2075</v>
      </c>
      <c r="F10" s="583" t="s">
        <v>2076</v>
      </c>
    </row>
    <row r="11" spans="1:9" x14ac:dyDescent="0.25">
      <c r="A11" s="119" t="s">
        <v>1740</v>
      </c>
      <c r="B11" s="120">
        <v>7600000403531</v>
      </c>
      <c r="C11" s="43" t="s">
        <v>1735</v>
      </c>
      <c r="D11" s="583" t="s">
        <v>175</v>
      </c>
      <c r="E11" s="583" t="s">
        <v>2077</v>
      </c>
      <c r="F11" s="584">
        <v>7600000403504</v>
      </c>
    </row>
    <row r="12" spans="1:9" x14ac:dyDescent="0.25">
      <c r="A12" s="117" t="s">
        <v>1741</v>
      </c>
      <c r="B12" s="118">
        <v>7600000403542</v>
      </c>
      <c r="C12" s="43" t="s">
        <v>1742</v>
      </c>
      <c r="D12" s="583" t="s">
        <v>178</v>
      </c>
      <c r="E12" s="583" t="s">
        <v>2078</v>
      </c>
      <c r="F12" s="584">
        <v>7600000403514</v>
      </c>
    </row>
    <row r="13" spans="1:9" x14ac:dyDescent="0.25">
      <c r="A13" s="117" t="s">
        <v>1743</v>
      </c>
      <c r="B13" s="118">
        <v>7600000403537</v>
      </c>
      <c r="C13" s="43" t="s">
        <v>1742</v>
      </c>
      <c r="D13" s="583" t="s">
        <v>179</v>
      </c>
      <c r="E13" s="583" t="s">
        <v>2079</v>
      </c>
      <c r="F13" s="584">
        <v>7600000403509</v>
      </c>
    </row>
    <row r="14" spans="1:9" x14ac:dyDescent="0.25">
      <c r="A14" s="117" t="s">
        <v>1744</v>
      </c>
      <c r="B14" s="118">
        <v>7600000403527</v>
      </c>
      <c r="C14" s="43" t="s">
        <v>1742</v>
      </c>
      <c r="D14" s="583" t="s">
        <v>180</v>
      </c>
      <c r="E14" s="583" t="s">
        <v>2080</v>
      </c>
      <c r="F14" s="584">
        <v>7600000403500</v>
      </c>
    </row>
    <row r="15" spans="1:9" x14ac:dyDescent="0.25">
      <c r="A15" s="117" t="s">
        <v>1745</v>
      </c>
      <c r="B15" s="118">
        <v>7600000403522</v>
      </c>
      <c r="C15" s="43" t="s">
        <v>1742</v>
      </c>
      <c r="D15" s="583" t="s">
        <v>181</v>
      </c>
      <c r="E15" s="583" t="s">
        <v>2081</v>
      </c>
      <c r="F15" s="584">
        <v>7600000403510</v>
      </c>
    </row>
    <row r="16" spans="1:9" x14ac:dyDescent="0.25">
      <c r="A16" s="119" t="s">
        <v>1746</v>
      </c>
      <c r="B16" s="120">
        <v>7600000403532</v>
      </c>
      <c r="C16" s="43" t="s">
        <v>1742</v>
      </c>
      <c r="D16" s="583" t="s">
        <v>182</v>
      </c>
      <c r="E16" s="583" t="s">
        <v>2082</v>
      </c>
      <c r="F16" s="584">
        <v>7600000403505</v>
      </c>
    </row>
    <row r="17" spans="1:6" x14ac:dyDescent="0.25">
      <c r="A17" s="117" t="s">
        <v>1747</v>
      </c>
      <c r="B17" s="118">
        <v>7600000403543</v>
      </c>
      <c r="C17" s="43" t="s">
        <v>1544</v>
      </c>
      <c r="D17" s="583" t="s">
        <v>183</v>
      </c>
      <c r="E17" s="583" t="s">
        <v>2083</v>
      </c>
      <c r="F17" s="584">
        <v>7600000403501</v>
      </c>
    </row>
    <row r="18" spans="1:6" x14ac:dyDescent="0.25">
      <c r="A18" s="117" t="s">
        <v>1748</v>
      </c>
      <c r="B18" s="118">
        <v>7600000403538</v>
      </c>
      <c r="C18" s="43" t="s">
        <v>1544</v>
      </c>
      <c r="D18" s="583" t="s">
        <v>184</v>
      </c>
      <c r="E18" s="583" t="s">
        <v>2084</v>
      </c>
      <c r="F18" s="584">
        <v>7600000403511</v>
      </c>
    </row>
    <row r="19" spans="1:6" x14ac:dyDescent="0.25">
      <c r="A19" s="117" t="s">
        <v>1749</v>
      </c>
      <c r="B19" s="118">
        <v>7600000403528</v>
      </c>
      <c r="C19" s="43" t="s">
        <v>1544</v>
      </c>
      <c r="D19" s="583" t="s">
        <v>185</v>
      </c>
      <c r="E19" s="583" t="s">
        <v>2085</v>
      </c>
      <c r="F19" s="584">
        <v>7600000403506</v>
      </c>
    </row>
    <row r="20" spans="1:6" x14ac:dyDescent="0.25">
      <c r="A20" s="117" t="s">
        <v>1750</v>
      </c>
      <c r="B20" s="118">
        <v>7600000403523</v>
      </c>
      <c r="C20" s="43" t="s">
        <v>1544</v>
      </c>
      <c r="D20" s="583" t="s">
        <v>186</v>
      </c>
      <c r="E20" s="583" t="s">
        <v>2086</v>
      </c>
      <c r="F20" s="584">
        <v>7600000403502</v>
      </c>
    </row>
    <row r="21" spans="1:6" x14ac:dyDescent="0.25">
      <c r="A21" s="119" t="s">
        <v>1751</v>
      </c>
      <c r="B21" s="120">
        <v>7600000403533</v>
      </c>
      <c r="C21" s="43" t="s">
        <v>1544</v>
      </c>
      <c r="D21" s="583" t="s">
        <v>187</v>
      </c>
      <c r="E21" s="583" t="s">
        <v>2087</v>
      </c>
      <c r="F21" s="584">
        <v>7600000403512</v>
      </c>
    </row>
    <row r="22" spans="1:6" x14ac:dyDescent="0.25">
      <c r="A22" s="117" t="s">
        <v>1752</v>
      </c>
      <c r="B22" s="118">
        <v>7600000403544</v>
      </c>
      <c r="C22" s="43" t="s">
        <v>1545</v>
      </c>
      <c r="D22" s="583" t="s">
        <v>188</v>
      </c>
      <c r="E22" s="583" t="s">
        <v>2088</v>
      </c>
      <c r="F22" s="584">
        <v>7600000403507</v>
      </c>
    </row>
    <row r="23" spans="1:6" x14ac:dyDescent="0.25">
      <c r="A23" s="117" t="s">
        <v>1753</v>
      </c>
      <c r="B23" s="118">
        <v>7600000403539</v>
      </c>
      <c r="C23" s="43" t="s">
        <v>1545</v>
      </c>
      <c r="D23" s="583" t="s">
        <v>189</v>
      </c>
      <c r="E23" s="583" t="s">
        <v>2089</v>
      </c>
      <c r="F23" s="584">
        <v>7600000403503</v>
      </c>
    </row>
    <row r="24" spans="1:6" x14ac:dyDescent="0.25">
      <c r="A24" s="117" t="s">
        <v>1754</v>
      </c>
      <c r="B24" s="118">
        <v>7600000403529</v>
      </c>
      <c r="C24" s="43" t="s">
        <v>1545</v>
      </c>
      <c r="D24" s="583" t="s">
        <v>190</v>
      </c>
      <c r="E24" s="583" t="s">
        <v>2090</v>
      </c>
      <c r="F24" s="584">
        <v>7600000403513</v>
      </c>
    </row>
    <row r="25" spans="1:6" x14ac:dyDescent="0.25">
      <c r="A25" s="117" t="s">
        <v>1755</v>
      </c>
      <c r="B25" s="118">
        <v>7600000403524</v>
      </c>
      <c r="C25" s="43" t="s">
        <v>1545</v>
      </c>
      <c r="D25" s="583" t="s">
        <v>191</v>
      </c>
      <c r="E25" s="583" t="s">
        <v>2091</v>
      </c>
      <c r="F25" s="584">
        <v>7600000403508</v>
      </c>
    </row>
    <row r="26" spans="1:6" ht="15.75" thickBot="1" x14ac:dyDescent="0.3">
      <c r="A26" s="121" t="s">
        <v>1756</v>
      </c>
      <c r="B26" s="122">
        <v>7600000403534</v>
      </c>
      <c r="C26" s="128" t="s">
        <v>1545</v>
      </c>
    </row>
    <row r="27" spans="1:6" x14ac:dyDescent="0.25">
      <c r="A27" s="117" t="s">
        <v>1757</v>
      </c>
      <c r="B27" s="118">
        <v>7600000403640</v>
      </c>
      <c r="C27" s="43" t="s">
        <v>1543</v>
      </c>
    </row>
    <row r="28" spans="1:6" x14ac:dyDescent="0.25">
      <c r="A28" s="117" t="s">
        <v>1758</v>
      </c>
      <c r="B28" s="118">
        <v>7600000403635</v>
      </c>
      <c r="C28" s="129" t="s">
        <v>1543</v>
      </c>
    </row>
    <row r="29" spans="1:6" x14ac:dyDescent="0.25">
      <c r="A29" s="117" t="s">
        <v>1759</v>
      </c>
      <c r="B29" s="118">
        <v>7600000403645</v>
      </c>
      <c r="C29" s="43" t="s">
        <v>1543</v>
      </c>
    </row>
    <row r="30" spans="1:6" x14ac:dyDescent="0.25">
      <c r="A30" s="117" t="s">
        <v>1760</v>
      </c>
      <c r="B30" s="118">
        <v>7600000403620</v>
      </c>
      <c r="C30" s="129" t="s">
        <v>1543</v>
      </c>
    </row>
    <row r="31" spans="1:6" x14ac:dyDescent="0.25">
      <c r="A31" s="117" t="s">
        <v>1761</v>
      </c>
      <c r="B31" s="118">
        <v>7600000403615</v>
      </c>
      <c r="C31" s="43" t="s">
        <v>1543</v>
      </c>
    </row>
    <row r="32" spans="1:6" x14ac:dyDescent="0.25">
      <c r="A32" s="117" t="s">
        <v>1762</v>
      </c>
      <c r="B32" s="118">
        <v>7600000403610</v>
      </c>
      <c r="C32" s="129" t="s">
        <v>1543</v>
      </c>
    </row>
    <row r="33" spans="1:3" x14ac:dyDescent="0.25">
      <c r="A33" s="117" t="s">
        <v>1763</v>
      </c>
      <c r="B33" s="118">
        <v>7600000403605</v>
      </c>
      <c r="C33" s="43" t="s">
        <v>1543</v>
      </c>
    </row>
    <row r="34" spans="1:3" x14ac:dyDescent="0.25">
      <c r="A34" s="117" t="s">
        <v>1764</v>
      </c>
      <c r="B34" s="118">
        <v>7600000403600</v>
      </c>
      <c r="C34" s="129" t="s">
        <v>1543</v>
      </c>
    </row>
    <row r="35" spans="1:3" x14ac:dyDescent="0.25">
      <c r="A35" s="117" t="s">
        <v>1765</v>
      </c>
      <c r="B35" s="118">
        <v>7600000403630</v>
      </c>
      <c r="C35" s="43" t="s">
        <v>1543</v>
      </c>
    </row>
    <row r="36" spans="1:3" x14ac:dyDescent="0.25">
      <c r="A36" s="117" t="s">
        <v>1766</v>
      </c>
      <c r="B36" s="118">
        <v>7600000403625</v>
      </c>
      <c r="C36" s="129" t="s">
        <v>1543</v>
      </c>
    </row>
    <row r="37" spans="1:3" x14ac:dyDescent="0.25">
      <c r="A37" s="119" t="s">
        <v>1767</v>
      </c>
      <c r="B37" s="120">
        <v>7600000403650</v>
      </c>
      <c r="C37" s="43" t="s">
        <v>1543</v>
      </c>
    </row>
    <row r="38" spans="1:3" x14ac:dyDescent="0.25">
      <c r="A38" s="117" t="s">
        <v>1768</v>
      </c>
      <c r="B38" s="118">
        <v>7600000403641</v>
      </c>
      <c r="C38" s="43" t="s">
        <v>1735</v>
      </c>
    </row>
    <row r="39" spans="1:3" x14ac:dyDescent="0.25">
      <c r="A39" s="117" t="s">
        <v>1769</v>
      </c>
      <c r="B39" s="118">
        <v>7600000403636</v>
      </c>
      <c r="C39" s="43" t="s">
        <v>1735</v>
      </c>
    </row>
    <row r="40" spans="1:3" x14ac:dyDescent="0.25">
      <c r="A40" s="117" t="s">
        <v>1770</v>
      </c>
      <c r="B40" s="118">
        <v>7600000403646</v>
      </c>
      <c r="C40" s="43" t="s">
        <v>1735</v>
      </c>
    </row>
    <row r="41" spans="1:3" x14ac:dyDescent="0.25">
      <c r="A41" s="117" t="s">
        <v>1771</v>
      </c>
      <c r="B41" s="118">
        <v>7600000403621</v>
      </c>
      <c r="C41" s="43" t="s">
        <v>1735</v>
      </c>
    </row>
    <row r="42" spans="1:3" x14ac:dyDescent="0.25">
      <c r="A42" s="117" t="s">
        <v>1772</v>
      </c>
      <c r="B42" s="118">
        <v>7600000403616</v>
      </c>
      <c r="C42" s="43" t="s">
        <v>1735</v>
      </c>
    </row>
    <row r="43" spans="1:3" x14ac:dyDescent="0.25">
      <c r="A43" s="117" t="s">
        <v>1773</v>
      </c>
      <c r="B43" s="118">
        <v>7600000403611</v>
      </c>
      <c r="C43" s="43" t="s">
        <v>1735</v>
      </c>
    </row>
    <row r="44" spans="1:3" x14ac:dyDescent="0.25">
      <c r="A44" s="117" t="s">
        <v>1774</v>
      </c>
      <c r="B44" s="118">
        <v>7600000403606</v>
      </c>
      <c r="C44" s="43" t="s">
        <v>1735</v>
      </c>
    </row>
    <row r="45" spans="1:3" x14ac:dyDescent="0.25">
      <c r="A45" s="117" t="s">
        <v>1775</v>
      </c>
      <c r="B45" s="118">
        <v>7600000403601</v>
      </c>
      <c r="C45" s="43" t="s">
        <v>1735</v>
      </c>
    </row>
    <row r="46" spans="1:3" x14ac:dyDescent="0.25">
      <c r="A46" s="117" t="s">
        <v>1776</v>
      </c>
      <c r="B46" s="118">
        <v>7600000403631</v>
      </c>
      <c r="C46" s="43" t="s">
        <v>1735</v>
      </c>
    </row>
    <row r="47" spans="1:3" x14ac:dyDescent="0.25">
      <c r="A47" s="117" t="s">
        <v>1777</v>
      </c>
      <c r="B47" s="118">
        <v>7600000403626</v>
      </c>
      <c r="C47" s="43" t="s">
        <v>1735</v>
      </c>
    </row>
    <row r="48" spans="1:3" x14ac:dyDescent="0.25">
      <c r="A48" s="119" t="s">
        <v>1778</v>
      </c>
      <c r="B48" s="120">
        <v>7600000403651</v>
      </c>
      <c r="C48" s="43" t="s">
        <v>1735</v>
      </c>
    </row>
    <row r="49" spans="1:3" x14ac:dyDescent="0.25">
      <c r="A49" s="117" t="s">
        <v>1779</v>
      </c>
      <c r="B49" s="118">
        <v>7600000403642</v>
      </c>
      <c r="C49" s="43" t="s">
        <v>1742</v>
      </c>
    </row>
    <row r="50" spans="1:3" x14ac:dyDescent="0.25">
      <c r="A50" s="117" t="s">
        <v>1780</v>
      </c>
      <c r="B50" s="118">
        <v>7600000403637</v>
      </c>
      <c r="C50" s="43" t="s">
        <v>1742</v>
      </c>
    </row>
    <row r="51" spans="1:3" x14ac:dyDescent="0.25">
      <c r="A51" s="117" t="s">
        <v>1781</v>
      </c>
      <c r="B51" s="118">
        <v>7600000403647</v>
      </c>
      <c r="C51" s="43" t="s">
        <v>1742</v>
      </c>
    </row>
    <row r="52" spans="1:3" x14ac:dyDescent="0.25">
      <c r="A52" s="117" t="s">
        <v>1782</v>
      </c>
      <c r="B52" s="118">
        <v>7600000403622</v>
      </c>
      <c r="C52" s="43" t="s">
        <v>1742</v>
      </c>
    </row>
    <row r="53" spans="1:3" x14ac:dyDescent="0.25">
      <c r="A53" s="117" t="s">
        <v>1783</v>
      </c>
      <c r="B53" s="118">
        <v>7600000403617</v>
      </c>
      <c r="C53" s="43" t="s">
        <v>1742</v>
      </c>
    </row>
    <row r="54" spans="1:3" x14ac:dyDescent="0.25">
      <c r="A54" s="117" t="s">
        <v>1784</v>
      </c>
      <c r="B54" s="118">
        <v>7600000403612</v>
      </c>
      <c r="C54" s="43" t="s">
        <v>1742</v>
      </c>
    </row>
    <row r="55" spans="1:3" x14ac:dyDescent="0.25">
      <c r="A55" s="117" t="s">
        <v>1785</v>
      </c>
      <c r="B55" s="118">
        <v>7600000403607</v>
      </c>
      <c r="C55" s="43" t="s">
        <v>1742</v>
      </c>
    </row>
    <row r="56" spans="1:3" x14ac:dyDescent="0.25">
      <c r="A56" s="117" t="s">
        <v>1786</v>
      </c>
      <c r="B56" s="118">
        <v>7600000403602</v>
      </c>
      <c r="C56" s="43" t="s">
        <v>1742</v>
      </c>
    </row>
    <row r="57" spans="1:3" x14ac:dyDescent="0.25">
      <c r="A57" s="117" t="s">
        <v>1787</v>
      </c>
      <c r="B57" s="118">
        <v>7600000403632</v>
      </c>
      <c r="C57" s="43" t="s">
        <v>1742</v>
      </c>
    </row>
    <row r="58" spans="1:3" x14ac:dyDescent="0.25">
      <c r="A58" s="117" t="s">
        <v>1788</v>
      </c>
      <c r="B58" s="118">
        <v>7600000403627</v>
      </c>
      <c r="C58" s="43" t="s">
        <v>1742</v>
      </c>
    </row>
    <row r="59" spans="1:3" x14ac:dyDescent="0.25">
      <c r="A59" s="119" t="s">
        <v>1789</v>
      </c>
      <c r="B59" s="120">
        <v>7600000403652</v>
      </c>
      <c r="C59" s="43" t="s">
        <v>1742</v>
      </c>
    </row>
    <row r="60" spans="1:3" x14ac:dyDescent="0.25">
      <c r="A60" s="117" t="s">
        <v>1790</v>
      </c>
      <c r="B60" s="118">
        <v>7600000403643</v>
      </c>
      <c r="C60" s="43" t="s">
        <v>1544</v>
      </c>
    </row>
    <row r="61" spans="1:3" x14ac:dyDescent="0.25">
      <c r="A61" s="117" t="s">
        <v>1791</v>
      </c>
      <c r="B61" s="118">
        <v>7600000403638</v>
      </c>
      <c r="C61" s="43" t="s">
        <v>1544</v>
      </c>
    </row>
    <row r="62" spans="1:3" x14ac:dyDescent="0.25">
      <c r="A62" s="117" t="s">
        <v>1792</v>
      </c>
      <c r="B62" s="118">
        <v>7600000403648</v>
      </c>
      <c r="C62" s="43" t="s">
        <v>1544</v>
      </c>
    </row>
    <row r="63" spans="1:3" x14ac:dyDescent="0.25">
      <c r="A63" s="117" t="s">
        <v>1793</v>
      </c>
      <c r="B63" s="118">
        <v>7600000403623</v>
      </c>
      <c r="C63" s="43" t="s">
        <v>1544</v>
      </c>
    </row>
    <row r="64" spans="1:3" x14ac:dyDescent="0.25">
      <c r="A64" s="117" t="s">
        <v>1794</v>
      </c>
      <c r="B64" s="118">
        <v>7600000403618</v>
      </c>
      <c r="C64" s="43" t="s">
        <v>1544</v>
      </c>
    </row>
    <row r="65" spans="1:3" x14ac:dyDescent="0.25">
      <c r="A65" s="117" t="s">
        <v>1795</v>
      </c>
      <c r="B65" s="118">
        <v>7600000403613</v>
      </c>
      <c r="C65" s="43" t="s">
        <v>1544</v>
      </c>
    </row>
    <row r="66" spans="1:3" x14ac:dyDescent="0.25">
      <c r="A66" s="117" t="s">
        <v>1796</v>
      </c>
      <c r="B66" s="118">
        <v>7600000403608</v>
      </c>
      <c r="C66" s="43" t="s">
        <v>1544</v>
      </c>
    </row>
    <row r="67" spans="1:3" x14ac:dyDescent="0.25">
      <c r="A67" s="117" t="s">
        <v>1797</v>
      </c>
      <c r="B67" s="118">
        <v>7600000403603</v>
      </c>
      <c r="C67" s="43" t="s">
        <v>1544</v>
      </c>
    </row>
    <row r="68" spans="1:3" x14ac:dyDescent="0.25">
      <c r="A68" s="117" t="s">
        <v>1798</v>
      </c>
      <c r="B68" s="118">
        <v>7600000403633</v>
      </c>
      <c r="C68" s="43" t="s">
        <v>1544</v>
      </c>
    </row>
    <row r="69" spans="1:3" x14ac:dyDescent="0.25">
      <c r="A69" s="117" t="s">
        <v>1799</v>
      </c>
      <c r="B69" s="118">
        <v>7600000403628</v>
      </c>
      <c r="C69" s="43" t="s">
        <v>1544</v>
      </c>
    </row>
    <row r="70" spans="1:3" x14ac:dyDescent="0.25">
      <c r="A70" s="119" t="s">
        <v>1800</v>
      </c>
      <c r="B70" s="120">
        <v>7600000403653</v>
      </c>
      <c r="C70" s="43" t="s">
        <v>1544</v>
      </c>
    </row>
    <row r="71" spans="1:3" x14ac:dyDescent="0.25">
      <c r="A71" s="117" t="s">
        <v>1801</v>
      </c>
      <c r="B71" s="118">
        <v>7600000403644</v>
      </c>
      <c r="C71" s="43" t="s">
        <v>1545</v>
      </c>
    </row>
    <row r="72" spans="1:3" x14ac:dyDescent="0.25">
      <c r="A72" s="117" t="s">
        <v>1802</v>
      </c>
      <c r="B72" s="118">
        <v>7600000403639</v>
      </c>
      <c r="C72" s="43" t="s">
        <v>1545</v>
      </c>
    </row>
    <row r="73" spans="1:3" x14ac:dyDescent="0.25">
      <c r="A73" s="117" t="s">
        <v>1803</v>
      </c>
      <c r="B73" s="118">
        <v>7600000403649</v>
      </c>
      <c r="C73" s="43" t="s">
        <v>1545</v>
      </c>
    </row>
    <row r="74" spans="1:3" x14ac:dyDescent="0.25">
      <c r="A74" s="117" t="s">
        <v>1804</v>
      </c>
      <c r="B74" s="118">
        <v>7600000403624</v>
      </c>
      <c r="C74" s="43" t="s">
        <v>1545</v>
      </c>
    </row>
    <row r="75" spans="1:3" x14ac:dyDescent="0.25">
      <c r="A75" s="117" t="s">
        <v>1805</v>
      </c>
      <c r="B75" s="118">
        <v>7600000403619</v>
      </c>
      <c r="C75" s="43" t="s">
        <v>1545</v>
      </c>
    </row>
    <row r="76" spans="1:3" x14ac:dyDescent="0.25">
      <c r="A76" s="117" t="s">
        <v>1806</v>
      </c>
      <c r="B76" s="118">
        <v>7600000403614</v>
      </c>
      <c r="C76" s="43" t="s">
        <v>1545</v>
      </c>
    </row>
    <row r="77" spans="1:3" x14ac:dyDescent="0.25">
      <c r="A77" s="117" t="s">
        <v>1807</v>
      </c>
      <c r="B77" s="118">
        <v>7600000403609</v>
      </c>
      <c r="C77" s="43" t="s">
        <v>1545</v>
      </c>
    </row>
    <row r="78" spans="1:3" x14ac:dyDescent="0.25">
      <c r="A78" s="117" t="s">
        <v>1808</v>
      </c>
      <c r="B78" s="118">
        <v>7600000403604</v>
      </c>
      <c r="C78" s="43" t="s">
        <v>1545</v>
      </c>
    </row>
    <row r="79" spans="1:3" x14ac:dyDescent="0.25">
      <c r="A79" s="117" t="s">
        <v>1809</v>
      </c>
      <c r="B79" s="118">
        <v>7600000403634</v>
      </c>
      <c r="C79" s="43" t="s">
        <v>1545</v>
      </c>
    </row>
    <row r="80" spans="1:3" x14ac:dyDescent="0.25">
      <c r="A80" s="117" t="s">
        <v>1810</v>
      </c>
      <c r="B80" s="118">
        <v>7600000403629</v>
      </c>
      <c r="C80" s="43" t="s">
        <v>1545</v>
      </c>
    </row>
    <row r="81" spans="1:3" ht="15.75" thickBot="1" x14ac:dyDescent="0.3">
      <c r="A81" s="121" t="s">
        <v>1811</v>
      </c>
      <c r="B81" s="122">
        <v>7600000403654</v>
      </c>
      <c r="C81" s="128" t="s">
        <v>1545</v>
      </c>
    </row>
    <row r="82" spans="1:3" x14ac:dyDescent="0.25">
      <c r="A82" s="117" t="s">
        <v>1812</v>
      </c>
      <c r="B82" s="118">
        <v>7600000403740</v>
      </c>
      <c r="C82" s="43" t="s">
        <v>1543</v>
      </c>
    </row>
    <row r="83" spans="1:3" x14ac:dyDescent="0.25">
      <c r="A83" s="117" t="s">
        <v>1813</v>
      </c>
      <c r="B83" s="118">
        <v>7600000403735</v>
      </c>
      <c r="C83" s="129" t="s">
        <v>1543</v>
      </c>
    </row>
    <row r="84" spans="1:3" x14ac:dyDescent="0.25">
      <c r="A84" s="117" t="s">
        <v>1814</v>
      </c>
      <c r="B84" s="118">
        <v>7600000403745</v>
      </c>
      <c r="C84" s="129" t="s">
        <v>1543</v>
      </c>
    </row>
    <row r="85" spans="1:3" x14ac:dyDescent="0.25">
      <c r="A85" s="117" t="s">
        <v>1815</v>
      </c>
      <c r="B85" s="118">
        <v>7600000403720</v>
      </c>
      <c r="C85" s="43" t="s">
        <v>1543</v>
      </c>
    </row>
    <row r="86" spans="1:3" x14ac:dyDescent="0.25">
      <c r="A86" s="117" t="s">
        <v>1816</v>
      </c>
      <c r="B86" s="118">
        <v>7600000403715</v>
      </c>
      <c r="C86" s="129" t="s">
        <v>1543</v>
      </c>
    </row>
    <row r="87" spans="1:3" x14ac:dyDescent="0.25">
      <c r="A87" s="117" t="s">
        <v>1817</v>
      </c>
      <c r="B87" s="118">
        <v>7600000403710</v>
      </c>
      <c r="C87" s="129" t="s">
        <v>1543</v>
      </c>
    </row>
    <row r="88" spans="1:3" x14ac:dyDescent="0.25">
      <c r="A88" s="117" t="s">
        <v>1818</v>
      </c>
      <c r="B88" s="118">
        <v>7600000403705</v>
      </c>
      <c r="C88" s="43" t="s">
        <v>1543</v>
      </c>
    </row>
    <row r="89" spans="1:3" x14ac:dyDescent="0.25">
      <c r="A89" s="117" t="s">
        <v>1819</v>
      </c>
      <c r="B89" s="118">
        <v>7600000403700</v>
      </c>
      <c r="C89" s="129" t="s">
        <v>1543</v>
      </c>
    </row>
    <row r="90" spans="1:3" x14ac:dyDescent="0.25">
      <c r="A90" s="117" t="s">
        <v>1820</v>
      </c>
      <c r="B90" s="118">
        <v>7600000403730</v>
      </c>
      <c r="C90" s="129" t="s">
        <v>1543</v>
      </c>
    </row>
    <row r="91" spans="1:3" x14ac:dyDescent="0.25">
      <c r="A91" s="117" t="s">
        <v>1821</v>
      </c>
      <c r="B91" s="118">
        <v>7600000403725</v>
      </c>
      <c r="C91" s="43" t="s">
        <v>1543</v>
      </c>
    </row>
    <row r="92" spans="1:3" x14ac:dyDescent="0.25">
      <c r="A92" s="119" t="s">
        <v>1822</v>
      </c>
      <c r="B92" s="120">
        <v>7600000403750</v>
      </c>
      <c r="C92" s="129" t="s">
        <v>1543</v>
      </c>
    </row>
    <row r="93" spans="1:3" x14ac:dyDescent="0.25">
      <c r="A93" s="123" t="s">
        <v>1823</v>
      </c>
      <c r="B93" s="124">
        <v>7600000403741</v>
      </c>
      <c r="C93" s="43" t="s">
        <v>1735</v>
      </c>
    </row>
    <row r="94" spans="1:3" x14ac:dyDescent="0.25">
      <c r="A94" s="117" t="s">
        <v>1824</v>
      </c>
      <c r="B94" s="118">
        <v>7600000403736</v>
      </c>
      <c r="C94" s="43" t="s">
        <v>1735</v>
      </c>
    </row>
    <row r="95" spans="1:3" x14ac:dyDescent="0.25">
      <c r="A95" s="117" t="s">
        <v>1825</v>
      </c>
      <c r="B95" s="118">
        <v>7600000403746</v>
      </c>
      <c r="C95" s="43" t="s">
        <v>1735</v>
      </c>
    </row>
    <row r="96" spans="1:3" x14ac:dyDescent="0.25">
      <c r="A96" s="117" t="s">
        <v>1826</v>
      </c>
      <c r="B96" s="118">
        <v>7600000403721</v>
      </c>
      <c r="C96" s="43" t="s">
        <v>1735</v>
      </c>
    </row>
    <row r="97" spans="1:3" x14ac:dyDescent="0.25">
      <c r="A97" s="117" t="s">
        <v>1827</v>
      </c>
      <c r="B97" s="118">
        <v>7600000403716</v>
      </c>
      <c r="C97" s="43" t="s">
        <v>1735</v>
      </c>
    </row>
    <row r="98" spans="1:3" x14ac:dyDescent="0.25">
      <c r="A98" s="117" t="s">
        <v>1828</v>
      </c>
      <c r="B98" s="118">
        <v>7600000403711</v>
      </c>
      <c r="C98" s="43" t="s">
        <v>1735</v>
      </c>
    </row>
    <row r="99" spans="1:3" x14ac:dyDescent="0.25">
      <c r="A99" s="117" t="s">
        <v>1829</v>
      </c>
      <c r="B99" s="118">
        <v>7600000403706</v>
      </c>
      <c r="C99" s="43" t="s">
        <v>1735</v>
      </c>
    </row>
    <row r="100" spans="1:3" x14ac:dyDescent="0.25">
      <c r="A100" s="117" t="s">
        <v>1830</v>
      </c>
      <c r="B100" s="118">
        <v>7600000403701</v>
      </c>
      <c r="C100" s="43" t="s">
        <v>1735</v>
      </c>
    </row>
    <row r="101" spans="1:3" x14ac:dyDescent="0.25">
      <c r="A101" s="117" t="s">
        <v>1831</v>
      </c>
      <c r="B101" s="118">
        <v>7600000403731</v>
      </c>
      <c r="C101" s="43" t="s">
        <v>1735</v>
      </c>
    </row>
    <row r="102" spans="1:3" x14ac:dyDescent="0.25">
      <c r="A102" s="117" t="s">
        <v>1832</v>
      </c>
      <c r="B102" s="118">
        <v>7600000403726</v>
      </c>
      <c r="C102" s="43" t="s">
        <v>1735</v>
      </c>
    </row>
    <row r="103" spans="1:3" x14ac:dyDescent="0.25">
      <c r="A103" s="119" t="s">
        <v>1833</v>
      </c>
      <c r="B103" s="120">
        <v>7600000403751</v>
      </c>
      <c r="C103" s="43" t="s">
        <v>1735</v>
      </c>
    </row>
    <row r="104" spans="1:3" x14ac:dyDescent="0.25">
      <c r="A104" s="117" t="s">
        <v>1834</v>
      </c>
      <c r="B104" s="118">
        <v>7600000403742</v>
      </c>
      <c r="C104" s="43" t="s">
        <v>1742</v>
      </c>
    </row>
    <row r="105" spans="1:3" x14ac:dyDescent="0.25">
      <c r="A105" s="117" t="s">
        <v>1835</v>
      </c>
      <c r="B105" s="118">
        <v>7600000403737</v>
      </c>
      <c r="C105" s="43" t="s">
        <v>1742</v>
      </c>
    </row>
    <row r="106" spans="1:3" x14ac:dyDescent="0.25">
      <c r="A106" s="117" t="s">
        <v>1836</v>
      </c>
      <c r="B106" s="118">
        <v>7600000403747</v>
      </c>
      <c r="C106" s="43" t="s">
        <v>1742</v>
      </c>
    </row>
    <row r="107" spans="1:3" x14ac:dyDescent="0.25">
      <c r="A107" s="117" t="s">
        <v>1837</v>
      </c>
      <c r="B107" s="118">
        <v>7600000403722</v>
      </c>
      <c r="C107" s="43" t="s">
        <v>1742</v>
      </c>
    </row>
    <row r="108" spans="1:3" x14ac:dyDescent="0.25">
      <c r="A108" s="117" t="s">
        <v>1838</v>
      </c>
      <c r="B108" s="118">
        <v>7600000403717</v>
      </c>
      <c r="C108" s="43" t="s">
        <v>1742</v>
      </c>
    </row>
    <row r="109" spans="1:3" x14ac:dyDescent="0.25">
      <c r="A109" s="117" t="s">
        <v>1839</v>
      </c>
      <c r="B109" s="118">
        <v>7600000403712</v>
      </c>
      <c r="C109" s="43" t="s">
        <v>1742</v>
      </c>
    </row>
    <row r="110" spans="1:3" x14ac:dyDescent="0.25">
      <c r="A110" s="117" t="s">
        <v>1840</v>
      </c>
      <c r="B110" s="118">
        <v>7600000403707</v>
      </c>
      <c r="C110" s="43" t="s">
        <v>1742</v>
      </c>
    </row>
    <row r="111" spans="1:3" x14ac:dyDescent="0.25">
      <c r="A111" s="117" t="s">
        <v>1841</v>
      </c>
      <c r="B111" s="118">
        <v>7600000403702</v>
      </c>
      <c r="C111" s="43" t="s">
        <v>1742</v>
      </c>
    </row>
    <row r="112" spans="1:3" x14ac:dyDescent="0.25">
      <c r="A112" s="117" t="s">
        <v>1842</v>
      </c>
      <c r="B112" s="118">
        <v>7600000403732</v>
      </c>
      <c r="C112" s="43" t="s">
        <v>1742</v>
      </c>
    </row>
    <row r="113" spans="1:3" x14ac:dyDescent="0.25">
      <c r="A113" s="117" t="s">
        <v>1843</v>
      </c>
      <c r="B113" s="118">
        <v>7600000403727</v>
      </c>
      <c r="C113" s="43" t="s">
        <v>1742</v>
      </c>
    </row>
    <row r="114" spans="1:3" x14ac:dyDescent="0.25">
      <c r="A114" s="119" t="s">
        <v>1844</v>
      </c>
      <c r="B114" s="120">
        <v>7600000403752</v>
      </c>
      <c r="C114" s="43" t="s">
        <v>1742</v>
      </c>
    </row>
    <row r="115" spans="1:3" x14ac:dyDescent="0.25">
      <c r="A115" s="117" t="s">
        <v>1845</v>
      </c>
      <c r="B115" s="118">
        <v>7600000403743</v>
      </c>
      <c r="C115" s="43" t="s">
        <v>1544</v>
      </c>
    </row>
    <row r="116" spans="1:3" x14ac:dyDescent="0.25">
      <c r="A116" s="117" t="s">
        <v>1846</v>
      </c>
      <c r="B116" s="118">
        <v>7600000403738</v>
      </c>
      <c r="C116" s="43" t="s">
        <v>1544</v>
      </c>
    </row>
    <row r="117" spans="1:3" x14ac:dyDescent="0.25">
      <c r="A117" s="117" t="s">
        <v>1847</v>
      </c>
      <c r="B117" s="118">
        <v>7600000403748</v>
      </c>
      <c r="C117" s="43" t="s">
        <v>1544</v>
      </c>
    </row>
    <row r="118" spans="1:3" x14ac:dyDescent="0.25">
      <c r="A118" s="117" t="s">
        <v>1848</v>
      </c>
      <c r="B118" s="118">
        <v>7600000403756</v>
      </c>
      <c r="C118" s="43" t="s">
        <v>1544</v>
      </c>
    </row>
    <row r="119" spans="1:3" x14ac:dyDescent="0.25">
      <c r="A119" s="117" t="s">
        <v>1849</v>
      </c>
      <c r="B119" s="118">
        <v>7600000403723</v>
      </c>
      <c r="C119" s="43" t="s">
        <v>1544</v>
      </c>
    </row>
    <row r="120" spans="1:3" x14ac:dyDescent="0.25">
      <c r="A120" s="117" t="s">
        <v>1850</v>
      </c>
      <c r="B120" s="118">
        <v>7600000403718</v>
      </c>
      <c r="C120" s="43" t="s">
        <v>1544</v>
      </c>
    </row>
    <row r="121" spans="1:3" x14ac:dyDescent="0.25">
      <c r="A121" s="117" t="s">
        <v>1851</v>
      </c>
      <c r="B121" s="118">
        <v>7600000403713</v>
      </c>
      <c r="C121" s="43" t="s">
        <v>1544</v>
      </c>
    </row>
    <row r="122" spans="1:3" x14ac:dyDescent="0.25">
      <c r="A122" s="117" t="s">
        <v>1852</v>
      </c>
      <c r="B122" s="118">
        <v>7600000403708</v>
      </c>
      <c r="C122" s="43" t="s">
        <v>1544</v>
      </c>
    </row>
    <row r="123" spans="1:3" x14ac:dyDescent="0.25">
      <c r="A123" s="117" t="s">
        <v>1853</v>
      </c>
      <c r="B123" s="118">
        <v>7600000403703</v>
      </c>
      <c r="C123" s="43" t="s">
        <v>1544</v>
      </c>
    </row>
    <row r="124" spans="1:3" x14ac:dyDescent="0.25">
      <c r="A124" s="117" t="s">
        <v>1854</v>
      </c>
      <c r="B124" s="118">
        <v>7600000403733</v>
      </c>
      <c r="C124" s="43" t="s">
        <v>1544</v>
      </c>
    </row>
    <row r="125" spans="1:3" x14ac:dyDescent="0.25">
      <c r="A125" s="117" t="s">
        <v>1855</v>
      </c>
      <c r="B125" s="118">
        <v>7600000403728</v>
      </c>
      <c r="C125" s="43" t="s">
        <v>1544</v>
      </c>
    </row>
    <row r="126" spans="1:3" x14ac:dyDescent="0.25">
      <c r="A126" s="119" t="s">
        <v>1856</v>
      </c>
      <c r="B126" s="120">
        <v>7600000403753</v>
      </c>
      <c r="C126" s="43" t="s">
        <v>1544</v>
      </c>
    </row>
    <row r="127" spans="1:3" x14ac:dyDescent="0.25">
      <c r="A127" s="117" t="s">
        <v>1857</v>
      </c>
      <c r="B127" s="118">
        <v>7600000403744</v>
      </c>
      <c r="C127" s="43" t="s">
        <v>1545</v>
      </c>
    </row>
    <row r="128" spans="1:3" x14ac:dyDescent="0.25">
      <c r="A128" s="117" t="s">
        <v>1858</v>
      </c>
      <c r="B128" s="118">
        <v>7600000403739</v>
      </c>
      <c r="C128" s="43" t="s">
        <v>1545</v>
      </c>
    </row>
    <row r="129" spans="1:3" x14ac:dyDescent="0.25">
      <c r="A129" s="117" t="s">
        <v>1859</v>
      </c>
      <c r="B129" s="118">
        <v>7600000403749</v>
      </c>
      <c r="C129" s="43" t="s">
        <v>1545</v>
      </c>
    </row>
    <row r="130" spans="1:3" x14ac:dyDescent="0.25">
      <c r="A130" s="117" t="s">
        <v>1860</v>
      </c>
      <c r="B130" s="118">
        <v>7600000403724</v>
      </c>
      <c r="C130" s="43" t="s">
        <v>1545</v>
      </c>
    </row>
    <row r="131" spans="1:3" x14ac:dyDescent="0.25">
      <c r="A131" s="117" t="s">
        <v>1861</v>
      </c>
      <c r="B131" s="118">
        <v>7600000403719</v>
      </c>
      <c r="C131" s="43" t="s">
        <v>1545</v>
      </c>
    </row>
    <row r="132" spans="1:3" x14ac:dyDescent="0.25">
      <c r="A132" s="117" t="s">
        <v>1862</v>
      </c>
      <c r="B132" s="118">
        <v>7600000403714</v>
      </c>
      <c r="C132" s="43" t="s">
        <v>1545</v>
      </c>
    </row>
    <row r="133" spans="1:3" x14ac:dyDescent="0.25">
      <c r="A133" s="117" t="s">
        <v>1863</v>
      </c>
      <c r="B133" s="118">
        <v>7600000403709</v>
      </c>
      <c r="C133" s="43" t="s">
        <v>1545</v>
      </c>
    </row>
    <row r="134" spans="1:3" x14ac:dyDescent="0.25">
      <c r="A134" s="117" t="s">
        <v>1864</v>
      </c>
      <c r="B134" s="118">
        <v>7600000403704</v>
      </c>
      <c r="C134" s="43" t="s">
        <v>1545</v>
      </c>
    </row>
    <row r="135" spans="1:3" x14ac:dyDescent="0.25">
      <c r="A135" s="117" t="s">
        <v>1865</v>
      </c>
      <c r="B135" s="118">
        <v>7600000403734</v>
      </c>
      <c r="C135" s="43" t="s">
        <v>1545</v>
      </c>
    </row>
    <row r="136" spans="1:3" x14ac:dyDescent="0.25">
      <c r="A136" s="117" t="s">
        <v>1866</v>
      </c>
      <c r="B136" s="118">
        <v>7600000403729</v>
      </c>
      <c r="C136" s="43" t="s">
        <v>1545</v>
      </c>
    </row>
    <row r="137" spans="1:3" ht="15.75" thickBot="1" x14ac:dyDescent="0.3">
      <c r="A137" s="121" t="s">
        <v>1867</v>
      </c>
      <c r="B137" s="122">
        <v>7600000403754</v>
      </c>
      <c r="C137" s="128" t="s">
        <v>1545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BFF50-A971-4022-8E9F-BEE5C0565989}">
  <sheetPr codeName="Tabelle121">
    <tabColor rgb="FFFF0000"/>
  </sheetPr>
  <dimension ref="A1:M108"/>
  <sheetViews>
    <sheetView workbookViewId="0">
      <selection activeCell="C12" sqref="C12"/>
    </sheetView>
  </sheetViews>
  <sheetFormatPr defaultColWidth="9.28515625" defaultRowHeight="15" x14ac:dyDescent="0.25"/>
  <cols>
    <col min="1" max="1" width="19.28515625" customWidth="1"/>
    <col min="3" max="3" width="19.28515625" customWidth="1"/>
  </cols>
  <sheetData>
    <row r="1" spans="1:13" x14ac:dyDescent="0.25">
      <c r="A1" s="191" t="s">
        <v>1870</v>
      </c>
      <c r="B1" s="192"/>
      <c r="C1" s="192"/>
      <c r="D1" s="192"/>
      <c r="E1" s="192"/>
    </row>
    <row r="2" spans="1:13" x14ac:dyDescent="0.25">
      <c r="A2" s="33" t="s">
        <v>1871</v>
      </c>
    </row>
    <row r="3" spans="1:13" x14ac:dyDescent="0.25">
      <c r="A3" s="40" t="s">
        <v>1872</v>
      </c>
      <c r="B3" s="40">
        <v>2</v>
      </c>
      <c r="C3" s="40">
        <f>IF('Spektron e'!D6='Drop Downs'!A3,'Drop Downs'!B3,'Drop Downs'!B4)</f>
        <v>0</v>
      </c>
    </row>
    <row r="4" spans="1:13" x14ac:dyDescent="0.25">
      <c r="A4" s="40" t="s">
        <v>1405</v>
      </c>
      <c r="B4" s="40">
        <v>0</v>
      </c>
      <c r="C4" s="40"/>
    </row>
    <row r="6" spans="1:13" x14ac:dyDescent="0.25">
      <c r="A6" s="33" t="s">
        <v>1603</v>
      </c>
      <c r="M6" t="s">
        <v>1873</v>
      </c>
    </row>
    <row r="7" spans="1:13" x14ac:dyDescent="0.25">
      <c r="A7" s="39" t="s">
        <v>1874</v>
      </c>
      <c r="B7" s="40">
        <v>2</v>
      </c>
      <c r="C7" s="40">
        <f>IF('Spektron e'!D7='Drop Downs'!A7,'Drop Downs'!B7,'Drop Downs'!B8)</f>
        <v>0</v>
      </c>
    </row>
    <row r="8" spans="1:13" x14ac:dyDescent="0.25">
      <c r="A8" s="40" t="s">
        <v>1410</v>
      </c>
      <c r="B8" s="40">
        <v>0</v>
      </c>
      <c r="C8" s="40"/>
    </row>
    <row r="10" spans="1:13" x14ac:dyDescent="0.25">
      <c r="A10" s="33" t="s">
        <v>1875</v>
      </c>
    </row>
    <row r="11" spans="1:13" x14ac:dyDescent="0.25">
      <c r="A11" s="39" t="s">
        <v>1876</v>
      </c>
      <c r="B11" s="40">
        <v>2</v>
      </c>
      <c r="C11" s="40">
        <f>IF('Spektron e'!D8='Drop Downs'!A11,'Drop Downs'!B11,'Drop Downs'!B12)</f>
        <v>0</v>
      </c>
    </row>
    <row r="12" spans="1:13" x14ac:dyDescent="0.25">
      <c r="A12" s="40" t="s">
        <v>1414</v>
      </c>
      <c r="B12" s="40">
        <v>0</v>
      </c>
      <c r="C12" s="40"/>
    </row>
    <row r="15" spans="1:13" x14ac:dyDescent="0.25">
      <c r="A15" s="46" t="s">
        <v>1877</v>
      </c>
    </row>
    <row r="16" spans="1:13" x14ac:dyDescent="0.25">
      <c r="A16" t="s">
        <v>1878</v>
      </c>
      <c r="B16">
        <v>0</v>
      </c>
      <c r="C16" t="s">
        <v>1879</v>
      </c>
      <c r="D16" t="b">
        <f>IF('Spektron e'!AC6='Drop Downs'!$A$16,'Drop Downs'!$B$16,IF('Spektron e'!AC6='Drop Downs'!$A$17,'Drop Downs'!$B$17,IF('Spektron e'!AC6='Drop Downs'!$A$18,'Drop Downs'!$B$18)))</f>
        <v>0</v>
      </c>
    </row>
    <row r="17" spans="1:4" x14ac:dyDescent="0.25">
      <c r="A17" t="s">
        <v>1880</v>
      </c>
      <c r="B17">
        <v>1</v>
      </c>
      <c r="C17" t="s">
        <v>1881</v>
      </c>
      <c r="D17" t="b">
        <f>IF('Spektron e'!AC7='Drop Downs'!$A$16,'Drop Downs'!$B$16,IF('Spektron e'!AC7='Drop Downs'!$A$17,'Drop Downs'!$B$17,IF('Spektron e'!AC7='Drop Downs'!$A$18,'Drop Downs'!$B$18)))</f>
        <v>0</v>
      </c>
    </row>
    <row r="18" spans="1:4" x14ac:dyDescent="0.25">
      <c r="A18" t="s">
        <v>1882</v>
      </c>
      <c r="B18">
        <v>2</v>
      </c>
      <c r="C18" t="s">
        <v>1883</v>
      </c>
      <c r="D18" t="b">
        <f>IF('Spektron e'!AC8='Drop Downs'!$A$16,'Drop Downs'!$B$16,IF('Spektron e'!AC8='Drop Downs'!$A$17,'Drop Downs'!$B$17,IF('Spektron e'!AC8='Drop Downs'!$A$18,'Drop Downs'!$B$18)))</f>
        <v>0</v>
      </c>
    </row>
    <row r="19" spans="1:4" x14ac:dyDescent="0.25">
      <c r="C19" t="s">
        <v>1616</v>
      </c>
      <c r="D19" t="b">
        <f>IF('Spektron e'!AC9='Drop Downs'!$A$16,'Drop Downs'!$B$16,IF('Spektron e'!AC9='Drop Downs'!$A$17,'Drop Downs'!$B$17,IF('Spektron e'!AC9='Drop Downs'!$A$18,'Drop Downs'!$B$18)))</f>
        <v>0</v>
      </c>
    </row>
    <row r="20" spans="1:4" x14ac:dyDescent="0.25">
      <c r="C20" t="s">
        <v>1617</v>
      </c>
      <c r="D20" t="b">
        <f>IF('Spektron e'!AC10='Drop Downs'!$A$16,'Drop Downs'!$B$16,IF('Spektron e'!AC10='Drop Downs'!$A$17,'Drop Downs'!$B$17,IF('Spektron e'!AC10='Drop Downs'!$A$18,'Drop Downs'!$B$18)))</f>
        <v>0</v>
      </c>
    </row>
    <row r="21" spans="1:4" x14ac:dyDescent="0.25">
      <c r="C21" t="s">
        <v>1621</v>
      </c>
      <c r="D21" t="e">
        <f>IF('Spektron e'!#REF!='Drop Downs'!$A$16,'Drop Downs'!$B$16,IF('Spektron e'!#REF!='Drop Downs'!$A$17,'Drop Downs'!$B$17,IF('Spektron e'!#REF!='Drop Downs'!$A$18,'Drop Downs'!$B$18)))</f>
        <v>#REF!</v>
      </c>
    </row>
    <row r="22" spans="1:4" x14ac:dyDescent="0.25">
      <c r="C22" t="s">
        <v>1624</v>
      </c>
      <c r="D22" t="b">
        <f>IF('Spektron e'!AC11='Drop Downs'!$A$16,'Drop Downs'!$B$16,IF('Spektron e'!AC11='Drop Downs'!$A$17,'Drop Downs'!$B$17,IF('Spektron e'!AC11='Drop Downs'!$A$18,'Drop Downs'!$B$18)))</f>
        <v>0</v>
      </c>
    </row>
    <row r="23" spans="1:4" x14ac:dyDescent="0.25">
      <c r="C23" t="s">
        <v>1625</v>
      </c>
      <c r="D23" t="e">
        <f>IF('Spektron e'!#REF!='Drop Downs'!$A$16,'Drop Downs'!$B$16,IF('Spektron e'!#REF!='Drop Downs'!$A$17,'Drop Downs'!$B$17,IF('Spektron e'!#REF!='Drop Downs'!$A$18,'Drop Downs'!$B$18)))</f>
        <v>#REF!</v>
      </c>
    </row>
    <row r="24" spans="1:4" x14ac:dyDescent="0.25">
      <c r="C24" t="s">
        <v>1626</v>
      </c>
      <c r="D24" t="b">
        <f>IF('Spektron e'!AC12='Drop Downs'!$A$16,'Drop Downs'!$B$16,IF('Spektron e'!AC12='Drop Downs'!$A$17,'Drop Downs'!$B$17,IF('Spektron e'!AC12='Drop Downs'!$A$18,'Drop Downs'!$B$18)))</f>
        <v>0</v>
      </c>
    </row>
    <row r="25" spans="1:4" x14ac:dyDescent="0.25">
      <c r="C25" t="s">
        <v>1627</v>
      </c>
      <c r="D25" t="e">
        <f>IF('Spektron e'!#REF!='Drop Downs'!$A$16,'Drop Downs'!$B$16,IF('Spektron e'!#REF!='Drop Downs'!$A$17,'Drop Downs'!$B$17,IF('Spektron e'!#REF!='Drop Downs'!$A$18,'Drop Downs'!$B$18)))</f>
        <v>#REF!</v>
      </c>
    </row>
    <row r="26" spans="1:4" x14ac:dyDescent="0.25">
      <c r="C26" t="s">
        <v>1627</v>
      </c>
      <c r="D26" t="e">
        <f>IF('Spektron e'!#REF!='Drop Downs'!$A$16,'Drop Downs'!$B$16,IF('Spektron e'!#REF!='Drop Downs'!$A$17,'Drop Downs'!$B$17,IF('Spektron e'!#REF!='Drop Downs'!$A$18,'Drop Downs'!$B$18)))</f>
        <v>#REF!</v>
      </c>
    </row>
    <row r="27" spans="1:4" x14ac:dyDescent="0.25">
      <c r="C27" t="s">
        <v>1629</v>
      </c>
      <c r="D27" t="b">
        <f>IF('Spektron e'!AC13='Drop Downs'!$A$16,'Drop Downs'!$B$16,IF('Spektron e'!AC13='Drop Downs'!$A$17,'Drop Downs'!$B$17,IF('Spektron e'!AC13='Drop Downs'!$A$18,'Drop Downs'!$B$18)))</f>
        <v>0</v>
      </c>
    </row>
    <row r="28" spans="1:4" x14ac:dyDescent="0.25">
      <c r="C28" t="s">
        <v>1630</v>
      </c>
      <c r="D28" t="e">
        <f>IF('Spektron e'!#REF!='Drop Downs'!$A$16,'Drop Downs'!$B$16,IF('Spektron e'!#REF!='Drop Downs'!$A$17,'Drop Downs'!$B$17,IF('Spektron e'!#REF!='Drop Downs'!$A$18,'Drop Downs'!$B$18)))</f>
        <v>#REF!</v>
      </c>
    </row>
    <row r="29" spans="1:4" x14ac:dyDescent="0.25">
      <c r="C29" t="s">
        <v>1630</v>
      </c>
      <c r="D29" t="e">
        <f>IF('Spektron e'!#REF!='Drop Downs'!$A$16,'Drop Downs'!$B$16,IF('Spektron e'!#REF!='Drop Downs'!$A$17,'Drop Downs'!$B$17,IF('Spektron e'!#REF!='Drop Downs'!$A$18,'Drop Downs'!$B$18)))</f>
        <v>#REF!</v>
      </c>
    </row>
    <row r="30" spans="1:4" x14ac:dyDescent="0.25">
      <c r="C30" t="s">
        <v>1632</v>
      </c>
      <c r="D30" t="b">
        <f>IF('Spektron e'!AC14='Drop Downs'!$A$16,'Drop Downs'!$B$16,IF('Spektron e'!AC14='Drop Downs'!$A$17,'Drop Downs'!$B$17,IF('Spektron e'!AC14='Drop Downs'!$A$18,'Drop Downs'!$B$18)))</f>
        <v>0</v>
      </c>
    </row>
    <row r="31" spans="1:4" x14ac:dyDescent="0.25">
      <c r="C31" t="s">
        <v>1633</v>
      </c>
      <c r="D31" t="e">
        <f>IF('Spektron e'!#REF!='Drop Downs'!$A$16,'Drop Downs'!$B$16,IF('Spektron e'!#REF!='Drop Downs'!$A$17,'Drop Downs'!$B$17,IF('Spektron e'!#REF!='Drop Downs'!$A$18,'Drop Downs'!$B$18)))</f>
        <v>#REF!</v>
      </c>
    </row>
    <row r="32" spans="1:4" x14ac:dyDescent="0.25">
      <c r="C32" t="s">
        <v>1633</v>
      </c>
      <c r="D32" t="b">
        <f>IF('Spektron e'!AC15='Drop Downs'!$A$16,'Drop Downs'!$B$16,IF('Spektron e'!AC15='Drop Downs'!$A$17,'Drop Downs'!$B$17,IF('Spektron e'!AC15='Drop Downs'!$A$18,'Drop Downs'!$B$18)))</f>
        <v>0</v>
      </c>
    </row>
    <row r="33" spans="1:4" x14ac:dyDescent="0.25">
      <c r="C33" t="s">
        <v>1636</v>
      </c>
      <c r="D33" t="b">
        <f>IF('Spektron e'!AC16='Drop Downs'!$A$16,'Drop Downs'!$B$16,IF('Spektron e'!AC16='Drop Downs'!$A$17,'Drop Downs'!$B$17,IF('Spektron e'!AC16='Drop Downs'!$A$18,'Drop Downs'!$B$18)))</f>
        <v>0</v>
      </c>
    </row>
    <row r="34" spans="1:4" x14ac:dyDescent="0.25">
      <c r="C34" t="s">
        <v>1637</v>
      </c>
      <c r="D34" t="e">
        <f>IF('Spektron e'!#REF!='Drop Downs'!$A$16,'Drop Downs'!$B$16,IF('Spektron e'!#REF!='Drop Downs'!$A$17,'Drop Downs'!$B$17,IF('Spektron e'!#REF!='Drop Downs'!$A$18,'Drop Downs'!$B$18)))</f>
        <v>#REF!</v>
      </c>
    </row>
    <row r="35" spans="1:4" x14ac:dyDescent="0.25">
      <c r="C35" t="s">
        <v>1884</v>
      </c>
      <c r="D35" t="e">
        <f>IF('Spektron e'!#REF!='Drop Downs'!$A$16,'Drop Downs'!$B$16,IF('Spektron e'!#REF!='Drop Downs'!$A$17,'Drop Downs'!$B$17,IF('Spektron e'!#REF!='Drop Downs'!$A$18,'Drop Downs'!$B$18)))</f>
        <v>#REF!</v>
      </c>
    </row>
    <row r="36" spans="1:4" x14ac:dyDescent="0.25">
      <c r="C36" t="s">
        <v>1884</v>
      </c>
      <c r="D36" t="e">
        <f>IF('Spektron e'!#REF!='Drop Downs'!$A$16,'Drop Downs'!$B$16,IF('Spektron e'!#REF!='Drop Downs'!$A$17,'Drop Downs'!$B$17,IF('Spektron e'!#REF!='Drop Downs'!$A$18,'Drop Downs'!$B$18)))</f>
        <v>#REF!</v>
      </c>
    </row>
    <row r="37" spans="1:4" x14ac:dyDescent="0.25">
      <c r="C37" t="s">
        <v>1639</v>
      </c>
      <c r="D37" t="b">
        <f>IF('Spektron e'!AC18='Drop Downs'!$A$16,'Drop Downs'!$B$16,IF('Spektron e'!AC18='Drop Downs'!$A$17,'Drop Downs'!$B$17,IF('Spektron e'!AC18='Drop Downs'!$A$18,'Drop Downs'!$B$18)))</f>
        <v>0</v>
      </c>
    </row>
    <row r="38" spans="1:4" x14ac:dyDescent="0.25">
      <c r="C38" t="s">
        <v>1640</v>
      </c>
      <c r="D38" t="b">
        <f>IF('Spektron e'!AC19='Drop Downs'!$A$16,'Drop Downs'!$B$16,IF('Spektron e'!AC19='Drop Downs'!$A$17,'Drop Downs'!$B$17,IF('Spektron e'!AC19='Drop Downs'!$A$18,'Drop Downs'!$B$18)))</f>
        <v>0</v>
      </c>
    </row>
    <row r="39" spans="1:4" x14ac:dyDescent="0.25">
      <c r="C39" t="s">
        <v>1641</v>
      </c>
      <c r="D39" t="b">
        <f>IF('Spektron e'!AC20='Drop Downs'!$A$16,'Drop Downs'!$B$16,IF('Spektron e'!AC20='Drop Downs'!$A$17,'Drop Downs'!$B$17,IF('Spektron e'!AC20='Drop Downs'!$A$18,'Drop Downs'!$B$18)))</f>
        <v>0</v>
      </c>
    </row>
    <row r="40" spans="1:4" x14ac:dyDescent="0.25">
      <c r="C40" t="s">
        <v>1642</v>
      </c>
      <c r="D40" t="b">
        <f>IF('Spektron e'!AC21='Drop Downs'!$A$16,'Drop Downs'!$B$16,IF('Spektron e'!AC21='Drop Downs'!$A$17,'Drop Downs'!$B$17,IF('Spektron e'!AC21='Drop Downs'!$A$18,'Drop Downs'!$B$18)))</f>
        <v>0</v>
      </c>
    </row>
    <row r="41" spans="1:4" x14ac:dyDescent="0.25">
      <c r="A41" t="s">
        <v>1688</v>
      </c>
      <c r="C41" t="s">
        <v>1643</v>
      </c>
      <c r="D41" t="b">
        <f>IF('Spektron e'!AC22='Drop Downs'!$A$16,'Drop Downs'!$B$16,IF('Spektron e'!AC22='Drop Downs'!$A$17,'Drop Downs'!$B$17,IF('Spektron e'!AC22='Drop Downs'!$A$18,'Drop Downs'!$B$18)))</f>
        <v>0</v>
      </c>
    </row>
    <row r="42" spans="1:4" x14ac:dyDescent="0.25">
      <c r="A42" t="s">
        <v>1885</v>
      </c>
      <c r="B42" t="s">
        <v>1462</v>
      </c>
    </row>
    <row r="43" spans="1:4" x14ac:dyDescent="0.25">
      <c r="B43" t="s">
        <v>1886</v>
      </c>
      <c r="C43" s="39" t="s">
        <v>1690</v>
      </c>
      <c r="D43" s="40" t="e">
        <f>IF(LBX!#REF!='Drop Downs'!$B$42,1,2)</f>
        <v>#REF!</v>
      </c>
    </row>
    <row r="44" spans="1:4" x14ac:dyDescent="0.25">
      <c r="C44" s="39" t="s">
        <v>1691</v>
      </c>
      <c r="D44" s="40" t="e">
        <f>IF(LBX!#REF!='Drop Downs'!$B$42,1,2)</f>
        <v>#REF!</v>
      </c>
    </row>
    <row r="45" spans="1:4" x14ac:dyDescent="0.25">
      <c r="C45" s="39" t="s">
        <v>1692</v>
      </c>
      <c r="D45" s="40" t="e">
        <f>IF(LBX!#REF!='Drop Downs'!$B$42,1,2)</f>
        <v>#REF!</v>
      </c>
    </row>
    <row r="46" spans="1:4" x14ac:dyDescent="0.25">
      <c r="C46" s="39" t="s">
        <v>1461</v>
      </c>
      <c r="D46" s="40">
        <f>IF(LBX!C6='Drop Downs'!$B$42,1,2)</f>
        <v>1</v>
      </c>
    </row>
    <row r="47" spans="1:4" x14ac:dyDescent="0.25">
      <c r="C47" s="39" t="s">
        <v>1465</v>
      </c>
      <c r="D47" s="40">
        <f>IF(LBX!C7='Drop Downs'!$B$42,1,2)</f>
        <v>1</v>
      </c>
    </row>
    <row r="48" spans="1:4" x14ac:dyDescent="0.25">
      <c r="C48" s="39" t="s">
        <v>1467</v>
      </c>
      <c r="D48" s="40">
        <f>IF(LBX!C8='Drop Downs'!$B$42,1,2)</f>
        <v>1</v>
      </c>
    </row>
    <row r="49" spans="1:6" x14ac:dyDescent="0.25">
      <c r="C49" s="39" t="s">
        <v>1469</v>
      </c>
      <c r="D49" s="40">
        <f>IF(LBX!C9='Drop Downs'!$B$42,1,2)</f>
        <v>1</v>
      </c>
    </row>
    <row r="50" spans="1:6" x14ac:dyDescent="0.25">
      <c r="C50" s="39" t="s">
        <v>1471</v>
      </c>
      <c r="D50" s="40">
        <f>IF(LBX!C10='Drop Downs'!$B$42,1,2)</f>
        <v>1</v>
      </c>
    </row>
    <row r="51" spans="1:6" x14ac:dyDescent="0.25">
      <c r="C51" s="39" t="s">
        <v>1473</v>
      </c>
      <c r="D51" s="40">
        <v>0</v>
      </c>
    </row>
    <row r="52" spans="1:6" x14ac:dyDescent="0.25">
      <c r="C52" s="39" t="s">
        <v>1706</v>
      </c>
      <c r="D52" s="40">
        <f>IF(LBX!C11='Drop Downs'!$B$42,1,2)</f>
        <v>2</v>
      </c>
    </row>
    <row r="53" spans="1:6" x14ac:dyDescent="0.25">
      <c r="C53" s="39" t="s">
        <v>1477</v>
      </c>
      <c r="D53" s="40">
        <v>0</v>
      </c>
    </row>
    <row r="55" spans="1:6" x14ac:dyDescent="0.25">
      <c r="A55" s="191" t="s">
        <v>1887</v>
      </c>
      <c r="B55" s="192"/>
      <c r="C55" s="192"/>
      <c r="D55" s="192"/>
      <c r="E55" s="192"/>
      <c r="F55" s="192"/>
    </row>
    <row r="56" spans="1:6" x14ac:dyDescent="0.25">
      <c r="C56" s="33" t="s">
        <v>1498</v>
      </c>
    </row>
    <row r="57" spans="1:6" x14ac:dyDescent="0.25">
      <c r="C57" s="34" t="s">
        <v>1888</v>
      </c>
      <c r="D57">
        <v>4</v>
      </c>
      <c r="E57">
        <f>IF('Spektron Industrial'!D6='Drop Downs'!C57,'Drop Downs'!D57,'Drop Downs'!D58)</f>
        <v>3</v>
      </c>
      <c r="F57">
        <f>E57</f>
        <v>3</v>
      </c>
    </row>
    <row r="58" spans="1:6" x14ac:dyDescent="0.25">
      <c r="C58" s="35" t="s">
        <v>1499</v>
      </c>
      <c r="D58">
        <v>3</v>
      </c>
      <c r="F58">
        <f>E61</f>
        <v>3</v>
      </c>
    </row>
    <row r="59" spans="1:6" x14ac:dyDescent="0.25">
      <c r="F59">
        <f>E65</f>
        <v>3</v>
      </c>
    </row>
    <row r="60" spans="1:6" x14ac:dyDescent="0.25">
      <c r="C60" s="33" t="s">
        <v>1501</v>
      </c>
      <c r="F60">
        <f>E81</f>
        <v>3</v>
      </c>
    </row>
    <row r="61" spans="1:6" x14ac:dyDescent="0.25">
      <c r="C61" s="34" t="s">
        <v>1888</v>
      </c>
      <c r="D61">
        <v>4</v>
      </c>
      <c r="E61">
        <f>IF('Spektron Industrial'!D7='Drop Downs'!C61,'Drop Downs'!D57,'Drop Downs'!D58)</f>
        <v>3</v>
      </c>
      <c r="F61">
        <f>E69</f>
        <v>3</v>
      </c>
    </row>
    <row r="62" spans="1:6" x14ac:dyDescent="0.25">
      <c r="C62" s="35" t="s">
        <v>1499</v>
      </c>
      <c r="D62">
        <v>3</v>
      </c>
      <c r="F62">
        <f>E73</f>
        <v>3</v>
      </c>
    </row>
    <row r="63" spans="1:6" x14ac:dyDescent="0.25">
      <c r="F63">
        <f>E77</f>
        <v>3</v>
      </c>
    </row>
    <row r="64" spans="1:6" x14ac:dyDescent="0.25">
      <c r="C64" s="33" t="s">
        <v>1503</v>
      </c>
    </row>
    <row r="65" spans="3:5" x14ac:dyDescent="0.25">
      <c r="C65" s="34" t="s">
        <v>1888</v>
      </c>
      <c r="D65">
        <v>4</v>
      </c>
      <c r="E65">
        <f>IF('Spektron Industrial'!D8='Drop Downs'!C65,'Drop Downs'!D57,'Drop Downs'!D58)</f>
        <v>3</v>
      </c>
    </row>
    <row r="66" spans="3:5" x14ac:dyDescent="0.25">
      <c r="C66" s="35" t="s">
        <v>1499</v>
      </c>
      <c r="D66">
        <v>3</v>
      </c>
    </row>
    <row r="68" spans="3:5" x14ac:dyDescent="0.25">
      <c r="C68" s="33" t="s">
        <v>1507</v>
      </c>
    </row>
    <row r="69" spans="3:5" x14ac:dyDescent="0.25">
      <c r="C69" s="34" t="s">
        <v>1888</v>
      </c>
      <c r="D69">
        <v>4</v>
      </c>
      <c r="E69">
        <f>IF('Spektron Industrial'!D10='Drop Downs'!C69,'Drop Downs'!D61,'Drop Downs'!D62)</f>
        <v>3</v>
      </c>
    </row>
    <row r="70" spans="3:5" x14ac:dyDescent="0.25">
      <c r="C70" s="35" t="s">
        <v>1499</v>
      </c>
      <c r="D70">
        <v>3</v>
      </c>
    </row>
    <row r="72" spans="3:5" x14ac:dyDescent="0.25">
      <c r="C72" t="s">
        <v>1509</v>
      </c>
    </row>
    <row r="73" spans="3:5" x14ac:dyDescent="0.25">
      <c r="C73" s="34" t="s">
        <v>1888</v>
      </c>
      <c r="D73">
        <v>4</v>
      </c>
      <c r="E73">
        <f>IF('Spektron Industrial'!D11='Drop Downs'!C73,'Drop Downs'!D65,'Drop Downs'!D66)</f>
        <v>3</v>
      </c>
    </row>
    <row r="74" spans="3:5" x14ac:dyDescent="0.25">
      <c r="C74" s="35" t="s">
        <v>1499</v>
      </c>
      <c r="D74">
        <v>3</v>
      </c>
    </row>
    <row r="76" spans="3:5" x14ac:dyDescent="0.25">
      <c r="C76" t="s">
        <v>1511</v>
      </c>
    </row>
    <row r="77" spans="3:5" x14ac:dyDescent="0.25">
      <c r="C77" s="34" t="s">
        <v>1888</v>
      </c>
      <c r="D77">
        <v>4</v>
      </c>
      <c r="E77">
        <f>IF('Spektron Industrial'!D12='Drop Downs'!C77,'Drop Downs'!D69,'Drop Downs'!D70)</f>
        <v>3</v>
      </c>
    </row>
    <row r="78" spans="3:5" x14ac:dyDescent="0.25">
      <c r="C78" s="35" t="s">
        <v>1499</v>
      </c>
      <c r="D78">
        <v>3</v>
      </c>
    </row>
    <row r="80" spans="3:5" x14ac:dyDescent="0.25">
      <c r="C80" t="s">
        <v>1505</v>
      </c>
    </row>
    <row r="81" spans="1:6" x14ac:dyDescent="0.25">
      <c r="C81" s="34" t="s">
        <v>1888</v>
      </c>
      <c r="D81">
        <v>3</v>
      </c>
      <c r="E81">
        <f>IF('Spektron Industrial'!D9='Drop Downs'!C77,'Drop Downs'!D69,'Drop Downs'!D70)</f>
        <v>3</v>
      </c>
    </row>
    <row r="82" spans="1:6" x14ac:dyDescent="0.25">
      <c r="C82" s="35" t="s">
        <v>1499</v>
      </c>
      <c r="D82">
        <v>4</v>
      </c>
    </row>
    <row r="85" spans="1:6" x14ac:dyDescent="0.25">
      <c r="A85" s="191" t="s">
        <v>1359</v>
      </c>
      <c r="B85" s="192"/>
      <c r="C85" s="192"/>
      <c r="D85" s="192"/>
      <c r="E85" s="192"/>
      <c r="F85" s="192"/>
    </row>
    <row r="87" spans="1:6" x14ac:dyDescent="0.25">
      <c r="A87" s="46" t="s">
        <v>1889</v>
      </c>
    </row>
    <row r="88" spans="1:6" x14ac:dyDescent="0.25">
      <c r="A88" s="191" t="s">
        <v>1517</v>
      </c>
    </row>
    <row r="89" spans="1:6" x14ac:dyDescent="0.25">
      <c r="A89" s="163" t="s">
        <v>1515</v>
      </c>
      <c r="B89" s="163" t="s">
        <v>1515</v>
      </c>
      <c r="C89" s="40">
        <f>IF(PureTube!O6='Drop Downs'!B89,0,1)</f>
        <v>0</v>
      </c>
    </row>
    <row r="90" spans="1:6" x14ac:dyDescent="0.25">
      <c r="A90" s="163" t="s">
        <v>1869</v>
      </c>
      <c r="B90" s="163" t="s">
        <v>1869</v>
      </c>
      <c r="C90" s="40"/>
    </row>
    <row r="91" spans="1:6" x14ac:dyDescent="0.25">
      <c r="A91" s="191" t="s">
        <v>1519</v>
      </c>
    </row>
    <row r="92" spans="1:6" x14ac:dyDescent="0.25">
      <c r="A92" s="163" t="s">
        <v>1515</v>
      </c>
      <c r="B92" s="163" t="s">
        <v>1515</v>
      </c>
      <c r="C92" s="40">
        <f>IF(PureTube!O7='Drop Downs'!B92,0,1)</f>
        <v>0</v>
      </c>
    </row>
    <row r="93" spans="1:6" x14ac:dyDescent="0.25">
      <c r="A93" s="163" t="s">
        <v>1869</v>
      </c>
      <c r="B93" s="163" t="s">
        <v>1869</v>
      </c>
      <c r="C93" s="40"/>
    </row>
    <row r="94" spans="1:6" x14ac:dyDescent="0.25">
      <c r="A94" s="191" t="s">
        <v>1521</v>
      </c>
    </row>
    <row r="95" spans="1:6" x14ac:dyDescent="0.25">
      <c r="A95" s="163" t="s">
        <v>1515</v>
      </c>
      <c r="B95" s="163" t="s">
        <v>1515</v>
      </c>
      <c r="C95" s="40">
        <f>IF(PureTube!O8='Drop Downs'!B95,0,1)</f>
        <v>0</v>
      </c>
    </row>
    <row r="96" spans="1:6" x14ac:dyDescent="0.25">
      <c r="A96" s="163" t="s">
        <v>1869</v>
      </c>
      <c r="B96" s="163" t="s">
        <v>1869</v>
      </c>
      <c r="C96" s="40"/>
    </row>
    <row r="98" spans="1:4" x14ac:dyDescent="0.25">
      <c r="A98" s="33" t="s">
        <v>1517</v>
      </c>
    </row>
    <row r="99" spans="1:4" x14ac:dyDescent="0.25">
      <c r="A99" s="40" t="s">
        <v>1888</v>
      </c>
      <c r="B99" s="40">
        <v>1</v>
      </c>
      <c r="C99" s="40">
        <f>IF(PureTube!D6='Drop Downs'!A99,'Drop Downs'!B99,'Drop Downs'!B100)</f>
        <v>0</v>
      </c>
      <c r="D99">
        <f>C99</f>
        <v>0</v>
      </c>
    </row>
    <row r="100" spans="1:4" x14ac:dyDescent="0.25">
      <c r="A100" s="40" t="s">
        <v>1499</v>
      </c>
      <c r="B100" s="40">
        <v>0</v>
      </c>
      <c r="C100" s="40"/>
    </row>
    <row r="102" spans="1:4" x14ac:dyDescent="0.25">
      <c r="A102" s="33" t="s">
        <v>1519</v>
      </c>
    </row>
    <row r="103" spans="1:4" x14ac:dyDescent="0.25">
      <c r="A103" s="40" t="s">
        <v>1888</v>
      </c>
      <c r="B103" s="40">
        <v>1</v>
      </c>
      <c r="C103" s="40">
        <f>IF(PureTube!D7='Drop Downs'!A103,'Drop Downs'!B103,'Drop Downs'!B104)</f>
        <v>0</v>
      </c>
      <c r="D103">
        <f>C103</f>
        <v>0</v>
      </c>
    </row>
    <row r="104" spans="1:4" x14ac:dyDescent="0.25">
      <c r="A104" s="40" t="s">
        <v>1499</v>
      </c>
      <c r="B104" s="40">
        <v>0</v>
      </c>
      <c r="C104" s="40"/>
    </row>
    <row r="106" spans="1:4" x14ac:dyDescent="0.25">
      <c r="A106" s="33" t="s">
        <v>1521</v>
      </c>
    </row>
    <row r="107" spans="1:4" x14ac:dyDescent="0.25">
      <c r="A107" s="40" t="s">
        <v>1888</v>
      </c>
      <c r="B107" s="40">
        <v>1</v>
      </c>
      <c r="C107" s="40">
        <f>IF(PureTube!D8='Drop Downs'!A107,'Drop Downs'!B107,'Drop Downs'!B108)</f>
        <v>0</v>
      </c>
      <c r="D107">
        <f>C107</f>
        <v>0</v>
      </c>
    </row>
    <row r="108" spans="1:4" x14ac:dyDescent="0.25">
      <c r="A108" s="40" t="s">
        <v>1499</v>
      </c>
      <c r="B108" s="40">
        <v>0</v>
      </c>
      <c r="C108" s="40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5A82B-3FB0-43FB-A68A-94441BB348AF}">
  <sheetPr codeName="Tabelle24"/>
  <dimension ref="A1"/>
  <sheetViews>
    <sheetView workbookViewId="0"/>
  </sheetViews>
  <sheetFormatPr defaultColWidth="11.42578125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241E4D56335740884D2DF3FD843490" ma:contentTypeVersion="16" ma:contentTypeDescription="Create a new document." ma:contentTypeScope="" ma:versionID="4debeb5fb200faf377626ab74838344b">
  <xsd:schema xmlns:xsd="http://www.w3.org/2001/XMLSchema" xmlns:xs="http://www.w3.org/2001/XMLSchema" xmlns:p="http://schemas.microsoft.com/office/2006/metadata/properties" xmlns:ns2="77be83bc-d62c-4561-9193-d3b5c1536a2c" xmlns:ns3="f4b2b947-f4f1-4fa0-ab66-42786e292687" targetNamespace="http://schemas.microsoft.com/office/2006/metadata/properties" ma:root="true" ma:fieldsID="81161e43ddd9ea749f2746614ab659e7" ns2:_="" ns3:_="">
    <xsd:import namespace="77be83bc-d62c-4561-9193-d3b5c1536a2c"/>
    <xsd:import namespace="f4b2b947-f4f1-4fa0-ab66-42786e2926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be83bc-d62c-4561-9193-d3b5c1536a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1934200a-e575-48ad-97ba-4b0c9caf94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b2b947-f4f1-4fa0-ab66-42786e29268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f3093e7-5ece-4cbd-bacf-b0c283f85bb9}" ma:internalName="TaxCatchAll" ma:showField="CatchAllData" ma:web="f4b2b947-f4f1-4fa0-ab66-42786e2926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7be83bc-d62c-4561-9193-d3b5c1536a2c">
      <Terms xmlns="http://schemas.microsoft.com/office/infopath/2007/PartnerControls"/>
    </lcf76f155ced4ddcb4097134ff3c332f>
    <TaxCatchAll xmlns="f4b2b947-f4f1-4fa0-ab66-42786e292687" xsi:nil="true"/>
  </documentManagement>
</p:properties>
</file>

<file path=customXml/itemProps1.xml><?xml version="1.0" encoding="utf-8"?>
<ds:datastoreItem xmlns:ds="http://schemas.openxmlformats.org/officeDocument/2006/customXml" ds:itemID="{C0E61983-F426-4ED8-985C-C7CA704347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AF0D70-6D81-4E4A-949B-455953EBE0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be83bc-d62c-4561-9193-d3b5c1536a2c"/>
    <ds:schemaRef ds:uri="f4b2b947-f4f1-4fa0-ab66-42786e2926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817659-A02C-477A-8CEC-0C5B07EE737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8FE730D-4B69-48D4-8343-178DF7DC55E9}">
  <ds:schemaRefs>
    <ds:schemaRef ds:uri="http://www.w3.org/XML/1998/namespace"/>
    <ds:schemaRef ds:uri="http://schemas.openxmlformats.org/package/2006/metadata/core-properties"/>
    <ds:schemaRef ds:uri="f4b2b947-f4f1-4fa0-ab66-42786e292687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77be83bc-d62c-4561-9193-d3b5c1536a2c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eb4425a1-30d0-4cf3-a093-e7aec1c2804d}" enabled="1" method="Standard" siteId="{87789cc7-933c-4e19-99b3-73a1953e3df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Packaging cost</vt:lpstr>
      <vt:lpstr>Country File</vt:lpstr>
      <vt:lpstr>Welcome</vt:lpstr>
      <vt:lpstr>Applied Discounts</vt:lpstr>
      <vt:lpstr>Spektron e</vt:lpstr>
      <vt:lpstr>LBX</vt:lpstr>
      <vt:lpstr>Acton</vt:lpstr>
      <vt:lpstr>Spektron Industrial</vt:lpstr>
      <vt:lpstr>PureTube</vt:lpstr>
      <vt:lpstr>Aquada</vt:lpstr>
      <vt:lpstr>UV Auxiliaries</vt:lpstr>
      <vt:lpstr>Modular, GSO, OCS</vt:lpstr>
      <vt:lpstr>Common IDs</vt:lpstr>
      <vt:lpstr>pricing overview all products</vt:lpstr>
      <vt:lpstr>Configurator Codes</vt:lpstr>
      <vt:lpstr>Aquada Configurations</vt:lpstr>
      <vt:lpstr>Drop Downs</vt:lpstr>
      <vt:lpstr>Change log</vt:lpstr>
      <vt:lpstr>Acton!Print_Area</vt:lpstr>
      <vt:lpstr>Aquada!Print_Area</vt:lpstr>
      <vt:lpstr>'Country File'!Print_Area</vt:lpstr>
      <vt:lpstr>LBX!Print_Area</vt:lpstr>
      <vt:lpstr>PureTube!Print_Area</vt:lpstr>
      <vt:lpstr>'Spektron e'!Print_Area</vt:lpstr>
      <vt:lpstr>'Spektron Industrial'!Print_Area</vt:lpstr>
      <vt:lpstr>'UV Auxiliaries'!Print_Area</vt:lpstr>
      <vt:lpstr>Welcome!Print_Area</vt:lpstr>
    </vt:vector>
  </TitlesOfParts>
  <Manager/>
  <Company>Xylem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Rosner, Marco - Xylem</dc:creator>
  <cp:keywords/>
  <dc:description/>
  <cp:lastModifiedBy>Vankos, Zsombor - Xylem</cp:lastModifiedBy>
  <cp:revision/>
  <cp:lastPrinted>2026-02-01T18:06:44Z</cp:lastPrinted>
  <dcterms:created xsi:type="dcterms:W3CDTF">2025-05-15T06:45:27Z</dcterms:created>
  <dcterms:modified xsi:type="dcterms:W3CDTF">2026-10-09T11:14:24Z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0x01010037241E4D56335740884D2DF3FD843490</vt:lpwstr>
  </property>
  <property fmtid="{D5CDD505-2E9C-101B-9397-08002B2CF9AE}" pid="3" name="MediaServiceImageTags">
    <vt:lpwstr/>
  </property>
</Properties>
</file>