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dor\Desktop\Stefo Koledz\OIKT\Vezbe 2\"/>
    </mc:Choice>
  </mc:AlternateContent>
  <xr:revisionPtr revIDLastSave="0" documentId="13_ncr:1_{06B58DA2-B282-4C44-AC7F-DE98515E162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Zadatak2" sheetId="2" r:id="rId1"/>
    <sheet name="Zadatak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I5" i="3"/>
  <c r="N13" i="3"/>
  <c r="M13" i="3"/>
  <c r="M12" i="3"/>
  <c r="M11" i="3"/>
  <c r="M10" i="3"/>
  <c r="M8" i="3"/>
  <c r="N6" i="3"/>
  <c r="M6" i="3"/>
  <c r="N5" i="3"/>
  <c r="M5" i="3"/>
  <c r="I15" i="3"/>
  <c r="I14" i="3"/>
  <c r="I13" i="3"/>
  <c r="I12" i="3"/>
  <c r="H12" i="3"/>
  <c r="G12" i="3"/>
  <c r="I11" i="3"/>
  <c r="I10" i="3"/>
  <c r="I8" i="3"/>
  <c r="I7" i="3"/>
  <c r="I4" i="3"/>
  <c r="I3" i="3"/>
  <c r="I2" i="3"/>
  <c r="M3" i="3"/>
  <c r="M2" i="3"/>
  <c r="M19" i="2"/>
  <c r="M18" i="2"/>
  <c r="M17" i="2"/>
  <c r="M16" i="2"/>
  <c r="M14" i="2"/>
  <c r="M13" i="2"/>
  <c r="M11" i="2"/>
  <c r="Q10" i="2"/>
  <c r="M10" i="2"/>
  <c r="M9" i="2"/>
  <c r="M7" i="2"/>
  <c r="M6" i="2"/>
  <c r="M4" i="2"/>
  <c r="M3" i="2"/>
  <c r="M2" i="2"/>
  <c r="H21" i="2"/>
  <c r="H20" i="2"/>
  <c r="H19" i="2"/>
  <c r="H18" i="2"/>
  <c r="G18" i="2"/>
</calcChain>
</file>

<file path=xl/sharedStrings.xml><?xml version="1.0" encoding="utf-8"?>
<sst xmlns="http://schemas.openxmlformats.org/spreadsheetml/2006/main" count="155" uniqueCount="92">
  <si>
    <t>Kurs:</t>
  </si>
  <si>
    <t>Rb</t>
  </si>
  <si>
    <t>Ime</t>
  </si>
  <si>
    <t>Prezime</t>
  </si>
  <si>
    <t>Firma</t>
  </si>
  <si>
    <t>Dece</t>
  </si>
  <si>
    <t>Pol</t>
  </si>
  <si>
    <t>Godine</t>
  </si>
  <si>
    <t>Dohodak</t>
  </si>
  <si>
    <t>Ivka</t>
  </si>
  <si>
    <t>Janković</t>
  </si>
  <si>
    <t>InterEX</t>
  </si>
  <si>
    <t>Ž</t>
  </si>
  <si>
    <t xml:space="preserve">Ukupan broj radnika: </t>
  </si>
  <si>
    <t>Dragan</t>
  </si>
  <si>
    <t>Jokan</t>
  </si>
  <si>
    <t>Metro</t>
  </si>
  <si>
    <t>M</t>
  </si>
  <si>
    <t xml:space="preserve">Ukupno žena: </t>
  </si>
  <si>
    <t>Klaudija</t>
  </si>
  <si>
    <t>Kokić</t>
  </si>
  <si>
    <t>Maxi</t>
  </si>
  <si>
    <t xml:space="preserve">Ukupno muškaraca: </t>
  </si>
  <si>
    <t>Marija</t>
  </si>
  <si>
    <t>Kolar</t>
  </si>
  <si>
    <t>Matija</t>
  </si>
  <si>
    <t>Kovač</t>
  </si>
  <si>
    <t xml:space="preserve">Ukupni dohodak svih žena: </t>
  </si>
  <si>
    <t>Željko</t>
  </si>
  <si>
    <t>Idea</t>
  </si>
  <si>
    <t xml:space="preserve">Ukupni dohodak svih muškaraca: </t>
  </si>
  <si>
    <t>Silvije</t>
  </si>
  <si>
    <t>Kovačević</t>
  </si>
  <si>
    <t>Aneta</t>
  </si>
  <si>
    <t>Kralj</t>
  </si>
  <si>
    <t xml:space="preserve">Ukupni dohodak svih radnika </t>
  </si>
  <si>
    <t>Lončarić</t>
  </si>
  <si>
    <t>Merkator</t>
  </si>
  <si>
    <t xml:space="preserve">starijih od 50 godina: </t>
  </si>
  <si>
    <t>Mladen</t>
  </si>
  <si>
    <t xml:space="preserve">Broj radnika mlađih od 30 godina: </t>
  </si>
  <si>
    <t>Blaženka</t>
  </si>
  <si>
    <t>Maloča</t>
  </si>
  <si>
    <t>Janko</t>
  </si>
  <si>
    <t xml:space="preserve">Broj radnika bez dece: </t>
  </si>
  <si>
    <t>Domagoj</t>
  </si>
  <si>
    <t>Marić</t>
  </si>
  <si>
    <t xml:space="preserve">Broj radnika sa 3 deteta: </t>
  </si>
  <si>
    <t>Lovro</t>
  </si>
  <si>
    <t>Marojević</t>
  </si>
  <si>
    <t>Vladimir</t>
  </si>
  <si>
    <t>Matić</t>
  </si>
  <si>
    <t xml:space="preserve">Broj radnika Maxi-ja: </t>
  </si>
  <si>
    <t>Dražen</t>
  </si>
  <si>
    <t>Matoković</t>
  </si>
  <si>
    <t xml:space="preserve">Suma dohodaka radnika Metro-a: </t>
  </si>
  <si>
    <t xml:space="preserve">Prosek: </t>
  </si>
  <si>
    <t xml:space="preserve">Ukupno: </t>
  </si>
  <si>
    <t xml:space="preserve">Najmanji dohodak: </t>
  </si>
  <si>
    <t xml:space="preserve">Najveći  dohodak: </t>
  </si>
  <si>
    <t>Mesto</t>
  </si>
  <si>
    <t>Razred</t>
  </si>
  <si>
    <r>
      <t>Stipendija (</t>
    </r>
    <r>
      <rPr>
        <b/>
        <sz val="9"/>
        <rFont val="Times New Roman"/>
        <family val="1"/>
      </rPr>
      <t>€</t>
    </r>
    <r>
      <rPr>
        <b/>
        <sz val="9"/>
        <rFont val="Times New Roman"/>
        <family val="1"/>
        <charset val="238"/>
      </rPr>
      <t>)</t>
    </r>
  </si>
  <si>
    <t>Stipendija (din.)</t>
  </si>
  <si>
    <t>Šabac</t>
  </si>
  <si>
    <t>m</t>
  </si>
  <si>
    <t xml:space="preserve">Ukupno devojčica: </t>
  </si>
  <si>
    <t>Perić</t>
  </si>
  <si>
    <t>Bogatić</t>
  </si>
  <si>
    <t xml:space="preserve">Ukupno dečaka: </t>
  </si>
  <si>
    <t>Mina</t>
  </si>
  <si>
    <t>Lazić</t>
  </si>
  <si>
    <t>Koceljeva</t>
  </si>
  <si>
    <t>ž</t>
  </si>
  <si>
    <t>Marina</t>
  </si>
  <si>
    <t>Kolarić</t>
  </si>
  <si>
    <t>Vladimirci</t>
  </si>
  <si>
    <t xml:space="preserve">Ukupni dohodak svih devojčica: </t>
  </si>
  <si>
    <t xml:space="preserve">Ukupni dohodak svih dečaka: </t>
  </si>
  <si>
    <t>Slavko</t>
  </si>
  <si>
    <t xml:space="preserve">Broj učenika mlađih od 17 godina: </t>
  </si>
  <si>
    <t>Anita</t>
  </si>
  <si>
    <t xml:space="preserve">Broj učenika trećeg razreda: </t>
  </si>
  <si>
    <t xml:space="preserve">Broj učenika iz Šapca: </t>
  </si>
  <si>
    <t xml:space="preserve">Suma stipendija učenika iz Šapca: </t>
  </si>
  <si>
    <t xml:space="preserve">Najmanja stipendija: </t>
  </si>
  <si>
    <t>Broj učenika koji imaju stipendiju:</t>
  </si>
  <si>
    <t xml:space="preserve">Najveća stipendija: </t>
  </si>
  <si>
    <t>Prosečne godine muškaraca</t>
  </si>
  <si>
    <t>Prosečan dohodak radnika Merkatora</t>
  </si>
  <si>
    <t>Prosečna stipendija (din) drugog razreda</t>
  </si>
  <si>
    <t>računajuci i 50 (&gt;=)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</si>
</sst>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_-&quot;kn&quot;\ * #,##0.00_-;\-&quot;kn&quot;\ * #,##0.00_-;_-&quot;kn&quot;\ * &quot;-&quot;??_-;_-@_-"/>
    <numFmt numFmtId="166" formatCode="#,##0.00\ [$Din.-81A]"/>
    <numFmt numFmtId="167" formatCode="#,##0\ [$€-1]"/>
    <numFmt numFmtId="168" formatCode="#,##0.00\ &quot;Din.&quot;"/>
    <numFmt numFmtId="170" formatCode="#,##0\ [$€-41A]"/>
    <numFmt numFmtId="171" formatCode="#,##0\ [$дин.-281A]"/>
    <numFmt numFmtId="173" formatCode="#,##0.00\ [$дин.-281A]"/>
    <numFmt numFmtId="174" formatCode="#,##0.00\ [$€-2C1A]"/>
  </numFmts>
  <fonts count="28" x14ac:knownFonts="1">
    <font>
      <sz val="10"/>
      <name val="Arial"/>
      <charset val="238"/>
    </font>
    <font>
      <sz val="10"/>
      <name val="Arial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name val="Times New Roman"/>
      <family val="1"/>
    </font>
    <font>
      <sz val="9"/>
      <name val="Times New Roman"/>
      <family val="1"/>
      <charset val="238"/>
    </font>
    <font>
      <sz val="9"/>
      <name val="Arial"/>
      <charset val="238"/>
    </font>
    <font>
      <sz val="8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52">
    <xf numFmtId="0" fontId="0" fillId="0" borderId="0" xfId="0"/>
    <xf numFmtId="0" fontId="19" fillId="24" borderId="10" xfId="41" applyFont="1" applyFill="1" applyBorder="1" applyAlignment="1">
      <alignment horizontal="center" vertical="center"/>
    </xf>
    <xf numFmtId="0" fontId="20" fillId="0" borderId="0" xfId="41" applyFont="1" applyAlignment="1">
      <alignment vertical="center"/>
    </xf>
    <xf numFmtId="0" fontId="1" fillId="0" borderId="0" xfId="41" applyAlignment="1">
      <alignment vertical="center"/>
    </xf>
    <xf numFmtId="0" fontId="20" fillId="0" borderId="10" xfId="41" applyFont="1" applyBorder="1" applyAlignment="1">
      <alignment horizontal="center" vertical="center"/>
    </xf>
    <xf numFmtId="0" fontId="20" fillId="0" borderId="10" xfId="41" applyFont="1" applyBorder="1" applyAlignment="1">
      <alignment vertical="center"/>
    </xf>
    <xf numFmtId="166" fontId="20" fillId="0" borderId="10" xfId="30" applyNumberFormat="1" applyFont="1" applyBorder="1" applyAlignment="1">
      <alignment vertical="center"/>
    </xf>
    <xf numFmtId="0" fontId="20" fillId="0" borderId="0" xfId="41" applyFont="1" applyAlignment="1">
      <alignment horizontal="right" vertical="center"/>
    </xf>
    <xf numFmtId="0" fontId="20" fillId="0" borderId="12" xfId="41" applyFont="1" applyBorder="1" applyAlignment="1">
      <alignment horizontal="center" vertical="center"/>
    </xf>
    <xf numFmtId="166" fontId="20" fillId="0" borderId="12" xfId="30" applyNumberFormat="1" applyFont="1" applyBorder="1" applyAlignment="1">
      <alignment vertical="center"/>
    </xf>
    <xf numFmtId="0" fontId="20" fillId="24" borderId="11" xfId="41" applyFont="1" applyFill="1" applyBorder="1" applyAlignment="1">
      <alignment vertical="center"/>
    </xf>
    <xf numFmtId="166" fontId="20" fillId="24" borderId="11" xfId="30" applyNumberFormat="1" applyFont="1" applyFill="1" applyBorder="1" applyAlignment="1">
      <alignment vertical="center"/>
    </xf>
    <xf numFmtId="0" fontId="20" fillId="0" borderId="13" xfId="41" applyFont="1" applyBorder="1" applyAlignment="1">
      <alignment horizontal="right" vertical="center"/>
    </xf>
    <xf numFmtId="0" fontId="21" fillId="24" borderId="10" xfId="42" applyFont="1" applyFill="1" applyBorder="1" applyAlignment="1">
      <alignment horizontal="center" vertical="center"/>
    </xf>
    <xf numFmtId="0" fontId="23" fillId="0" borderId="0" xfId="42" applyFont="1" applyAlignment="1">
      <alignment vertical="center"/>
    </xf>
    <xf numFmtId="0" fontId="24" fillId="0" borderId="0" xfId="42" applyFont="1" applyAlignment="1">
      <alignment vertical="center"/>
    </xf>
    <xf numFmtId="0" fontId="23" fillId="0" borderId="10" xfId="42" applyFont="1" applyBorder="1" applyAlignment="1">
      <alignment horizontal="center" vertical="center"/>
    </xf>
    <xf numFmtId="0" fontId="23" fillId="0" borderId="10" xfId="42" applyFont="1" applyBorder="1" applyAlignment="1">
      <alignment vertical="center"/>
    </xf>
    <xf numFmtId="167" fontId="23" fillId="0" borderId="10" xfId="42" applyNumberFormat="1" applyFont="1" applyBorder="1" applyAlignment="1">
      <alignment horizontal="center" vertical="center"/>
    </xf>
    <xf numFmtId="168" fontId="23" fillId="0" borderId="10" xfId="31" applyNumberFormat="1" applyFont="1" applyBorder="1" applyAlignment="1">
      <alignment vertical="center"/>
    </xf>
    <xf numFmtId="0" fontId="23" fillId="0" borderId="0" xfId="42" applyFont="1" applyAlignment="1">
      <alignment horizontal="right" vertical="center"/>
    </xf>
    <xf numFmtId="0" fontId="24" fillId="0" borderId="0" xfId="42" applyFont="1"/>
    <xf numFmtId="0" fontId="23" fillId="0" borderId="12" xfId="42" applyFont="1" applyBorder="1" applyAlignment="1">
      <alignment horizontal="center" vertical="center"/>
    </xf>
    <xf numFmtId="0" fontId="23" fillId="0" borderId="12" xfId="42" applyFont="1" applyBorder="1" applyAlignment="1">
      <alignment vertical="center"/>
    </xf>
    <xf numFmtId="167" fontId="23" fillId="0" borderId="12" xfId="42" applyNumberFormat="1" applyFont="1" applyBorder="1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5" fillId="0" borderId="0" xfId="42" applyFont="1" applyAlignment="1">
      <alignment horizontal="right" vertical="center"/>
    </xf>
    <xf numFmtId="0" fontId="0" fillId="0" borderId="17" xfId="0" applyBorder="1"/>
    <xf numFmtId="0" fontId="26" fillId="24" borderId="11" xfId="28" applyNumberFormat="1" applyFont="1" applyFill="1" applyBorder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6" fillId="24" borderId="11" xfId="30" applyNumberFormat="1" applyFont="1" applyFill="1" applyBorder="1" applyAlignment="1">
      <alignment horizontal="center" vertical="center"/>
    </xf>
    <xf numFmtId="166" fontId="26" fillId="24" borderId="11" xfId="30" applyNumberFormat="1" applyFont="1" applyFill="1" applyBorder="1" applyAlignment="1">
      <alignment horizontal="center" vertical="center"/>
    </xf>
    <xf numFmtId="0" fontId="2" fillId="6" borderId="11" xfId="5" applyBorder="1" applyAlignment="1">
      <alignment horizontal="center"/>
    </xf>
    <xf numFmtId="0" fontId="2" fillId="6" borderId="11" xfId="5" applyBorder="1"/>
    <xf numFmtId="0" fontId="27" fillId="0" borderId="16" xfId="0" applyFont="1" applyBorder="1"/>
    <xf numFmtId="0" fontId="20" fillId="0" borderId="14" xfId="41" applyFont="1" applyBorder="1" applyAlignment="1">
      <alignment horizontal="right" vertical="center"/>
    </xf>
    <xf numFmtId="0" fontId="20" fillId="0" borderId="15" xfId="41" applyFont="1" applyBorder="1" applyAlignment="1">
      <alignment horizontal="right" vertical="center"/>
    </xf>
    <xf numFmtId="0" fontId="20" fillId="0" borderId="0" xfId="41" applyFont="1" applyAlignment="1">
      <alignment horizontal="right" vertical="center"/>
    </xf>
    <xf numFmtId="0" fontId="23" fillId="0" borderId="14" xfId="42" applyFont="1" applyBorder="1" applyAlignment="1">
      <alignment horizontal="right" vertical="center"/>
    </xf>
    <xf numFmtId="0" fontId="23" fillId="0" borderId="0" xfId="42" applyFont="1" applyAlignment="1">
      <alignment horizontal="right" vertical="center"/>
    </xf>
    <xf numFmtId="0" fontId="23" fillId="24" borderId="10" xfId="42" applyFont="1" applyFill="1" applyBorder="1" applyAlignment="1">
      <alignment horizontal="center" vertical="center"/>
    </xf>
    <xf numFmtId="167" fontId="23" fillId="24" borderId="10" xfId="42" applyNumberFormat="1" applyFont="1" applyFill="1" applyBorder="1" applyAlignment="1">
      <alignment horizontal="center" vertical="center"/>
    </xf>
    <xf numFmtId="4" fontId="23" fillId="24" borderId="10" xfId="31" applyNumberFormat="1" applyFont="1" applyFill="1" applyBorder="1" applyAlignment="1">
      <alignment horizontal="center" vertical="center"/>
    </xf>
    <xf numFmtId="0" fontId="23" fillId="24" borderId="10" xfId="2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42" applyFont="1" applyAlignment="1">
      <alignment horizontal="center"/>
    </xf>
    <xf numFmtId="0" fontId="23" fillId="0" borderId="0" xfId="29" applyNumberFormat="1" applyFont="1" applyFill="1" applyBorder="1" applyAlignment="1">
      <alignment horizontal="center" vertical="center"/>
    </xf>
    <xf numFmtId="170" fontId="23" fillId="24" borderId="10" xfId="31" applyNumberFormat="1" applyFont="1" applyFill="1" applyBorder="1" applyAlignment="1">
      <alignment horizontal="center" vertical="center"/>
    </xf>
    <xf numFmtId="171" fontId="2" fillId="6" borderId="10" xfId="5" applyNumberFormat="1" applyBorder="1" applyAlignment="1">
      <alignment horizontal="center"/>
    </xf>
    <xf numFmtId="173" fontId="23" fillId="24" borderId="10" xfId="31" applyNumberFormat="1" applyFont="1" applyFill="1" applyBorder="1" applyAlignment="1">
      <alignment horizontal="center" vertical="center"/>
    </xf>
    <xf numFmtId="174" fontId="2" fillId="6" borderId="10" xfId="5" applyNumberFormat="1" applyBorder="1" applyAlignment="1">
      <alignment horizontal="center"/>
    </xf>
    <xf numFmtId="0" fontId="23" fillId="24" borderId="10" xfId="31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_5 OsnovneFunkcije_vezba" xfId="28" xr:uid="{00000000-0005-0000-0000-00001B000000}"/>
    <cellStyle name="Comma_Count, counta, contblank, countif, sumif - 4 zadatka" xfId="29" xr:uid="{00000000-0005-0000-0000-00001C000000}"/>
    <cellStyle name="Currency_5 OsnovneFunkcije_vezba" xfId="30" xr:uid="{00000000-0005-0000-0000-00001D000000}"/>
    <cellStyle name="Currency_Count, counta, contblank, countif, sumif - 4 zadatka" xfId="31" xr:uid="{00000000-0005-0000-0000-00001E000000}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_5 OsnovneFunkcije_vezba" xfId="41" xr:uid="{00000000-0005-0000-0000-000029000000}"/>
    <cellStyle name="Normal_Count, counta, contblank, countif, sumif - 4 zadatka" xfId="42" xr:uid="{00000000-0005-0000-0000-00002A00000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19260</xdr:colOff>
      <xdr:row>17</xdr:row>
      <xdr:rowOff>2673</xdr:rowOff>
    </xdr:from>
    <xdr:ext cx="2514390" cy="9689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FC2EF5-BC1A-83C0-84DF-E5BD0BC16860}"/>
            </a:ext>
          </a:extLst>
        </xdr:cNvPr>
        <xdr:cNvSpPr/>
      </xdr:nvSpPr>
      <xdr:spPr>
        <a:xfrm>
          <a:off x="19260" y="3374523"/>
          <a:ext cx="2514390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Todorovi</a:t>
          </a:r>
          <a:r>
            <a:rPr lang="sr-Latn-RS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ć</a:t>
          </a:r>
        </a:p>
        <a:p>
          <a:pPr algn="ctr"/>
          <a:r>
            <a:rPr lang="sr-Latn-RS" sz="28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Stefan</a:t>
          </a:r>
          <a:endParaRPr lang="en-US" sz="28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9</xdr:col>
      <xdr:colOff>124770</xdr:colOff>
      <xdr:row>19</xdr:row>
      <xdr:rowOff>18175</xdr:rowOff>
    </xdr:from>
    <xdr:ext cx="1445909" cy="53065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A888A42-5958-3A95-56F0-40EEBBF20C87}"/>
            </a:ext>
          </a:extLst>
        </xdr:cNvPr>
        <xdr:cNvSpPr/>
      </xdr:nvSpPr>
      <xdr:spPr>
        <a:xfrm>
          <a:off x="5820720" y="3790075"/>
          <a:ext cx="144590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sr-Latn-R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IR 17/24</a:t>
          </a:r>
          <a:endParaRPr lang="en-GB" sz="2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10</xdr:row>
      <xdr:rowOff>95250</xdr:rowOff>
    </xdr:from>
    <xdr:ext cx="2514390" cy="96898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AF2FF5A-3B31-44CA-ADEF-F001BB212188}"/>
            </a:ext>
          </a:extLst>
        </xdr:cNvPr>
        <xdr:cNvSpPr/>
      </xdr:nvSpPr>
      <xdr:spPr>
        <a:xfrm>
          <a:off x="828675" y="1771650"/>
          <a:ext cx="2514390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Todorovi</a:t>
          </a:r>
          <a:r>
            <a:rPr lang="sr-Latn-RS" sz="2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ć</a:t>
          </a:r>
        </a:p>
        <a:p>
          <a:pPr algn="ctr"/>
          <a:r>
            <a:rPr lang="sr-Latn-RS" sz="28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Stefan</a:t>
          </a:r>
          <a:endParaRPr lang="en-US" sz="28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4</xdr:col>
      <xdr:colOff>381000</xdr:colOff>
      <xdr:row>13</xdr:row>
      <xdr:rowOff>9525</xdr:rowOff>
    </xdr:from>
    <xdr:ext cx="144590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C0374F-716E-4FB0-86FD-8D8433E60DA9}"/>
            </a:ext>
          </a:extLst>
        </xdr:cNvPr>
        <xdr:cNvSpPr/>
      </xdr:nvSpPr>
      <xdr:spPr>
        <a:xfrm rot="868231">
          <a:off x="2819400" y="2200275"/>
          <a:ext cx="144590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sr-Latn-R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IR 17/24</a:t>
          </a:r>
          <a:endParaRPr lang="en-GB" sz="2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M18" sqref="M18"/>
    </sheetView>
  </sheetViews>
  <sheetFormatPr defaultRowHeight="12.75" x14ac:dyDescent="0.2"/>
  <cols>
    <col min="8" max="8" width="12.28515625" bestFit="1" customWidth="1"/>
    <col min="13" max="13" width="14.28515625" bestFit="1" customWidth="1"/>
  </cols>
  <sheetData>
    <row r="1" spans="1:17" ht="13.5" thickBo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/>
      <c r="J1" s="2"/>
      <c r="K1" s="2"/>
      <c r="L1" s="2"/>
      <c r="M1" s="3"/>
    </row>
    <row r="2" spans="1:17" ht="15.75" thickBot="1" x14ac:dyDescent="0.25">
      <c r="A2" s="4">
        <v>1</v>
      </c>
      <c r="B2" s="5" t="s">
        <v>9</v>
      </c>
      <c r="C2" s="5" t="s">
        <v>10</v>
      </c>
      <c r="D2" s="5" t="s">
        <v>11</v>
      </c>
      <c r="E2" s="4"/>
      <c r="F2" s="4" t="s">
        <v>12</v>
      </c>
      <c r="G2" s="4">
        <v>20</v>
      </c>
      <c r="H2" s="6">
        <v>14700</v>
      </c>
      <c r="I2" s="2"/>
      <c r="J2" s="2"/>
      <c r="K2" s="3"/>
      <c r="L2" s="7" t="s">
        <v>13</v>
      </c>
      <c r="M2" s="28">
        <f>COUNT(A2:A17)</f>
        <v>16</v>
      </c>
    </row>
    <row r="3" spans="1:17" ht="15.75" thickBot="1" x14ac:dyDescent="0.25">
      <c r="A3" s="4">
        <v>2</v>
      </c>
      <c r="B3" s="5" t="s">
        <v>14</v>
      </c>
      <c r="C3" s="5" t="s">
        <v>15</v>
      </c>
      <c r="D3" s="5" t="s">
        <v>16</v>
      </c>
      <c r="E3" s="4">
        <v>3</v>
      </c>
      <c r="F3" s="4" t="s">
        <v>17</v>
      </c>
      <c r="G3" s="4">
        <v>39</v>
      </c>
      <c r="H3" s="6">
        <v>15000</v>
      </c>
      <c r="I3" s="2"/>
      <c r="J3" s="2"/>
      <c r="K3" s="3"/>
      <c r="L3" s="7" t="s">
        <v>18</v>
      </c>
      <c r="M3" s="28">
        <f>COUNTIF(F2:F17, "Ž")</f>
        <v>6</v>
      </c>
    </row>
    <row r="4" spans="1:17" ht="15.75" thickBot="1" x14ac:dyDescent="0.25">
      <c r="A4" s="4">
        <v>3</v>
      </c>
      <c r="B4" s="5" t="s">
        <v>19</v>
      </c>
      <c r="C4" s="5" t="s">
        <v>20</v>
      </c>
      <c r="D4" s="5" t="s">
        <v>21</v>
      </c>
      <c r="E4" s="4">
        <v>2</v>
      </c>
      <c r="F4" s="4" t="s">
        <v>12</v>
      </c>
      <c r="G4" s="4">
        <v>41</v>
      </c>
      <c r="H4" s="6">
        <v>13400</v>
      </c>
      <c r="I4" s="2"/>
      <c r="J4" s="2"/>
      <c r="K4" s="3"/>
      <c r="L4" s="7" t="s">
        <v>22</v>
      </c>
      <c r="M4" s="28">
        <f>COUNTIF(F2:F17, "M")</f>
        <v>10</v>
      </c>
    </row>
    <row r="5" spans="1:17" ht="15.75" thickBot="1" x14ac:dyDescent="0.25">
      <c r="A5" s="4">
        <v>4</v>
      </c>
      <c r="B5" s="5" t="s">
        <v>23</v>
      </c>
      <c r="C5" s="5" t="s">
        <v>24</v>
      </c>
      <c r="D5" s="5" t="s">
        <v>11</v>
      </c>
      <c r="E5" s="4">
        <v>1</v>
      </c>
      <c r="F5" s="4" t="s">
        <v>12</v>
      </c>
      <c r="G5" s="4">
        <v>40</v>
      </c>
      <c r="H5" s="6">
        <v>12200</v>
      </c>
      <c r="I5" s="2"/>
      <c r="J5" s="2"/>
      <c r="K5" s="3"/>
      <c r="L5" s="2"/>
      <c r="M5" s="29"/>
    </row>
    <row r="6" spans="1:17" ht="15.75" thickBot="1" x14ac:dyDescent="0.25">
      <c r="A6" s="4">
        <v>5</v>
      </c>
      <c r="B6" s="5" t="s">
        <v>25</v>
      </c>
      <c r="C6" s="5" t="s">
        <v>26</v>
      </c>
      <c r="D6" s="5" t="s">
        <v>11</v>
      </c>
      <c r="E6" s="4">
        <v>1</v>
      </c>
      <c r="F6" s="4" t="s">
        <v>17</v>
      </c>
      <c r="G6" s="4">
        <v>50</v>
      </c>
      <c r="H6" s="6">
        <v>12400</v>
      </c>
      <c r="I6" s="2"/>
      <c r="J6" s="2"/>
      <c r="K6" s="3"/>
      <c r="L6" s="7" t="s">
        <v>27</v>
      </c>
      <c r="M6" s="30">
        <f>+SUMIFS(H2:H17, F2:F17, "Ž")</f>
        <v>77900</v>
      </c>
    </row>
    <row r="7" spans="1:17" ht="15.75" thickBot="1" x14ac:dyDescent="0.25">
      <c r="A7" s="4">
        <v>6</v>
      </c>
      <c r="B7" s="5" t="s">
        <v>28</v>
      </c>
      <c r="C7" s="5" t="s">
        <v>26</v>
      </c>
      <c r="D7" s="5" t="s">
        <v>29</v>
      </c>
      <c r="E7" s="4">
        <v>2</v>
      </c>
      <c r="F7" s="4" t="s">
        <v>17</v>
      </c>
      <c r="G7" s="4">
        <v>44</v>
      </c>
      <c r="H7" s="6">
        <v>14400</v>
      </c>
      <c r="I7" s="2"/>
      <c r="J7" s="2"/>
      <c r="K7" s="3"/>
      <c r="L7" s="7" t="s">
        <v>30</v>
      </c>
      <c r="M7" s="30">
        <f>+SUMIFS(H2:H17, F2:F17, "M")</f>
        <v>131300</v>
      </c>
    </row>
    <row r="8" spans="1:17" ht="15.75" thickBot="1" x14ac:dyDescent="0.25">
      <c r="A8" s="4">
        <v>7</v>
      </c>
      <c r="B8" s="5" t="s">
        <v>31</v>
      </c>
      <c r="C8" s="5" t="s">
        <v>32</v>
      </c>
      <c r="D8" s="5" t="s">
        <v>21</v>
      </c>
      <c r="E8" s="4">
        <v>3</v>
      </c>
      <c r="F8" s="4" t="s">
        <v>17</v>
      </c>
      <c r="G8" s="4">
        <v>51</v>
      </c>
      <c r="H8" s="6">
        <v>12000</v>
      </c>
      <c r="I8" s="2"/>
      <c r="J8" s="2"/>
      <c r="K8" s="3"/>
      <c r="L8" s="2"/>
      <c r="M8" s="29"/>
    </row>
    <row r="9" spans="1:17" ht="15.75" thickBot="1" x14ac:dyDescent="0.25">
      <c r="A9" s="4">
        <v>8</v>
      </c>
      <c r="B9" s="5" t="s">
        <v>33</v>
      </c>
      <c r="C9" s="5" t="s">
        <v>34</v>
      </c>
      <c r="D9" s="5" t="s">
        <v>21</v>
      </c>
      <c r="E9" s="4">
        <v>2</v>
      </c>
      <c r="F9" s="4" t="s">
        <v>12</v>
      </c>
      <c r="G9" s="4">
        <v>55</v>
      </c>
      <c r="H9" s="6">
        <v>13700</v>
      </c>
      <c r="I9" s="2"/>
      <c r="J9" s="2"/>
      <c r="K9" s="3"/>
      <c r="L9" s="7" t="s">
        <v>35</v>
      </c>
      <c r="M9" s="31">
        <f>SUM(H2:H17)</f>
        <v>209200</v>
      </c>
    </row>
    <row r="10" spans="1:17" ht="15.75" thickBot="1" x14ac:dyDescent="0.3">
      <c r="A10" s="4">
        <v>9</v>
      </c>
      <c r="B10" s="5" t="s">
        <v>23</v>
      </c>
      <c r="C10" s="5" t="s">
        <v>36</v>
      </c>
      <c r="D10" s="5" t="s">
        <v>37</v>
      </c>
      <c r="E10" s="4">
        <v>2</v>
      </c>
      <c r="F10" s="4" t="s">
        <v>12</v>
      </c>
      <c r="G10" s="4">
        <v>35</v>
      </c>
      <c r="H10" s="6">
        <v>11900</v>
      </c>
      <c r="I10" s="2"/>
      <c r="J10" s="2"/>
      <c r="K10" s="3"/>
      <c r="L10" s="7" t="s">
        <v>38</v>
      </c>
      <c r="M10" s="32">
        <f>SUMIFS(H2:H17,G2:G17,"&gt;50")</f>
        <v>25700</v>
      </c>
      <c r="O10" s="34" t="s">
        <v>91</v>
      </c>
      <c r="P10" s="27"/>
      <c r="Q10" s="33">
        <f>SUMIFS(H2:H17,G2:G17,"&gt;=50")</f>
        <v>38100</v>
      </c>
    </row>
    <row r="11" spans="1:17" ht="15.75" thickBot="1" x14ac:dyDescent="0.25">
      <c r="A11" s="4">
        <v>10</v>
      </c>
      <c r="B11" s="5" t="s">
        <v>39</v>
      </c>
      <c r="C11" s="5" t="s">
        <v>36</v>
      </c>
      <c r="D11" s="5" t="s">
        <v>21</v>
      </c>
      <c r="E11" s="4"/>
      <c r="F11" s="4" t="s">
        <v>17</v>
      </c>
      <c r="G11" s="4">
        <v>31</v>
      </c>
      <c r="H11" s="6">
        <v>12700</v>
      </c>
      <c r="I11" s="2"/>
      <c r="J11" s="2"/>
      <c r="K11" s="3"/>
      <c r="L11" s="7" t="s">
        <v>40</v>
      </c>
      <c r="M11" s="28">
        <f>SUMIFS(H2:H17,G2:G17,"&lt;30")</f>
        <v>28000</v>
      </c>
    </row>
    <row r="12" spans="1:17" ht="15.75" thickBot="1" x14ac:dyDescent="0.25">
      <c r="A12" s="4">
        <v>11</v>
      </c>
      <c r="B12" s="5" t="s">
        <v>41</v>
      </c>
      <c r="C12" s="5" t="s">
        <v>42</v>
      </c>
      <c r="D12" s="5" t="s">
        <v>16</v>
      </c>
      <c r="E12" s="4">
        <v>2</v>
      </c>
      <c r="F12" s="4" t="s">
        <v>12</v>
      </c>
      <c r="G12" s="4">
        <v>39</v>
      </c>
      <c r="H12" s="6">
        <v>12000</v>
      </c>
      <c r="I12" s="2"/>
      <c r="J12" s="2"/>
      <c r="K12" s="3"/>
      <c r="L12" s="2"/>
      <c r="M12" s="29"/>
    </row>
    <row r="13" spans="1:17" ht="15.75" thickBot="1" x14ac:dyDescent="0.25">
      <c r="A13" s="4">
        <v>12</v>
      </c>
      <c r="B13" s="5" t="s">
        <v>43</v>
      </c>
      <c r="C13" s="5" t="s">
        <v>42</v>
      </c>
      <c r="D13" s="5" t="s">
        <v>21</v>
      </c>
      <c r="E13" s="4"/>
      <c r="F13" s="4" t="s">
        <v>17</v>
      </c>
      <c r="G13" s="4">
        <v>31</v>
      </c>
      <c r="H13" s="6">
        <v>12600</v>
      </c>
      <c r="I13" s="2"/>
      <c r="J13" s="2"/>
      <c r="K13" s="3"/>
      <c r="L13" s="7" t="s">
        <v>44</v>
      </c>
      <c r="M13" s="28">
        <f>COUNTBLANK(E2:E17)</f>
        <v>4</v>
      </c>
    </row>
    <row r="14" spans="1:17" ht="15.75" thickBot="1" x14ac:dyDescent="0.25">
      <c r="A14" s="4">
        <v>13</v>
      </c>
      <c r="B14" s="5" t="s">
        <v>45</v>
      </c>
      <c r="C14" s="5" t="s">
        <v>46</v>
      </c>
      <c r="D14" s="5" t="s">
        <v>16</v>
      </c>
      <c r="E14" s="4">
        <v>1</v>
      </c>
      <c r="F14" s="4" t="s">
        <v>17</v>
      </c>
      <c r="G14" s="4">
        <v>29</v>
      </c>
      <c r="H14" s="6">
        <v>13300</v>
      </c>
      <c r="I14" s="2"/>
      <c r="J14" s="2"/>
      <c r="K14" s="3"/>
      <c r="L14" s="7" t="s">
        <v>47</v>
      </c>
      <c r="M14" s="28">
        <f>COUNTIF(E2:E17,3)</f>
        <v>2</v>
      </c>
    </row>
    <row r="15" spans="1:17" ht="15.75" thickBot="1" x14ac:dyDescent="0.25">
      <c r="A15" s="4">
        <v>14</v>
      </c>
      <c r="B15" s="5" t="s">
        <v>48</v>
      </c>
      <c r="C15" s="5" t="s">
        <v>49</v>
      </c>
      <c r="D15" s="5" t="s">
        <v>21</v>
      </c>
      <c r="E15" s="4">
        <v>1</v>
      </c>
      <c r="F15" s="4" t="s">
        <v>17</v>
      </c>
      <c r="G15" s="4">
        <v>32</v>
      </c>
      <c r="H15" s="6">
        <v>11800</v>
      </c>
      <c r="I15" s="2"/>
      <c r="J15" s="2"/>
      <c r="K15" s="3"/>
      <c r="L15" s="7"/>
      <c r="M15" s="29"/>
    </row>
    <row r="16" spans="1:17" ht="15.75" thickBot="1" x14ac:dyDescent="0.25">
      <c r="A16" s="4">
        <v>15</v>
      </c>
      <c r="B16" s="5" t="s">
        <v>50</v>
      </c>
      <c r="C16" s="5" t="s">
        <v>51</v>
      </c>
      <c r="D16" s="5" t="s">
        <v>16</v>
      </c>
      <c r="E16" s="4"/>
      <c r="F16" s="4" t="s">
        <v>17</v>
      </c>
      <c r="G16" s="4">
        <v>38</v>
      </c>
      <c r="H16" s="6">
        <v>13500</v>
      </c>
      <c r="I16" s="2"/>
      <c r="J16" s="2"/>
      <c r="K16" s="3"/>
      <c r="L16" s="7" t="s">
        <v>52</v>
      </c>
      <c r="M16" s="28">
        <f>COUNTIF(D2:D17,"Maxi")</f>
        <v>6</v>
      </c>
    </row>
    <row r="17" spans="1:13" ht="15.75" thickBot="1" x14ac:dyDescent="0.25">
      <c r="A17" s="4">
        <v>16</v>
      </c>
      <c r="B17" s="5" t="s">
        <v>53</v>
      </c>
      <c r="C17" s="5" t="s">
        <v>54</v>
      </c>
      <c r="D17" s="5" t="s">
        <v>37</v>
      </c>
      <c r="E17" s="4">
        <v>2</v>
      </c>
      <c r="F17" s="4" t="s">
        <v>17</v>
      </c>
      <c r="G17" s="8">
        <v>36</v>
      </c>
      <c r="H17" s="9">
        <v>13600</v>
      </c>
      <c r="I17" s="2"/>
      <c r="J17" s="2"/>
      <c r="K17" s="3"/>
      <c r="L17" s="7" t="s">
        <v>55</v>
      </c>
      <c r="M17" s="30">
        <f>COUNTIF(D2:D17,"Metro")</f>
        <v>4</v>
      </c>
    </row>
    <row r="18" spans="1:13" ht="15.75" thickBot="1" x14ac:dyDescent="0.25">
      <c r="A18" s="2"/>
      <c r="B18" s="2"/>
      <c r="C18" s="2"/>
      <c r="D18" s="35" t="s">
        <v>56</v>
      </c>
      <c r="E18" s="35"/>
      <c r="F18" s="36"/>
      <c r="G18" s="10">
        <f>AVERAGE(G2:G17)</f>
        <v>38.1875</v>
      </c>
      <c r="H18" s="11">
        <f>AVERAGE(H2:H17)</f>
        <v>13075</v>
      </c>
      <c r="I18" s="2"/>
      <c r="J18" s="2"/>
      <c r="K18" s="7"/>
      <c r="L18" s="7" t="s">
        <v>88</v>
      </c>
      <c r="M18" s="30">
        <f>AVERAGEIFS(G2:G17,F2:F17,"M")</f>
        <v>38.1</v>
      </c>
    </row>
    <row r="19" spans="1:13" ht="15.75" thickBot="1" x14ac:dyDescent="0.25">
      <c r="A19" s="2"/>
      <c r="B19" s="2"/>
      <c r="C19" s="2"/>
      <c r="D19" s="37" t="s">
        <v>57</v>
      </c>
      <c r="E19" s="37"/>
      <c r="F19" s="37"/>
      <c r="G19" s="12"/>
      <c r="H19" s="11">
        <f>SUM(H2:H17)</f>
        <v>209200</v>
      </c>
      <c r="I19" s="2"/>
      <c r="J19" s="2"/>
      <c r="K19" s="7"/>
      <c r="L19" s="7" t="s">
        <v>89</v>
      </c>
      <c r="M19" s="30">
        <f>AVERAGEIFS(H2:H17,D2:D17,"Merkator")</f>
        <v>12750</v>
      </c>
    </row>
    <row r="20" spans="1:13" ht="13.5" thickBot="1" x14ac:dyDescent="0.25">
      <c r="A20" s="2"/>
      <c r="B20" s="2"/>
      <c r="C20" s="2"/>
      <c r="D20" s="37" t="s">
        <v>58</v>
      </c>
      <c r="E20" s="37"/>
      <c r="F20" s="37"/>
      <c r="G20" s="2"/>
      <c r="H20" s="11">
        <f>MIN(H2:H17)</f>
        <v>11800</v>
      </c>
      <c r="I20" s="2"/>
      <c r="J20" s="2"/>
      <c r="K20" s="7"/>
      <c r="L20" s="2"/>
      <c r="M20" s="3"/>
    </row>
    <row r="21" spans="1:13" ht="13.5" thickBot="1" x14ac:dyDescent="0.25">
      <c r="A21" s="2"/>
      <c r="B21" s="2"/>
      <c r="C21" s="2"/>
      <c r="D21" s="37" t="s">
        <v>59</v>
      </c>
      <c r="E21" s="37"/>
      <c r="F21" s="37"/>
      <c r="G21" s="2"/>
      <c r="H21" s="11">
        <f>MAX(H2:H17)</f>
        <v>15000</v>
      </c>
      <c r="I21" s="2"/>
      <c r="J21" s="2"/>
      <c r="K21" s="2"/>
      <c r="L21" s="2"/>
      <c r="M21" s="3"/>
    </row>
  </sheetData>
  <mergeCells count="4">
    <mergeCell ref="D18:F18"/>
    <mergeCell ref="D19:F19"/>
    <mergeCell ref="D20:F20"/>
    <mergeCell ref="D21:F21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M22" sqref="M22"/>
    </sheetView>
  </sheetViews>
  <sheetFormatPr defaultRowHeight="12.75" x14ac:dyDescent="0.2"/>
  <cols>
    <col min="8" max="8" width="15.5703125" bestFit="1" customWidth="1"/>
    <col min="9" max="9" width="13.42578125" bestFit="1" customWidth="1"/>
    <col min="13" max="13" width="10.42578125" bestFit="1" customWidth="1"/>
    <col min="14" max="14" width="11" bestFit="1" customWidth="1"/>
  </cols>
  <sheetData>
    <row r="1" spans="1:14" x14ac:dyDescent="0.2">
      <c r="A1" s="13" t="s">
        <v>1</v>
      </c>
      <c r="B1" s="13" t="s">
        <v>2</v>
      </c>
      <c r="C1" s="13" t="s">
        <v>3</v>
      </c>
      <c r="D1" s="13" t="s">
        <v>60</v>
      </c>
      <c r="E1" s="13" t="s">
        <v>61</v>
      </c>
      <c r="F1" s="13" t="s">
        <v>6</v>
      </c>
      <c r="G1" s="13" t="s">
        <v>7</v>
      </c>
      <c r="H1" s="13" t="s">
        <v>62</v>
      </c>
      <c r="I1" s="13" t="s">
        <v>63</v>
      </c>
      <c r="J1" s="14"/>
      <c r="K1" s="14"/>
      <c r="L1" s="14"/>
      <c r="M1" s="15"/>
    </row>
    <row r="2" spans="1:14" x14ac:dyDescent="0.2">
      <c r="A2" s="16">
        <v>1</v>
      </c>
      <c r="B2" s="17" t="s">
        <v>43</v>
      </c>
      <c r="C2" s="17" t="s">
        <v>10</v>
      </c>
      <c r="D2" s="17" t="s">
        <v>64</v>
      </c>
      <c r="E2" s="16">
        <v>2</v>
      </c>
      <c r="F2" s="16" t="s">
        <v>65</v>
      </c>
      <c r="G2" s="16">
        <v>16</v>
      </c>
      <c r="H2" s="18">
        <v>32</v>
      </c>
      <c r="I2" s="19">
        <f>H2*B14</f>
        <v>3424</v>
      </c>
      <c r="J2" s="14"/>
      <c r="K2" s="15"/>
      <c r="L2" s="20" t="s">
        <v>66</v>
      </c>
      <c r="M2" s="43">
        <f>COUNTIF(F2:F11,"ž")</f>
        <v>4</v>
      </c>
      <c r="N2" s="44"/>
    </row>
    <row r="3" spans="1:14" x14ac:dyDescent="0.2">
      <c r="A3" s="16">
        <v>2</v>
      </c>
      <c r="B3" s="17" t="s">
        <v>14</v>
      </c>
      <c r="C3" s="17" t="s">
        <v>67</v>
      </c>
      <c r="D3" s="17" t="s">
        <v>68</v>
      </c>
      <c r="E3" s="16">
        <v>3</v>
      </c>
      <c r="F3" s="16" t="s">
        <v>65</v>
      </c>
      <c r="G3" s="16">
        <v>17</v>
      </c>
      <c r="H3" s="18">
        <v>31</v>
      </c>
      <c r="I3" s="19">
        <f>H3*B14</f>
        <v>3317</v>
      </c>
      <c r="J3" s="14"/>
      <c r="K3" s="15"/>
      <c r="L3" s="20" t="s">
        <v>69</v>
      </c>
      <c r="M3" s="43">
        <f>COUNTIF(F2:F11,"m")</f>
        <v>6</v>
      </c>
      <c r="N3" s="44"/>
    </row>
    <row r="4" spans="1:14" x14ac:dyDescent="0.2">
      <c r="A4" s="16">
        <v>3</v>
      </c>
      <c r="B4" s="17" t="s">
        <v>70</v>
      </c>
      <c r="C4" s="17" t="s">
        <v>71</v>
      </c>
      <c r="D4" s="17" t="s">
        <v>72</v>
      </c>
      <c r="E4" s="16">
        <v>1</v>
      </c>
      <c r="F4" s="16" t="s">
        <v>73</v>
      </c>
      <c r="G4" s="16">
        <v>15</v>
      </c>
      <c r="H4" s="18">
        <v>23</v>
      </c>
      <c r="I4" s="19">
        <f>H4*B14</f>
        <v>2461</v>
      </c>
      <c r="J4" s="14"/>
      <c r="K4" s="15"/>
      <c r="L4" s="21"/>
      <c r="M4" s="46"/>
      <c r="N4" s="44"/>
    </row>
    <row r="5" spans="1:14" ht="15" x14ac:dyDescent="0.25">
      <c r="A5" s="16">
        <v>4</v>
      </c>
      <c r="B5" s="17" t="s">
        <v>74</v>
      </c>
      <c r="C5" s="17" t="s">
        <v>75</v>
      </c>
      <c r="D5" s="17" t="s">
        <v>76</v>
      </c>
      <c r="E5" s="16">
        <v>4</v>
      </c>
      <c r="F5" s="16" t="s">
        <v>73</v>
      </c>
      <c r="G5" s="16">
        <v>18</v>
      </c>
      <c r="H5" s="18">
        <v>22</v>
      </c>
      <c r="I5" s="19">
        <f>H5*B14</f>
        <v>2354</v>
      </c>
      <c r="J5" s="14"/>
      <c r="K5" s="15"/>
      <c r="L5" s="20" t="s">
        <v>77</v>
      </c>
      <c r="M5" s="47">
        <f>+SUMIFS(H2:H11, F2:F11, "Ž")</f>
        <v>72</v>
      </c>
      <c r="N5" s="48">
        <f>+SUMIFS(I2:I11, F2:F11, "ž")</f>
        <v>7704</v>
      </c>
    </row>
    <row r="6" spans="1:14" ht="15" x14ac:dyDescent="0.25">
      <c r="A6" s="16">
        <v>5</v>
      </c>
      <c r="B6" s="17" t="s">
        <v>25</v>
      </c>
      <c r="C6" s="17" t="s">
        <v>26</v>
      </c>
      <c r="D6" s="17" t="s">
        <v>64</v>
      </c>
      <c r="E6" s="16">
        <v>3</v>
      </c>
      <c r="F6" s="16" t="s">
        <v>65</v>
      </c>
      <c r="G6" s="16">
        <v>17</v>
      </c>
      <c r="H6" s="18"/>
      <c r="I6" s="19"/>
      <c r="J6" s="14"/>
      <c r="K6" s="15"/>
      <c r="L6" s="20" t="s">
        <v>78</v>
      </c>
      <c r="M6" s="47">
        <f>+SUMIFS(H2:H11, F2:F11, "M")</f>
        <v>167</v>
      </c>
      <c r="N6" s="48">
        <f>+SUMIFS(I2:I11, F2:F11, "M")</f>
        <v>17869</v>
      </c>
    </row>
    <row r="7" spans="1:14" x14ac:dyDescent="0.2">
      <c r="A7" s="16">
        <v>6</v>
      </c>
      <c r="B7" s="17" t="s">
        <v>28</v>
      </c>
      <c r="C7" s="17" t="s">
        <v>26</v>
      </c>
      <c r="D7" s="17" t="s">
        <v>68</v>
      </c>
      <c r="E7" s="16">
        <v>1</v>
      </c>
      <c r="F7" s="16" t="s">
        <v>65</v>
      </c>
      <c r="G7" s="16">
        <v>15</v>
      </c>
      <c r="H7" s="18">
        <v>37</v>
      </c>
      <c r="I7" s="19">
        <f>H7*B14</f>
        <v>3959</v>
      </c>
      <c r="J7" s="14"/>
      <c r="K7" s="15"/>
      <c r="L7" s="21"/>
      <c r="M7" s="45"/>
      <c r="N7" s="44"/>
    </row>
    <row r="8" spans="1:14" x14ac:dyDescent="0.2">
      <c r="A8" s="16">
        <v>7</v>
      </c>
      <c r="B8" s="17" t="s">
        <v>79</v>
      </c>
      <c r="C8" s="17" t="s">
        <v>32</v>
      </c>
      <c r="D8" s="17" t="s">
        <v>64</v>
      </c>
      <c r="E8" s="16">
        <v>2</v>
      </c>
      <c r="F8" s="16" t="s">
        <v>65</v>
      </c>
      <c r="G8" s="16">
        <v>16</v>
      </c>
      <c r="H8" s="18">
        <v>34</v>
      </c>
      <c r="I8" s="19">
        <f>H8*B14</f>
        <v>3638</v>
      </c>
      <c r="J8" s="14"/>
      <c r="K8" s="15"/>
      <c r="L8" s="20" t="s">
        <v>80</v>
      </c>
      <c r="M8" s="43">
        <f>COUNTIF(G2:G11,"&lt;17")</f>
        <v>5</v>
      </c>
      <c r="N8" s="44"/>
    </row>
    <row r="9" spans="1:14" x14ac:dyDescent="0.2">
      <c r="A9" s="16">
        <v>8</v>
      </c>
      <c r="B9" s="17" t="s">
        <v>81</v>
      </c>
      <c r="C9" s="17" t="s">
        <v>34</v>
      </c>
      <c r="D9" s="17" t="s">
        <v>68</v>
      </c>
      <c r="E9" s="16">
        <v>3</v>
      </c>
      <c r="F9" s="16" t="s">
        <v>73</v>
      </c>
      <c r="G9" s="16">
        <v>17</v>
      </c>
      <c r="H9" s="18"/>
      <c r="I9" s="19"/>
      <c r="J9" s="14"/>
      <c r="K9" s="15"/>
      <c r="L9" s="20"/>
      <c r="M9" s="25"/>
      <c r="N9" s="44"/>
    </row>
    <row r="10" spans="1:14" x14ac:dyDescent="0.2">
      <c r="A10" s="22">
        <v>9</v>
      </c>
      <c r="B10" s="23" t="s">
        <v>23</v>
      </c>
      <c r="C10" s="23" t="s">
        <v>36</v>
      </c>
      <c r="D10" s="17" t="s">
        <v>64</v>
      </c>
      <c r="E10" s="16">
        <v>1</v>
      </c>
      <c r="F10" s="16" t="s">
        <v>73</v>
      </c>
      <c r="G10" s="16">
        <v>15</v>
      </c>
      <c r="H10" s="18">
        <v>27</v>
      </c>
      <c r="I10" s="19">
        <f>H10*B14</f>
        <v>2889</v>
      </c>
      <c r="J10" s="14"/>
      <c r="K10" s="15"/>
      <c r="L10" s="20" t="s">
        <v>82</v>
      </c>
      <c r="M10" s="43">
        <f>COUNTIF(E2:E11, 3)</f>
        <v>4</v>
      </c>
      <c r="N10" s="44"/>
    </row>
    <row r="11" spans="1:14" x14ac:dyDescent="0.2">
      <c r="A11" s="16">
        <v>10</v>
      </c>
      <c r="B11" s="17" t="s">
        <v>39</v>
      </c>
      <c r="C11" s="17" t="s">
        <v>36</v>
      </c>
      <c r="D11" s="17" t="s">
        <v>72</v>
      </c>
      <c r="E11" s="16">
        <v>3</v>
      </c>
      <c r="F11" s="16" t="s">
        <v>65</v>
      </c>
      <c r="G11" s="22">
        <v>17</v>
      </c>
      <c r="H11" s="24">
        <v>33</v>
      </c>
      <c r="I11" s="19">
        <f>H11*B14</f>
        <v>3531</v>
      </c>
      <c r="J11" s="14"/>
      <c r="K11" s="15"/>
      <c r="L11" s="26" t="s">
        <v>90</v>
      </c>
      <c r="M11" s="49">
        <f>AVERAGEIFS(I2:I11,E2:E11,2)</f>
        <v>3531</v>
      </c>
      <c r="N11" s="44"/>
    </row>
    <row r="12" spans="1:14" x14ac:dyDescent="0.2">
      <c r="A12" s="25"/>
      <c r="B12" s="14"/>
      <c r="C12" s="14"/>
      <c r="D12" s="38" t="s">
        <v>56</v>
      </c>
      <c r="E12" s="38"/>
      <c r="F12" s="38"/>
      <c r="G12" s="40">
        <f>AVERAGE(G2:G11)</f>
        <v>16.3</v>
      </c>
      <c r="H12" s="41">
        <f>AVERAGE(H2:H11)</f>
        <v>29.875</v>
      </c>
      <c r="I12" s="42">
        <f>AVERAGE(I2:I11)</f>
        <v>3196.625</v>
      </c>
      <c r="J12" s="14"/>
      <c r="K12" s="15"/>
      <c r="L12" s="20" t="s">
        <v>83</v>
      </c>
      <c r="M12" s="43">
        <f>COUNTIF(D2:D11, "Šabac")</f>
        <v>4</v>
      </c>
      <c r="N12" s="44"/>
    </row>
    <row r="13" spans="1:14" ht="15" x14ac:dyDescent="0.25">
      <c r="A13" s="25"/>
      <c r="B13" s="14"/>
      <c r="C13" s="14"/>
      <c r="D13" s="39"/>
      <c r="E13" s="39"/>
      <c r="F13" s="39"/>
      <c r="G13" s="25"/>
      <c r="H13" s="25" t="s">
        <v>57</v>
      </c>
      <c r="I13" s="42">
        <f>SUM(I2:I11)</f>
        <v>25573</v>
      </c>
      <c r="J13" s="14"/>
      <c r="K13" s="15"/>
      <c r="L13" s="20" t="s">
        <v>84</v>
      </c>
      <c r="M13" s="49">
        <f>SUMIFS(I2:I11,D2:D11,"Šabac")</f>
        <v>9951</v>
      </c>
      <c r="N13" s="50">
        <f>SUMIFS(H2:H11,D2:D11,"Šabac")</f>
        <v>93</v>
      </c>
    </row>
    <row r="14" spans="1:14" x14ac:dyDescent="0.2">
      <c r="A14" s="16" t="s">
        <v>0</v>
      </c>
      <c r="B14" s="16">
        <v>107</v>
      </c>
      <c r="C14" s="14"/>
      <c r="D14" s="39"/>
      <c r="E14" s="39"/>
      <c r="F14" s="39"/>
      <c r="G14" s="25"/>
      <c r="H14" s="25" t="s">
        <v>85</v>
      </c>
      <c r="I14" s="42">
        <f>MAX(I2:I11)</f>
        <v>3959</v>
      </c>
      <c r="J14" s="14"/>
      <c r="K14" s="15"/>
      <c r="L14" s="20" t="s">
        <v>86</v>
      </c>
      <c r="M14" s="51">
        <f>COUNTA(H2:H11)</f>
        <v>8</v>
      </c>
      <c r="N14" s="44"/>
    </row>
    <row r="15" spans="1:14" x14ac:dyDescent="0.2">
      <c r="A15" s="25"/>
      <c r="B15" s="14"/>
      <c r="C15" s="14"/>
      <c r="D15" s="39"/>
      <c r="E15" s="39"/>
      <c r="F15" s="39"/>
      <c r="G15" s="25"/>
      <c r="H15" s="25" t="s">
        <v>87</v>
      </c>
      <c r="I15" s="42">
        <f>MIN(I2:I11)</f>
        <v>2354</v>
      </c>
      <c r="J15" s="14"/>
      <c r="K15" s="15"/>
      <c r="L15" s="21"/>
      <c r="M15" s="21"/>
    </row>
  </sheetData>
  <mergeCells count="4">
    <mergeCell ref="D12:F12"/>
    <mergeCell ref="D13:F13"/>
    <mergeCell ref="D14:F14"/>
    <mergeCell ref="D15:F1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Zadatak2</vt:lpstr>
      <vt:lpstr>Zadatak3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 Todorovic</cp:lastModifiedBy>
  <dcterms:created xsi:type="dcterms:W3CDTF">2010-12-13T12:12:21Z</dcterms:created>
  <dcterms:modified xsi:type="dcterms:W3CDTF">2024-12-02T21:51:21Z</dcterms:modified>
</cp:coreProperties>
</file>