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Projects/Blog/blog/content/posts/bercar/"/>
    </mc:Choice>
  </mc:AlternateContent>
  <xr:revisionPtr revIDLastSave="0" documentId="13_ncr:1_{D334C388-C592-B64B-B6D1-DB553EEE4E12}" xr6:coauthVersionLast="47" xr6:coauthVersionMax="47" xr10:uidLastSave="{00000000-0000-0000-0000-000000000000}"/>
  <bookViews>
    <workbookView xWindow="0" yWindow="500" windowWidth="25600" windowHeight="15500" xr2:uid="{054AFE18-7A79-FF4E-B019-D1ACF7DD833D}"/>
  </bookViews>
  <sheets>
    <sheet name="Машина" sheetId="3" r:id="rId1"/>
    <sheet name="Ca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3" l="1"/>
  <c r="K45" i="3"/>
  <c r="C61" i="3"/>
  <c r="G51" i="3" a="1"/>
  <c r="G51" i="3" s="1"/>
  <c r="F51" i="3" a="1"/>
  <c r="F51" i="3" s="1"/>
  <c r="E51" i="3" a="1"/>
  <c r="E51" i="3" s="1"/>
  <c r="D51" i="3" a="1"/>
  <c r="D51" i="3" s="1"/>
  <c r="C51" i="3" a="1"/>
  <c r="C51" i="3" s="1"/>
  <c r="C67" i="3" a="1"/>
  <c r="C67" i="3" s="1"/>
  <c r="C65" i="3"/>
  <c r="C41" i="3"/>
  <c r="C64" i="3" a="1"/>
  <c r="C64" i="3" s="1"/>
  <c r="C78" i="3" s="1"/>
  <c r="C42" i="3" a="1"/>
  <c r="C42" i="3" s="1"/>
  <c r="C74" i="3" l="1"/>
  <c r="B51" i="3" l="1"/>
  <c r="B52" i="3"/>
  <c r="B53" i="3"/>
  <c r="G52" i="3" a="1"/>
  <c r="G52" i="3" s="1"/>
  <c r="F52" i="3" a="1"/>
  <c r="F52" i="3" s="1"/>
  <c r="E52" i="3" a="1"/>
  <c r="E52" i="3" s="1"/>
  <c r="D52" i="3" a="1"/>
  <c r="D52" i="3" s="1"/>
  <c r="C52" i="3" a="1"/>
  <c r="C52" i="3" s="1"/>
  <c r="B42" i="3"/>
  <c r="C56" i="3"/>
  <c r="P27" i="3"/>
  <c r="O27" i="3"/>
  <c r="N27" i="3"/>
  <c r="M27" i="3"/>
  <c r="L27" i="3"/>
  <c r="K27" i="3"/>
  <c r="J27" i="3"/>
  <c r="I27" i="3"/>
  <c r="G50" i="3" s="1" a="1"/>
  <c r="G50" i="3" s="1"/>
  <c r="H27" i="3"/>
  <c r="G27" i="3"/>
  <c r="F27" i="3"/>
  <c r="E27" i="3"/>
  <c r="W78" i="3"/>
  <c r="V78" i="3"/>
  <c r="V13" i="3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W28" i="3"/>
  <c r="P24" i="3"/>
  <c r="O24" i="3"/>
  <c r="C68" i="3" s="1" a="1"/>
  <c r="C68" i="3" s="1"/>
  <c r="N24" i="3"/>
  <c r="M24" i="3"/>
  <c r="L24" i="3"/>
  <c r="K24" i="3"/>
  <c r="J24" i="3"/>
  <c r="I24" i="3"/>
  <c r="E53" i="3" s="1" a="1"/>
  <c r="E53" i="3" s="1"/>
  <c r="H24" i="3"/>
  <c r="G24" i="3"/>
  <c r="F24" i="3"/>
  <c r="E24" i="3"/>
  <c r="D24" i="3"/>
  <c r="Y24" i="3" s="1"/>
  <c r="C24" i="3"/>
  <c r="X24" i="3" s="1"/>
  <c r="W24" i="3"/>
  <c r="Y13" i="3"/>
  <c r="X13" i="3"/>
  <c r="X12" i="3"/>
  <c r="W31" i="3"/>
  <c r="W29" i="3"/>
  <c r="Y27" i="3"/>
  <c r="X27" i="3"/>
  <c r="W27" i="3"/>
  <c r="W26" i="3"/>
  <c r="Y25" i="3"/>
  <c r="X25" i="3"/>
  <c r="W25" i="3"/>
  <c r="Y23" i="3"/>
  <c r="X23" i="3"/>
  <c r="W23" i="3"/>
  <c r="Y22" i="3"/>
  <c r="X22" i="3"/>
  <c r="W22" i="3"/>
  <c r="Y21" i="3"/>
  <c r="X21" i="3"/>
  <c r="W21" i="3"/>
  <c r="Y20" i="3"/>
  <c r="X20" i="3"/>
  <c r="W20" i="3"/>
  <c r="Y19" i="3"/>
  <c r="X19" i="3"/>
  <c r="W19" i="3"/>
  <c r="Y18" i="3"/>
  <c r="X18" i="3"/>
  <c r="W18" i="3"/>
  <c r="Y17" i="3"/>
  <c r="X17" i="3"/>
  <c r="W17" i="3"/>
  <c r="Y16" i="3"/>
  <c r="X16" i="3"/>
  <c r="W16" i="3"/>
  <c r="Y15" i="3"/>
  <c r="X15" i="3"/>
  <c r="W15" i="3"/>
  <c r="Y14" i="3"/>
  <c r="X14" i="3"/>
  <c r="W14" i="3"/>
  <c r="W13" i="3"/>
  <c r="Y12" i="3"/>
  <c r="W12" i="3"/>
  <c r="P29" i="3"/>
  <c r="O29" i="3"/>
  <c r="C66" i="3" s="1" a="1"/>
  <c r="C66" i="3" s="1"/>
  <c r="C73" i="3" s="1"/>
  <c r="C79" i="3" s="1"/>
  <c r="N29" i="3"/>
  <c r="M29" i="3"/>
  <c r="L29" i="3"/>
  <c r="K29" i="3"/>
  <c r="J29" i="3"/>
  <c r="I29" i="3"/>
  <c r="H29" i="3"/>
  <c r="G29" i="3"/>
  <c r="F29" i="3"/>
  <c r="E29" i="3"/>
  <c r="D29" i="3"/>
  <c r="Y29" i="3" s="1"/>
  <c r="C29" i="3"/>
  <c r="X29" i="3" s="1"/>
  <c r="S91" i="3"/>
  <c r="P75" i="3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T71" i="3"/>
  <c r="O67" i="3"/>
  <c r="N67" i="3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D49" i="3"/>
  <c r="C44" i="3"/>
  <c r="H36" i="3"/>
  <c r="D36" i="3"/>
  <c r="F35" i="3"/>
  <c r="G35" i="3" s="1"/>
  <c r="G34" i="3"/>
  <c r="F34" i="3"/>
  <c r="E34" i="3" s="1"/>
  <c r="P26" i="3"/>
  <c r="O26" i="3"/>
  <c r="N26" i="3"/>
  <c r="M26" i="3"/>
  <c r="L26" i="3"/>
  <c r="K26" i="3"/>
  <c r="J26" i="3"/>
  <c r="I26" i="3"/>
  <c r="E54" i="3" s="1" a="1"/>
  <c r="E54" i="3" s="1"/>
  <c r="H26" i="3"/>
  <c r="G26" i="3"/>
  <c r="F26" i="3"/>
  <c r="E26" i="3"/>
  <c r="D26" i="3"/>
  <c r="Y26" i="3" s="1"/>
  <c r="C26" i="3"/>
  <c r="X26" i="3" s="1"/>
  <c r="T23" i="3"/>
  <c r="T22" i="3"/>
  <c r="T21" i="3"/>
  <c r="T20" i="3"/>
  <c r="T19" i="3"/>
  <c r="T18" i="3"/>
  <c r="T16" i="3"/>
  <c r="T14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I97" i="2"/>
  <c r="D32" i="2"/>
  <c r="D33" i="2" s="1"/>
  <c r="D30" i="2"/>
  <c r="D29" i="2"/>
  <c r="D28" i="2"/>
  <c r="W25" i="2"/>
  <c r="W24" i="2"/>
  <c r="W23" i="2"/>
  <c r="W22" i="2"/>
  <c r="W21" i="2"/>
  <c r="W20" i="2"/>
  <c r="W19" i="2"/>
  <c r="W18" i="2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D11" i="2"/>
  <c r="D25" i="2"/>
  <c r="P25" i="2"/>
  <c r="C25" i="2"/>
  <c r="O25" i="2"/>
  <c r="N25" i="2"/>
  <c r="M25" i="2"/>
  <c r="L25" i="2"/>
  <c r="K25" i="2"/>
  <c r="J25" i="2"/>
  <c r="I25" i="2"/>
  <c r="H25" i="2"/>
  <c r="G25" i="2"/>
  <c r="F25" i="2"/>
  <c r="E25" i="2"/>
  <c r="H117" i="2"/>
  <c r="C93" i="2"/>
  <c r="N35" i="2"/>
  <c r="F61" i="3" l="1"/>
  <c r="D61" i="3"/>
  <c r="H61" i="3"/>
  <c r="I61" i="3" s="1"/>
  <c r="J61" i="3" s="1"/>
  <c r="E61" i="3"/>
  <c r="G61" i="3"/>
  <c r="C75" i="3"/>
  <c r="C76" i="3"/>
  <c r="G28" i="3"/>
  <c r="G30" i="3" s="1"/>
  <c r="O28" i="3"/>
  <c r="O30" i="3" s="1"/>
  <c r="E28" i="3"/>
  <c r="E30" i="3" s="1"/>
  <c r="M28" i="3"/>
  <c r="M30" i="3" s="1"/>
  <c r="E50" i="3" a="1"/>
  <c r="E50" i="3" s="1"/>
  <c r="C28" i="3"/>
  <c r="K28" i="3"/>
  <c r="K30" i="3" s="1"/>
  <c r="H28" i="3"/>
  <c r="H30" i="3" s="1"/>
  <c r="L28" i="3"/>
  <c r="L30" i="3" s="1"/>
  <c r="P28" i="3"/>
  <c r="P30" i="3" s="1"/>
  <c r="D28" i="3"/>
  <c r="F28" i="3"/>
  <c r="N28" i="3"/>
  <c r="N30" i="3" s="1"/>
  <c r="I28" i="3"/>
  <c r="F50" i="3" a="1"/>
  <c r="F50" i="3" s="1"/>
  <c r="C53" i="3" a="1"/>
  <c r="C53" i="3" s="1"/>
  <c r="G53" i="3" a="1"/>
  <c r="G53" i="3" s="1"/>
  <c r="C54" i="3" a="1"/>
  <c r="C54" i="3" s="1"/>
  <c r="G54" i="3" a="1"/>
  <c r="G54" i="3" s="1"/>
  <c r="F53" i="3" a="1"/>
  <c r="F53" i="3" s="1"/>
  <c r="F54" i="3" a="1"/>
  <c r="F54" i="3" s="1"/>
  <c r="J28" i="3"/>
  <c r="J30" i="3" s="1"/>
  <c r="D53" i="3" a="1"/>
  <c r="D53" i="3" s="1"/>
  <c r="D54" i="3" a="1"/>
  <c r="D54" i="3" s="1"/>
  <c r="D50" i="3" a="1"/>
  <c r="D50" i="3" s="1"/>
  <c r="C50" i="3" a="1"/>
  <c r="C50" i="3" s="1"/>
  <c r="C57" i="3"/>
  <c r="C55" i="3"/>
  <c r="I30" i="3"/>
  <c r="F30" i="3"/>
  <c r="S16" i="3"/>
  <c r="T26" i="3"/>
  <c r="D55" i="3"/>
  <c r="G36" i="3"/>
  <c r="S19" i="3"/>
  <c r="S14" i="3"/>
  <c r="S18" i="3"/>
  <c r="S21" i="3"/>
  <c r="D56" i="3"/>
  <c r="E56" i="3" s="1"/>
  <c r="F56" i="3" s="1"/>
  <c r="G56" i="3" s="1"/>
  <c r="E36" i="3"/>
  <c r="C34" i="3"/>
  <c r="C45" i="3"/>
  <c r="S20" i="3"/>
  <c r="E49" i="3"/>
  <c r="N91" i="3"/>
  <c r="D31" i="2"/>
  <c r="C94" i="2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E101" i="2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C58" i="3" l="1"/>
  <c r="F58" i="3"/>
  <c r="D58" i="3"/>
  <c r="E58" i="3"/>
  <c r="Q24" i="3"/>
  <c r="C59" i="3"/>
  <c r="C30" i="3"/>
  <c r="X28" i="3"/>
  <c r="D30" i="3"/>
  <c r="Y30" i="3" s="1"/>
  <c r="Y28" i="3"/>
  <c r="E55" i="3"/>
  <c r="F49" i="3"/>
  <c r="C36" i="3"/>
  <c r="H56" i="3"/>
  <c r="I56" i="3" s="1"/>
  <c r="J56" i="3" s="1"/>
  <c r="D57" i="3"/>
  <c r="E57" i="3" s="1"/>
  <c r="F57" i="3" s="1"/>
  <c r="G57" i="3" s="1"/>
  <c r="C117" i="2"/>
  <c r="R29" i="3" l="1"/>
  <c r="R25" i="3"/>
  <c r="R26" i="3"/>
  <c r="R24" i="3"/>
  <c r="C60" i="3"/>
  <c r="C31" i="3"/>
  <c r="X31" i="3" s="1"/>
  <c r="X30" i="3"/>
  <c r="Z24" i="3" s="1"/>
  <c r="G49" i="3"/>
  <c r="G55" i="3" s="1"/>
  <c r="F55" i="3"/>
  <c r="H57" i="3"/>
  <c r="I57" i="3" s="1"/>
  <c r="J57" i="3" s="1"/>
  <c r="Z30" i="3" l="1"/>
  <c r="Z26" i="3"/>
  <c r="Z27" i="3"/>
  <c r="Z29" i="3"/>
  <c r="Z25" i="3"/>
  <c r="H52" i="3"/>
  <c r="I52" i="3" s="1"/>
  <c r="J52" i="3" s="1"/>
  <c r="H55" i="3"/>
  <c r="I55" i="3" s="1"/>
  <c r="J55" i="3" s="1"/>
  <c r="H50" i="3" l="1"/>
  <c r="I50" i="3" l="1"/>
  <c r="J50" i="3" s="1"/>
  <c r="G58" i="3"/>
  <c r="H58" i="3" s="1"/>
  <c r="G59" i="3"/>
  <c r="G60" i="3" s="1"/>
  <c r="D93" i="2" l="1"/>
  <c r="F93" i="2"/>
  <c r="F92" i="2" s="1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T14" i="2"/>
  <c r="T16" i="2"/>
  <c r="T18" i="2"/>
  <c r="T19" i="2"/>
  <c r="T20" i="2"/>
  <c r="T21" i="2"/>
  <c r="T22" i="2"/>
  <c r="T23" i="2"/>
  <c r="E26" i="2"/>
  <c r="F26" i="2"/>
  <c r="G26" i="2"/>
  <c r="H26" i="2"/>
  <c r="I26" i="2"/>
  <c r="J26" i="2"/>
  <c r="K26" i="2"/>
  <c r="L26" i="2"/>
  <c r="M26" i="2"/>
  <c r="N26" i="2"/>
  <c r="O26" i="2"/>
  <c r="C26" i="2"/>
  <c r="P26" i="2"/>
  <c r="E28" i="2"/>
  <c r="F28" i="2"/>
  <c r="G28" i="2"/>
  <c r="H28" i="2"/>
  <c r="I28" i="2"/>
  <c r="J28" i="2"/>
  <c r="K28" i="2"/>
  <c r="L28" i="2"/>
  <c r="M28" i="2"/>
  <c r="N28" i="2"/>
  <c r="O28" i="2"/>
  <c r="C28" i="2"/>
  <c r="D53" i="2" s="1" a="1"/>
  <c r="D53" i="2" s="1"/>
  <c r="P28" i="2"/>
  <c r="E29" i="2"/>
  <c r="F29" i="2"/>
  <c r="G29" i="2"/>
  <c r="H29" i="2"/>
  <c r="I29" i="2"/>
  <c r="J29" i="2"/>
  <c r="K29" i="2"/>
  <c r="L29" i="2"/>
  <c r="M29" i="2"/>
  <c r="N29" i="2"/>
  <c r="O29" i="2"/>
  <c r="C29" i="2"/>
  <c r="P29" i="2"/>
  <c r="E30" i="2"/>
  <c r="F30" i="2"/>
  <c r="G30" i="2"/>
  <c r="H30" i="2"/>
  <c r="I30" i="2"/>
  <c r="J30" i="2"/>
  <c r="K30" i="2"/>
  <c r="L30" i="2"/>
  <c r="M30" i="2"/>
  <c r="N30" i="2"/>
  <c r="O30" i="2"/>
  <c r="C30" i="2"/>
  <c r="E55" i="2" s="1" a="1"/>
  <c r="E55" i="2" s="1"/>
  <c r="P30" i="2"/>
  <c r="G56" i="2" s="1" a="1"/>
  <c r="G56" i="2" s="1"/>
  <c r="F36" i="2"/>
  <c r="E36" i="2" s="1"/>
  <c r="E38" i="2" s="1"/>
  <c r="G36" i="2"/>
  <c r="F37" i="2"/>
  <c r="H38" i="2"/>
  <c r="C43" i="2"/>
  <c r="C44" i="2" a="1"/>
  <c r="C44" i="2" s="1"/>
  <c r="C46" i="2"/>
  <c r="D51" i="2"/>
  <c r="E51" i="2" s="1"/>
  <c r="F51" i="2" s="1"/>
  <c r="G51" i="2" s="1"/>
  <c r="C53" i="2" a="1"/>
  <c r="C53" i="2" s="1"/>
  <c r="J53" i="2" s="1"/>
  <c r="E53" i="2" a="1"/>
  <c r="E53" i="2" s="1"/>
  <c r="F53" i="2" a="1"/>
  <c r="F53" i="2" s="1"/>
  <c r="C56" i="2" a="1"/>
  <c r="C56" i="2" s="1"/>
  <c r="E56" i="2" a="1"/>
  <c r="E56" i="2" s="1"/>
  <c r="D73" i="2"/>
  <c r="D74" i="2"/>
  <c r="D75" i="2"/>
  <c r="E75" i="2"/>
  <c r="D76" i="2"/>
  <c r="D77" i="2"/>
  <c r="D78" i="2"/>
  <c r="E78" i="2"/>
  <c r="D79" i="2"/>
  <c r="D80" i="2"/>
  <c r="D81" i="2"/>
  <c r="D82" i="2"/>
  <c r="E82" i="2"/>
  <c r="D54" i="2" l="1" a="1"/>
  <c r="D54" i="2" s="1"/>
  <c r="D55" i="2" a="1"/>
  <c r="D55" i="2" s="1"/>
  <c r="M32" i="2"/>
  <c r="M31" i="2" s="1"/>
  <c r="I32" i="2"/>
  <c r="I31" i="2" s="1"/>
  <c r="E32" i="2"/>
  <c r="E31" i="2" s="1"/>
  <c r="G55" i="2" a="1"/>
  <c r="G55" i="2" s="1"/>
  <c r="C55" i="2" a="1"/>
  <c r="C55" i="2" s="1"/>
  <c r="J55" i="2" s="1"/>
  <c r="F55" i="2" a="1"/>
  <c r="F55" i="2" s="1"/>
  <c r="F54" i="2" a="1"/>
  <c r="F54" i="2" s="1"/>
  <c r="P32" i="2"/>
  <c r="T25" i="2"/>
  <c r="T26" i="2"/>
  <c r="S19" i="2"/>
  <c r="N32" i="2"/>
  <c r="J32" i="2"/>
  <c r="F32" i="2"/>
  <c r="L32" i="2"/>
  <c r="L31" i="2" s="1"/>
  <c r="H32" i="2"/>
  <c r="H33" i="2" s="1"/>
  <c r="J56" i="2"/>
  <c r="C47" i="2"/>
  <c r="C52" i="2" a="1"/>
  <c r="C52" i="2" s="1"/>
  <c r="D52" i="2" s="1" a="1"/>
  <c r="D52" i="2" s="1"/>
  <c r="C57" i="2"/>
  <c r="C59" i="2"/>
  <c r="F57" i="2"/>
  <c r="C58" i="2"/>
  <c r="G57" i="2"/>
  <c r="H31" i="2"/>
  <c r="E57" i="2"/>
  <c r="G53" i="2" a="1"/>
  <c r="G53" i="2" s="1"/>
  <c r="H53" i="2" s="1"/>
  <c r="I53" i="2" s="1"/>
  <c r="G37" i="2"/>
  <c r="G38" i="2" s="1"/>
  <c r="D38" i="2"/>
  <c r="S16" i="2"/>
  <c r="C54" i="2" a="1"/>
  <c r="C54" i="2" s="1"/>
  <c r="E54" i="2" a="1"/>
  <c r="E54" i="2" s="1"/>
  <c r="G54" i="2" a="1"/>
  <c r="G54" i="2" s="1"/>
  <c r="O32" i="2"/>
  <c r="K32" i="2"/>
  <c r="G32" i="2"/>
  <c r="S20" i="2"/>
  <c r="S18" i="2"/>
  <c r="P31" i="2"/>
  <c r="P33" i="2"/>
  <c r="I33" i="2"/>
  <c r="S14" i="2"/>
  <c r="D57" i="2"/>
  <c r="C36" i="2"/>
  <c r="C32" i="2"/>
  <c r="C33" i="2" s="1"/>
  <c r="W33" i="2" s="1"/>
  <c r="D56" i="2" a="1"/>
  <c r="D56" i="2" s="1"/>
  <c r="F56" i="2" a="1"/>
  <c r="F56" i="2" s="1"/>
  <c r="S21" i="2"/>
  <c r="M33" i="2" l="1"/>
  <c r="E33" i="2"/>
  <c r="H55" i="2"/>
  <c r="I55" i="2" s="1"/>
  <c r="Q19" i="2"/>
  <c r="L33" i="2"/>
  <c r="C60" i="2"/>
  <c r="J60" i="2" s="1"/>
  <c r="F31" i="2"/>
  <c r="F33" i="2"/>
  <c r="Q26" i="2"/>
  <c r="J33" i="2"/>
  <c r="J31" i="2"/>
  <c r="N31" i="2"/>
  <c r="N33" i="2"/>
  <c r="H56" i="2"/>
  <c r="I56" i="2" s="1"/>
  <c r="D61" i="2"/>
  <c r="E52" i="2" a="1"/>
  <c r="E52" i="2" s="1"/>
  <c r="J59" i="2"/>
  <c r="R28" i="2"/>
  <c r="Q24" i="2"/>
  <c r="O31" i="2"/>
  <c r="I36" i="2" s="1"/>
  <c r="O33" i="2"/>
  <c r="Q28" i="2"/>
  <c r="Q20" i="2"/>
  <c r="Q15" i="2"/>
  <c r="C31" i="2"/>
  <c r="R27" i="2"/>
  <c r="R25" i="2"/>
  <c r="R30" i="2"/>
  <c r="Q25" i="2"/>
  <c r="Q27" i="2"/>
  <c r="H57" i="2"/>
  <c r="I57" i="2" s="1"/>
  <c r="J57" i="2"/>
  <c r="D59" i="2"/>
  <c r="E59" i="2" s="1"/>
  <c r="F59" i="2" s="1"/>
  <c r="G59" i="2" s="1"/>
  <c r="G31" i="2"/>
  <c r="G33" i="2"/>
  <c r="Q14" i="2"/>
  <c r="Q30" i="2"/>
  <c r="Q22" i="2"/>
  <c r="Q18" i="2"/>
  <c r="R29" i="2"/>
  <c r="K33" i="2"/>
  <c r="K31" i="2"/>
  <c r="J54" i="2"/>
  <c r="H54" i="2"/>
  <c r="I54" i="2" s="1"/>
  <c r="Q29" i="2"/>
  <c r="Q21" i="2"/>
  <c r="Q23" i="2"/>
  <c r="J58" i="2"/>
  <c r="J52" i="2"/>
  <c r="C61" i="2"/>
  <c r="D58" i="2"/>
  <c r="E58" i="2" s="1"/>
  <c r="F58" i="2" s="1"/>
  <c r="G58" i="2" s="1"/>
  <c r="D62" i="2" l="1"/>
  <c r="D60" i="2"/>
  <c r="J61" i="2"/>
  <c r="C62" i="2"/>
  <c r="H58" i="2"/>
  <c r="I58" i="2" s="1"/>
  <c r="H59" i="2"/>
  <c r="I59" i="2" s="1"/>
  <c r="E60" i="2"/>
  <c r="E61" i="2"/>
  <c r="E62" i="2" s="1"/>
  <c r="F52" i="2" a="1"/>
  <c r="F52" i="2" s="1"/>
  <c r="F60" i="2" l="1"/>
  <c r="F61" i="2"/>
  <c r="F62" i="2" s="1"/>
  <c r="G52" i="2" a="1"/>
  <c r="G52" i="2" s="1"/>
  <c r="J62" i="2"/>
  <c r="C38" i="2" l="1"/>
  <c r="I37" i="2"/>
  <c r="G61" i="2"/>
  <c r="G62" i="2" s="1"/>
  <c r="H62" i="2" s="1"/>
  <c r="I62" i="2" s="1"/>
  <c r="G60" i="2"/>
  <c r="H60" i="2" s="1"/>
  <c r="I60" i="2" s="1"/>
  <c r="H52" i="2"/>
  <c r="I52" i="2" s="1"/>
  <c r="H61" i="2" l="1"/>
  <c r="I61" i="2" s="1"/>
  <c r="C39" i="2"/>
  <c r="I38" i="2"/>
  <c r="F31" i="3"/>
  <c r="H31" i="3"/>
  <c r="M31" i="3"/>
  <c r="I31" i="3"/>
  <c r="D31" i="3"/>
  <c r="Y31" i="3" s="1"/>
  <c r="N31" i="3"/>
  <c r="L31" i="3"/>
  <c r="O31" i="3"/>
  <c r="I34" i="3"/>
  <c r="C37" i="3"/>
  <c r="I35" i="3"/>
  <c r="I36" i="3"/>
  <c r="Q15" i="3"/>
  <c r="Q25" i="3"/>
  <c r="Q19" i="3"/>
  <c r="E31" i="3"/>
  <c r="Q20" i="3"/>
  <c r="Q26" i="3"/>
  <c r="Q21" i="3"/>
  <c r="Q14" i="3"/>
  <c r="Q27" i="3"/>
  <c r="Q22" i="3"/>
  <c r="Q18" i="3"/>
  <c r="Q23" i="3"/>
  <c r="Q29" i="3"/>
  <c r="R27" i="3"/>
  <c r="J31" i="3"/>
  <c r="G31" i="3"/>
  <c r="P31" i="3"/>
  <c r="K31" i="3"/>
  <c r="H53" i="3" l="1"/>
  <c r="I53" i="3" s="1"/>
  <c r="J53" i="3" s="1"/>
  <c r="F59" i="3"/>
  <c r="F60" i="3" s="1"/>
  <c r="H51" i="3"/>
  <c r="I51" i="3" s="1"/>
  <c r="J51" i="3" s="1"/>
  <c r="D59" i="3"/>
  <c r="D60" i="3" l="1"/>
  <c r="H54" i="3"/>
  <c r="I54" i="3" s="1"/>
  <c r="J54" i="3" s="1"/>
  <c r="E59" i="3"/>
  <c r="E60" i="3" s="1"/>
  <c r="H60" i="3" l="1"/>
  <c r="H59" i="3"/>
  <c r="I59" i="3" s="1"/>
  <c r="J59" i="3" s="1"/>
  <c r="I58" i="3"/>
  <c r="J58" i="3" s="1"/>
  <c r="I60" i="3" l="1"/>
  <c r="J6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<sst xmlns="http://schemas.openxmlformats.org/spreadsheetml/2006/main" count="305" uniqueCount="187">
  <si>
    <t>Diesel</t>
  </si>
  <si>
    <t>Petrol</t>
  </si>
  <si>
    <t>https://tableau.autovistagroup.com/t/Public/views/Monthlymarketdashboard_202312/Overall?%3Aembed=y&amp;%3Aiid=2&amp;%3AisGuestRedirectFromViz&amp;%3AisGuestRedirectFromVizportal=y&amp;%3Atoolbar=n</t>
  </si>
  <si>
    <t>Germany RV 2023</t>
  </si>
  <si>
    <t>https://www.finax.eu/en/blog/car-depreciation-expense-that-is-often-overlooked</t>
  </si>
  <si>
    <t>Купить в кредит и инвестировать</t>
  </si>
  <si>
    <t>Kупить в кредит</t>
  </si>
  <si>
    <t>Купить сразу наличкой</t>
  </si>
  <si>
    <t>Investment Gain</t>
  </si>
  <si>
    <t>Inflation loss</t>
  </si>
  <si>
    <t>Loan interest</t>
  </si>
  <si>
    <t>KfZ Steuer</t>
  </si>
  <si>
    <t>Inspection+maintenance</t>
  </si>
  <si>
    <t>Insurance</t>
  </si>
  <si>
    <t>Fuel</t>
  </si>
  <si>
    <t>Depreciation</t>
  </si>
  <si>
    <t>Per Month</t>
  </si>
  <si>
    <t>Per Year</t>
  </si>
  <si>
    <t>Total</t>
  </si>
  <si>
    <t>Investment interest</t>
  </si>
  <si>
    <t xml:space="preserve"> </t>
  </si>
  <si>
    <t>https://www.destatis.de/SiteGlobals/Forms/Suche/Presse/EN/Pressesuche_Formular.html?sortOrder=score+desc&amp;cl2Taxonomies_Themen_0=preise&amp;cl2Taxonomies_Themen_1=verbraucherpreisindex</t>
  </si>
  <si>
    <t>Inflation</t>
  </si>
  <si>
    <t>Monthly payment</t>
  </si>
  <si>
    <t>Loan term (m)</t>
  </si>
  <si>
    <t>Deutsche Bank</t>
  </si>
  <si>
    <t>Interest</t>
  </si>
  <si>
    <t>Car Cost</t>
  </si>
  <si>
    <t>Make and Model</t>
  </si>
  <si>
    <t>Car Selection</t>
  </si>
  <si>
    <t>Overpaid per year</t>
  </si>
  <si>
    <t>Sum</t>
  </si>
  <si>
    <t>Rental</t>
  </si>
  <si>
    <t>Carsharing</t>
  </si>
  <si>
    <t>Multiple over ownership</t>
  </si>
  <si>
    <t># of Rentals</t>
  </si>
  <si>
    <t>Km total</t>
  </si>
  <si>
    <t>Gas/100km</t>
  </si>
  <si>
    <t>Gas</t>
  </si>
  <si>
    <t>Total+Gas</t>
  </si>
  <si>
    <t>Car Spending</t>
  </si>
  <si>
    <t>Total monthly cost</t>
  </si>
  <si>
    <t>Total annual cost</t>
  </si>
  <si>
    <t>Total annual cost - Fuel</t>
  </si>
  <si>
    <t>https://www.bundesfinanzministerium.de/Web/DE/Service/Apps_Rechner/KfzRechner/KfzRechner.html</t>
  </si>
  <si>
    <t>Insp+maintenance 5y</t>
  </si>
  <si>
    <t>Insurance 5y (500 Teilkasko)</t>
  </si>
  <si>
    <t>5y fuel</t>
  </si>
  <si>
    <t>https://www.themoneycalculator.com/vehicle-finance/calculators/car-depreciation-by-make-and-model</t>
  </si>
  <si>
    <t>5y depreciation</t>
  </si>
  <si>
    <t>Depreciation % y/y</t>
  </si>
  <si>
    <t>kfz.check24.de</t>
  </si>
  <si>
    <t>Insurance Annual</t>
  </si>
  <si>
    <t>Maintenance multiple</t>
  </si>
  <si>
    <t>https://www.autohero.com/</t>
  </si>
  <si>
    <t>Price Today</t>
  </si>
  <si>
    <t>Co2 g/km</t>
  </si>
  <si>
    <t>Disp (cc)</t>
  </si>
  <si>
    <t>Kw</t>
  </si>
  <si>
    <t>Fuel econ l/100km</t>
  </si>
  <si>
    <t>Manual</t>
  </si>
  <si>
    <t>manual</t>
  </si>
  <si>
    <t>Auto</t>
  </si>
  <si>
    <t>Trmsn</t>
  </si>
  <si>
    <t>Type (1-Diesel, 2-Petrol)</t>
  </si>
  <si>
    <t>km</t>
  </si>
  <si>
    <t>yr</t>
  </si>
  <si>
    <t>Tiguan 1.4 TSI</t>
  </si>
  <si>
    <t xml:space="preserve">A4 2.0 </t>
  </si>
  <si>
    <t>Q2 30 TDI</t>
  </si>
  <si>
    <t>C180 T</t>
  </si>
  <si>
    <t>CX5 2.2 AWD</t>
  </si>
  <si>
    <t>countryman Cooper S All4</t>
  </si>
  <si>
    <t>Tipo 1.4 T-jet</t>
  </si>
  <si>
    <t>500x 1.6 pop star</t>
  </si>
  <si>
    <t>1.2 500 lounge</t>
  </si>
  <si>
    <t>Duster 1.2 Tce 4x2</t>
  </si>
  <si>
    <t>X3 xDrive 20d</t>
  </si>
  <si>
    <t>sDrive 18i</t>
  </si>
  <si>
    <t>318d</t>
  </si>
  <si>
    <t>model</t>
  </si>
  <si>
    <t>Correlation to Insurance</t>
  </si>
  <si>
    <t>Correlation to KfZ</t>
  </si>
  <si>
    <t>% of total</t>
  </si>
  <si>
    <t>Correlation to Total</t>
  </si>
  <si>
    <t>VW</t>
  </si>
  <si>
    <t>Audi</t>
  </si>
  <si>
    <t>Mbenz</t>
  </si>
  <si>
    <t>mazda</t>
  </si>
  <si>
    <t>mini</t>
  </si>
  <si>
    <t>Fiat</t>
  </si>
  <si>
    <t>Dacia</t>
  </si>
  <si>
    <t>BMW</t>
  </si>
  <si>
    <t>make</t>
  </si>
  <si>
    <t>ID</t>
  </si>
  <si>
    <t>https://www.strategyengineers.com/wordpress/wp-content/uploads/2022/12/SE18_SharedMobility_Part1.pdf</t>
  </si>
  <si>
    <t>Rental use/year ('000km)</t>
  </si>
  <si>
    <t>Csharing use/year ('000km)</t>
  </si>
  <si>
    <t>https://www.odyssee-mure.eu/publications/efficiency-by-sector/transport/distance-travelled-by-car.html</t>
  </si>
  <si>
    <t>Annual use ('000km)</t>
  </si>
  <si>
    <t>Years ownership</t>
  </si>
  <si>
    <t>inspection cost, bi-annual</t>
  </si>
  <si>
    <t>Eu 2018</t>
  </si>
  <si>
    <t>Autocosts.info</t>
  </si>
  <si>
    <t>avg maintenance/year</t>
  </si>
  <si>
    <t>/L Diesel</t>
  </si>
  <si>
    <t>/l petrol</t>
  </si>
  <si>
    <t>Fiat 1.2 8v</t>
  </si>
  <si>
    <t>Audi a4 2.0 TDI Avant</t>
  </si>
  <si>
    <t>A4 Avant</t>
  </si>
  <si>
    <t>KfZ steuer, annual</t>
  </si>
  <si>
    <t>Марка</t>
  </si>
  <si>
    <t>Модель</t>
  </si>
  <si>
    <t>Год</t>
  </si>
  <si>
    <t>Пробег (км)</t>
  </si>
  <si>
    <t>Тип (1- Дизель, 2- Бензин)</t>
  </si>
  <si>
    <t>Расход топлива литр/100км</t>
  </si>
  <si>
    <t>Мощность (kW)</t>
  </si>
  <si>
    <t>Oбьём мотора (kcm)</t>
  </si>
  <si>
    <t>Множитель Починки</t>
  </si>
  <si>
    <t>Страховка/год</t>
  </si>
  <si>
    <t>KfZ steuer/год (налог)</t>
  </si>
  <si>
    <t>Трата в цене за 5 лет</t>
  </si>
  <si>
    <t>Топливо/год</t>
  </si>
  <si>
    <t>Стоимость/месяц</t>
  </si>
  <si>
    <t>Примечание</t>
  </si>
  <si>
    <t>Audi A4 Avant</t>
  </si>
  <si>
    <t>2.0 TDI</t>
  </si>
  <si>
    <t>1.4 TSFI</t>
  </si>
  <si>
    <t>Передачa</t>
  </si>
  <si>
    <t>Ручник</t>
  </si>
  <si>
    <t>Автомат</t>
  </si>
  <si>
    <t>Починка+Инспекция</t>
  </si>
  <si>
    <t>Цена покупки €</t>
  </si>
  <si>
    <t>Сумма 13,14,15,16</t>
  </si>
  <si>
    <t>Дизель €1.7/l, Бензин €1.73/л</t>
  </si>
  <si>
    <t>на [autoscout24.com](autoscout.com)</t>
  </si>
  <si>
    <t>120€/2 года и ср. ц. починки с [autocosts.info](autocosts.info)</t>
  </si>
  <si>
    <t>на [kfz.check24.de](kfz.check24.de) €500 Teilkasko, 11k пробег</t>
  </si>
  <si>
    <t>[BFZ](https://www.bundesfinanzministerium.de/Web/DE/Service/Apps_Rechner/KfzRechner/KfzRechner.html)</t>
  </si>
  <si>
    <t>Модель с [autoscout24.com](autoscout24.com)</t>
  </si>
  <si>
    <t>[Дизель](https://www.autoscout24.com/offers/audi-a4-avant-sport-shz-acc-spurhalte-navi-diesel-grey-639fe030-7434-48ac-9e9e-5627d376d47d?sort=year&amp;desc=0&amp;lastSeenGuidPresent=true&amp;cldtidx=7&amp;position=7&amp;search_id=1ip6vscx31t&amp;source_otp=t20&amp;source=listpage_search-results&amp;order_bucket=unknown) [Бензин](https://www.autoscout24.com/offers/audi-a4-avant-1-4-tfsi-navi-led-gasoline-blue-0d3bb543-3105-4b0b-ae31-fd05b64a4c60?sort=year&amp;desc=0&amp;lastSeenGuidPresent=true&amp;cldtidx=2&amp;position=2&amp;search_id=2b32v5rsroh&amp;source_otp=t10&amp;source=listpage_search-results&amp;order_bucket=unknown)</t>
  </si>
  <si>
    <t>Средний Расход, у дизеля: 4л(автобан), 5.1л(город), Бензин: 5л(автобан), 7.3л(город)</t>
  </si>
  <si>
    <t>ГСМ</t>
  </si>
  <si>
    <t>ГСМ (годовая стоимость машины)</t>
  </si>
  <si>
    <t>% ГСМ</t>
  </si>
  <si>
    <t>Корр. ГСМ</t>
  </si>
  <si>
    <t>ГСМ без топлива</t>
  </si>
  <si>
    <t>Countryman</t>
  </si>
  <si>
    <t>Марка и Модель</t>
  </si>
  <si>
    <t>Цена кредита</t>
  </si>
  <si>
    <t>Время кредита (в месяцах)</t>
  </si>
  <si>
    <t>Платёж в месяц</t>
  </si>
  <si>
    <t>Инфляция</t>
  </si>
  <si>
    <t>Процент на инвестиции</t>
  </si>
  <si>
    <t>Трата в цене/год</t>
  </si>
  <si>
    <t>km Avant</t>
  </si>
  <si>
    <t>Year</t>
  </si>
  <si>
    <t>km Fiat</t>
  </si>
  <si>
    <t>Лизинг</t>
  </si>
  <si>
    <t>Цена Новой Машины</t>
  </si>
  <si>
    <t>EUR</t>
  </si>
  <si>
    <t>Машина</t>
  </si>
  <si>
    <t>Страховка</t>
  </si>
  <si>
    <t>Сервис</t>
  </si>
  <si>
    <t>Toпливо в месяц</t>
  </si>
  <si>
    <t>EUR/m</t>
  </si>
  <si>
    <t>Лизинг банк ставка</t>
  </si>
  <si>
    <t>Лизинг время</t>
  </si>
  <si>
    <t>месяцев</t>
  </si>
  <si>
    <t>Месячный платёж за лисинг</t>
  </si>
  <si>
    <t>% поездок по работе</t>
  </si>
  <si>
    <t>Зарплата Брутто</t>
  </si>
  <si>
    <t>Плюс трата в цене</t>
  </si>
  <si>
    <t>Плюс расход на горючее</t>
  </si>
  <si>
    <t>Зарплата Брутто с Лизингом</t>
  </si>
  <si>
    <t>Возврат Кредит процентов</t>
  </si>
  <si>
    <t>Выигрыш от Ниже Брутто</t>
  </si>
  <si>
    <t>Итого в Месяц</t>
  </si>
  <si>
    <t>Каждый месяц как привабка к Netto зарплате</t>
  </si>
  <si>
    <t>Разниза между налогом на 6000 и 5419</t>
  </si>
  <si>
    <t>60%*71EUR</t>
  </si>
  <si>
    <t>1% от Цены машины, по закону</t>
  </si>
  <si>
    <t>Допустим</t>
  </si>
  <si>
    <t>Сколько с Вашего Брутто забирается</t>
  </si>
  <si>
    <t>Сколько вы по факту платите за ту же машину</t>
  </si>
  <si>
    <t>Лисинг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</si>
</sst>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0" fontId="0" fillId="0" borderId="0" xfId="0" applyNumberFormat="1"/>
    <xf numFmtId="9" fontId="0" fillId="0" borderId="0" xfId="1" applyFont="1"/>
    <xf numFmtId="43" fontId="0" fillId="0" borderId="0" xfId="0" applyNumberFormat="1"/>
    <xf numFmtId="4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8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2"/>
    <xf numFmtId="0" fontId="2" fillId="0" borderId="0" xfId="0" applyFont="1" applyAlignment="1">
      <alignment wrapText="1"/>
    </xf>
    <xf numFmtId="41" fontId="2" fillId="0" borderId="0" xfId="0" applyNumberFormat="1" applyFont="1"/>
    <xf numFmtId="166" fontId="2" fillId="0" borderId="0" xfId="1" applyNumberFormat="1" applyFont="1"/>
    <xf numFmtId="9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2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Машина!$C$41</c:f>
          <c:strCache>
            <c:ptCount val="1"/>
            <c:pt idx="0">
              <c:v> Fiat 1.2 500 lounge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Машина!$C$49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Машина!$B$58:$B$61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Лисинг</c:v>
                </c:pt>
              </c:strCache>
            </c:strRef>
          </c:cat>
          <c:val>
            <c:numRef>
              <c:f>Машина!$C$58:$C$61</c:f>
              <c:numCache>
                <c:formatCode>_(* #,##0_);_(* \(#,##0\);_(* "-"_);_(@_)</c:formatCode>
                <c:ptCount val="4"/>
                <c:pt idx="0">
                  <c:v>-9559.2199999999993</c:v>
                </c:pt>
                <c:pt idx="1">
                  <c:v>-2714.515370936032</c:v>
                </c:pt>
                <c:pt idx="2">
                  <c:v>-2679.015370936032</c:v>
                </c:pt>
                <c:pt idx="3" formatCode="_(* #,##0.00_);_(* \(#,##0.00\);_(* &quot;-&quot;??_);_(@_)">
                  <c:v>-2294.1510605315784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B-9947-B82B-6C490613B294}"/>
            </c:ext>
          </c:extLst>
        </c:ser>
        <c:ser>
          <c:idx val="1"/>
          <c:order val="1"/>
          <c:tx>
            <c:strRef>
              <c:f>Машина!$D$49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Машина!$B$58:$B$61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Лисинг</c:v>
                </c:pt>
              </c:strCache>
            </c:strRef>
          </c:cat>
          <c:val>
            <c:numRef>
              <c:f>Машина!$D$58:$D$61</c:f>
              <c:numCache>
                <c:formatCode>_(* #,##0_);_(* \(#,##0\);_(* "-"_);_(@_)</c:formatCode>
                <c:ptCount val="4"/>
                <c:pt idx="0">
                  <c:v>-2166.5225</c:v>
                </c:pt>
                <c:pt idx="1">
                  <c:v>-2671.3021577466684</c:v>
                </c:pt>
                <c:pt idx="2">
                  <c:v>-2615.7446577466681</c:v>
                </c:pt>
                <c:pt idx="3" formatCode="_(* #,##0.00_);_(* \(#,##0.00\);_(* &quot;-&quot;??_);_(@_)">
                  <c:v>-2294.1510605315784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B-9947-B82B-6C490613B294}"/>
            </c:ext>
          </c:extLst>
        </c:ser>
        <c:ser>
          <c:idx val="2"/>
          <c:order val="2"/>
          <c:tx>
            <c:strRef>
              <c:f>Машина!$E$49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Машина!$B$58:$B$61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Лисинг</c:v>
                </c:pt>
              </c:strCache>
            </c:strRef>
          </c:cat>
          <c:val>
            <c:numRef>
              <c:f>Машина!$E$58:$E$61</c:f>
              <c:numCache>
                <c:formatCode>_(* #,##0_);_(* \(#,##0\);_(* "-"_);_(@_)</c:formatCode>
                <c:ptCount val="4"/>
                <c:pt idx="0">
                  <c:v>-2158.1294124999999</c:v>
                </c:pt>
                <c:pt idx="1">
                  <c:v>-2626.6856589684271</c:v>
                </c:pt>
                <c:pt idx="2">
                  <c:v>-2550.9206714684274</c:v>
                </c:pt>
                <c:pt idx="3" formatCode="_(* #,##0.00_);_(* \(#,##0.00\);_(* &quot;-&quot;??_);_(@_)">
                  <c:v>-2294.1510605315784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B-9947-B82B-6C490613B294}"/>
            </c:ext>
          </c:extLst>
        </c:ser>
        <c:ser>
          <c:idx val="3"/>
          <c:order val="3"/>
          <c:tx>
            <c:strRef>
              <c:f>Машина!$F$49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Машина!$B$58:$B$61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Лисинг</c:v>
                </c:pt>
              </c:strCache>
            </c:strRef>
          </c:cat>
          <c:val>
            <c:numRef>
              <c:f>Машина!$F$58:$F$61</c:f>
              <c:numCache>
                <c:formatCode>_(* #,##0_);_(* \(#,##0\);_(* "-"_);_(@_)</c:formatCode>
                <c:ptCount val="4"/>
                <c:pt idx="0">
                  <c:v>-2150.0300830624997</c:v>
                </c:pt>
                <c:pt idx="1">
                  <c:v>-2580.6203049641854</c:v>
                </c:pt>
                <c:pt idx="2">
                  <c:v>-2484.469012026685</c:v>
                </c:pt>
                <c:pt idx="3" formatCode="_(* #,##0.00_);_(* \(#,##0.00\);_(* &quot;-&quot;??_);_(@_)">
                  <c:v>-2294.1510605315784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B-9947-B82B-6C490613B294}"/>
            </c:ext>
          </c:extLst>
        </c:ser>
        <c:ser>
          <c:idx val="4"/>
          <c:order val="4"/>
          <c:tx>
            <c:strRef>
              <c:f>Машина!$G$49</c:f>
              <c:strCache>
                <c:ptCount val="1"/>
                <c:pt idx="0">
                  <c:v>2028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Машина!$B$58:$B$61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Лисинг</c:v>
                </c:pt>
              </c:strCache>
            </c:strRef>
          </c:cat>
          <c:val>
            <c:numRef>
              <c:f>Машина!$G$58:$G$61</c:f>
              <c:numCache>
                <c:formatCode>_(* #,##0_);_(* \(#,##0\);_(* "-"_);_(@_)</c:formatCode>
                <c:ptCount val="4"/>
                <c:pt idx="0">
                  <c:v>757.78576984468782</c:v>
                </c:pt>
                <c:pt idx="1">
                  <c:v>366.94095371017193</c:v>
                </c:pt>
                <c:pt idx="2">
                  <c:v>483.68655459485944</c:v>
                </c:pt>
                <c:pt idx="3" formatCode="_(* #,##0.00_);_(* \(#,##0.00\);_(* &quot;-&quot;??_);_(@_)">
                  <c:v>-2294.1510605315784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EB-9947-B82B-6C490613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618128"/>
        <c:axId val="1399401856"/>
      </c:barChart>
      <c:catAx>
        <c:axId val="139961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01856"/>
        <c:crosses val="autoZero"/>
        <c:auto val="1"/>
        <c:lblAlgn val="ctr"/>
        <c:lblOffset val="100"/>
        <c:noMultiLvlLbl val="0"/>
      </c:catAx>
      <c:valAx>
        <c:axId val="1399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18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Машина!$Q$64</c:f>
              <c:strCache>
                <c:ptCount val="1"/>
                <c:pt idx="0">
                  <c:v>Fiat 1.2 8v</c:v>
                </c:pt>
              </c:strCache>
            </c:strRef>
          </c:tx>
          <c:marker>
            <c:symbol val="none"/>
          </c:marker>
          <c:cat>
            <c:numRef>
              <c:f>Машина!$N$65:$N$90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Машина!$Q$65:$Q$90</c:f>
              <c:numCache>
                <c:formatCode>0</c:formatCode>
                <c:ptCount val="26"/>
                <c:pt idx="0" formatCode="General">
                  <c:v>34020</c:v>
                </c:pt>
                <c:pt idx="1">
                  <c:v>26518.59</c:v>
                </c:pt>
                <c:pt idx="2">
                  <c:v>19017.18</c:v>
                </c:pt>
                <c:pt idx="3" formatCode="General">
                  <c:v>12900</c:v>
                </c:pt>
                <c:pt idx="4" formatCode="General">
                  <c:v>10890</c:v>
                </c:pt>
                <c:pt idx="5" formatCode="General">
                  <c:v>10450</c:v>
                </c:pt>
                <c:pt idx="6" formatCode="General">
                  <c:v>9250</c:v>
                </c:pt>
                <c:pt idx="7" formatCode="General">
                  <c:v>7950</c:v>
                </c:pt>
                <c:pt idx="8" formatCode="General">
                  <c:v>6950</c:v>
                </c:pt>
                <c:pt idx="9" formatCode="General">
                  <c:v>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7-EF4F-B8BA-6640F289D093}"/>
            </c:ext>
          </c:extLst>
        </c:ser>
        <c:ser>
          <c:idx val="1"/>
          <c:order val="1"/>
          <c:tx>
            <c:strRef>
              <c:f>Машина!$R$64</c:f>
              <c:strCache>
                <c:ptCount val="1"/>
                <c:pt idx="0">
                  <c:v>Audi a4 2.0 TDI Avant</c:v>
                </c:pt>
              </c:strCache>
            </c:strRef>
          </c:tx>
          <c:marker>
            <c:symbol val="none"/>
          </c:marker>
          <c:cat>
            <c:numRef>
              <c:f>Машина!$N$65:$N$90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Машина!$R$65:$R$90</c:f>
              <c:numCache>
                <c:formatCode>General</c:formatCode>
                <c:ptCount val="26"/>
                <c:pt idx="0">
                  <c:v>59750</c:v>
                </c:pt>
                <c:pt idx="1">
                  <c:v>47000</c:v>
                </c:pt>
                <c:pt idx="2">
                  <c:v>43900</c:v>
                </c:pt>
                <c:pt idx="3">
                  <c:v>25880</c:v>
                </c:pt>
                <c:pt idx="4">
                  <c:v>23000</c:v>
                </c:pt>
                <c:pt idx="5">
                  <c:v>19980</c:v>
                </c:pt>
                <c:pt idx="6">
                  <c:v>17750</c:v>
                </c:pt>
                <c:pt idx="7">
                  <c:v>15900</c:v>
                </c:pt>
                <c:pt idx="8">
                  <c:v>14500</c:v>
                </c:pt>
                <c:pt idx="9">
                  <c:v>12400</c:v>
                </c:pt>
                <c:pt idx="10">
                  <c:v>12250</c:v>
                </c:pt>
                <c:pt idx="11">
                  <c:v>10499</c:v>
                </c:pt>
                <c:pt idx="12">
                  <c:v>9990</c:v>
                </c:pt>
                <c:pt idx="13">
                  <c:v>9200</c:v>
                </c:pt>
                <c:pt idx="14">
                  <c:v>8250</c:v>
                </c:pt>
                <c:pt idx="15">
                  <c:v>6900</c:v>
                </c:pt>
                <c:pt idx="16">
                  <c:v>5999</c:v>
                </c:pt>
                <c:pt idx="17">
                  <c:v>4500</c:v>
                </c:pt>
                <c:pt idx="18">
                  <c:v>4500</c:v>
                </c:pt>
                <c:pt idx="19">
                  <c:v>1950</c:v>
                </c:pt>
                <c:pt idx="20">
                  <c:v>1700</c:v>
                </c:pt>
                <c:pt idx="21">
                  <c:v>1600</c:v>
                </c:pt>
                <c:pt idx="22">
                  <c:v>799</c:v>
                </c:pt>
                <c:pt idx="23">
                  <c:v>999</c:v>
                </c:pt>
                <c:pt idx="24">
                  <c:v>1250</c:v>
                </c:pt>
                <c:pt idx="2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7-EF4F-B8BA-6640F289D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16288"/>
        <c:axId val="1395735216"/>
      </c:lineChart>
      <c:catAx>
        <c:axId val="14096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Возраст Машины (в Годах)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35216"/>
        <c:crosses val="autoZero"/>
        <c:auto val="1"/>
        <c:lblAlgn val="ctr"/>
        <c:lblOffset val="100"/>
        <c:noMultiLvlLbl val="0"/>
      </c:catAx>
      <c:valAx>
        <c:axId val="139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Цена (</a:t>
                </a:r>
                <a:r>
                  <a:rPr lang="en-US" sz="1300" baseline="0"/>
                  <a:t>EUR)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1628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Car!$C$51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Car!$B$60:$B$62</c:f>
              <c:strCache>
                <c:ptCount val="3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</c:strCache>
            </c:strRef>
          </c:cat>
          <c:val>
            <c:numRef>
              <c:f>Car!$C$60:$C$62</c:f>
              <c:numCache>
                <c:formatCode>_(* #,##0_);_(* \(#,##0\);_(* "-"_);_(@_)</c:formatCode>
                <c:ptCount val="3"/>
                <c:pt idx="0">
                  <c:v>-18767.065999999999</c:v>
                </c:pt>
                <c:pt idx="1">
                  <c:v>-1856433.8510756346</c:v>
                </c:pt>
                <c:pt idx="2">
                  <c:v>-1855535.3950756346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0-D24C-8255-88DED0EA0918}"/>
            </c:ext>
          </c:extLst>
        </c:ser>
        <c:ser>
          <c:idx val="1"/>
          <c:order val="1"/>
          <c:tx>
            <c:strRef>
              <c:f>Car!$D$51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Car!$B$60:$B$62</c:f>
              <c:strCache>
                <c:ptCount val="3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</c:strCache>
            </c:strRef>
          </c:cat>
          <c:val>
            <c:numRef>
              <c:f>Car!$D$60:$D$62</c:f>
              <c:numCache>
                <c:formatCode>_(* #,##0_);_(* \(#,##0\);_(* "-"_);_(@_)</c:formatCode>
                <c:ptCount val="3"/>
                <c:pt idx="0">
                  <c:v>261081107.00438163</c:v>
                </c:pt>
                <c:pt idx="1">
                  <c:v>261082205.51516381</c:v>
                </c:pt>
                <c:pt idx="2">
                  <c:v>261083165.8747822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0-D24C-8255-88DED0EA0918}"/>
            </c:ext>
          </c:extLst>
        </c:ser>
        <c:ser>
          <c:idx val="2"/>
          <c:order val="2"/>
          <c:tx>
            <c:strRef>
              <c:f>Car!$E$51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Car!$B$60:$B$62</c:f>
              <c:strCache>
                <c:ptCount val="3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</c:strCache>
            </c:strRef>
          </c:cat>
          <c:val>
            <c:numRef>
              <c:f>Car!$E$60:$E$62</c:f>
              <c:numCache>
                <c:formatCode>_(* #,##0_);_(* \(#,##0\);_(* "-"_);_(@_)</c:formatCode>
                <c:ptCount val="3"/>
                <c:pt idx="0">
                  <c:v>-36813255903.749489</c:v>
                </c:pt>
                <c:pt idx="1">
                  <c:v>-36813254672.54129</c:v>
                </c:pt>
                <c:pt idx="2">
                  <c:v>-36813253646.012894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0-D24C-8255-88DED0EA0918}"/>
            </c:ext>
          </c:extLst>
        </c:ser>
        <c:ser>
          <c:idx val="3"/>
          <c:order val="3"/>
          <c:tx>
            <c:strRef>
              <c:f>Car!$F$51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Car!$B$60:$B$62</c:f>
              <c:strCache>
                <c:ptCount val="3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</c:strCache>
            </c:strRef>
          </c:cat>
          <c:val>
            <c:numRef>
              <c:f>Car!$F$60:$F$62</c:f>
              <c:numCache>
                <c:formatCode>_(* #,##0_);_(* \(#,##0\);_(* "-"_);_(@_)</c:formatCode>
                <c:ptCount val="3"/>
                <c:pt idx="0">
                  <c:v>5190668255400.3984</c:v>
                </c:pt>
                <c:pt idx="1">
                  <c:v>5190668256772.0635</c:v>
                </c:pt>
                <c:pt idx="2">
                  <c:v>5190668257869.3193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90-D24C-8255-88DED0EA0918}"/>
            </c:ext>
          </c:extLst>
        </c:ser>
        <c:ser>
          <c:idx val="4"/>
          <c:order val="4"/>
          <c:tx>
            <c:strRef>
              <c:f>Car!$G$51</c:f>
              <c:strCache>
                <c:ptCount val="1"/>
                <c:pt idx="0">
                  <c:v>2028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Car!$B$60:$B$62</c:f>
              <c:strCache>
                <c:ptCount val="3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</c:strCache>
            </c:strRef>
          </c:cat>
          <c:val>
            <c:numRef>
              <c:f>Car!$G$60:$G$62</c:f>
              <c:numCache>
                <c:formatCode>_(* #,##0_);_(* \(#,##0\);_(* "-"_);_(@_)</c:formatCode>
                <c:ptCount val="3"/>
                <c:pt idx="0">
                  <c:v>-1458614335427461</c:v>
                </c:pt>
                <c:pt idx="1">
                  <c:v>-1458614335425940.5</c:v>
                </c:pt>
                <c:pt idx="2">
                  <c:v>-1458614335424767.8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90-D24C-8255-88DED0EA0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618128"/>
        <c:axId val="1399401856"/>
      </c:barChart>
      <c:catAx>
        <c:axId val="139961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01856"/>
        <c:crosses val="autoZero"/>
        <c:auto val="1"/>
        <c:lblAlgn val="ctr"/>
        <c:lblOffset val="100"/>
        <c:noMultiLvlLbl val="0"/>
      </c:catAx>
      <c:valAx>
        <c:axId val="1399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18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forward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Car!$B$72:$B$87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Car!$C$72:$C$87</c:f>
              <c:numCache>
                <c:formatCode>General</c:formatCode>
                <c:ptCount val="16"/>
                <c:pt idx="0">
                  <c:v>30000</c:v>
                </c:pt>
                <c:pt idx="1">
                  <c:v>21536</c:v>
                </c:pt>
                <c:pt idx="2">
                  <c:v>17721</c:v>
                </c:pt>
                <c:pt idx="3">
                  <c:v>14786</c:v>
                </c:pt>
                <c:pt idx="4">
                  <c:v>12814</c:v>
                </c:pt>
                <c:pt idx="5">
                  <c:v>11057</c:v>
                </c:pt>
                <c:pt idx="6">
                  <c:v>9664</c:v>
                </c:pt>
                <c:pt idx="7">
                  <c:v>8486</c:v>
                </c:pt>
                <c:pt idx="8">
                  <c:v>7714</c:v>
                </c:pt>
                <c:pt idx="9">
                  <c:v>6857</c:v>
                </c:pt>
                <c:pt idx="1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1-0348-9C53-9400CA44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589888"/>
        <c:axId val="1332526256"/>
      </c:lineChart>
      <c:catAx>
        <c:axId val="13915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526256"/>
        <c:crosses val="autoZero"/>
        <c:auto val="1"/>
        <c:lblAlgn val="ctr"/>
        <c:lblOffset val="100"/>
        <c:noMultiLvlLbl val="0"/>
      </c:catAx>
      <c:valAx>
        <c:axId val="13325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5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Car!$G$90</c:f>
              <c:strCache>
                <c:ptCount val="1"/>
                <c:pt idx="0">
                  <c:v>Audi a4 2.0 TDI Avant</c:v>
                </c:pt>
              </c:strCache>
            </c:strRef>
          </c:tx>
          <c:marker>
            <c:symbol val="none"/>
          </c:marker>
          <c:cat>
            <c:numRef>
              <c:f>Car!$C$91:$C$116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Car!$G$91:$G$116</c:f>
              <c:numCache>
                <c:formatCode>General</c:formatCode>
                <c:ptCount val="26"/>
                <c:pt idx="0">
                  <c:v>59750</c:v>
                </c:pt>
                <c:pt idx="1">
                  <c:v>47000</c:v>
                </c:pt>
                <c:pt idx="2">
                  <c:v>43900</c:v>
                </c:pt>
                <c:pt idx="3">
                  <c:v>25880</c:v>
                </c:pt>
                <c:pt idx="4">
                  <c:v>23000</c:v>
                </c:pt>
                <c:pt idx="5">
                  <c:v>19980</c:v>
                </c:pt>
                <c:pt idx="6">
                  <c:v>17750</c:v>
                </c:pt>
                <c:pt idx="7">
                  <c:v>15900</c:v>
                </c:pt>
                <c:pt idx="8">
                  <c:v>14500</c:v>
                </c:pt>
                <c:pt idx="9">
                  <c:v>12400</c:v>
                </c:pt>
                <c:pt idx="10">
                  <c:v>12250</c:v>
                </c:pt>
                <c:pt idx="11">
                  <c:v>10499</c:v>
                </c:pt>
                <c:pt idx="12">
                  <c:v>9990</c:v>
                </c:pt>
                <c:pt idx="13">
                  <c:v>9200</c:v>
                </c:pt>
                <c:pt idx="14">
                  <c:v>8250</c:v>
                </c:pt>
                <c:pt idx="15">
                  <c:v>6900</c:v>
                </c:pt>
                <c:pt idx="16">
                  <c:v>5999</c:v>
                </c:pt>
                <c:pt idx="17">
                  <c:v>4500</c:v>
                </c:pt>
                <c:pt idx="18">
                  <c:v>4500</c:v>
                </c:pt>
                <c:pt idx="19">
                  <c:v>1950</c:v>
                </c:pt>
                <c:pt idx="20">
                  <c:v>1700</c:v>
                </c:pt>
                <c:pt idx="21">
                  <c:v>1600</c:v>
                </c:pt>
                <c:pt idx="22">
                  <c:v>799</c:v>
                </c:pt>
                <c:pt idx="23">
                  <c:v>999</c:v>
                </c:pt>
                <c:pt idx="24">
                  <c:v>1250</c:v>
                </c:pt>
                <c:pt idx="2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0-E042-957E-DCD72CE6E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16288"/>
        <c:axId val="1395735216"/>
      </c:lineChart>
      <c:catAx>
        <c:axId val="14096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Возраст Машины (в Годах)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35216"/>
        <c:crosses val="autoZero"/>
        <c:auto val="1"/>
        <c:lblAlgn val="ctr"/>
        <c:lblOffset val="100"/>
        <c:noMultiLvlLbl val="0"/>
      </c:catAx>
      <c:valAx>
        <c:axId val="139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Цена (</a:t>
                </a:r>
                <a:r>
                  <a:rPr lang="en-US" sz="1300" baseline="0"/>
                  <a:t>EUR)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1628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509466</xdr:colOff>
      <xdr:row>33</xdr:row>
      <xdr:rowOff>120161</xdr:rowOff>
    </xdr:from>
    <xdr:to>
      <xdr:col>27</xdr:col>
      <xdr:colOff>124070</xdr:colOff>
      <xdr:row>59</xdr:row>
      <xdr:rowOff>69362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79CB5-9D2B-D94E-B319-18ACE4E85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908536</xdr:colOff>
      <xdr:row>60</xdr:row>
      <xdr:rowOff>127000</xdr:rowOff>
    </xdr:from>
    <xdr:to>
      <xdr:col>27</xdr:col>
      <xdr:colOff>764929</xdr:colOff>
      <xdr:row>85</xdr:row>
      <xdr:rowOff>29308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B007BD-F09A-B444-9750-C1DCFB23A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831850</xdr:colOff>
      <xdr:row>36</xdr:row>
      <xdr:rowOff>139700</xdr:rowOff>
    </xdr:from>
    <xdr:to>
      <xdr:col>31</xdr:col>
      <xdr:colOff>114300</xdr:colOff>
      <xdr:row>62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C1977-CADD-984C-AF9F-B4934A0E9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171450</xdr:colOff>
      <xdr:row>63</xdr:row>
      <xdr:rowOff>101600</xdr:rowOff>
    </xdr:from>
    <xdr:to>
      <xdr:col>21</xdr:col>
      <xdr:colOff>901700</xdr:colOff>
      <xdr:row>84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DCF27D-8467-804E-8ADF-40C1F08CD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850900</xdr:colOff>
      <xdr:row>66</xdr:row>
      <xdr:rowOff>101600</xdr:rowOff>
    </xdr:from>
    <xdr:to>
      <xdr:col>32</xdr:col>
      <xdr:colOff>647700</xdr:colOff>
      <xdr:row>102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3D979-E50D-F154-846C-810C47EBF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statis.de/SiteGlobals/Forms/Suche/Presse/EN/Pressesuche_Formular.html?sortOrder=score+desc&amp;cl2Taxonomies_Themen_0=preise&amp;cl2Taxonomies_Themen_1=verbraucherpreis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BA4C-BA58-104B-88A9-F72D76750C6E}">
  <dimension ref="A2:AA98"/>
  <sheetViews>
    <sheetView tabSelected="1" topLeftCell="B11" zoomScale="130" zoomScaleNormal="130" workbookViewId="0">
      <selection activeCell="J25" sqref="J25"/>
    </sheetView>
  </sheetViews>
  <sheetFormatPr baseColWidth="10" defaultRowHeight="16" x14ac:dyDescent="0.2"/>
  <cols>
    <col min="1" max="1" width="6" customWidth="1"/>
    <col min="2" max="2" width="26.33203125" customWidth="1"/>
    <col min="3" max="4" width="10.1640625" customWidth="1"/>
    <col min="5" max="5" width="9.5" customWidth="1"/>
    <col min="6" max="6" width="10" customWidth="1"/>
    <col min="7" max="7" width="9.6640625" customWidth="1"/>
    <col min="8" max="8" width="10.5" customWidth="1"/>
    <col min="9" max="9" width="9.6640625" customWidth="1"/>
    <col min="10" max="10" width="9.83203125" customWidth="1"/>
    <col min="11" max="11" width="9.5" customWidth="1"/>
    <col min="12" max="14" width="8.83203125" customWidth="1"/>
    <col min="15" max="15" width="9.33203125" customWidth="1"/>
    <col min="16" max="16" width="10.33203125" customWidth="1"/>
    <col min="17" max="17" width="10.6640625" customWidth="1"/>
    <col min="18" max="18" width="8.83203125" customWidth="1"/>
    <col min="19" max="19" width="12.1640625" customWidth="1"/>
    <col min="20" max="20" width="11.5" customWidth="1"/>
    <col min="21" max="22" width="12" bestFit="1" customWidth="1"/>
    <col min="23" max="23" width="24.83203125" customWidth="1"/>
    <col min="35" max="35" width="14.5" customWidth="1"/>
  </cols>
  <sheetData>
    <row r="2" spans="1:27" ht="17" x14ac:dyDescent="0.2">
      <c r="B2" s="13" t="s">
        <v>106</v>
      </c>
      <c r="C2" s="11">
        <v>1.73</v>
      </c>
    </row>
    <row r="3" spans="1:27" x14ac:dyDescent="0.2">
      <c r="B3" t="s">
        <v>105</v>
      </c>
      <c r="C3" s="11">
        <v>1.7</v>
      </c>
    </row>
    <row r="4" spans="1:27" x14ac:dyDescent="0.2">
      <c r="B4" t="s">
        <v>104</v>
      </c>
      <c r="C4" s="11">
        <v>336</v>
      </c>
      <c r="D4" t="s">
        <v>103</v>
      </c>
      <c r="E4" t="s">
        <v>20</v>
      </c>
    </row>
    <row r="5" spans="1:27" x14ac:dyDescent="0.2">
      <c r="B5" t="s">
        <v>101</v>
      </c>
      <c r="C5" s="11">
        <v>120</v>
      </c>
    </row>
    <row r="6" spans="1:27" x14ac:dyDescent="0.2">
      <c r="B6" t="s">
        <v>100</v>
      </c>
      <c r="C6" s="11">
        <v>5</v>
      </c>
    </row>
    <row r="7" spans="1:27" x14ac:dyDescent="0.2">
      <c r="B7" t="s">
        <v>99</v>
      </c>
      <c r="C7" s="11">
        <v>11.6</v>
      </c>
      <c r="D7" t="s">
        <v>98</v>
      </c>
      <c r="E7" t="s">
        <v>20</v>
      </c>
    </row>
    <row r="8" spans="1:27" x14ac:dyDescent="0.2">
      <c r="B8" t="s">
        <v>97</v>
      </c>
      <c r="C8" s="11">
        <v>24209</v>
      </c>
      <c r="D8" t="s">
        <v>95</v>
      </c>
      <c r="E8" t="s">
        <v>20</v>
      </c>
    </row>
    <row r="9" spans="1:27" x14ac:dyDescent="0.2">
      <c r="B9" t="s">
        <v>96</v>
      </c>
      <c r="C9" s="11">
        <v>41147</v>
      </c>
      <c r="D9" t="s">
        <v>95</v>
      </c>
      <c r="E9" t="s">
        <v>20</v>
      </c>
    </row>
    <row r="11" spans="1:27" x14ac:dyDescent="0.2">
      <c r="A11">
        <v>1</v>
      </c>
      <c r="B11" t="s">
        <v>94</v>
      </c>
      <c r="C11">
        <v>1</v>
      </c>
      <c r="D11">
        <f>C11+1</f>
        <v>2</v>
      </c>
      <c r="E11">
        <f t="shared" ref="E11:P11" si="0">D11+1</f>
        <v>3</v>
      </c>
      <c r="F11">
        <f t="shared" si="0"/>
        <v>4</v>
      </c>
      <c r="G11">
        <f t="shared" si="0"/>
        <v>5</v>
      </c>
      <c r="H11">
        <f t="shared" si="0"/>
        <v>6</v>
      </c>
      <c r="I11">
        <f t="shared" si="0"/>
        <v>7</v>
      </c>
      <c r="J11">
        <f t="shared" si="0"/>
        <v>8</v>
      </c>
      <c r="K11">
        <f t="shared" si="0"/>
        <v>9</v>
      </c>
      <c r="L11">
        <f t="shared" si="0"/>
        <v>10</v>
      </c>
      <c r="M11">
        <f t="shared" si="0"/>
        <v>11</v>
      </c>
      <c r="N11">
        <f t="shared" si="0"/>
        <v>12</v>
      </c>
      <c r="O11">
        <f t="shared" si="0"/>
        <v>13</v>
      </c>
      <c r="P11">
        <f t="shared" si="0"/>
        <v>14</v>
      </c>
    </row>
    <row r="12" spans="1:27" ht="34" x14ac:dyDescent="0.2">
      <c r="A12">
        <f t="shared" ref="A12:A31" si="1">A11+1</f>
        <v>2</v>
      </c>
      <c r="B12" s="13" t="s">
        <v>111</v>
      </c>
      <c r="C12" s="16" t="s">
        <v>126</v>
      </c>
      <c r="D12" s="16" t="s">
        <v>126</v>
      </c>
      <c r="E12" s="16" t="s">
        <v>92</v>
      </c>
      <c r="F12" s="16" t="s">
        <v>92</v>
      </c>
      <c r="G12" s="16" t="s">
        <v>92</v>
      </c>
      <c r="H12" s="16" t="s">
        <v>91</v>
      </c>
      <c r="I12" s="16" t="s">
        <v>90</v>
      </c>
      <c r="J12" s="16" t="s">
        <v>90</v>
      </c>
      <c r="K12" s="16" t="s">
        <v>90</v>
      </c>
      <c r="L12" s="16" t="s">
        <v>89</v>
      </c>
      <c r="M12" s="16" t="s">
        <v>88</v>
      </c>
      <c r="N12" s="16" t="s">
        <v>87</v>
      </c>
      <c r="O12" s="16" t="s">
        <v>86</v>
      </c>
      <c r="P12" s="16" t="s">
        <v>85</v>
      </c>
      <c r="Q12" s="13" t="s">
        <v>146</v>
      </c>
      <c r="R12" s="13" t="s">
        <v>145</v>
      </c>
      <c r="S12" s="13" t="s">
        <v>82</v>
      </c>
      <c r="T12" s="13" t="s">
        <v>81</v>
      </c>
      <c r="V12">
        <v>1</v>
      </c>
      <c r="W12" t="str">
        <f>B12</f>
        <v>Марка</v>
      </c>
      <c r="X12" t="str">
        <f t="shared" ref="X12:X13" si="2">C12</f>
        <v>Audi A4 Avant</v>
      </c>
      <c r="Y12" t="str">
        <f t="shared" ref="Y12:Y31" si="3">D12</f>
        <v>Audi A4 Avant</v>
      </c>
      <c r="Z12" t="s">
        <v>145</v>
      </c>
      <c r="AA12" t="s">
        <v>125</v>
      </c>
    </row>
    <row r="13" spans="1:27" ht="33" customHeight="1" x14ac:dyDescent="0.2">
      <c r="A13">
        <f t="shared" si="1"/>
        <v>3</v>
      </c>
      <c r="B13" s="13" t="s">
        <v>112</v>
      </c>
      <c r="C13" s="16" t="s">
        <v>127</v>
      </c>
      <c r="D13" s="16" t="s">
        <v>128</v>
      </c>
      <c r="E13" s="16" t="s">
        <v>79</v>
      </c>
      <c r="F13" s="16" t="s">
        <v>78</v>
      </c>
      <c r="G13" s="16" t="s">
        <v>77</v>
      </c>
      <c r="H13" s="16" t="s">
        <v>76</v>
      </c>
      <c r="I13" s="16" t="s">
        <v>75</v>
      </c>
      <c r="J13" s="16" t="s">
        <v>74</v>
      </c>
      <c r="K13" s="16" t="s">
        <v>73</v>
      </c>
      <c r="L13" s="16" t="s">
        <v>148</v>
      </c>
      <c r="M13" s="16" t="s">
        <v>71</v>
      </c>
      <c r="N13" s="16" t="s">
        <v>70</v>
      </c>
      <c r="O13" s="16" t="s">
        <v>69</v>
      </c>
      <c r="P13" s="16" t="s">
        <v>67</v>
      </c>
      <c r="Q13" s="13"/>
      <c r="V13">
        <f>V12+1</f>
        <v>2</v>
      </c>
      <c r="W13" t="str">
        <f t="shared" ref="W13:W31" si="4">B13</f>
        <v>Модель</v>
      </c>
      <c r="X13" t="str">
        <f t="shared" si="2"/>
        <v>2.0 TDI</v>
      </c>
      <c r="Y13" t="str">
        <f t="shared" si="3"/>
        <v>1.4 TSFI</v>
      </c>
      <c r="AA13" t="s">
        <v>141</v>
      </c>
    </row>
    <row r="14" spans="1:27" x14ac:dyDescent="0.2">
      <c r="A14">
        <f t="shared" si="1"/>
        <v>4</v>
      </c>
      <c r="B14" t="s">
        <v>113</v>
      </c>
      <c r="C14" s="11">
        <v>2017</v>
      </c>
      <c r="D14" s="11">
        <v>2017</v>
      </c>
      <c r="E14" s="11">
        <v>2014</v>
      </c>
      <c r="F14" s="11">
        <v>2014</v>
      </c>
      <c r="G14" s="11">
        <v>2017</v>
      </c>
      <c r="H14" s="11">
        <v>2017</v>
      </c>
      <c r="I14" s="11">
        <v>2014</v>
      </c>
      <c r="J14" s="11">
        <v>2017</v>
      </c>
      <c r="K14" s="11">
        <v>2019</v>
      </c>
      <c r="L14" s="11">
        <v>2014</v>
      </c>
      <c r="M14" s="11">
        <v>2015</v>
      </c>
      <c r="N14" s="11">
        <v>2015</v>
      </c>
      <c r="O14" s="11">
        <v>2023</v>
      </c>
      <c r="P14" s="11">
        <v>2014</v>
      </c>
      <c r="Q14" s="2">
        <f>CORREL($E$30:$P$30,E14:P14)</f>
        <v>-0.33569279171301308</v>
      </c>
      <c r="S14" s="2">
        <f>CORREL(E14:P14,$E$26:$P$26)</f>
        <v>0.17819766820555363</v>
      </c>
      <c r="T14" s="2">
        <f>CORREL(E14:P14,$E$25:$P$25)</f>
        <v>5.3582913688831682E-2</v>
      </c>
      <c r="V14">
        <f t="shared" ref="V14:V31" si="5">V13+1</f>
        <v>3</v>
      </c>
      <c r="W14" t="str">
        <f t="shared" si="4"/>
        <v>Год</v>
      </c>
      <c r="X14">
        <f t="shared" ref="X14:X31" si="6">C14</f>
        <v>2017</v>
      </c>
      <c r="Y14">
        <f t="shared" si="3"/>
        <v>2017</v>
      </c>
    </row>
    <row r="15" spans="1:27" x14ac:dyDescent="0.2">
      <c r="A15">
        <f t="shared" si="1"/>
        <v>5</v>
      </c>
      <c r="B15" t="s">
        <v>114</v>
      </c>
      <c r="C15" s="17">
        <v>82706</v>
      </c>
      <c r="D15" s="17">
        <v>82000</v>
      </c>
      <c r="E15" s="17">
        <v>119963</v>
      </c>
      <c r="F15" s="17">
        <v>74492</v>
      </c>
      <c r="G15" s="17">
        <v>102810</v>
      </c>
      <c r="H15" s="17">
        <v>24409</v>
      </c>
      <c r="I15" s="17">
        <v>113153</v>
      </c>
      <c r="J15" s="17">
        <v>87850</v>
      </c>
      <c r="K15" s="17">
        <v>77656</v>
      </c>
      <c r="L15" s="17">
        <v>76090</v>
      </c>
      <c r="M15" s="17">
        <v>99621</v>
      </c>
      <c r="N15" s="17">
        <v>119851</v>
      </c>
      <c r="O15" s="17">
        <v>56437</v>
      </c>
      <c r="P15" s="17">
        <v>56489</v>
      </c>
      <c r="Q15" s="2">
        <f>CORREL($E$30:$P$30,E15:P15)</f>
        <v>0.18192746284568653</v>
      </c>
      <c r="V15">
        <f t="shared" si="5"/>
        <v>4</v>
      </c>
      <c r="W15" t="str">
        <f t="shared" si="4"/>
        <v>Пробег (км)</v>
      </c>
      <c r="X15">
        <f t="shared" si="6"/>
        <v>82706</v>
      </c>
      <c r="Y15">
        <f t="shared" si="3"/>
        <v>82000</v>
      </c>
    </row>
    <row r="16" spans="1:27" x14ac:dyDescent="0.2">
      <c r="A16">
        <f t="shared" si="1"/>
        <v>6</v>
      </c>
      <c r="B16" t="s">
        <v>115</v>
      </c>
      <c r="C16" s="11">
        <v>1</v>
      </c>
      <c r="D16" s="11">
        <v>2</v>
      </c>
      <c r="E16" s="11">
        <v>1</v>
      </c>
      <c r="F16" s="11">
        <v>2</v>
      </c>
      <c r="G16" s="11">
        <v>1</v>
      </c>
      <c r="H16" s="11">
        <v>2</v>
      </c>
      <c r="I16" s="11">
        <v>2</v>
      </c>
      <c r="J16" s="11">
        <v>2</v>
      </c>
      <c r="K16" s="11">
        <v>2</v>
      </c>
      <c r="L16" s="11">
        <v>2</v>
      </c>
      <c r="M16" s="11">
        <v>1</v>
      </c>
      <c r="N16" s="11">
        <v>2</v>
      </c>
      <c r="O16" s="11">
        <v>1</v>
      </c>
      <c r="P16" s="11">
        <v>2</v>
      </c>
      <c r="Q16" s="2"/>
      <c r="S16" s="2">
        <f>CORREL(E16:P16,$E$26:$P$26)</f>
        <v>-0.84414327875257167</v>
      </c>
      <c r="T16" s="2">
        <f>CORREL(E16:P16,$E$25:$P$25)</f>
        <v>-0.53010984842037023</v>
      </c>
      <c r="V16">
        <f t="shared" si="5"/>
        <v>5</v>
      </c>
      <c r="W16" t="str">
        <f t="shared" si="4"/>
        <v>Тип (1- Дизель, 2- Бензин)</v>
      </c>
      <c r="X16">
        <f t="shared" si="6"/>
        <v>1</v>
      </c>
      <c r="Y16">
        <f t="shared" si="3"/>
        <v>2</v>
      </c>
    </row>
    <row r="17" spans="1:27" x14ac:dyDescent="0.2">
      <c r="A17">
        <f t="shared" si="1"/>
        <v>7</v>
      </c>
      <c r="B17" t="s">
        <v>129</v>
      </c>
      <c r="C17" s="11" t="s">
        <v>130</v>
      </c>
      <c r="D17" s="11" t="s">
        <v>130</v>
      </c>
      <c r="E17" s="11" t="s">
        <v>131</v>
      </c>
      <c r="F17" s="11" t="s">
        <v>131</v>
      </c>
      <c r="G17" s="11" t="s">
        <v>130</v>
      </c>
      <c r="H17" s="11" t="s">
        <v>130</v>
      </c>
      <c r="I17" s="11" t="s">
        <v>130</v>
      </c>
      <c r="J17" s="11" t="s">
        <v>130</v>
      </c>
      <c r="K17" s="11" t="s">
        <v>130</v>
      </c>
      <c r="L17" s="11" t="s">
        <v>130</v>
      </c>
      <c r="M17" s="11" t="s">
        <v>130</v>
      </c>
      <c r="N17" s="11" t="s">
        <v>130</v>
      </c>
      <c r="O17" s="11" t="s">
        <v>130</v>
      </c>
      <c r="P17" s="11" t="s">
        <v>130</v>
      </c>
      <c r="Q17" s="2"/>
      <c r="V17">
        <f t="shared" si="5"/>
        <v>6</v>
      </c>
      <c r="W17" t="str">
        <f t="shared" si="4"/>
        <v>Передачa</v>
      </c>
      <c r="X17" t="str">
        <f t="shared" si="6"/>
        <v>Ручник</v>
      </c>
      <c r="Y17" t="str">
        <f t="shared" si="3"/>
        <v>Ручник</v>
      </c>
    </row>
    <row r="18" spans="1:27" x14ac:dyDescent="0.2">
      <c r="A18">
        <f t="shared" si="1"/>
        <v>8</v>
      </c>
      <c r="B18" t="s">
        <v>116</v>
      </c>
      <c r="C18" s="11">
        <v>4.3</v>
      </c>
      <c r="D18" s="11">
        <v>5.8</v>
      </c>
      <c r="E18" s="11">
        <v>8.4</v>
      </c>
      <c r="F18" s="11">
        <v>4.5</v>
      </c>
      <c r="G18" s="11">
        <v>5.0999999999999996</v>
      </c>
      <c r="H18" s="11">
        <v>6.1</v>
      </c>
      <c r="I18" s="11">
        <v>5.0999999999999996</v>
      </c>
      <c r="J18" s="11">
        <v>6.4</v>
      </c>
      <c r="K18" s="11">
        <v>7.1</v>
      </c>
      <c r="L18" s="11">
        <v>6.4</v>
      </c>
      <c r="M18" s="11">
        <v>5.5</v>
      </c>
      <c r="N18" s="11">
        <v>5.4</v>
      </c>
      <c r="O18" s="11">
        <v>4.3</v>
      </c>
      <c r="P18" s="11">
        <v>6.5</v>
      </c>
      <c r="Q18" s="2">
        <f t="shared" ref="Q18:Q23" si="7">CORREL($E$30:$P$30,E18:P18)</f>
        <v>0.39906755832021579</v>
      </c>
      <c r="S18" s="2">
        <f>CORREL(E18:P18,$E$26:$P$26)</f>
        <v>-6.436993071831959E-2</v>
      </c>
      <c r="T18" s="2">
        <f t="shared" ref="T18:T23" si="8">CORREL(E18:P18,$E$25:$P$25)</f>
        <v>-0.10556878966215701</v>
      </c>
      <c r="V18">
        <f t="shared" si="5"/>
        <v>7</v>
      </c>
      <c r="W18" t="str">
        <f t="shared" si="4"/>
        <v>Расход топлива литр/100км</v>
      </c>
      <c r="X18">
        <f t="shared" si="6"/>
        <v>4.3</v>
      </c>
      <c r="Y18">
        <f t="shared" si="3"/>
        <v>5.8</v>
      </c>
      <c r="AA18" t="s">
        <v>142</v>
      </c>
    </row>
    <row r="19" spans="1:27" x14ac:dyDescent="0.2">
      <c r="A19">
        <f t="shared" si="1"/>
        <v>9</v>
      </c>
      <c r="B19" t="s">
        <v>117</v>
      </c>
      <c r="C19" s="11">
        <v>110</v>
      </c>
      <c r="D19" s="11">
        <v>110</v>
      </c>
      <c r="E19" s="11">
        <v>85</v>
      </c>
      <c r="F19" s="11">
        <v>110</v>
      </c>
      <c r="G19" s="11">
        <v>140</v>
      </c>
      <c r="H19" s="11">
        <v>92</v>
      </c>
      <c r="I19" s="11">
        <v>51</v>
      </c>
      <c r="J19" s="11">
        <v>81</v>
      </c>
      <c r="K19" s="11">
        <v>88</v>
      </c>
      <c r="L19" s="11">
        <v>140</v>
      </c>
      <c r="M19" s="11">
        <v>110</v>
      </c>
      <c r="N19" s="11">
        <v>115</v>
      </c>
      <c r="O19" s="11">
        <v>85</v>
      </c>
      <c r="P19" s="11">
        <v>118</v>
      </c>
      <c r="Q19" s="2">
        <f t="shared" si="7"/>
        <v>0.76242554711786381</v>
      </c>
      <c r="S19" s="2">
        <f>CORREL(E19:P19,$E$26:$P$26)</f>
        <v>0.35696739334459282</v>
      </c>
      <c r="T19" s="2">
        <f t="shared" si="8"/>
        <v>0.51593494483312263</v>
      </c>
      <c r="V19">
        <f t="shared" si="5"/>
        <v>8</v>
      </c>
      <c r="W19" t="str">
        <f t="shared" si="4"/>
        <v>Мощность (kW)</v>
      </c>
      <c r="X19">
        <f t="shared" si="6"/>
        <v>110</v>
      </c>
      <c r="Y19">
        <f t="shared" si="3"/>
        <v>110</v>
      </c>
    </row>
    <row r="20" spans="1:27" x14ac:dyDescent="0.2">
      <c r="A20">
        <f t="shared" si="1"/>
        <v>10</v>
      </c>
      <c r="B20" t="s">
        <v>118</v>
      </c>
      <c r="C20" s="11">
        <v>1968</v>
      </c>
      <c r="D20" s="11">
        <v>1395</v>
      </c>
      <c r="E20" s="11">
        <v>1995</v>
      </c>
      <c r="F20" s="11">
        <v>1995</v>
      </c>
      <c r="G20" s="11">
        <v>1995</v>
      </c>
      <c r="H20" s="11">
        <v>1197</v>
      </c>
      <c r="I20" s="11">
        <v>1242</v>
      </c>
      <c r="J20" s="11">
        <v>1598</v>
      </c>
      <c r="K20" s="11">
        <v>1368</v>
      </c>
      <c r="L20" s="11">
        <v>1598</v>
      </c>
      <c r="M20" s="11">
        <v>2191</v>
      </c>
      <c r="N20" s="11">
        <v>1595</v>
      </c>
      <c r="O20" s="11">
        <v>1968</v>
      </c>
      <c r="P20" s="11">
        <v>1390</v>
      </c>
      <c r="Q20" s="2">
        <f t="shared" si="7"/>
        <v>0.40125906189247534</v>
      </c>
      <c r="S20" s="2">
        <f>CORREL(E20:P20,$E$26:$P$26)</f>
        <v>0.89456948446146245</v>
      </c>
      <c r="T20" s="2">
        <f t="shared" si="8"/>
        <v>0.66763773230756274</v>
      </c>
      <c r="V20">
        <f t="shared" si="5"/>
        <v>9</v>
      </c>
      <c r="W20" t="str">
        <f t="shared" si="4"/>
        <v>Oбьём мотора (kcm)</v>
      </c>
      <c r="X20">
        <f t="shared" si="6"/>
        <v>1968</v>
      </c>
      <c r="Y20">
        <f t="shared" si="3"/>
        <v>1395</v>
      </c>
    </row>
    <row r="21" spans="1:27" x14ac:dyDescent="0.2">
      <c r="A21">
        <f t="shared" si="1"/>
        <v>11</v>
      </c>
      <c r="B21" t="s">
        <v>56</v>
      </c>
      <c r="C21" s="11">
        <v>139</v>
      </c>
      <c r="D21" s="11">
        <v>139</v>
      </c>
      <c r="E21" s="11">
        <v>123</v>
      </c>
      <c r="F21" s="11">
        <v>185</v>
      </c>
      <c r="G21" s="11">
        <v>142</v>
      </c>
      <c r="H21" s="11">
        <v>138</v>
      </c>
      <c r="I21" s="11">
        <v>119</v>
      </c>
      <c r="J21" s="11">
        <v>147</v>
      </c>
      <c r="K21" s="11">
        <v>163</v>
      </c>
      <c r="L21" s="11">
        <v>153</v>
      </c>
      <c r="M21" s="11">
        <v>136</v>
      </c>
      <c r="N21" s="11">
        <v>125</v>
      </c>
      <c r="O21" s="11">
        <v>114</v>
      </c>
      <c r="P21" s="11">
        <v>152</v>
      </c>
      <c r="Q21" s="2">
        <f t="shared" si="7"/>
        <v>0.20194329858798027</v>
      </c>
      <c r="S21" s="2">
        <f>CORREL(E21:P21,$E$26:$P$26)</f>
        <v>8.286738739194531E-2</v>
      </c>
      <c r="T21" s="2">
        <f t="shared" si="8"/>
        <v>0.28650572445682476</v>
      </c>
      <c r="V21">
        <f t="shared" si="5"/>
        <v>10</v>
      </c>
      <c r="W21" t="str">
        <f t="shared" si="4"/>
        <v>Co2 g/km</v>
      </c>
      <c r="X21">
        <f t="shared" si="6"/>
        <v>139</v>
      </c>
      <c r="Y21">
        <f t="shared" si="3"/>
        <v>139</v>
      </c>
    </row>
    <row r="22" spans="1:27" x14ac:dyDescent="0.2">
      <c r="A22">
        <f t="shared" si="1"/>
        <v>12</v>
      </c>
      <c r="B22" t="s">
        <v>133</v>
      </c>
      <c r="C22" s="17">
        <v>20900</v>
      </c>
      <c r="D22" s="17">
        <v>19990</v>
      </c>
      <c r="E22" s="17">
        <v>14380</v>
      </c>
      <c r="F22" s="17">
        <v>14450</v>
      </c>
      <c r="G22" s="17">
        <v>20540</v>
      </c>
      <c r="H22" s="17">
        <v>13600</v>
      </c>
      <c r="I22" s="17">
        <v>7100</v>
      </c>
      <c r="J22" s="17">
        <v>10910</v>
      </c>
      <c r="K22" s="17">
        <v>13410</v>
      </c>
      <c r="L22" s="17">
        <v>14840</v>
      </c>
      <c r="M22" s="17">
        <v>14120</v>
      </c>
      <c r="N22" s="17">
        <v>14950</v>
      </c>
      <c r="O22" s="17">
        <v>21490</v>
      </c>
      <c r="P22" s="17">
        <v>13040</v>
      </c>
      <c r="Q22" s="2">
        <f t="shared" si="7"/>
        <v>0.3630962564033941</v>
      </c>
      <c r="T22" s="2">
        <f t="shared" si="8"/>
        <v>0.51999280963754757</v>
      </c>
      <c r="U22" t="s">
        <v>54</v>
      </c>
      <c r="V22">
        <f t="shared" si="5"/>
        <v>11</v>
      </c>
      <c r="W22" t="str">
        <f t="shared" si="4"/>
        <v>Цена покупки €</v>
      </c>
      <c r="X22" s="4">
        <f t="shared" si="6"/>
        <v>20900</v>
      </c>
      <c r="Y22" s="4">
        <f t="shared" si="3"/>
        <v>19990</v>
      </c>
      <c r="AA22" t="s">
        <v>136</v>
      </c>
    </row>
    <row r="23" spans="1:27" x14ac:dyDescent="0.2">
      <c r="A23">
        <f t="shared" si="1"/>
        <v>13</v>
      </c>
      <c r="B23" t="s">
        <v>119</v>
      </c>
      <c r="C23" s="11">
        <v>1</v>
      </c>
      <c r="D23" s="11">
        <v>1.1000000000000001</v>
      </c>
      <c r="E23" s="11">
        <v>1.7</v>
      </c>
      <c r="F23" s="11">
        <v>1.65</v>
      </c>
      <c r="G23" s="11">
        <v>1.4</v>
      </c>
      <c r="H23" s="11">
        <v>1</v>
      </c>
      <c r="I23" s="11">
        <v>1</v>
      </c>
      <c r="J23" s="11">
        <v>1.1000000000000001</v>
      </c>
      <c r="K23" s="11">
        <v>1.1000000000000001</v>
      </c>
      <c r="L23" s="11">
        <v>1.5</v>
      </c>
      <c r="M23" s="11">
        <v>1.55</v>
      </c>
      <c r="N23" s="11">
        <v>1.6</v>
      </c>
      <c r="O23" s="11">
        <v>1</v>
      </c>
      <c r="P23" s="11">
        <v>1.1000000000000001</v>
      </c>
      <c r="Q23" s="2">
        <f t="shared" si="7"/>
        <v>0.75725237555447511</v>
      </c>
      <c r="T23" s="2">
        <f t="shared" si="8"/>
        <v>0.3293031299160305</v>
      </c>
      <c r="V23">
        <f t="shared" si="5"/>
        <v>12</v>
      </c>
      <c r="W23" t="str">
        <f t="shared" si="4"/>
        <v>Множитель Починки</v>
      </c>
      <c r="X23">
        <f t="shared" si="6"/>
        <v>1</v>
      </c>
      <c r="Y23">
        <f t="shared" si="3"/>
        <v>1.1000000000000001</v>
      </c>
    </row>
    <row r="24" spans="1:27" x14ac:dyDescent="0.2">
      <c r="A24">
        <f t="shared" si="1"/>
        <v>14</v>
      </c>
      <c r="B24" t="s">
        <v>132</v>
      </c>
      <c r="C24" s="4">
        <f>C23*$C$4+$C$5/2</f>
        <v>396</v>
      </c>
      <c r="D24" s="4">
        <f t="shared" ref="D24:P24" si="9">D23*$C$4+$C$5/2</f>
        <v>429.6</v>
      </c>
      <c r="E24" s="4">
        <f t="shared" si="9"/>
        <v>631.19999999999993</v>
      </c>
      <c r="F24" s="4">
        <f t="shared" si="9"/>
        <v>614.4</v>
      </c>
      <c r="G24" s="4">
        <f t="shared" si="9"/>
        <v>530.4</v>
      </c>
      <c r="H24" s="4">
        <f t="shared" si="9"/>
        <v>396</v>
      </c>
      <c r="I24" s="4">
        <f t="shared" si="9"/>
        <v>396</v>
      </c>
      <c r="J24" s="4">
        <f t="shared" si="9"/>
        <v>429.6</v>
      </c>
      <c r="K24" s="4">
        <f t="shared" si="9"/>
        <v>429.6</v>
      </c>
      <c r="L24" s="4">
        <f t="shared" si="9"/>
        <v>564</v>
      </c>
      <c r="M24" s="4">
        <f t="shared" si="9"/>
        <v>580.80000000000007</v>
      </c>
      <c r="N24" s="4">
        <f t="shared" si="9"/>
        <v>597.6</v>
      </c>
      <c r="O24" s="4">
        <f t="shared" si="9"/>
        <v>396</v>
      </c>
      <c r="P24" s="4">
        <f t="shared" si="9"/>
        <v>429.6</v>
      </c>
      <c r="Q24" s="2">
        <f t="shared" ref="Q24" si="10">CORREL($E$30:$P$30,E24:P24)</f>
        <v>0.75725237555447511</v>
      </c>
      <c r="R24" s="2">
        <f>AVERAGE(C24:P24)/(AVERAGE($C$30:$P$30))</f>
        <v>0.12904009403308755</v>
      </c>
      <c r="T24" s="2"/>
      <c r="V24">
        <f t="shared" si="5"/>
        <v>13</v>
      </c>
      <c r="W24" t="str">
        <f t="shared" si="4"/>
        <v>Починка+Инспекция</v>
      </c>
      <c r="X24" s="4">
        <f t="shared" si="6"/>
        <v>396</v>
      </c>
      <c r="Y24" s="4">
        <f t="shared" si="3"/>
        <v>429.6</v>
      </c>
      <c r="Z24" s="2">
        <f t="shared" ref="Z24" si="11">(X24)/$X$30</f>
        <v>0.11485451761102602</v>
      </c>
      <c r="AA24" t="s">
        <v>137</v>
      </c>
    </row>
    <row r="25" spans="1:27" x14ac:dyDescent="0.2">
      <c r="A25">
        <f t="shared" si="1"/>
        <v>15</v>
      </c>
      <c r="B25" t="s">
        <v>120</v>
      </c>
      <c r="C25" s="4">
        <v>701.88</v>
      </c>
      <c r="D25" s="4">
        <v>713.5</v>
      </c>
      <c r="E25" s="4">
        <v>663.64</v>
      </c>
      <c r="F25" s="4">
        <v>724.59</v>
      </c>
      <c r="G25" s="4">
        <v>837.15</v>
      </c>
      <c r="H25" s="4">
        <v>653.91</v>
      </c>
      <c r="I25" s="4">
        <v>451</v>
      </c>
      <c r="J25" s="4">
        <v>708.72</v>
      </c>
      <c r="K25" s="4">
        <v>554.49</v>
      </c>
      <c r="L25" s="4">
        <v>585.9</v>
      </c>
      <c r="M25" s="4">
        <v>757.02</v>
      </c>
      <c r="N25" s="4">
        <v>552.94000000000005</v>
      </c>
      <c r="O25" s="4">
        <v>631.58000000000004</v>
      </c>
      <c r="P25" s="4">
        <v>654.19000000000005</v>
      </c>
      <c r="Q25" s="2">
        <f>CORREL($E$30:$P$30,E25:P25)</f>
        <v>0.3594482248976042</v>
      </c>
      <c r="R25" s="2">
        <f>AVERAGE(C25:P25)/(AVERAGE($C$30:$P$30))</f>
        <v>0.17387172686664779</v>
      </c>
      <c r="U25" t="s">
        <v>51</v>
      </c>
      <c r="V25">
        <f t="shared" si="5"/>
        <v>14</v>
      </c>
      <c r="W25" t="str">
        <f t="shared" si="4"/>
        <v>Страховка/год</v>
      </c>
      <c r="X25" s="4">
        <f t="shared" si="6"/>
        <v>701.88</v>
      </c>
      <c r="Y25" s="4">
        <f t="shared" si="3"/>
        <v>713.5</v>
      </c>
      <c r="Z25" s="2">
        <f>(X25)/$X$30</f>
        <v>0.20357093136572463</v>
      </c>
      <c r="AA25" t="s">
        <v>138</v>
      </c>
    </row>
    <row r="26" spans="1:27" x14ac:dyDescent="0.2">
      <c r="A26">
        <f t="shared" si="1"/>
        <v>16</v>
      </c>
      <c r="B26" t="s">
        <v>121</v>
      </c>
      <c r="C26" s="4">
        <f>220</f>
        <v>220</v>
      </c>
      <c r="D26" s="4">
        <f>116</f>
        <v>116</v>
      </c>
      <c r="E26" s="4">
        <f>246</f>
        <v>246</v>
      </c>
      <c r="F26" s="4">
        <f>220</f>
        <v>220</v>
      </c>
      <c r="G26" s="4">
        <f>284</f>
        <v>284</v>
      </c>
      <c r="H26" s="4">
        <f>110</f>
        <v>110</v>
      </c>
      <c r="I26" s="4">
        <f>74</f>
        <v>74</v>
      </c>
      <c r="J26" s="4">
        <f>136</f>
        <v>136</v>
      </c>
      <c r="K26" s="4">
        <f>164</f>
        <v>164</v>
      </c>
      <c r="L26" s="4">
        <f>148</f>
        <v>148</v>
      </c>
      <c r="M26" s="4">
        <f>291</f>
        <v>291</v>
      </c>
      <c r="N26" s="4">
        <f>92</f>
        <v>92</v>
      </c>
      <c r="O26" s="4">
        <f>228</f>
        <v>228</v>
      </c>
      <c r="P26" s="4">
        <f>142</f>
        <v>142</v>
      </c>
      <c r="Q26" s="2">
        <f>CORREL($E$30:$P$30,E26:P26)</f>
        <v>0.40291244918316182</v>
      </c>
      <c r="R26" s="2">
        <f>AVERAGE(C26:P26)/(AVERAGE($C$30:$P$30))</f>
        <v>4.6747899418801205E-2</v>
      </c>
      <c r="T26" s="2">
        <f>CORREL(E26:P26,$E$25:$P$25)</f>
        <v>0.76634735795140785</v>
      </c>
      <c r="U26" t="s">
        <v>44</v>
      </c>
      <c r="V26">
        <f t="shared" si="5"/>
        <v>15</v>
      </c>
      <c r="W26" t="str">
        <f t="shared" si="4"/>
        <v>KfZ steuer/год (налог)</v>
      </c>
      <c r="X26" s="4">
        <f t="shared" si="6"/>
        <v>220</v>
      </c>
      <c r="Y26" s="4">
        <f t="shared" si="3"/>
        <v>116</v>
      </c>
      <c r="Z26" s="2">
        <f>(X26)/$X$30</f>
        <v>6.3808065339458903E-2</v>
      </c>
      <c r="AA26" t="s">
        <v>139</v>
      </c>
    </row>
    <row r="27" spans="1:27" x14ac:dyDescent="0.2">
      <c r="A27">
        <f t="shared" si="1"/>
        <v>17</v>
      </c>
      <c r="B27" t="s">
        <v>122</v>
      </c>
      <c r="C27" s="4">
        <v>6410</v>
      </c>
      <c r="D27" s="4">
        <v>5090</v>
      </c>
      <c r="E27" s="4">
        <f>E22-7990</f>
        <v>6390</v>
      </c>
      <c r="F27" s="4">
        <f>F22-7950</f>
        <v>6500</v>
      </c>
      <c r="G27" s="4">
        <f>G22-12990</f>
        <v>7550</v>
      </c>
      <c r="H27" s="4">
        <f>H22-6950</f>
        <v>6650</v>
      </c>
      <c r="I27" s="4">
        <f>I22-4200</f>
        <v>2900</v>
      </c>
      <c r="J27" s="4">
        <f>J22-7500</f>
        <v>3410</v>
      </c>
      <c r="K27" s="4">
        <f>K22-6999</f>
        <v>6411</v>
      </c>
      <c r="L27" s="4">
        <f>L22-4250</f>
        <v>10590</v>
      </c>
      <c r="M27" s="4">
        <f>M22-5800</f>
        <v>8320</v>
      </c>
      <c r="N27" s="4">
        <f>N22-4800</f>
        <v>10150</v>
      </c>
      <c r="O27" s="4">
        <f>O22-16300</f>
        <v>5190</v>
      </c>
      <c r="P27" s="4">
        <f>P22-6490</f>
        <v>6550</v>
      </c>
      <c r="Q27" s="2">
        <f>CORREL($E$30:$P$30,E27:P27)</f>
        <v>0.87996322870690691</v>
      </c>
      <c r="R27" s="2">
        <f>AVERAGE(E27:P27)/(AVERAGE($E$30:$P$30)*5)</f>
        <v>0.35056422919336228</v>
      </c>
      <c r="T27" t="s">
        <v>20</v>
      </c>
      <c r="U27" t="s">
        <v>48</v>
      </c>
      <c r="V27">
        <f t="shared" si="5"/>
        <v>16</v>
      </c>
      <c r="W27" t="str">
        <f t="shared" si="4"/>
        <v>Трата в цене за 5 лет</v>
      </c>
      <c r="X27" s="4">
        <f t="shared" si="6"/>
        <v>6410</v>
      </c>
      <c r="Y27" s="4">
        <f t="shared" si="3"/>
        <v>5090</v>
      </c>
      <c r="Z27" s="2">
        <f>X27/5/$X$30</f>
        <v>0.37182699893266508</v>
      </c>
      <c r="AA27" t="s">
        <v>140</v>
      </c>
    </row>
    <row r="28" spans="1:27" x14ac:dyDescent="0.2">
      <c r="A28">
        <f t="shared" si="1"/>
        <v>18</v>
      </c>
      <c r="B28" t="s">
        <v>147</v>
      </c>
      <c r="C28" s="5">
        <f>SUM(C24:C26,C27/5)</f>
        <v>2599.88</v>
      </c>
      <c r="D28" s="5">
        <f t="shared" ref="D28:P28" si="12">SUM(D24:D26,D27/5)</f>
        <v>2277.1</v>
      </c>
      <c r="E28" s="5">
        <f t="shared" si="12"/>
        <v>2818.84</v>
      </c>
      <c r="F28" s="5">
        <f t="shared" si="12"/>
        <v>2858.99</v>
      </c>
      <c r="G28" s="5">
        <f t="shared" si="12"/>
        <v>3161.55</v>
      </c>
      <c r="H28" s="5">
        <f t="shared" si="12"/>
        <v>2489.91</v>
      </c>
      <c r="I28" s="5">
        <f t="shared" si="12"/>
        <v>1501</v>
      </c>
      <c r="J28" s="5">
        <f t="shared" si="12"/>
        <v>1956.3200000000002</v>
      </c>
      <c r="K28" s="5">
        <f t="shared" si="12"/>
        <v>2430.29</v>
      </c>
      <c r="L28" s="5">
        <f t="shared" si="12"/>
        <v>3415.9</v>
      </c>
      <c r="M28" s="5">
        <f t="shared" si="12"/>
        <v>3292.82</v>
      </c>
      <c r="N28" s="5">
        <f t="shared" si="12"/>
        <v>3272.54</v>
      </c>
      <c r="O28" s="5">
        <f t="shared" si="12"/>
        <v>2293.58</v>
      </c>
      <c r="P28" s="5">
        <f t="shared" si="12"/>
        <v>2535.79</v>
      </c>
      <c r="Q28" s="2"/>
      <c r="V28">
        <f t="shared" si="5"/>
        <v>17</v>
      </c>
      <c r="W28" t="str">
        <f>B28</f>
        <v>ГСМ без топлива</v>
      </c>
      <c r="X28" s="4">
        <f t="shared" si="6"/>
        <v>2599.88</v>
      </c>
      <c r="Y28" s="4">
        <f t="shared" si="3"/>
        <v>2277.1</v>
      </c>
      <c r="AA28" t="s">
        <v>134</v>
      </c>
    </row>
    <row r="29" spans="1:27" x14ac:dyDescent="0.2">
      <c r="A29">
        <f t="shared" si="1"/>
        <v>19</v>
      </c>
      <c r="B29" t="s">
        <v>123</v>
      </c>
      <c r="C29" s="6">
        <f>10*$C$7*C18*$C$3</f>
        <v>847.95999999999992</v>
      </c>
      <c r="D29" s="6">
        <f t="shared" ref="D29:P29" si="13">10*$C$7*D18*$C$3</f>
        <v>1143.76</v>
      </c>
      <c r="E29" s="6">
        <f t="shared" si="13"/>
        <v>1656.48</v>
      </c>
      <c r="F29" s="6">
        <f t="shared" si="13"/>
        <v>887.4</v>
      </c>
      <c r="G29" s="6">
        <f t="shared" si="13"/>
        <v>1005.7199999999998</v>
      </c>
      <c r="H29" s="6">
        <f t="shared" si="13"/>
        <v>1202.9199999999998</v>
      </c>
      <c r="I29" s="6">
        <f t="shared" si="13"/>
        <v>1005.7199999999998</v>
      </c>
      <c r="J29" s="6">
        <f t="shared" si="13"/>
        <v>1262.0800000000002</v>
      </c>
      <c r="K29" s="6">
        <f t="shared" si="13"/>
        <v>1400.12</v>
      </c>
      <c r="L29" s="6">
        <f t="shared" si="13"/>
        <v>1262.0800000000002</v>
      </c>
      <c r="M29" s="6">
        <f t="shared" si="13"/>
        <v>1084.5999999999999</v>
      </c>
      <c r="N29" s="6">
        <f t="shared" si="13"/>
        <v>1064.8800000000001</v>
      </c>
      <c r="O29" s="6">
        <f t="shared" si="13"/>
        <v>847.95999999999992</v>
      </c>
      <c r="P29" s="6">
        <f t="shared" si="13"/>
        <v>1281.8</v>
      </c>
      <c r="Q29" s="2">
        <f>CORREL($E$30:$P$30,E29:P29)</f>
        <v>0.39906755832021584</v>
      </c>
      <c r="R29" s="2">
        <f>AVERAGE(C29:P29)/(AVERAGE($C$30:$P$30))</f>
        <v>0.30181775735324023</v>
      </c>
      <c r="V29">
        <f t="shared" si="5"/>
        <v>18</v>
      </c>
      <c r="W29" t="str">
        <f t="shared" si="4"/>
        <v>Топливо/год</v>
      </c>
      <c r="X29" s="4">
        <f t="shared" si="6"/>
        <v>847.95999999999992</v>
      </c>
      <c r="Y29" s="4">
        <f t="shared" si="3"/>
        <v>1143.76</v>
      </c>
      <c r="Z29" s="2">
        <f>(X29)/$X$30</f>
        <v>0.24593948675112531</v>
      </c>
      <c r="AA29" t="s">
        <v>135</v>
      </c>
    </row>
    <row r="30" spans="1:27" x14ac:dyDescent="0.2">
      <c r="A30">
        <f t="shared" si="1"/>
        <v>20</v>
      </c>
      <c r="B30" t="s">
        <v>144</v>
      </c>
      <c r="C30" s="5">
        <f>C28+C29</f>
        <v>3447.84</v>
      </c>
      <c r="D30" s="5">
        <f t="shared" ref="D30:P30" si="14">D28+D29</f>
        <v>3420.8599999999997</v>
      </c>
      <c r="E30" s="5">
        <f t="shared" si="14"/>
        <v>4475.32</v>
      </c>
      <c r="F30" s="5">
        <f t="shared" si="14"/>
        <v>3746.39</v>
      </c>
      <c r="G30" s="5">
        <f t="shared" si="14"/>
        <v>4167.2700000000004</v>
      </c>
      <c r="H30" s="5">
        <f t="shared" si="14"/>
        <v>3692.83</v>
      </c>
      <c r="I30" s="5">
        <f t="shared" si="14"/>
        <v>2506.7199999999998</v>
      </c>
      <c r="J30" s="5">
        <f t="shared" si="14"/>
        <v>3218.4000000000005</v>
      </c>
      <c r="K30" s="5">
        <f t="shared" si="14"/>
        <v>3830.41</v>
      </c>
      <c r="L30" s="5">
        <f t="shared" si="14"/>
        <v>4677.9800000000005</v>
      </c>
      <c r="M30" s="5">
        <f t="shared" si="14"/>
        <v>4377.42</v>
      </c>
      <c r="N30" s="5">
        <f t="shared" si="14"/>
        <v>4337.42</v>
      </c>
      <c r="O30" s="5">
        <f t="shared" si="14"/>
        <v>3141.54</v>
      </c>
      <c r="P30" s="5">
        <f t="shared" si="14"/>
        <v>3817.59</v>
      </c>
      <c r="V30">
        <f t="shared" si="5"/>
        <v>19</v>
      </c>
      <c r="W30" t="s">
        <v>143</v>
      </c>
      <c r="X30" s="4">
        <f t="shared" si="6"/>
        <v>3447.84</v>
      </c>
      <c r="Y30" s="4">
        <f t="shared" si="3"/>
        <v>3420.8599999999997</v>
      </c>
      <c r="Z30" s="2">
        <f>(X30)/$X$30</f>
        <v>1</v>
      </c>
    </row>
    <row r="31" spans="1:27" x14ac:dyDescent="0.2">
      <c r="A31">
        <f t="shared" si="1"/>
        <v>21</v>
      </c>
      <c r="B31" t="s">
        <v>124</v>
      </c>
      <c r="C31" s="5">
        <f>C30/12</f>
        <v>287.32</v>
      </c>
      <c r="D31" s="5">
        <f>D30/12</f>
        <v>285.07166666666666</v>
      </c>
      <c r="E31" s="5">
        <f t="shared" ref="E31:P31" si="15">E30/12</f>
        <v>372.94333333333333</v>
      </c>
      <c r="F31" s="5">
        <f t="shared" si="15"/>
        <v>312.19916666666666</v>
      </c>
      <c r="G31" s="5">
        <f t="shared" si="15"/>
        <v>347.27250000000004</v>
      </c>
      <c r="H31" s="5">
        <f t="shared" si="15"/>
        <v>307.73583333333335</v>
      </c>
      <c r="I31" s="5">
        <f t="shared" si="15"/>
        <v>208.89333333333332</v>
      </c>
      <c r="J31" s="5">
        <f t="shared" si="15"/>
        <v>268.20000000000005</v>
      </c>
      <c r="K31" s="5">
        <f t="shared" si="15"/>
        <v>319.20083333333332</v>
      </c>
      <c r="L31" s="5">
        <f t="shared" si="15"/>
        <v>389.83166666666671</v>
      </c>
      <c r="M31" s="5">
        <f t="shared" si="15"/>
        <v>364.78500000000003</v>
      </c>
      <c r="N31" s="5">
        <f t="shared" si="15"/>
        <v>361.45166666666665</v>
      </c>
      <c r="O31" s="5">
        <f t="shared" si="15"/>
        <v>261.79500000000002</v>
      </c>
      <c r="P31" s="5">
        <f t="shared" si="15"/>
        <v>318.13249999999999</v>
      </c>
      <c r="V31">
        <f t="shared" si="5"/>
        <v>20</v>
      </c>
      <c r="W31" t="str">
        <f t="shared" si="4"/>
        <v>Стоимость/месяц</v>
      </c>
      <c r="X31" s="4">
        <f t="shared" si="6"/>
        <v>287.32</v>
      </c>
      <c r="Y31" s="4">
        <f t="shared" si="3"/>
        <v>285.07166666666666</v>
      </c>
    </row>
    <row r="33" spans="1:21" x14ac:dyDescent="0.2">
      <c r="B33" t="s">
        <v>40</v>
      </c>
      <c r="C33" t="s">
        <v>18</v>
      </c>
      <c r="D33" t="s">
        <v>39</v>
      </c>
      <c r="E33" t="s">
        <v>38</v>
      </c>
      <c r="F33" t="s">
        <v>37</v>
      </c>
      <c r="G33" t="s">
        <v>36</v>
      </c>
      <c r="H33" t="s">
        <v>35</v>
      </c>
      <c r="I33" t="s">
        <v>34</v>
      </c>
    </row>
    <row r="34" spans="1:21" x14ac:dyDescent="0.2">
      <c r="A34" s="2"/>
      <c r="B34" t="s">
        <v>33</v>
      </c>
      <c r="C34" s="6">
        <f>D34-E34</f>
        <v>3400.2389724550903</v>
      </c>
      <c r="D34" s="6">
        <v>3693.1800000000003</v>
      </c>
      <c r="E34" s="6">
        <f>((D34-H34)/AVERAGE(0.98,0.69))/100*F34</f>
        <v>292.94102754491018</v>
      </c>
      <c r="F34" s="6">
        <f>$O$18*$C$3</f>
        <v>7.31</v>
      </c>
      <c r="G34" s="6">
        <f>(D34-H34)/AVERAGE(0.98,0.69)</f>
        <v>4007.4011976047909</v>
      </c>
      <c r="H34">
        <v>347</v>
      </c>
      <c r="I34" s="7">
        <f>C34/(G34/G36*O28)</f>
        <v>4.2927075736945719</v>
      </c>
      <c r="J34" s="6"/>
      <c r="K34" s="6"/>
      <c r="L34" s="6"/>
      <c r="M34" s="6"/>
      <c r="N34" s="6"/>
      <c r="O34" s="6"/>
    </row>
    <row r="35" spans="1:21" x14ac:dyDescent="0.2">
      <c r="A35" s="2"/>
      <c r="B35" t="s">
        <v>32</v>
      </c>
      <c r="C35" s="6">
        <v>2832.28</v>
      </c>
      <c r="D35" s="6">
        <v>3749.1600000000003</v>
      </c>
      <c r="E35" s="6">
        <v>916.88000000000022</v>
      </c>
      <c r="F35" s="6">
        <f>$K$18*$C$3</f>
        <v>12.069999999999999</v>
      </c>
      <c r="G35" s="6">
        <f>E35/F35*100</f>
        <v>7596.3545981773023</v>
      </c>
      <c r="H35">
        <v>11</v>
      </c>
      <c r="I35" s="7">
        <f>C35/(G35/G36*O28)</f>
        <v>1.8863211910400262</v>
      </c>
      <c r="J35" s="6"/>
      <c r="K35" s="6"/>
      <c r="L35" s="6"/>
      <c r="M35" s="6"/>
      <c r="N35" s="6"/>
      <c r="O35" s="6"/>
    </row>
    <row r="36" spans="1:21" x14ac:dyDescent="0.2">
      <c r="A36" s="2"/>
      <c r="B36" t="s">
        <v>31</v>
      </c>
      <c r="C36" s="6">
        <f>SUM(C34:C35)</f>
        <v>6232.518972455091</v>
      </c>
      <c r="D36" s="6">
        <f>SUM(D34:D35)</f>
        <v>7442.34</v>
      </c>
      <c r="E36" s="6">
        <f>SUM(E34:E35)</f>
        <v>1209.8210275449105</v>
      </c>
      <c r="F36" s="6"/>
      <c r="G36" s="6">
        <f>SUM(G34:G35)</f>
        <v>11603.755795782094</v>
      </c>
      <c r="H36" s="6">
        <f>SUM(H34:H35)</f>
        <v>358</v>
      </c>
      <c r="I36" s="7">
        <f>C36/O28</f>
        <v>2.7173758806996449</v>
      </c>
      <c r="J36" s="6"/>
      <c r="K36" s="6"/>
      <c r="L36" s="6"/>
      <c r="M36" s="6"/>
      <c r="N36" s="6"/>
      <c r="O36" s="6"/>
    </row>
    <row r="37" spans="1:21" x14ac:dyDescent="0.2">
      <c r="B37" t="s">
        <v>30</v>
      </c>
      <c r="C37" s="6">
        <f>C36-O28</f>
        <v>3938.9389724550911</v>
      </c>
      <c r="D37" s="2"/>
    </row>
    <row r="40" spans="1:21" x14ac:dyDescent="0.2">
      <c r="B40" t="s">
        <v>29</v>
      </c>
      <c r="C40" s="11">
        <v>7</v>
      </c>
    </row>
    <row r="41" spans="1:21" x14ac:dyDescent="0.2">
      <c r="B41" t="s">
        <v>149</v>
      </c>
      <c r="C41" s="4" t="str">
        <f>_xlfn.CONCAT(INDEX($C$11:$P$31,2,$C$40)," ",INDEX($C$11:$P$31,3,$C$40))</f>
        <v>Fiat 1.2 500 lounge</v>
      </c>
    </row>
    <row r="42" spans="1:21" x14ac:dyDescent="0.2">
      <c r="B42" t="str">
        <f>B22</f>
        <v>Цена покупки €</v>
      </c>
      <c r="C42" s="4" cm="1">
        <f t="array" ref="C42">INDEX($C$11:$P$31,12,$C$40)</f>
        <v>7100</v>
      </c>
      <c r="H42">
        <v>1000</v>
      </c>
      <c r="J42" s="1">
        <v>3.6999999999999998E-2</v>
      </c>
      <c r="M42">
        <v>1000</v>
      </c>
      <c r="S42" s="6"/>
      <c r="T42" s="6"/>
      <c r="U42" s="6"/>
    </row>
    <row r="43" spans="1:21" x14ac:dyDescent="0.2">
      <c r="B43" t="s">
        <v>150</v>
      </c>
      <c r="C43" s="12">
        <v>3.2000000000000001E-2</v>
      </c>
      <c r="D43" t="s">
        <v>25</v>
      </c>
      <c r="J43" s="1">
        <v>3.2000000000000001E-2</v>
      </c>
      <c r="K43">
        <f>J45*(1+J43-J42)</f>
        <v>995</v>
      </c>
      <c r="M43">
        <v>1250</v>
      </c>
      <c r="T43" s="6"/>
    </row>
    <row r="44" spans="1:21" x14ac:dyDescent="0.2">
      <c r="B44" t="s">
        <v>151</v>
      </c>
      <c r="C44" s="11">
        <f>12*C6</f>
        <v>60</v>
      </c>
      <c r="J44" s="1">
        <v>2.5000000000000001E-2</v>
      </c>
    </row>
    <row r="45" spans="1:21" x14ac:dyDescent="0.2">
      <c r="B45" t="s">
        <v>152</v>
      </c>
      <c r="C45" s="10">
        <f>PMT(C43/12,C44,C42)</f>
        <v>-128.20970898175236</v>
      </c>
      <c r="J45">
        <v>1000</v>
      </c>
      <c r="K45">
        <f>J45*(1-J42)</f>
        <v>963</v>
      </c>
      <c r="T45" s="7"/>
    </row>
    <row r="46" spans="1:21" x14ac:dyDescent="0.2">
      <c r="B46" t="s">
        <v>153</v>
      </c>
      <c r="C46" s="12">
        <v>3.5000000000000003E-2</v>
      </c>
      <c r="D46" s="15" t="s">
        <v>21</v>
      </c>
      <c r="E46" t="s">
        <v>20</v>
      </c>
      <c r="T46" s="6"/>
    </row>
    <row r="47" spans="1:21" x14ac:dyDescent="0.2">
      <c r="B47" t="s">
        <v>154</v>
      </c>
      <c r="C47" s="18">
        <v>0.04</v>
      </c>
      <c r="R47" s="7"/>
    </row>
    <row r="48" spans="1:21" x14ac:dyDescent="0.2">
      <c r="T48" s="6"/>
    </row>
    <row r="49" spans="2:19" ht="17" customHeight="1" x14ac:dyDescent="0.2">
      <c r="C49">
        <v>2024</v>
      </c>
      <c r="D49">
        <f>C49+1</f>
        <v>2025</v>
      </c>
      <c r="E49">
        <f>D49+1</f>
        <v>2026</v>
      </c>
      <c r="F49">
        <f>E49+1</f>
        <v>2027</v>
      </c>
      <c r="G49">
        <f>F49+1</f>
        <v>2028</v>
      </c>
      <c r="H49" t="s">
        <v>18</v>
      </c>
      <c r="I49" t="s">
        <v>17</v>
      </c>
      <c r="J49" t="s">
        <v>16</v>
      </c>
    </row>
    <row r="50" spans="2:19" x14ac:dyDescent="0.2">
      <c r="B50" t="s">
        <v>155</v>
      </c>
      <c r="C50" s="5" cm="1">
        <f t="array" ref="C50">INDEX($C$11:$P$31,17,$C$40)/5</f>
        <v>580</v>
      </c>
      <c r="D50" s="5" cm="1">
        <f t="array" ref="D50">INDEX($C$11:$P$31,17,$C$40)/5</f>
        <v>580</v>
      </c>
      <c r="E50" s="5" cm="1">
        <f t="array" ref="E50">INDEX($C$11:$P$31,17,$C$40)/5</f>
        <v>580</v>
      </c>
      <c r="F50" s="5" cm="1">
        <f t="array" ref="F50">INDEX($C$11:$P$31,17,$C$40)/5</f>
        <v>580</v>
      </c>
      <c r="G50" s="5" cm="1">
        <f t="array" ref="G50">INDEX($C$11:$P$31,17,$C$40)/5</f>
        <v>580</v>
      </c>
      <c r="H50" s="4">
        <f t="shared" ref="H50:H60" si="16">SUM(C50:G50)</f>
        <v>2900</v>
      </c>
      <c r="I50" s="4">
        <f t="shared" ref="I50:I61" si="17">H50/5</f>
        <v>580</v>
      </c>
      <c r="J50" s="3">
        <f t="shared" ref="J50:J57" si="18">I50/12</f>
        <v>48.333333333333336</v>
      </c>
    </row>
    <row r="51" spans="2:19" x14ac:dyDescent="0.2">
      <c r="B51" t="str">
        <f>B29</f>
        <v>Топливо/год</v>
      </c>
      <c r="C51" s="4" cm="1">
        <f t="array" ref="C51">INDEX($C$11:$P$31,19,$C$40)</f>
        <v>1005.7199999999998</v>
      </c>
      <c r="D51" s="4" cm="1">
        <f t="array" ref="D51">INDEX($C$11:$P$31,19,$C$40)</f>
        <v>1005.7199999999998</v>
      </c>
      <c r="E51" s="4" cm="1">
        <f t="array" ref="E51">INDEX($C$11:$P$31,19,$C$40)</f>
        <v>1005.7199999999998</v>
      </c>
      <c r="F51" s="4" cm="1">
        <f t="array" ref="F51">INDEX($C$11:$P$31,19,$C$40)</f>
        <v>1005.7199999999998</v>
      </c>
      <c r="G51" s="4" cm="1">
        <f t="array" ref="G51">INDEX($C$11:$P$31,19,$C$40)</f>
        <v>1005.7199999999998</v>
      </c>
      <c r="H51" s="4">
        <f t="shared" si="16"/>
        <v>5028.5999999999985</v>
      </c>
      <c r="I51" s="4">
        <f t="shared" si="17"/>
        <v>1005.7199999999997</v>
      </c>
      <c r="J51" s="3">
        <f t="shared" si="18"/>
        <v>83.809999999999974</v>
      </c>
    </row>
    <row r="52" spans="2:19" x14ac:dyDescent="0.2">
      <c r="B52" t="str">
        <f>B25</f>
        <v>Страховка/год</v>
      </c>
      <c r="C52" s="4" cm="1">
        <f t="array" ref="C52">INDEX($C$11:$P$31,15,$C$40)</f>
        <v>451</v>
      </c>
      <c r="D52" s="4" cm="1">
        <f t="array" ref="D52">INDEX($C$11:$P$31,15,$C$40)</f>
        <v>451</v>
      </c>
      <c r="E52" s="4" cm="1">
        <f t="array" ref="E52">INDEX($C$11:$P$31,15,$C$40)</f>
        <v>451</v>
      </c>
      <c r="F52" s="4" cm="1">
        <f t="array" ref="F52">INDEX($C$11:$P$31,15,$C$40)</f>
        <v>451</v>
      </c>
      <c r="G52" s="4" cm="1">
        <f t="array" ref="G52">INDEX($C$11:$P$31,15,$C$40)</f>
        <v>451</v>
      </c>
      <c r="H52" s="4">
        <f t="shared" si="16"/>
        <v>2255</v>
      </c>
      <c r="I52" s="4">
        <f t="shared" si="17"/>
        <v>451</v>
      </c>
      <c r="J52" s="3">
        <f t="shared" si="18"/>
        <v>37.583333333333336</v>
      </c>
    </row>
    <row r="53" spans="2:19" x14ac:dyDescent="0.2">
      <c r="B53" t="str">
        <f>B24</f>
        <v>Починка+Инспекция</v>
      </c>
      <c r="C53" s="4" cm="1">
        <f t="array" ref="C53">INDEX($C$11:$P$31,14,$C$40)</f>
        <v>396</v>
      </c>
      <c r="D53" s="4" cm="1">
        <f t="array" ref="D53">INDEX($C$11:$P$31,14,$C$40)</f>
        <v>396</v>
      </c>
      <c r="E53" s="4" cm="1">
        <f t="array" ref="E53">INDEX($C$11:$P$31,14,$C$40)</f>
        <v>396</v>
      </c>
      <c r="F53" s="4" cm="1">
        <f t="array" ref="F53">INDEX($C$11:$P$31,14,$C$40)</f>
        <v>396</v>
      </c>
      <c r="G53" s="4" cm="1">
        <f t="array" ref="G53">INDEX($C$11:$P$31,14,$C$40)</f>
        <v>396</v>
      </c>
      <c r="H53" s="4">
        <f t="shared" si="16"/>
        <v>1980</v>
      </c>
      <c r="I53" s="4">
        <f t="shared" si="17"/>
        <v>396</v>
      </c>
      <c r="J53" s="3">
        <f t="shared" si="18"/>
        <v>33</v>
      </c>
    </row>
    <row r="54" spans="2:19" x14ac:dyDescent="0.2">
      <c r="B54" t="s">
        <v>11</v>
      </c>
      <c r="C54" s="4" cm="1">
        <f t="array" ref="C54">INDEX($C$11:$P$31,16,$C$40)</f>
        <v>74</v>
      </c>
      <c r="D54" s="4" cm="1">
        <f t="array" ref="D54">INDEX($C$11:$P$31,16,$C$40)</f>
        <v>74</v>
      </c>
      <c r="E54" s="4" cm="1">
        <f t="array" ref="E54">INDEX($C$11:$P$31,16,$C$40)</f>
        <v>74</v>
      </c>
      <c r="F54" s="4" cm="1">
        <f t="array" ref="F54">INDEX($C$11:$P$31,16,$C$40)</f>
        <v>74</v>
      </c>
      <c r="G54" s="4" cm="1">
        <f t="array" ref="G54">INDEX($C$11:$P$31,16,$C$40)</f>
        <v>74</v>
      </c>
      <c r="H54" s="4">
        <f t="shared" si="16"/>
        <v>370</v>
      </c>
      <c r="I54" s="4">
        <f t="shared" si="17"/>
        <v>74</v>
      </c>
      <c r="J54" s="3">
        <f t="shared" si="18"/>
        <v>6.166666666666667</v>
      </c>
    </row>
    <row r="55" spans="2:19" x14ac:dyDescent="0.2">
      <c r="B55" t="s">
        <v>10</v>
      </c>
      <c r="C55" s="4">
        <f>-CUMIPMT($C$43/12,$C$44,$C$42,(C49-2024)*12+1,(C49-2024)*12+12,0)</f>
        <v>207.79537093603199</v>
      </c>
      <c r="D55" s="4">
        <f>-CUMIPMT($C$43/12,$C$44,$C$42,(D49-2024)*12+1,(D49-2024)*12+12,0)</f>
        <v>164.5821577466686</v>
      </c>
      <c r="E55" s="4">
        <f>-CUMIPMT($C$43/12,$C$44,$C$42,(E49-2024)*12+1,(E49-2024)*12+12,0)</f>
        <v>119.96565896842731</v>
      </c>
      <c r="F55" s="4">
        <f>-CUMIPMT($C$43/12,$C$44,$C$42,(F49-2024)*12+1,(F49-2024)*12+12,0)</f>
        <v>73.900304964185807</v>
      </c>
      <c r="G55" s="4">
        <f>-CUMIPMT($C$43/12,$C$44,$C$42,(G49-2024)*12+1,(G49-2024)*12+12,0)</f>
        <v>26.339046289828048</v>
      </c>
      <c r="H55" s="4">
        <f t="shared" si="16"/>
        <v>592.58253890514175</v>
      </c>
      <c r="I55" s="4">
        <f t="shared" si="17"/>
        <v>118.51650778102835</v>
      </c>
      <c r="J55" s="3">
        <f t="shared" si="18"/>
        <v>9.8763756484190299</v>
      </c>
      <c r="K55" s="4"/>
    </row>
    <row r="56" spans="2:19" x14ac:dyDescent="0.2">
      <c r="B56" t="s">
        <v>9</v>
      </c>
      <c r="C56" s="5">
        <f>C42*($C$46)</f>
        <v>248.50000000000003</v>
      </c>
      <c r="D56" s="5">
        <f>($C$42-C56)*($C$46)</f>
        <v>239.80250000000001</v>
      </c>
      <c r="E56" s="5">
        <f>($C$42-D56-C56)*($C$46)</f>
        <v>231.40941250000003</v>
      </c>
      <c r="F56" s="5">
        <f>($C$42-E56-D56-C56)*($C$46)</f>
        <v>223.31008306250001</v>
      </c>
      <c r="G56" s="5">
        <f>($C$42-F56-E56-D56-C56)*($C$46)</f>
        <v>215.49423015531252</v>
      </c>
      <c r="H56" s="4">
        <f t="shared" si="16"/>
        <v>1158.5162257178126</v>
      </c>
      <c r="I56" s="4">
        <f t="shared" si="17"/>
        <v>231.70324514356253</v>
      </c>
      <c r="J56" s="3">
        <f t="shared" si="18"/>
        <v>19.308603761963543</v>
      </c>
    </row>
    <row r="57" spans="2:19" x14ac:dyDescent="0.2">
      <c r="B57" t="s">
        <v>8</v>
      </c>
      <c r="C57" s="5">
        <f>C42*C47</f>
        <v>284</v>
      </c>
      <c r="D57" s="5">
        <f>($C$42+C57)*$C$47</f>
        <v>295.36</v>
      </c>
      <c r="E57" s="5">
        <f>($C$42+D57+C57)*$C$47</f>
        <v>307.17439999999999</v>
      </c>
      <c r="F57" s="5">
        <f>($C$42+E57+D57+C57)*$C$47</f>
        <v>319.46137599999997</v>
      </c>
      <c r="G57" s="5">
        <f>($C$42+F57+E57+D57+C57)*$C$47</f>
        <v>332.23983104000001</v>
      </c>
      <c r="H57" s="4">
        <f t="shared" si="16"/>
        <v>1538.2356070400001</v>
      </c>
      <c r="I57" s="4">
        <f t="shared" si="17"/>
        <v>307.64712140800003</v>
      </c>
      <c r="J57" s="3">
        <f t="shared" si="18"/>
        <v>25.637260117333337</v>
      </c>
    </row>
    <row r="58" spans="2:19" x14ac:dyDescent="0.2">
      <c r="B58" t="s">
        <v>7</v>
      </c>
      <c r="C58" s="4">
        <f>-C42-SUM(C51:C54,C56,C57)</f>
        <v>-9559.2199999999993</v>
      </c>
      <c r="D58" s="4">
        <f>-SUM(D51:D54,D56)</f>
        <v>-2166.5225</v>
      </c>
      <c r="E58" s="4">
        <f t="shared" ref="E58:F58" si="19">-SUM(E51:E54,E56)</f>
        <v>-2158.1294124999999</v>
      </c>
      <c r="F58" s="4">
        <f t="shared" si="19"/>
        <v>-2150.0300830624997</v>
      </c>
      <c r="G58" s="4">
        <f>-SUM(G51:G54,G56)+H50</f>
        <v>757.78576984468782</v>
      </c>
      <c r="H58" s="4">
        <f>SUM(C58:G58)</f>
        <v>-15276.116225717813</v>
      </c>
      <c r="I58" s="4">
        <f t="shared" si="17"/>
        <v>-3055.2232451435625</v>
      </c>
      <c r="J58" s="3">
        <f>I58/12</f>
        <v>-254.60193709529688</v>
      </c>
    </row>
    <row r="59" spans="2:19" x14ac:dyDescent="0.2">
      <c r="B59" t="s">
        <v>6</v>
      </c>
      <c r="C59" s="4">
        <f>-SUM(C50:C55)</f>
        <v>-2714.515370936032</v>
      </c>
      <c r="D59" s="4">
        <f>-SUM(D50:D55)</f>
        <v>-2671.3021577466684</v>
      </c>
      <c r="E59" s="4">
        <f>-SUM(E50:E55)</f>
        <v>-2626.6856589684271</v>
      </c>
      <c r="F59" s="4">
        <f>-SUM(F50:F55)</f>
        <v>-2580.6203049641854</v>
      </c>
      <c r="G59" s="4">
        <f>-SUM(G50:G55)+H50</f>
        <v>366.94095371017193</v>
      </c>
      <c r="H59" s="4">
        <f>SUM(C59:G59)</f>
        <v>-10226.182538905141</v>
      </c>
      <c r="I59" s="4">
        <f t="shared" si="17"/>
        <v>-2045.2365077810282</v>
      </c>
      <c r="J59" s="3">
        <f t="shared" ref="J59:J61" si="20">I59/12</f>
        <v>-170.43637564841902</v>
      </c>
    </row>
    <row r="60" spans="2:19" x14ac:dyDescent="0.2">
      <c r="B60" t="s">
        <v>5</v>
      </c>
      <c r="C60" s="4">
        <f>C59+C57-C56</f>
        <v>-2679.015370936032</v>
      </c>
      <c r="D60" s="4">
        <f t="shared" ref="D60:F60" si="21">D59+D57-D56</f>
        <v>-2615.7446577466681</v>
      </c>
      <c r="E60" s="4">
        <f t="shared" si="21"/>
        <v>-2550.9206714684274</v>
      </c>
      <c r="F60" s="4">
        <f t="shared" si="21"/>
        <v>-2484.469012026685</v>
      </c>
      <c r="G60" s="4">
        <f>G59+G57-G56</f>
        <v>483.68655459485944</v>
      </c>
      <c r="H60" s="4">
        <f t="shared" si="16"/>
        <v>-9846.4631575829517</v>
      </c>
      <c r="I60" s="4">
        <f t="shared" si="17"/>
        <v>-1969.2926315165903</v>
      </c>
      <c r="J60" s="3">
        <f t="shared" si="20"/>
        <v>-164.1077192930492</v>
      </c>
    </row>
    <row r="61" spans="2:19" x14ac:dyDescent="0.2">
      <c r="B61" t="s">
        <v>186</v>
      </c>
      <c r="C61" s="3">
        <f>$C$79*12</f>
        <v>-2294.1510605315784</v>
      </c>
      <c r="D61" s="3">
        <f t="shared" ref="D61:F61" si="22">$C$79*12</f>
        <v>-2294.1510605315784</v>
      </c>
      <c r="E61" s="3">
        <f t="shared" si="22"/>
        <v>-2294.1510605315784</v>
      </c>
      <c r="F61" s="3">
        <f t="shared" si="22"/>
        <v>-2294.1510605315784</v>
      </c>
      <c r="G61" s="3">
        <f>$C$79*12</f>
        <v>-2294.1510605315784</v>
      </c>
      <c r="H61" s="3">
        <f>SUM(C61:G61)</f>
        <v>-11470.755302657892</v>
      </c>
      <c r="I61" s="4">
        <f t="shared" si="17"/>
        <v>-2294.1510605315784</v>
      </c>
      <c r="J61" s="3">
        <f t="shared" si="20"/>
        <v>-191.1792550442982</v>
      </c>
    </row>
    <row r="63" spans="2:19" x14ac:dyDescent="0.2">
      <c r="B63" t="s">
        <v>159</v>
      </c>
      <c r="C63" s="11">
        <v>7</v>
      </c>
    </row>
    <row r="64" spans="2:19" x14ac:dyDescent="0.2">
      <c r="B64" t="s">
        <v>160</v>
      </c>
      <c r="C64" s="4" cm="1">
        <f t="array" ref="C64">INDEX($C$11:$P$31,12,$C$63)</f>
        <v>7100</v>
      </c>
      <c r="D64" t="s">
        <v>161</v>
      </c>
      <c r="O64" t="s">
        <v>158</v>
      </c>
      <c r="P64" t="s">
        <v>157</v>
      </c>
      <c r="Q64" t="s">
        <v>107</v>
      </c>
      <c r="R64" t="s">
        <v>108</v>
      </c>
      <c r="S64" t="s">
        <v>156</v>
      </c>
    </row>
    <row r="65" spans="2:27" x14ac:dyDescent="0.2">
      <c r="B65" t="s">
        <v>162</v>
      </c>
      <c r="C65" t="str">
        <f>_xlfn.CONCAT(INDEX($C$11:$P$31,2,$C$63)," ",INDEX($C$11:$P$31,3,$C$63))</f>
        <v>Fiat 1.2 500 lounge</v>
      </c>
      <c r="N65">
        <v>0</v>
      </c>
      <c r="O65">
        <v>0</v>
      </c>
      <c r="P65">
        <v>2023</v>
      </c>
      <c r="Q65">
        <v>34020</v>
      </c>
      <c r="R65">
        <v>59750</v>
      </c>
      <c r="S65">
        <v>4000</v>
      </c>
    </row>
    <row r="66" spans="2:27" x14ac:dyDescent="0.2">
      <c r="B66" t="s">
        <v>165</v>
      </c>
      <c r="C66" s="4" cm="1">
        <f t="array" ref="C66">INDEX($C$11:$P$31,19,$C$63)/12</f>
        <v>83.809999999999988</v>
      </c>
      <c r="D66" t="s">
        <v>166</v>
      </c>
      <c r="N66">
        <v>1</v>
      </c>
      <c r="O66">
        <v>11000</v>
      </c>
      <c r="P66">
        <v>2022</v>
      </c>
      <c r="Q66" s="6">
        <v>26518.59</v>
      </c>
      <c r="R66">
        <v>47000</v>
      </c>
      <c r="S66">
        <v>20000</v>
      </c>
    </row>
    <row r="67" spans="2:27" x14ac:dyDescent="0.2">
      <c r="B67" t="s">
        <v>163</v>
      </c>
      <c r="C67" s="4" cm="1">
        <f t="array" ref="C67">INDEX($C$11:$P$31,15,$C$63)/6</f>
        <v>75.166666666666671</v>
      </c>
      <c r="D67" t="s">
        <v>166</v>
      </c>
      <c r="N67">
        <f>N66+1</f>
        <v>2</v>
      </c>
      <c r="O67">
        <f>O66+11000</f>
        <v>22000</v>
      </c>
      <c r="P67">
        <v>2021</v>
      </c>
      <c r="Q67" s="6">
        <v>19017.18</v>
      </c>
      <c r="R67">
        <v>43900</v>
      </c>
      <c r="S67">
        <v>39500</v>
      </c>
    </row>
    <row r="68" spans="2:27" x14ac:dyDescent="0.2">
      <c r="B68" t="s">
        <v>164</v>
      </c>
      <c r="C68" s="4" cm="1">
        <f t="array" ref="C68">INDEX($C$11:$P$31,14,$C$63)/6</f>
        <v>66</v>
      </c>
      <c r="D68" t="s">
        <v>166</v>
      </c>
      <c r="N68">
        <f t="shared" ref="N68:N90" si="23">N67+1</f>
        <v>3</v>
      </c>
      <c r="O68">
        <v>14975</v>
      </c>
      <c r="P68">
        <v>2020</v>
      </c>
      <c r="Q68">
        <v>12900</v>
      </c>
      <c r="R68">
        <v>25880</v>
      </c>
      <c r="S68">
        <v>49100</v>
      </c>
    </row>
    <row r="69" spans="2:27" x14ac:dyDescent="0.2">
      <c r="B69" t="s">
        <v>167</v>
      </c>
      <c r="C69" s="19">
        <v>0.03</v>
      </c>
      <c r="N69">
        <f t="shared" si="23"/>
        <v>4</v>
      </c>
      <c r="O69">
        <v>22059</v>
      </c>
      <c r="P69">
        <v>2019</v>
      </c>
      <c r="Q69">
        <v>10890</v>
      </c>
      <c r="R69">
        <v>23000</v>
      </c>
      <c r="S69">
        <v>70000</v>
      </c>
    </row>
    <row r="70" spans="2:27" x14ac:dyDescent="0.2">
      <c r="B70" t="s">
        <v>168</v>
      </c>
      <c r="C70">
        <v>36</v>
      </c>
      <c r="D70" t="s">
        <v>169</v>
      </c>
      <c r="N70">
        <f t="shared" si="23"/>
        <v>5</v>
      </c>
      <c r="O70">
        <v>38000</v>
      </c>
      <c r="P70">
        <v>2018</v>
      </c>
      <c r="Q70">
        <v>10450</v>
      </c>
      <c r="R70">
        <v>19980</v>
      </c>
      <c r="S70">
        <v>107761</v>
      </c>
      <c r="V70" t="s">
        <v>0</v>
      </c>
      <c r="W70" t="s">
        <v>1</v>
      </c>
      <c r="X70" t="s">
        <v>0</v>
      </c>
      <c r="Y70" t="s">
        <v>1</v>
      </c>
    </row>
    <row r="71" spans="2:27" x14ac:dyDescent="0.2">
      <c r="B71" t="s">
        <v>171</v>
      </c>
      <c r="C71" s="19">
        <v>0.6</v>
      </c>
      <c r="N71">
        <f t="shared" si="23"/>
        <v>6</v>
      </c>
      <c r="O71">
        <v>86399</v>
      </c>
      <c r="P71">
        <v>2017</v>
      </c>
      <c r="Q71">
        <v>9250</v>
      </c>
      <c r="R71">
        <v>17750</v>
      </c>
      <c r="S71">
        <v>113100</v>
      </c>
      <c r="T71">
        <f>R72-R77</f>
        <v>5910</v>
      </c>
      <c r="U71">
        <v>2017</v>
      </c>
      <c r="V71" s="4">
        <v>20900</v>
      </c>
      <c r="W71" s="4">
        <v>19990</v>
      </c>
      <c r="X71" s="4">
        <v>82706</v>
      </c>
      <c r="Y71" s="4">
        <v>82000</v>
      </c>
      <c r="Z71" s="4">
        <v>110</v>
      </c>
      <c r="AA71" s="4">
        <v>110</v>
      </c>
    </row>
    <row r="72" spans="2:27" x14ac:dyDescent="0.2">
      <c r="B72" t="s">
        <v>172</v>
      </c>
      <c r="C72">
        <v>6000</v>
      </c>
      <c r="D72" t="s">
        <v>183</v>
      </c>
      <c r="N72">
        <f>N71+1</f>
        <v>7</v>
      </c>
      <c r="O72">
        <v>103000</v>
      </c>
      <c r="P72" s="14">
        <v>2016</v>
      </c>
      <c r="Q72">
        <v>7950</v>
      </c>
      <c r="R72">
        <v>15900</v>
      </c>
      <c r="S72">
        <v>146074</v>
      </c>
    </row>
    <row r="73" spans="2:27" x14ac:dyDescent="0.2">
      <c r="B73" t="s">
        <v>170</v>
      </c>
      <c r="C73" s="4">
        <f>-SUM(PMT(C69/12,C70,-C64),C67,C68,C71*C66)</f>
        <v>-397.9292550442982</v>
      </c>
      <c r="D73" t="s">
        <v>184</v>
      </c>
      <c r="N73">
        <f t="shared" si="23"/>
        <v>8</v>
      </c>
      <c r="O73">
        <v>75000</v>
      </c>
      <c r="P73">
        <v>2015</v>
      </c>
      <c r="Q73">
        <v>6950</v>
      </c>
      <c r="R73">
        <v>14500</v>
      </c>
      <c r="S73">
        <v>166500</v>
      </c>
    </row>
    <row r="74" spans="2:27" x14ac:dyDescent="0.2">
      <c r="B74" t="s">
        <v>173</v>
      </c>
      <c r="C74" s="3">
        <f>1%*C64</f>
        <v>71</v>
      </c>
      <c r="D74" t="s">
        <v>182</v>
      </c>
      <c r="N74">
        <f t="shared" si="23"/>
        <v>9</v>
      </c>
      <c r="O74">
        <v>38000</v>
      </c>
      <c r="P74">
        <v>2014</v>
      </c>
      <c r="Q74">
        <v>9150</v>
      </c>
      <c r="R74">
        <v>12400</v>
      </c>
      <c r="S74">
        <v>173000</v>
      </c>
    </row>
    <row r="75" spans="2:27" x14ac:dyDescent="0.2">
      <c r="B75" t="s">
        <v>174</v>
      </c>
      <c r="C75" s="3">
        <f>C66*C71</f>
        <v>50.285999999999994</v>
      </c>
      <c r="D75" t="s">
        <v>181</v>
      </c>
      <c r="N75">
        <f t="shared" si="23"/>
        <v>10</v>
      </c>
      <c r="P75">
        <f>P74-1</f>
        <v>2013</v>
      </c>
      <c r="R75">
        <v>12250</v>
      </c>
      <c r="S75">
        <v>159000</v>
      </c>
    </row>
    <row r="76" spans="2:27" x14ac:dyDescent="0.2">
      <c r="B76" t="s">
        <v>175</v>
      </c>
      <c r="C76" s="5">
        <f>SUM(C72:C75)</f>
        <v>5723.3567449557022</v>
      </c>
      <c r="N76">
        <f t="shared" si="23"/>
        <v>11</v>
      </c>
      <c r="P76">
        <f t="shared" ref="P76:P98" si="24">P75-1</f>
        <v>2012</v>
      </c>
      <c r="R76">
        <v>10499</v>
      </c>
      <c r="S76">
        <v>246000</v>
      </c>
    </row>
    <row r="77" spans="2:27" x14ac:dyDescent="0.2">
      <c r="B77" t="s">
        <v>177</v>
      </c>
      <c r="C77">
        <v>189</v>
      </c>
      <c r="D77" t="s">
        <v>180</v>
      </c>
      <c r="N77">
        <f t="shared" si="23"/>
        <v>12</v>
      </c>
      <c r="P77" s="14">
        <f t="shared" si="24"/>
        <v>2011</v>
      </c>
      <c r="R77">
        <v>9990</v>
      </c>
      <c r="S77">
        <v>211640</v>
      </c>
      <c r="U77">
        <v>2013</v>
      </c>
      <c r="V77">
        <v>14490</v>
      </c>
      <c r="W77">
        <v>14900</v>
      </c>
      <c r="X77">
        <v>158000</v>
      </c>
      <c r="Y77">
        <v>150000</v>
      </c>
      <c r="Z77">
        <v>130</v>
      </c>
      <c r="AA77">
        <v>125</v>
      </c>
    </row>
    <row r="78" spans="2:27" x14ac:dyDescent="0.2">
      <c r="B78" t="s">
        <v>176</v>
      </c>
      <c r="C78" s="5">
        <f>-IPMT(C69/12,1,C70,C64)</f>
        <v>17.749999999999996</v>
      </c>
      <c r="D78" t="s">
        <v>179</v>
      </c>
      <c r="N78">
        <f t="shared" si="23"/>
        <v>13</v>
      </c>
      <c r="P78">
        <f t="shared" si="24"/>
        <v>2010</v>
      </c>
      <c r="R78">
        <v>9200</v>
      </c>
      <c r="S78">
        <v>280000</v>
      </c>
      <c r="V78" s="4">
        <f>V71-V77</f>
        <v>6410</v>
      </c>
      <c r="W78" s="4">
        <f>W71-W77</f>
        <v>5090</v>
      </c>
    </row>
    <row r="79" spans="2:27" x14ac:dyDescent="0.2">
      <c r="B79" t="s">
        <v>178</v>
      </c>
      <c r="C79" s="3">
        <f>C73+C77+C78</f>
        <v>-191.1792550442982</v>
      </c>
      <c r="D79" t="s">
        <v>185</v>
      </c>
      <c r="N79">
        <f t="shared" si="23"/>
        <v>14</v>
      </c>
      <c r="P79">
        <f t="shared" si="24"/>
        <v>2009</v>
      </c>
      <c r="R79">
        <v>8250</v>
      </c>
      <c r="S79">
        <v>252000</v>
      </c>
    </row>
    <row r="80" spans="2:27" x14ac:dyDescent="0.2">
      <c r="N80">
        <f t="shared" si="23"/>
        <v>15</v>
      </c>
      <c r="P80">
        <f t="shared" si="24"/>
        <v>2008</v>
      </c>
      <c r="R80">
        <v>6900</v>
      </c>
      <c r="S80">
        <v>250000</v>
      </c>
    </row>
    <row r="81" spans="14:19" x14ac:dyDescent="0.2">
      <c r="N81">
        <f t="shared" si="23"/>
        <v>16</v>
      </c>
      <c r="P81">
        <f t="shared" si="24"/>
        <v>2007</v>
      </c>
      <c r="R81">
        <v>5999</v>
      </c>
      <c r="S81">
        <v>399900</v>
      </c>
    </row>
    <row r="82" spans="14:19" x14ac:dyDescent="0.2">
      <c r="N82">
        <f t="shared" si="23"/>
        <v>17</v>
      </c>
      <c r="P82">
        <f t="shared" si="24"/>
        <v>2006</v>
      </c>
      <c r="R82">
        <v>4500</v>
      </c>
      <c r="S82">
        <v>230000</v>
      </c>
    </row>
    <row r="83" spans="14:19" x14ac:dyDescent="0.2">
      <c r="N83">
        <f t="shared" si="23"/>
        <v>18</v>
      </c>
      <c r="P83">
        <f t="shared" si="24"/>
        <v>2005</v>
      </c>
      <c r="R83">
        <v>4500</v>
      </c>
      <c r="S83">
        <v>300000</v>
      </c>
    </row>
    <row r="84" spans="14:19" x14ac:dyDescent="0.2">
      <c r="N84">
        <f t="shared" si="23"/>
        <v>19</v>
      </c>
      <c r="P84">
        <f t="shared" si="24"/>
        <v>2004</v>
      </c>
      <c r="R84">
        <v>1950</v>
      </c>
      <c r="S84">
        <v>194000</v>
      </c>
    </row>
    <row r="85" spans="14:19" x14ac:dyDescent="0.2">
      <c r="N85">
        <f t="shared" si="23"/>
        <v>20</v>
      </c>
      <c r="P85">
        <f t="shared" si="24"/>
        <v>2003</v>
      </c>
      <c r="R85">
        <v>1700</v>
      </c>
      <c r="S85">
        <v>382000</v>
      </c>
    </row>
    <row r="86" spans="14:19" x14ac:dyDescent="0.2">
      <c r="N86">
        <f t="shared" si="23"/>
        <v>21</v>
      </c>
      <c r="P86">
        <f t="shared" si="24"/>
        <v>2002</v>
      </c>
      <c r="R86">
        <v>1600</v>
      </c>
      <c r="S86">
        <v>263400</v>
      </c>
    </row>
    <row r="87" spans="14:19" x14ac:dyDescent="0.2">
      <c r="N87">
        <f t="shared" si="23"/>
        <v>22</v>
      </c>
      <c r="P87">
        <f t="shared" si="24"/>
        <v>2001</v>
      </c>
      <c r="R87">
        <v>799</v>
      </c>
      <c r="S87">
        <v>397000</v>
      </c>
    </row>
    <row r="88" spans="14:19" x14ac:dyDescent="0.2">
      <c r="N88">
        <f t="shared" si="23"/>
        <v>23</v>
      </c>
      <c r="P88">
        <f t="shared" si="24"/>
        <v>2000</v>
      </c>
      <c r="R88">
        <v>999</v>
      </c>
      <c r="S88">
        <v>330400</v>
      </c>
    </row>
    <row r="89" spans="14:19" x14ac:dyDescent="0.2">
      <c r="N89">
        <f t="shared" si="23"/>
        <v>24</v>
      </c>
      <c r="P89">
        <f t="shared" si="24"/>
        <v>1999</v>
      </c>
      <c r="R89">
        <v>1250</v>
      </c>
      <c r="S89">
        <v>249000</v>
      </c>
    </row>
    <row r="90" spans="14:19" x14ac:dyDescent="0.2">
      <c r="N90">
        <f t="shared" si="23"/>
        <v>25</v>
      </c>
      <c r="P90">
        <f t="shared" si="24"/>
        <v>1998</v>
      </c>
      <c r="R90">
        <v>1800</v>
      </c>
      <c r="S90">
        <v>225000</v>
      </c>
    </row>
    <row r="91" spans="14:19" x14ac:dyDescent="0.2">
      <c r="N91" s="2">
        <f>CORREL(N65:N90,R65:R90)</f>
        <v>-0.85810485534900705</v>
      </c>
      <c r="P91">
        <f t="shared" si="24"/>
        <v>1997</v>
      </c>
      <c r="S91" s="2">
        <f>CORREL(R65:R90,S65:S90)</f>
        <v>-0.8289654997984931</v>
      </c>
    </row>
    <row r="92" spans="14:19" x14ac:dyDescent="0.2">
      <c r="P92">
        <f t="shared" si="24"/>
        <v>1996</v>
      </c>
    </row>
    <row r="93" spans="14:19" x14ac:dyDescent="0.2">
      <c r="P93">
        <f t="shared" si="24"/>
        <v>1995</v>
      </c>
    </row>
    <row r="94" spans="14:19" x14ac:dyDescent="0.2">
      <c r="P94">
        <f t="shared" si="24"/>
        <v>1994</v>
      </c>
    </row>
    <row r="95" spans="14:19" x14ac:dyDescent="0.2">
      <c r="P95">
        <f t="shared" si="24"/>
        <v>1993</v>
      </c>
    </row>
    <row r="96" spans="14:19" x14ac:dyDescent="0.2">
      <c r="P96">
        <f t="shared" si="24"/>
        <v>1992</v>
      </c>
    </row>
    <row r="97" spans="16:16" x14ac:dyDescent="0.2">
      <c r="P97">
        <f t="shared" si="24"/>
        <v>1991</v>
      </c>
    </row>
    <row r="98" spans="16:16" x14ac:dyDescent="0.2">
      <c r="P98">
        <f t="shared" si="24"/>
        <v>1990</v>
      </c>
    </row>
  </sheetData>
  <conditionalFormatting sqref="C16:P16">
    <cfRule type="cellIs" dxfId="1" priority="1" operator="equal">
      <formula>2</formula>
    </cfRule>
    <cfRule type="cellIs" dxfId="0" priority="2" operator="equal">
      <formula>1</formula>
    </cfRule>
  </conditionalFormatting>
  <conditionalFormatting sqref="C28:P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P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46" r:id="rId1" xr:uid="{7D5D5760-0D1D-554D-AD5A-41D3CD90E7CF}"/>
  </hyperlink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944C-BF07-BF46-942F-5A66DDB2820C}">
  <dimension ref="A2:W124"/>
  <sheetViews>
    <sheetView topLeftCell="A12" zoomScaleNormal="100" workbookViewId="0">
      <selection activeCell="V12" sqref="V12"/>
    </sheetView>
  </sheetViews>
  <sheetFormatPr baseColWidth="10" defaultRowHeight="16" x14ac:dyDescent="0.2"/>
  <cols>
    <col min="1" max="1" width="6" customWidth="1"/>
    <col min="2" max="2" width="23.33203125" customWidth="1"/>
    <col min="3" max="4" width="10.1640625" customWidth="1"/>
    <col min="5" max="5" width="9.5" customWidth="1"/>
    <col min="6" max="6" width="10" customWidth="1"/>
    <col min="7" max="7" width="9.6640625" customWidth="1"/>
    <col min="8" max="8" width="10.5" customWidth="1"/>
    <col min="9" max="9" width="9.6640625" customWidth="1"/>
    <col min="10" max="10" width="9.83203125" customWidth="1"/>
    <col min="11" max="11" width="9.5" customWidth="1"/>
    <col min="12" max="15" width="8.83203125" customWidth="1"/>
    <col min="16" max="16" width="10.33203125" customWidth="1"/>
    <col min="17" max="17" width="10.6640625" customWidth="1"/>
    <col min="18" max="18" width="8.83203125" customWidth="1"/>
    <col min="19" max="19" width="12.1640625" customWidth="1"/>
    <col min="20" max="20" width="11.5" customWidth="1"/>
    <col min="21" max="22" width="12" bestFit="1" customWidth="1"/>
    <col min="23" max="23" width="10.33203125" customWidth="1"/>
    <col min="35" max="35" width="14.5" customWidth="1"/>
  </cols>
  <sheetData>
    <row r="2" spans="1:20" ht="17" x14ac:dyDescent="0.2">
      <c r="B2" s="13" t="s">
        <v>106</v>
      </c>
      <c r="C2">
        <v>1.73</v>
      </c>
    </row>
    <row r="3" spans="1:20" x14ac:dyDescent="0.2">
      <c r="B3" t="s">
        <v>105</v>
      </c>
      <c r="C3">
        <v>1.7</v>
      </c>
    </row>
    <row r="4" spans="1:20" x14ac:dyDescent="0.2">
      <c r="B4" t="s">
        <v>104</v>
      </c>
      <c r="C4">
        <v>336</v>
      </c>
      <c r="D4" t="s">
        <v>103</v>
      </c>
      <c r="E4">
        <v>298</v>
      </c>
      <c r="F4" t="s">
        <v>102</v>
      </c>
    </row>
    <row r="5" spans="1:20" x14ac:dyDescent="0.2">
      <c r="B5" t="s">
        <v>101</v>
      </c>
      <c r="C5">
        <v>120</v>
      </c>
    </row>
    <row r="6" spans="1:20" x14ac:dyDescent="0.2">
      <c r="B6" t="s">
        <v>100</v>
      </c>
      <c r="C6">
        <v>5</v>
      </c>
    </row>
    <row r="7" spans="1:20" x14ac:dyDescent="0.2">
      <c r="B7" t="s">
        <v>99</v>
      </c>
      <c r="C7">
        <v>11.6</v>
      </c>
      <c r="D7" t="s">
        <v>98</v>
      </c>
      <c r="E7">
        <v>12.4</v>
      </c>
    </row>
    <row r="8" spans="1:20" x14ac:dyDescent="0.2">
      <c r="B8" t="s">
        <v>97</v>
      </c>
      <c r="C8">
        <v>24209</v>
      </c>
      <c r="D8" t="s">
        <v>95</v>
      </c>
      <c r="E8" t="s">
        <v>20</v>
      </c>
    </row>
    <row r="9" spans="1:20" x14ac:dyDescent="0.2">
      <c r="B9" t="s">
        <v>96</v>
      </c>
      <c r="C9">
        <v>41147</v>
      </c>
      <c r="D9" t="s">
        <v>95</v>
      </c>
      <c r="E9" t="s">
        <v>20</v>
      </c>
    </row>
    <row r="11" spans="1:20" x14ac:dyDescent="0.2">
      <c r="A11">
        <v>1</v>
      </c>
      <c r="B11" t="s">
        <v>94</v>
      </c>
      <c r="C11">
        <v>1</v>
      </c>
      <c r="D11">
        <f>C11+1</f>
        <v>2</v>
      </c>
      <c r="E11">
        <f t="shared" ref="E11:P11" si="0">D11+1</f>
        <v>3</v>
      </c>
      <c r="F11">
        <f t="shared" si="0"/>
        <v>4</v>
      </c>
      <c r="G11">
        <f t="shared" si="0"/>
        <v>5</v>
      </c>
      <c r="H11">
        <f t="shared" si="0"/>
        <v>6</v>
      </c>
      <c r="I11">
        <f t="shared" si="0"/>
        <v>7</v>
      </c>
      <c r="J11">
        <f t="shared" si="0"/>
        <v>8</v>
      </c>
      <c r="K11">
        <f t="shared" si="0"/>
        <v>9</v>
      </c>
      <c r="L11">
        <f t="shared" si="0"/>
        <v>10</v>
      </c>
      <c r="M11">
        <f t="shared" si="0"/>
        <v>11</v>
      </c>
      <c r="N11">
        <f t="shared" si="0"/>
        <v>12</v>
      </c>
      <c r="O11">
        <f t="shared" si="0"/>
        <v>13</v>
      </c>
      <c r="P11">
        <f t="shared" si="0"/>
        <v>14</v>
      </c>
    </row>
    <row r="12" spans="1:20" ht="34" x14ac:dyDescent="0.2">
      <c r="A12">
        <f t="shared" ref="A12:A33" si="1">A11+1</f>
        <v>2</v>
      </c>
      <c r="B12" s="13" t="s">
        <v>93</v>
      </c>
      <c r="C12" s="13" t="s">
        <v>86</v>
      </c>
      <c r="D12" s="13" t="s">
        <v>86</v>
      </c>
      <c r="E12" s="13" t="s">
        <v>92</v>
      </c>
      <c r="F12" s="13" t="s">
        <v>92</v>
      </c>
      <c r="G12" s="13" t="s">
        <v>92</v>
      </c>
      <c r="H12" s="13" t="s">
        <v>91</v>
      </c>
      <c r="I12" s="13" t="s">
        <v>90</v>
      </c>
      <c r="J12" s="13" t="s">
        <v>90</v>
      </c>
      <c r="K12" s="13" t="s">
        <v>90</v>
      </c>
      <c r="L12" s="13" t="s">
        <v>89</v>
      </c>
      <c r="M12" s="13" t="s">
        <v>88</v>
      </c>
      <c r="N12" s="13" t="s">
        <v>87</v>
      </c>
      <c r="O12" s="13" t="s">
        <v>86</v>
      </c>
      <c r="P12" s="13" t="s">
        <v>85</v>
      </c>
      <c r="Q12" s="13" t="s">
        <v>84</v>
      </c>
      <c r="R12" s="13" t="s">
        <v>83</v>
      </c>
      <c r="S12" s="13" t="s">
        <v>82</v>
      </c>
      <c r="T12" s="13" t="s">
        <v>81</v>
      </c>
    </row>
    <row r="13" spans="1:20" ht="68" x14ac:dyDescent="0.2">
      <c r="A13">
        <f t="shared" si="1"/>
        <v>3</v>
      </c>
      <c r="B13" s="13" t="s">
        <v>80</v>
      </c>
      <c r="C13" s="13" t="s">
        <v>68</v>
      </c>
      <c r="D13" s="13" t="s">
        <v>109</v>
      </c>
      <c r="E13" s="13" t="s">
        <v>79</v>
      </c>
      <c r="F13" s="13" t="s">
        <v>78</v>
      </c>
      <c r="G13" s="13" t="s">
        <v>77</v>
      </c>
      <c r="H13" s="13" t="s">
        <v>76</v>
      </c>
      <c r="I13" s="13" t="s">
        <v>75</v>
      </c>
      <c r="J13" s="13" t="s">
        <v>74</v>
      </c>
      <c r="K13" s="13" t="s">
        <v>73</v>
      </c>
      <c r="L13" s="13" t="s">
        <v>72</v>
      </c>
      <c r="M13" s="13" t="s">
        <v>71</v>
      </c>
      <c r="N13" s="13" t="s">
        <v>70</v>
      </c>
      <c r="O13" s="13" t="s">
        <v>69</v>
      </c>
      <c r="P13" s="13" t="s">
        <v>67</v>
      </c>
      <c r="Q13" s="13"/>
    </row>
    <row r="14" spans="1:20" x14ac:dyDescent="0.2">
      <c r="A14">
        <f t="shared" si="1"/>
        <v>4</v>
      </c>
      <c r="B14" t="s">
        <v>66</v>
      </c>
      <c r="C14">
        <v>2017</v>
      </c>
      <c r="D14">
        <v>2017</v>
      </c>
      <c r="E14">
        <v>2014</v>
      </c>
      <c r="F14">
        <v>2014</v>
      </c>
      <c r="G14">
        <v>2017</v>
      </c>
      <c r="H14">
        <v>2017</v>
      </c>
      <c r="I14">
        <v>2014</v>
      </c>
      <c r="J14">
        <v>2017</v>
      </c>
      <c r="K14">
        <v>2019</v>
      </c>
      <c r="L14">
        <v>2014</v>
      </c>
      <c r="M14">
        <v>2015</v>
      </c>
      <c r="N14">
        <v>2015</v>
      </c>
      <c r="O14">
        <v>2023</v>
      </c>
      <c r="P14">
        <v>2014</v>
      </c>
      <c r="Q14" s="2">
        <f>CORREL($E$32:$P$32,E14:P14)</f>
        <v>-0.11966706029309868</v>
      </c>
      <c r="S14" s="2">
        <f>CORREL(E14:P14,$E$25:$P$25)</f>
        <v>0.17819766820555363</v>
      </c>
      <c r="T14" s="2">
        <f>CORREL(E14:P14,$E$24:$P$24)</f>
        <v>5.3582913688831682E-2</v>
      </c>
    </row>
    <row r="15" spans="1:20" x14ac:dyDescent="0.2">
      <c r="A15">
        <f t="shared" si="1"/>
        <v>5</v>
      </c>
      <c r="B15" t="s">
        <v>65</v>
      </c>
      <c r="C15" s="4">
        <v>82706</v>
      </c>
      <c r="D15" s="4">
        <v>82000</v>
      </c>
      <c r="E15" s="4">
        <v>119963</v>
      </c>
      <c r="F15" s="4">
        <v>74492</v>
      </c>
      <c r="G15" s="4">
        <v>102810</v>
      </c>
      <c r="H15" s="4">
        <v>24409</v>
      </c>
      <c r="I15" s="4">
        <v>113153</v>
      </c>
      <c r="J15" s="4">
        <v>87850</v>
      </c>
      <c r="K15" s="4">
        <v>77656</v>
      </c>
      <c r="L15" s="4">
        <v>76090</v>
      </c>
      <c r="M15" s="4">
        <v>99621</v>
      </c>
      <c r="N15" s="4">
        <v>119851</v>
      </c>
      <c r="O15" s="4">
        <v>56437</v>
      </c>
      <c r="P15" s="4">
        <v>56489</v>
      </c>
      <c r="Q15" s="2">
        <f>CORREL($E$32:$P$32,E15:P15)</f>
        <v>1.8161834194297719E-2</v>
      </c>
    </row>
    <row r="16" spans="1:20" x14ac:dyDescent="0.2">
      <c r="A16">
        <f t="shared" si="1"/>
        <v>6</v>
      </c>
      <c r="B16" t="s">
        <v>64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2</v>
      </c>
      <c r="Q16" s="2"/>
      <c r="S16" s="2">
        <f>CORREL(E16:P16,$E$25:$P$25)</f>
        <v>-0.84414327875257167</v>
      </c>
      <c r="T16" s="2">
        <f>CORREL(E16:P16,$E$24:$P$24)</f>
        <v>-0.53010984842037023</v>
      </c>
    </row>
    <row r="17" spans="1:23" x14ac:dyDescent="0.2">
      <c r="A17">
        <f t="shared" si="1"/>
        <v>7</v>
      </c>
      <c r="B17" t="s">
        <v>63</v>
      </c>
      <c r="C17" t="s">
        <v>60</v>
      </c>
      <c r="D17" t="s">
        <v>60</v>
      </c>
      <c r="E17" t="s">
        <v>62</v>
      </c>
      <c r="F17" t="s">
        <v>62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61</v>
      </c>
      <c r="M17" t="s">
        <v>61</v>
      </c>
      <c r="N17" t="s">
        <v>61</v>
      </c>
      <c r="O17" t="s">
        <v>60</v>
      </c>
      <c r="P17" t="s">
        <v>60</v>
      </c>
      <c r="Q17" s="2"/>
    </row>
    <row r="18" spans="1:23" x14ac:dyDescent="0.2">
      <c r="A18">
        <f t="shared" si="1"/>
        <v>8</v>
      </c>
      <c r="B18" t="s">
        <v>59</v>
      </c>
      <c r="C18">
        <v>4.3</v>
      </c>
      <c r="D18">
        <v>5.8</v>
      </c>
      <c r="E18">
        <v>8.4</v>
      </c>
      <c r="F18">
        <v>4.5</v>
      </c>
      <c r="G18">
        <v>5.0999999999999996</v>
      </c>
      <c r="H18">
        <v>6.1</v>
      </c>
      <c r="I18">
        <v>5.0999999999999996</v>
      </c>
      <c r="J18">
        <v>6.4</v>
      </c>
      <c r="K18">
        <v>7.1</v>
      </c>
      <c r="L18">
        <v>6.4</v>
      </c>
      <c r="M18">
        <v>5.5</v>
      </c>
      <c r="N18">
        <v>5.4</v>
      </c>
      <c r="O18">
        <v>4.3</v>
      </c>
      <c r="P18">
        <v>6.5</v>
      </c>
      <c r="Q18" s="2">
        <f t="shared" ref="Q18:Q30" si="2">CORREL($E$32:$P$32,E18:P18)</f>
        <v>0.32195140632479347</v>
      </c>
      <c r="S18" s="2">
        <f>CORREL(E18:P18,$E$25:$P$25)</f>
        <v>-6.436993071831959E-2</v>
      </c>
      <c r="T18" s="2">
        <f t="shared" ref="T18:T23" si="3">CORREL(E18:P18,$E$24:$P$24)</f>
        <v>-0.10556878966215701</v>
      </c>
      <c r="W18" s="2">
        <f>(D18-C18)/D18</f>
        <v>0.25862068965517243</v>
      </c>
    </row>
    <row r="19" spans="1:23" x14ac:dyDescent="0.2">
      <c r="A19">
        <f t="shared" si="1"/>
        <v>9</v>
      </c>
      <c r="B19" t="s">
        <v>58</v>
      </c>
      <c r="C19">
        <v>110</v>
      </c>
      <c r="D19">
        <v>110</v>
      </c>
      <c r="E19">
        <v>85</v>
      </c>
      <c r="F19">
        <v>110</v>
      </c>
      <c r="G19">
        <v>140</v>
      </c>
      <c r="H19">
        <v>92</v>
      </c>
      <c r="I19">
        <v>51</v>
      </c>
      <c r="J19">
        <v>81</v>
      </c>
      <c r="K19">
        <v>88</v>
      </c>
      <c r="L19">
        <v>140</v>
      </c>
      <c r="M19">
        <v>110</v>
      </c>
      <c r="N19">
        <v>115</v>
      </c>
      <c r="O19">
        <v>85</v>
      </c>
      <c r="P19">
        <v>118</v>
      </c>
      <c r="Q19" s="2">
        <f t="shared" si="2"/>
        <v>0.73076898277538826</v>
      </c>
      <c r="S19" s="2">
        <f>CORREL(E19:P19,$E$25:$P$25)</f>
        <v>0.35696739334459282</v>
      </c>
      <c r="T19" s="2">
        <f t="shared" si="3"/>
        <v>0.51593494483312263</v>
      </c>
      <c r="W19" s="2">
        <f t="shared" ref="W19:W25" si="4">(D19-C19)/D19</f>
        <v>0</v>
      </c>
    </row>
    <row r="20" spans="1:23" x14ac:dyDescent="0.2">
      <c r="A20">
        <f t="shared" si="1"/>
        <v>10</v>
      </c>
      <c r="B20" t="s">
        <v>57</v>
      </c>
      <c r="C20">
        <v>1968</v>
      </c>
      <c r="D20">
        <v>1395</v>
      </c>
      <c r="E20">
        <v>1995</v>
      </c>
      <c r="F20">
        <v>1995</v>
      </c>
      <c r="G20">
        <v>1995</v>
      </c>
      <c r="H20">
        <v>1197</v>
      </c>
      <c r="I20">
        <v>1242</v>
      </c>
      <c r="J20">
        <v>1598</v>
      </c>
      <c r="K20">
        <v>1368</v>
      </c>
      <c r="L20">
        <v>1598</v>
      </c>
      <c r="M20">
        <v>2191</v>
      </c>
      <c r="N20">
        <v>1595</v>
      </c>
      <c r="O20">
        <v>1968</v>
      </c>
      <c r="P20">
        <v>1390</v>
      </c>
      <c r="Q20" s="2">
        <f t="shared" si="2"/>
        <v>0.5940574078127292</v>
      </c>
      <c r="S20" s="2">
        <f>CORREL(E20:P20,$E$25:$P$25)</f>
        <v>0.89456948446146245</v>
      </c>
      <c r="T20" s="2">
        <f t="shared" si="3"/>
        <v>0.66763773230756274</v>
      </c>
      <c r="W20" s="2">
        <f t="shared" si="4"/>
        <v>-0.41075268817204302</v>
      </c>
    </row>
    <row r="21" spans="1:23" x14ac:dyDescent="0.2">
      <c r="A21">
        <f t="shared" si="1"/>
        <v>11</v>
      </c>
      <c r="B21" t="s">
        <v>56</v>
      </c>
      <c r="C21">
        <v>139</v>
      </c>
      <c r="D21">
        <v>139</v>
      </c>
      <c r="E21">
        <v>123</v>
      </c>
      <c r="F21">
        <v>185</v>
      </c>
      <c r="G21">
        <v>142</v>
      </c>
      <c r="H21">
        <v>138</v>
      </c>
      <c r="I21">
        <v>119</v>
      </c>
      <c r="J21">
        <v>147</v>
      </c>
      <c r="K21">
        <v>163</v>
      </c>
      <c r="L21">
        <v>153</v>
      </c>
      <c r="M21">
        <v>136</v>
      </c>
      <c r="N21">
        <v>125</v>
      </c>
      <c r="O21">
        <v>114</v>
      </c>
      <c r="P21">
        <v>152</v>
      </c>
      <c r="Q21" s="2">
        <f t="shared" si="2"/>
        <v>0.2492178230535109</v>
      </c>
      <c r="S21" s="2">
        <f>CORREL(E21:P21,$E$25:$P$25)</f>
        <v>8.286738739194531E-2</v>
      </c>
      <c r="T21" s="2">
        <f t="shared" si="3"/>
        <v>0.28650572445682476</v>
      </c>
      <c r="W21" s="2">
        <f t="shared" si="4"/>
        <v>0</v>
      </c>
    </row>
    <row r="22" spans="1:23" x14ac:dyDescent="0.2">
      <c r="A22">
        <f t="shared" si="1"/>
        <v>12</v>
      </c>
      <c r="B22" t="s">
        <v>55</v>
      </c>
      <c r="C22" s="4">
        <v>20900</v>
      </c>
      <c r="D22" s="4">
        <v>19990</v>
      </c>
      <c r="E22" s="4">
        <v>14380</v>
      </c>
      <c r="F22" s="4">
        <v>14450</v>
      </c>
      <c r="G22" s="4">
        <v>20540</v>
      </c>
      <c r="H22" s="4">
        <v>13600</v>
      </c>
      <c r="I22" s="4">
        <v>7100</v>
      </c>
      <c r="J22" s="4">
        <v>10910</v>
      </c>
      <c r="K22" s="4">
        <v>13410</v>
      </c>
      <c r="L22" s="4">
        <v>14840</v>
      </c>
      <c r="M22" s="4">
        <v>14120</v>
      </c>
      <c r="N22" s="4">
        <v>14950</v>
      </c>
      <c r="O22" s="4">
        <v>21490</v>
      </c>
      <c r="P22" s="4">
        <v>13040</v>
      </c>
      <c r="Q22" s="2">
        <f t="shared" si="2"/>
        <v>0.61211067559928745</v>
      </c>
      <c r="T22" s="2">
        <f t="shared" si="3"/>
        <v>0.51999280963754757</v>
      </c>
      <c r="U22" t="s">
        <v>54</v>
      </c>
      <c r="W22" s="2">
        <f t="shared" si="4"/>
        <v>-4.5522761380690342E-2</v>
      </c>
    </row>
    <row r="23" spans="1:23" x14ac:dyDescent="0.2">
      <c r="A23">
        <f t="shared" si="1"/>
        <v>13</v>
      </c>
      <c r="B23" t="s">
        <v>53</v>
      </c>
      <c r="C23">
        <v>1</v>
      </c>
      <c r="D23">
        <v>1.1000000000000001</v>
      </c>
      <c r="E23">
        <v>1.7</v>
      </c>
      <c r="F23">
        <v>1.65</v>
      </c>
      <c r="G23">
        <v>1.4</v>
      </c>
      <c r="H23">
        <v>1</v>
      </c>
      <c r="I23">
        <v>1</v>
      </c>
      <c r="J23">
        <v>1.1000000000000001</v>
      </c>
      <c r="K23">
        <v>1.1000000000000001</v>
      </c>
      <c r="L23">
        <v>1.5</v>
      </c>
      <c r="M23">
        <v>1.55</v>
      </c>
      <c r="N23">
        <v>1.6</v>
      </c>
      <c r="O23">
        <v>1</v>
      </c>
      <c r="P23">
        <v>1.1000000000000001</v>
      </c>
      <c r="Q23" s="2">
        <f t="shared" si="2"/>
        <v>0.68214316199197345</v>
      </c>
      <c r="T23" s="2">
        <f t="shared" si="3"/>
        <v>0.3293031299160305</v>
      </c>
      <c r="W23" s="2">
        <f t="shared" si="4"/>
        <v>9.0909090909090981E-2</v>
      </c>
    </row>
    <row r="24" spans="1:23" x14ac:dyDescent="0.2">
      <c r="A24">
        <f t="shared" si="1"/>
        <v>14</v>
      </c>
      <c r="B24" t="s">
        <v>52</v>
      </c>
      <c r="C24" s="4">
        <v>701.88</v>
      </c>
      <c r="D24" s="4">
        <v>713.5</v>
      </c>
      <c r="E24" s="4">
        <v>663.64</v>
      </c>
      <c r="F24" s="4">
        <v>724.59</v>
      </c>
      <c r="G24" s="4">
        <v>837.15</v>
      </c>
      <c r="H24" s="4">
        <v>653.91</v>
      </c>
      <c r="I24" s="4">
        <v>451</v>
      </c>
      <c r="J24" s="4">
        <v>708.72</v>
      </c>
      <c r="K24" s="4">
        <v>554.49</v>
      </c>
      <c r="L24" s="4">
        <v>585.9</v>
      </c>
      <c r="M24" s="4">
        <v>757.02</v>
      </c>
      <c r="N24" s="4">
        <v>552.94000000000005</v>
      </c>
      <c r="O24" s="4">
        <v>631.58000000000004</v>
      </c>
      <c r="P24" s="4">
        <v>654.19000000000005</v>
      </c>
      <c r="Q24" s="2">
        <f t="shared" si="2"/>
        <v>0.60858419204436642</v>
      </c>
      <c r="U24" t="s">
        <v>51</v>
      </c>
      <c r="W24" s="2">
        <f t="shared" si="4"/>
        <v>1.628591450595656E-2</v>
      </c>
    </row>
    <row r="25" spans="1:23" x14ac:dyDescent="0.2">
      <c r="A25">
        <f t="shared" si="1"/>
        <v>15</v>
      </c>
      <c r="B25" t="s">
        <v>110</v>
      </c>
      <c r="C25">
        <f>220</f>
        <v>220</v>
      </c>
      <c r="D25">
        <f>116</f>
        <v>116</v>
      </c>
      <c r="E25">
        <f>246</f>
        <v>246</v>
      </c>
      <c r="F25">
        <f>220</f>
        <v>220</v>
      </c>
      <c r="G25">
        <f>284</f>
        <v>284</v>
      </c>
      <c r="H25">
        <f>110</f>
        <v>110</v>
      </c>
      <c r="I25">
        <f>74</f>
        <v>74</v>
      </c>
      <c r="J25">
        <f>136</f>
        <v>136</v>
      </c>
      <c r="K25">
        <f>164</f>
        <v>164</v>
      </c>
      <c r="L25">
        <f>148</f>
        <v>148</v>
      </c>
      <c r="M25">
        <f>291</f>
        <v>291</v>
      </c>
      <c r="N25">
        <f>92</f>
        <v>92</v>
      </c>
      <c r="O25">
        <f>228</f>
        <v>228</v>
      </c>
      <c r="P25">
        <f>142</f>
        <v>142</v>
      </c>
      <c r="Q25" s="2">
        <f t="shared" si="2"/>
        <v>0.61320212575514554</v>
      </c>
      <c r="R25" s="2">
        <f>AVERAGE(E25:P25)/(AVERAGE($E$32:$P$32)*5)</f>
        <v>8.6405689646708358E-3</v>
      </c>
      <c r="T25" s="2">
        <f>CORREL(E25:P25,$E$24:$P$24)</f>
        <v>0.76634735795140785</v>
      </c>
      <c r="U25" t="s">
        <v>44</v>
      </c>
      <c r="W25" s="2">
        <f t="shared" si="4"/>
        <v>-0.89655172413793105</v>
      </c>
    </row>
    <row r="26" spans="1:23" x14ac:dyDescent="0.2">
      <c r="A26">
        <f t="shared" si="1"/>
        <v>16</v>
      </c>
      <c r="B26" t="s">
        <v>50</v>
      </c>
      <c r="C26" s="2">
        <f>_xlfn.RRI($C$6,(C22-C27),C22)</f>
        <v>6.8732288931213636E-2</v>
      </c>
      <c r="D26" s="2">
        <v>0.14000000000000001</v>
      </c>
      <c r="E26" s="2">
        <f t="shared" ref="E26:P26" si="5">_xlfn.RRI($C$6,(E22-E27),E22)</f>
        <v>0.3311901293173376</v>
      </c>
      <c r="F26" s="2">
        <f t="shared" si="5"/>
        <v>0.33117052707768679</v>
      </c>
      <c r="G26" s="2">
        <f t="shared" si="5"/>
        <v>0.18761633018148394</v>
      </c>
      <c r="H26" s="2">
        <f t="shared" si="5"/>
        <v>0.18759547941181554</v>
      </c>
      <c r="I26" s="2">
        <f t="shared" si="5"/>
        <v>5.6225952416696368E-2</v>
      </c>
      <c r="J26" s="2">
        <f t="shared" si="5"/>
        <v>0.18607383730184335</v>
      </c>
      <c r="K26" s="2">
        <f t="shared" si="5"/>
        <v>0.16199701807684752</v>
      </c>
      <c r="L26" s="2">
        <f t="shared" si="5"/>
        <v>0.33119325850820358</v>
      </c>
      <c r="M26" s="2">
        <f t="shared" si="5"/>
        <v>0.24308352046611459</v>
      </c>
      <c r="N26" s="2">
        <f t="shared" si="5"/>
        <v>0.24311439134682034</v>
      </c>
      <c r="O26" s="2">
        <f t="shared" si="5"/>
        <v>0.14440652504566032</v>
      </c>
      <c r="P26" s="2">
        <f t="shared" si="5"/>
        <v>0.33114265294040912</v>
      </c>
      <c r="Q26" s="2">
        <f t="shared" si="2"/>
        <v>0.80964824487655163</v>
      </c>
      <c r="T26" s="2">
        <f>CORREL(E26:P26,$E$24:$P$24)</f>
        <v>0.34051468587862543</v>
      </c>
    </row>
    <row r="27" spans="1:23" x14ac:dyDescent="0.2">
      <c r="A27">
        <f t="shared" si="1"/>
        <v>17</v>
      </c>
      <c r="B27" t="s">
        <v>49</v>
      </c>
      <c r="C27" s="4">
        <v>5910</v>
      </c>
      <c r="D27" s="4">
        <v>5910</v>
      </c>
      <c r="E27" s="4">
        <v>10940</v>
      </c>
      <c r="F27" s="4">
        <v>10993</v>
      </c>
      <c r="G27" s="4">
        <v>11846</v>
      </c>
      <c r="H27" s="4">
        <v>7843</v>
      </c>
      <c r="I27" s="4">
        <v>1699</v>
      </c>
      <c r="J27" s="4">
        <v>6262</v>
      </c>
      <c r="K27" s="4">
        <v>7080</v>
      </c>
      <c r="L27" s="4">
        <v>11290</v>
      </c>
      <c r="M27" s="4">
        <v>9363</v>
      </c>
      <c r="N27" s="4">
        <v>9914</v>
      </c>
      <c r="O27" s="4">
        <v>10542</v>
      </c>
      <c r="P27" s="4">
        <v>9920</v>
      </c>
      <c r="Q27" s="2">
        <f t="shared" si="2"/>
        <v>0.93884300609773608</v>
      </c>
      <c r="R27" s="2">
        <f>AVERAGE(E27:P27)/(AVERAGE($E$32:$P$32)*5)</f>
        <v>0.4358408210507409</v>
      </c>
      <c r="T27" t="s">
        <v>20</v>
      </c>
      <c r="U27" t="s">
        <v>48</v>
      </c>
    </row>
    <row r="28" spans="1:23" x14ac:dyDescent="0.2">
      <c r="A28">
        <f t="shared" si="1"/>
        <v>18</v>
      </c>
      <c r="B28" t="s">
        <v>47</v>
      </c>
      <c r="C28" s="6">
        <f>$C$6*10*$C$7*C18*$C$3</f>
        <v>4239.8</v>
      </c>
      <c r="D28" s="6">
        <f t="shared" ref="D28" si="6">$C$6*10*$C$7*D18*$C$3</f>
        <v>5718.8</v>
      </c>
      <c r="E28" s="6">
        <f>$C$6*10*$C$7*E18*$C$3</f>
        <v>8282.4</v>
      </c>
      <c r="F28" s="6">
        <f>$C$6*10*$C$7*F18*$C$2</f>
        <v>4515.3</v>
      </c>
      <c r="G28" s="6">
        <f>$C$6*10*$C$7*G18*$C$3</f>
        <v>5028.5999999999995</v>
      </c>
      <c r="H28" s="6">
        <f>$C$6*10*$C$7*H18*$C$2</f>
        <v>6120.74</v>
      </c>
      <c r="I28" s="6">
        <f>$C$6*10*$C$7*I18*$C$3</f>
        <v>5028.5999999999995</v>
      </c>
      <c r="J28" s="6">
        <f>$C$6*10*$C$7*J18*$C$2</f>
        <v>6421.76</v>
      </c>
      <c r="K28" s="6">
        <f>$C$6*10*$C$7*K18*$C$2</f>
        <v>7124.14</v>
      </c>
      <c r="L28" s="6">
        <f>$C$6*10*$C$7*L18*$C$2</f>
        <v>6421.76</v>
      </c>
      <c r="M28" s="6">
        <f>$C$6*10*$C$7*M18*$C$3</f>
        <v>5423</v>
      </c>
      <c r="N28" s="6">
        <f>$C$6*10*$C$7*N18*$C$2</f>
        <v>5418.36</v>
      </c>
      <c r="O28" s="6">
        <f>$C$6*10*$C$7*O18*$C$3</f>
        <v>4239.8</v>
      </c>
      <c r="P28" s="6">
        <f>$C$6*10*$C$7*P18*$C$2</f>
        <v>6522.1</v>
      </c>
      <c r="Q28" s="2">
        <f t="shared" si="2"/>
        <v>0.31874103805513143</v>
      </c>
      <c r="R28" s="2">
        <f>AVERAGE(E28:P28)/(AVERAGE($E$32:$P$32)*5)</f>
        <v>0.28550932875891766</v>
      </c>
    </row>
    <row r="29" spans="1:23" x14ac:dyDescent="0.2">
      <c r="A29">
        <f t="shared" si="1"/>
        <v>19</v>
      </c>
      <c r="B29" t="s">
        <v>46</v>
      </c>
      <c r="C29" s="4">
        <f>C24*5</f>
        <v>3509.4</v>
      </c>
      <c r="D29" s="4">
        <f t="shared" ref="D29" si="7">D24*5</f>
        <v>3567.5</v>
      </c>
      <c r="E29" s="4">
        <f t="shared" ref="E29:P29" si="8">E24*5</f>
        <v>3318.2</v>
      </c>
      <c r="F29" s="4">
        <f t="shared" si="8"/>
        <v>3622.9500000000003</v>
      </c>
      <c r="G29" s="4">
        <f t="shared" si="8"/>
        <v>4185.75</v>
      </c>
      <c r="H29" s="4">
        <f t="shared" si="8"/>
        <v>3269.5499999999997</v>
      </c>
      <c r="I29" s="4">
        <f t="shared" si="8"/>
        <v>2255</v>
      </c>
      <c r="J29" s="4">
        <f t="shared" si="8"/>
        <v>3543.6000000000004</v>
      </c>
      <c r="K29" s="4">
        <f t="shared" si="8"/>
        <v>2772.45</v>
      </c>
      <c r="L29" s="4">
        <f t="shared" si="8"/>
        <v>2929.5</v>
      </c>
      <c r="M29" s="4">
        <f t="shared" si="8"/>
        <v>3785.1</v>
      </c>
      <c r="N29" s="4">
        <f t="shared" si="8"/>
        <v>2764.7000000000003</v>
      </c>
      <c r="O29" s="4">
        <f t="shared" si="8"/>
        <v>3157.9</v>
      </c>
      <c r="P29" s="4">
        <f t="shared" si="8"/>
        <v>3270.9500000000003</v>
      </c>
      <c r="Q29" s="2">
        <f t="shared" si="2"/>
        <v>0.60858419204436653</v>
      </c>
      <c r="R29" s="2">
        <f>AVERAGE(E29:P29)/(AVERAGE($E$32:$P$32)*5)</f>
        <v>0.15733383366342188</v>
      </c>
    </row>
    <row r="30" spans="1:23" x14ac:dyDescent="0.2">
      <c r="A30">
        <f t="shared" si="1"/>
        <v>20</v>
      </c>
      <c r="B30" t="s">
        <v>45</v>
      </c>
      <c r="C30" s="6">
        <f>$C$5*2.5+($C$4*C23)*5</f>
        <v>1980</v>
      </c>
      <c r="D30" s="6">
        <f t="shared" ref="D30" si="9">$C$5*2.5+($C$4*D23)*5</f>
        <v>2148</v>
      </c>
      <c r="E30" s="6">
        <f t="shared" ref="E30:P30" si="10">$C$5*2.5+($C$4*E23)*5</f>
        <v>3155.9999999999995</v>
      </c>
      <c r="F30" s="6">
        <f t="shared" si="10"/>
        <v>3072</v>
      </c>
      <c r="G30" s="6">
        <f t="shared" si="10"/>
        <v>2652</v>
      </c>
      <c r="H30" s="6">
        <f t="shared" si="10"/>
        <v>1980</v>
      </c>
      <c r="I30" s="6">
        <f t="shared" si="10"/>
        <v>1980</v>
      </c>
      <c r="J30" s="6">
        <f t="shared" si="10"/>
        <v>2148</v>
      </c>
      <c r="K30" s="6">
        <f t="shared" si="10"/>
        <v>2148</v>
      </c>
      <c r="L30" s="6">
        <f t="shared" si="10"/>
        <v>2820</v>
      </c>
      <c r="M30" s="6">
        <f t="shared" si="10"/>
        <v>2904.0000000000005</v>
      </c>
      <c r="N30" s="6">
        <f t="shared" si="10"/>
        <v>2988</v>
      </c>
      <c r="O30" s="6">
        <f t="shared" si="10"/>
        <v>1980</v>
      </c>
      <c r="P30" s="6">
        <f t="shared" si="10"/>
        <v>2148</v>
      </c>
      <c r="Q30" s="2">
        <f t="shared" si="2"/>
        <v>0.68214316199197356</v>
      </c>
      <c r="R30" s="2">
        <f>AVERAGE(E30:P30)/(AVERAGE($E$32:$P$32)*5)</f>
        <v>0.12131601652691944</v>
      </c>
    </row>
    <row r="31" spans="1:23" x14ac:dyDescent="0.2">
      <c r="A31">
        <f t="shared" si="1"/>
        <v>21</v>
      </c>
      <c r="B31" t="s">
        <v>43</v>
      </c>
      <c r="C31" s="5">
        <f>C32-C28/5</f>
        <v>2279.8799999999997</v>
      </c>
      <c r="D31" s="5">
        <f t="shared" ref="D31" si="11">D32-D28/5</f>
        <v>2325.0999999999995</v>
      </c>
      <c r="E31" s="5">
        <f t="shared" ref="E31:P31" si="12">E32-E28/5</f>
        <v>3482.8400000000006</v>
      </c>
      <c r="F31" s="5">
        <f t="shared" si="12"/>
        <v>3537.5899999999997</v>
      </c>
      <c r="G31" s="5">
        <f t="shared" si="12"/>
        <v>3736.7499999999995</v>
      </c>
      <c r="H31" s="5">
        <f t="shared" si="12"/>
        <v>2618.5100000000002</v>
      </c>
      <c r="I31" s="5">
        <f t="shared" si="12"/>
        <v>1186.7999999999997</v>
      </c>
      <c r="J31" s="5">
        <f t="shared" si="12"/>
        <v>2390.7200000000003</v>
      </c>
      <c r="K31" s="5">
        <f t="shared" si="12"/>
        <v>2400.09</v>
      </c>
      <c r="L31" s="5">
        <f t="shared" si="12"/>
        <v>3407.9000000000005</v>
      </c>
      <c r="M31" s="5">
        <f t="shared" si="12"/>
        <v>3210.4199999999996</v>
      </c>
      <c r="N31" s="5">
        <f t="shared" si="12"/>
        <v>3133.3400000000006</v>
      </c>
      <c r="O31" s="5">
        <f t="shared" si="12"/>
        <v>3135.98</v>
      </c>
      <c r="P31" s="5">
        <f t="shared" si="12"/>
        <v>3067.79</v>
      </c>
      <c r="Q31" s="2"/>
    </row>
    <row r="32" spans="1:23" x14ac:dyDescent="0.2">
      <c r="A32">
        <f t="shared" si="1"/>
        <v>22</v>
      </c>
      <c r="B32" t="s">
        <v>42</v>
      </c>
      <c r="C32" s="5">
        <f>SUM(C27:C30)/5</f>
        <v>3127.8399999999997</v>
      </c>
      <c r="D32" s="5">
        <f t="shared" ref="D32" si="13">SUM(D27:D30)/5</f>
        <v>3468.8599999999997</v>
      </c>
      <c r="E32" s="5">
        <f t="shared" ref="E32:P32" si="14">SUM(E27:E30)/5</f>
        <v>5139.3200000000006</v>
      </c>
      <c r="F32" s="5">
        <f t="shared" si="14"/>
        <v>4440.6499999999996</v>
      </c>
      <c r="G32" s="5">
        <f t="shared" si="14"/>
        <v>4742.4699999999993</v>
      </c>
      <c r="H32" s="5">
        <f t="shared" si="14"/>
        <v>3842.6580000000004</v>
      </c>
      <c r="I32" s="5">
        <f t="shared" si="14"/>
        <v>2192.5199999999995</v>
      </c>
      <c r="J32" s="5">
        <f t="shared" si="14"/>
        <v>3675.0720000000001</v>
      </c>
      <c r="K32" s="5">
        <f t="shared" si="14"/>
        <v>3824.9180000000001</v>
      </c>
      <c r="L32" s="5">
        <f t="shared" si="14"/>
        <v>4692.2520000000004</v>
      </c>
      <c r="M32" s="5">
        <f t="shared" si="14"/>
        <v>4295.0199999999995</v>
      </c>
      <c r="N32" s="5">
        <f t="shared" si="14"/>
        <v>4217.0120000000006</v>
      </c>
      <c r="O32" s="5">
        <f t="shared" si="14"/>
        <v>3983.94</v>
      </c>
      <c r="P32" s="5">
        <f t="shared" si="14"/>
        <v>4372.21</v>
      </c>
    </row>
    <row r="33" spans="1:23" x14ac:dyDescent="0.2">
      <c r="A33">
        <f t="shared" si="1"/>
        <v>23</v>
      </c>
      <c r="B33" t="s">
        <v>41</v>
      </c>
      <c r="C33" s="5">
        <f>C32/12</f>
        <v>260.65333333333331</v>
      </c>
      <c r="D33" s="5">
        <f>D32/12</f>
        <v>289.07166666666666</v>
      </c>
      <c r="E33" s="5">
        <f t="shared" ref="E33:P33" si="15">E32/12</f>
        <v>428.2766666666667</v>
      </c>
      <c r="F33" s="5">
        <f t="shared" si="15"/>
        <v>370.05416666666662</v>
      </c>
      <c r="G33" s="5">
        <f t="shared" si="15"/>
        <v>395.20583333333326</v>
      </c>
      <c r="H33" s="5">
        <f t="shared" si="15"/>
        <v>320.22150000000005</v>
      </c>
      <c r="I33" s="5">
        <f t="shared" si="15"/>
        <v>182.70999999999995</v>
      </c>
      <c r="J33" s="5">
        <f t="shared" si="15"/>
        <v>306.25600000000003</v>
      </c>
      <c r="K33" s="5">
        <f t="shared" si="15"/>
        <v>318.7431666666667</v>
      </c>
      <c r="L33" s="5">
        <f t="shared" si="15"/>
        <v>391.02100000000002</v>
      </c>
      <c r="M33" s="5">
        <f t="shared" si="15"/>
        <v>357.91833333333329</v>
      </c>
      <c r="N33" s="5">
        <f t="shared" si="15"/>
        <v>351.41766666666672</v>
      </c>
      <c r="O33" s="5">
        <f t="shared" si="15"/>
        <v>331.995</v>
      </c>
      <c r="P33" s="5">
        <f t="shared" si="15"/>
        <v>364.35083333333336</v>
      </c>
      <c r="W33" s="2">
        <f t="shared" ref="W33" si="16">(D33-C33)/D33</f>
        <v>9.83089545268475E-2</v>
      </c>
    </row>
    <row r="35" spans="1:23" x14ac:dyDescent="0.2">
      <c r="B35" t="s">
        <v>40</v>
      </c>
      <c r="C35" t="s">
        <v>18</v>
      </c>
      <c r="D35" t="s">
        <v>39</v>
      </c>
      <c r="E35" t="s">
        <v>38</v>
      </c>
      <c r="F35" t="s">
        <v>37</v>
      </c>
      <c r="G35" t="s">
        <v>36</v>
      </c>
      <c r="H35" t="s">
        <v>35</v>
      </c>
      <c r="I35" t="s">
        <v>34</v>
      </c>
      <c r="N35">
        <f>1000/12</f>
        <v>83.333333333333329</v>
      </c>
    </row>
    <row r="36" spans="1:23" x14ac:dyDescent="0.2">
      <c r="A36" s="2"/>
      <c r="B36" t="s">
        <v>33</v>
      </c>
      <c r="C36" s="6">
        <f>D36-E36</f>
        <v>3400.2389724550903</v>
      </c>
      <c r="D36" s="6">
        <v>3693.1800000000003</v>
      </c>
      <c r="E36" s="6">
        <f>((D36-H36)/AVERAGE(0.98,0.69))/100*F36</f>
        <v>292.94102754491018</v>
      </c>
      <c r="F36" s="6">
        <f>$O$18*$C$3</f>
        <v>7.31</v>
      </c>
      <c r="G36" s="6">
        <f>(D36-H36)/AVERAGE(0.98,0.69)</f>
        <v>4007.4011976047909</v>
      </c>
      <c r="H36">
        <v>347</v>
      </c>
      <c r="I36" s="7">
        <f>C36/(G36/G38*O31)</f>
        <v>3.1395825983821317</v>
      </c>
      <c r="J36" s="6"/>
      <c r="K36" s="6"/>
      <c r="L36" s="6"/>
      <c r="M36" s="6"/>
      <c r="N36" s="6"/>
      <c r="O36" s="6"/>
    </row>
    <row r="37" spans="1:23" x14ac:dyDescent="0.2">
      <c r="A37" s="2"/>
      <c r="B37" t="s">
        <v>32</v>
      </c>
      <c r="C37" s="6">
        <v>2832.28</v>
      </c>
      <c r="D37" s="6">
        <v>3749.1600000000003</v>
      </c>
      <c r="E37" s="6">
        <v>916.88000000000022</v>
      </c>
      <c r="F37" s="6">
        <f>$K$18*$C$3</f>
        <v>12.069999999999999</v>
      </c>
      <c r="G37" s="6">
        <f>E37/F37*100</f>
        <v>7596.3545981773023</v>
      </c>
      <c r="H37">
        <v>11</v>
      </c>
      <c r="I37" s="7">
        <f>C37/(G37/G38*O31)</f>
        <v>1.3796097415626321</v>
      </c>
      <c r="J37" s="6"/>
      <c r="K37" s="6"/>
      <c r="L37" s="6"/>
      <c r="M37" s="6"/>
      <c r="N37" s="6"/>
      <c r="O37" s="6"/>
    </row>
    <row r="38" spans="1:23" x14ac:dyDescent="0.2">
      <c r="A38" s="2"/>
      <c r="B38" t="s">
        <v>31</v>
      </c>
      <c r="C38" s="6">
        <f>SUM(C36:C37)</f>
        <v>6232.518972455091</v>
      </c>
      <c r="D38" s="6">
        <f>SUM(D36:D37)</f>
        <v>7442.34</v>
      </c>
      <c r="E38" s="6">
        <f>SUM(E36:E37)</f>
        <v>1209.8210275449105</v>
      </c>
      <c r="F38" s="6"/>
      <c r="G38" s="6">
        <f>SUM(G36:G37)</f>
        <v>11603.755795782094</v>
      </c>
      <c r="H38" s="6">
        <f>SUM(H36:H37)</f>
        <v>358</v>
      </c>
      <c r="I38" s="7">
        <f>C38/O31</f>
        <v>1.9874230615166841</v>
      </c>
      <c r="J38" s="6"/>
      <c r="K38" s="6"/>
      <c r="L38" s="6"/>
      <c r="M38" s="6"/>
      <c r="N38" s="6"/>
      <c r="O38" s="6"/>
    </row>
    <row r="39" spans="1:23" x14ac:dyDescent="0.2">
      <c r="B39" t="s">
        <v>30</v>
      </c>
      <c r="C39" s="6">
        <f>C38-O31</f>
        <v>3096.538972455091</v>
      </c>
      <c r="D39" s="2"/>
    </row>
    <row r="42" spans="1:23" x14ac:dyDescent="0.2">
      <c r="B42" t="s">
        <v>29</v>
      </c>
      <c r="C42">
        <v>12</v>
      </c>
    </row>
    <row r="43" spans="1:23" x14ac:dyDescent="0.2">
      <c r="B43" t="s">
        <v>28</v>
      </c>
      <c r="C43" s="4" t="str">
        <f>_xlfn.CONCAT(INDEX($E$11:$P$33,2,$C$42)," ",INDEX($E$11:$P$33,3,$C$42))</f>
        <v>VW Tiguan 1.4 TSI</v>
      </c>
    </row>
    <row r="44" spans="1:23" x14ac:dyDescent="0.2">
      <c r="B44" t="s">
        <v>27</v>
      </c>
      <c r="C44" s="4" cm="1">
        <f t="array" ref="C44">INDEX($E$11:$P$33,12,C42)</f>
        <v>13040</v>
      </c>
      <c r="S44" s="6"/>
      <c r="T44" s="6"/>
      <c r="U44" s="6"/>
    </row>
    <row r="45" spans="1:23" x14ac:dyDescent="0.2">
      <c r="B45" t="s">
        <v>26</v>
      </c>
      <c r="C45" s="12">
        <v>3.2000000000000001E-2</v>
      </c>
      <c r="D45" t="s">
        <v>25</v>
      </c>
      <c r="T45" s="6"/>
    </row>
    <row r="46" spans="1:23" x14ac:dyDescent="0.2">
      <c r="B46" t="s">
        <v>24</v>
      </c>
      <c r="C46" s="11">
        <f>12*C6</f>
        <v>60</v>
      </c>
    </row>
    <row r="47" spans="1:23" x14ac:dyDescent="0.2">
      <c r="B47" t="s">
        <v>23</v>
      </c>
      <c r="C47" s="10">
        <f>PMT(C45/12,C46,C44)</f>
        <v>-235.47247959465503</v>
      </c>
      <c r="T47" s="7"/>
    </row>
    <row r="48" spans="1:23" x14ac:dyDescent="0.2">
      <c r="B48" t="s">
        <v>22</v>
      </c>
      <c r="C48" s="9">
        <v>3.5000000000000003E-2</v>
      </c>
      <c r="D48" t="s">
        <v>21</v>
      </c>
      <c r="E48" t="s">
        <v>20</v>
      </c>
      <c r="T48" s="6"/>
    </row>
    <row r="49" spans="2:20" x14ac:dyDescent="0.2">
      <c r="B49" t="s">
        <v>19</v>
      </c>
      <c r="C49" s="8">
        <v>6.8900000000000003E-2</v>
      </c>
      <c r="R49" s="7"/>
    </row>
    <row r="50" spans="2:20" x14ac:dyDescent="0.2">
      <c r="T50" s="6"/>
    </row>
    <row r="51" spans="2:20" ht="17" customHeight="1" x14ac:dyDescent="0.2">
      <c r="C51">
        <v>2024</v>
      </c>
      <c r="D51">
        <f>C51+1</f>
        <v>2025</v>
      </c>
      <c r="E51">
        <f>D51+1</f>
        <v>2026</v>
      </c>
      <c r="F51">
        <f>E51+1</f>
        <v>2027</v>
      </c>
      <c r="G51">
        <f>F51+1</f>
        <v>2028</v>
      </c>
      <c r="H51" t="s">
        <v>18</v>
      </c>
      <c r="I51" t="s">
        <v>17</v>
      </c>
      <c r="J51" t="s">
        <v>16</v>
      </c>
    </row>
    <row r="52" spans="2:20" x14ac:dyDescent="0.2">
      <c r="B52" t="s">
        <v>15</v>
      </c>
      <c r="C52" s="5" cm="1">
        <f t="array" ref="C52">INDEX($E$11:$P$33,15,$C$42)*C44</f>
        <v>1851680</v>
      </c>
      <c r="D52" s="5" cm="1">
        <f t="array" ref="D52">INDEX($E$11:$P$33,15,$C$42)*($C$44-C52)</f>
        <v>-261086880</v>
      </c>
      <c r="E52" s="5" cm="1">
        <f t="array" ref="E52">INDEX($E$11:$P$33,15,$C$42)*($C$44-D52-C52)</f>
        <v>36813250080</v>
      </c>
      <c r="F52" s="5" cm="1">
        <f t="array" ref="F52">INDEX($E$11:$P$33,15,$C$42)*($C$44-E52-D52-C52)</f>
        <v>-5190668261280</v>
      </c>
      <c r="G52" s="5" cm="1">
        <f t="array" ref="G52">INDEX($E$11:$P$33,15,$C$42)*($C$44-F52-E52-D52-C52)</f>
        <v>731884224840480</v>
      </c>
      <c r="H52" s="4">
        <f t="shared" ref="H52:H62" si="17">SUM(C52:G52)</f>
        <v>726730110594080</v>
      </c>
      <c r="I52" s="4">
        <f t="shared" ref="I52:I62" si="18">H52/5</f>
        <v>145346022118816</v>
      </c>
      <c r="J52" s="4">
        <f t="shared" ref="J52:J62" si="19">C52/12</f>
        <v>154306.66666666666</v>
      </c>
    </row>
    <row r="53" spans="2:20" x14ac:dyDescent="0.2">
      <c r="B53" t="s">
        <v>14</v>
      </c>
      <c r="C53" s="4" cm="1">
        <f t="array" ref="C53">INDEX($E$11:$P$33,17,$C$42)/5</f>
        <v>1984</v>
      </c>
      <c r="D53" s="4" cm="1">
        <f t="array" ref="D53">INDEX($E$11:$P$33,17,$C$42)/5</f>
        <v>1984</v>
      </c>
      <c r="E53" s="4" cm="1">
        <f t="array" ref="E53">INDEX($E$11:$P$33,17,$C$42)/5</f>
        <v>1984</v>
      </c>
      <c r="F53" s="4" cm="1">
        <f t="array" ref="F53">INDEX($E$11:$P$33,17,$C$42)/5</f>
        <v>1984</v>
      </c>
      <c r="G53" s="4" cm="1">
        <f t="array" ref="G53">INDEX($E$11:$P$33,17,$C$42)/5</f>
        <v>1984</v>
      </c>
      <c r="H53" s="4">
        <f t="shared" si="17"/>
        <v>9920</v>
      </c>
      <c r="I53" s="4">
        <f t="shared" si="18"/>
        <v>1984</v>
      </c>
      <c r="J53" s="3">
        <f t="shared" si="19"/>
        <v>165.33333333333334</v>
      </c>
    </row>
    <row r="54" spans="2:20" x14ac:dyDescent="0.2">
      <c r="B54" t="s">
        <v>13</v>
      </c>
      <c r="C54" s="4" cm="1">
        <f t="array" ref="C54">INDEX($E$11:$P$33,18,$C$42)/5</f>
        <v>1304.42</v>
      </c>
      <c r="D54" s="4" cm="1">
        <f t="array" ref="D54">INDEX($E$11:$P$33,18,$C$42)/5</f>
        <v>1304.42</v>
      </c>
      <c r="E54" s="4" cm="1">
        <f t="array" ref="E54">INDEX($E$11:$P$33,18,$C$42)/5</f>
        <v>1304.42</v>
      </c>
      <c r="F54" s="4" cm="1">
        <f t="array" ref="F54">INDEX($E$11:$P$33,18,$C$42)/5</f>
        <v>1304.42</v>
      </c>
      <c r="G54" s="4" cm="1">
        <f t="array" ref="G54">INDEX($E$11:$P$33,18,$C$42)/5</f>
        <v>1304.42</v>
      </c>
      <c r="H54" s="4">
        <f t="shared" si="17"/>
        <v>6522.1</v>
      </c>
      <c r="I54" s="4">
        <f t="shared" si="18"/>
        <v>1304.42</v>
      </c>
      <c r="J54" s="3">
        <f t="shared" si="19"/>
        <v>108.70166666666667</v>
      </c>
    </row>
    <row r="55" spans="2:20" x14ac:dyDescent="0.2">
      <c r="B55" t="s">
        <v>12</v>
      </c>
      <c r="C55" s="4" cm="1">
        <f t="array" ref="C55">INDEX($E$11:$P$33,19,$C$42)/5</f>
        <v>654.19000000000005</v>
      </c>
      <c r="D55" s="4" cm="1">
        <f t="array" ref="D55">INDEX($E$11:$P$33,19,$C$42)/5</f>
        <v>654.19000000000005</v>
      </c>
      <c r="E55" s="4" cm="1">
        <f t="array" ref="E55">INDEX($E$11:$P$33,19,$C$42)/5</f>
        <v>654.19000000000005</v>
      </c>
      <c r="F55" s="4" cm="1">
        <f t="array" ref="F55">INDEX($E$11:$P$33,19,$C$42)/5</f>
        <v>654.19000000000005</v>
      </c>
      <c r="G55" s="4" cm="1">
        <f t="array" ref="G55">INDEX($E$11:$P$33,19,$C$42)/5</f>
        <v>654.19000000000005</v>
      </c>
      <c r="H55" s="4">
        <f t="shared" si="17"/>
        <v>3270.9500000000003</v>
      </c>
      <c r="I55" s="4">
        <f t="shared" si="18"/>
        <v>654.19000000000005</v>
      </c>
      <c r="J55" s="3">
        <f t="shared" si="19"/>
        <v>54.51583333333334</v>
      </c>
    </row>
    <row r="56" spans="2:20" x14ac:dyDescent="0.2">
      <c r="B56" t="s">
        <v>11</v>
      </c>
      <c r="C56" s="4" cm="1">
        <f t="array" ref="C56">INDEX($E$11:$P$33,20,$C$42)/5</f>
        <v>429.6</v>
      </c>
      <c r="D56" s="4" cm="1">
        <f t="array" ref="D56">INDEX($E$11:$P$33,20,$C$42)/5</f>
        <v>429.6</v>
      </c>
      <c r="E56" s="4" cm="1">
        <f t="array" ref="E56">INDEX($E$11:$P$33,20,$C$42)/5</f>
        <v>429.6</v>
      </c>
      <c r="F56" s="4" cm="1">
        <f t="array" ref="F56">INDEX($E$11:$P$33,20,$C$42)/5</f>
        <v>429.6</v>
      </c>
      <c r="G56" s="4" cm="1">
        <f t="array" ref="G56">INDEX($E$11:$P$33,20,$C$42)/5</f>
        <v>429.6</v>
      </c>
      <c r="H56" s="4">
        <f t="shared" si="17"/>
        <v>2148</v>
      </c>
      <c r="I56" s="4">
        <f t="shared" si="18"/>
        <v>429.6</v>
      </c>
      <c r="J56" s="3">
        <f t="shared" si="19"/>
        <v>35.800000000000004</v>
      </c>
    </row>
    <row r="57" spans="2:20" x14ac:dyDescent="0.2">
      <c r="B57" t="s">
        <v>10</v>
      </c>
      <c r="C57" s="4">
        <f>-CUMIPMT($C$45/12,$C$46,$C$44,(C51-2024)*12+1,(C51-2024)*12+12,0)</f>
        <v>381.64107563462767</v>
      </c>
      <c r="D57" s="4">
        <f>-CUMIPMT($C$45/12,$C$46,$C$44,(D51-2024)*12+1,(D51-2024)*12+12,0)</f>
        <v>302.27483619951499</v>
      </c>
      <c r="E57" s="4">
        <f>-CUMIPMT($C$45/12,$C$46,$C$44,(E51-2024)*12+1,(E51-2024)*12+12,0)</f>
        <v>220.33129478144929</v>
      </c>
      <c r="F57" s="4">
        <f>-CUMIPMT($C$45/12,$C$46,$C$44,(F51-2024)*12+1,(F51-2024)*12+12,0)</f>
        <v>135.72675728633521</v>
      </c>
      <c r="G57" s="4">
        <f>-CUMIPMT($C$45/12,$C$46,$C$44,(G51-2024)*12+1,(G51-2024)*12+12,0)</f>
        <v>48.374811777373907</v>
      </c>
      <c r="H57" s="4">
        <f t="shared" si="17"/>
        <v>1088.3487756793011</v>
      </c>
      <c r="I57" s="4">
        <f t="shared" si="18"/>
        <v>217.66975513586021</v>
      </c>
      <c r="J57" s="3">
        <f t="shared" si="19"/>
        <v>31.803422969552305</v>
      </c>
    </row>
    <row r="58" spans="2:20" x14ac:dyDescent="0.2">
      <c r="B58" t="s">
        <v>9</v>
      </c>
      <c r="C58" s="5">
        <f>C44*($C$48)</f>
        <v>456.40000000000003</v>
      </c>
      <c r="D58" s="5">
        <f>($C$44-C58)*($C$48)</f>
        <v>440.42600000000004</v>
      </c>
      <c r="E58" s="5">
        <f>($C$44-D58-C58)*($C$48)</f>
        <v>425.01109000000008</v>
      </c>
      <c r="F58" s="5">
        <f>($C$44-E58-D58-C58)*($C$48)</f>
        <v>410.13570185000009</v>
      </c>
      <c r="G58" s="5">
        <f>($C$44-F58-E58-D58-C58)*($C$48)</f>
        <v>395.78095228525007</v>
      </c>
      <c r="H58" s="4">
        <f t="shared" si="17"/>
        <v>2127.7537441352501</v>
      </c>
      <c r="I58" s="4">
        <f t="shared" si="18"/>
        <v>425.55074882705003</v>
      </c>
      <c r="J58" s="3">
        <f t="shared" si="19"/>
        <v>38.033333333333339</v>
      </c>
    </row>
    <row r="59" spans="2:20" x14ac:dyDescent="0.2">
      <c r="B59" t="s">
        <v>8</v>
      </c>
      <c r="C59" s="5">
        <f>C44*C49</f>
        <v>898.45600000000002</v>
      </c>
      <c r="D59" s="5">
        <f>($C$44+C59)*$C$49</f>
        <v>960.35961840000004</v>
      </c>
      <c r="E59" s="5">
        <f>($C$44+D59+C59)*$C$49</f>
        <v>1026.52839610776</v>
      </c>
      <c r="F59" s="5">
        <f>($C$44+E59+D59+C59)*$C$49</f>
        <v>1097.2562025995846</v>
      </c>
      <c r="G59" s="5">
        <f>($C$44+F59+E59+D59+C59)*$C$49</f>
        <v>1172.8571549586961</v>
      </c>
      <c r="H59" s="4">
        <f t="shared" si="17"/>
        <v>5155.457372066041</v>
      </c>
      <c r="I59" s="4">
        <f t="shared" si="18"/>
        <v>1031.0914744132083</v>
      </c>
      <c r="J59" s="3">
        <f t="shared" si="19"/>
        <v>74.87133333333334</v>
      </c>
    </row>
    <row r="60" spans="2:20" x14ac:dyDescent="0.2">
      <c r="B60" t="s">
        <v>7</v>
      </c>
      <c r="C60" s="4">
        <f>-C44-SUM(C53:C56,C58,C59)</f>
        <v>-18767.065999999999</v>
      </c>
      <c r="D60" s="4">
        <f>-SUM(D52:D56,D58:D59)</f>
        <v>261081107.00438163</v>
      </c>
      <c r="E60" s="4">
        <f>-SUM(E52:E56,E58:E59)</f>
        <v>-36813255903.749489</v>
      </c>
      <c r="F60" s="4">
        <f>-SUM(F52:F56,F58:F59)</f>
        <v>5190668255400.3984</v>
      </c>
      <c r="G60" s="4">
        <f>-SUM(G52:G56,G58:G59)+C44-SUM(C52:G52)</f>
        <v>-1458614335427461</v>
      </c>
      <c r="H60" s="4">
        <f t="shared" si="17"/>
        <v>-1453460219365624.5</v>
      </c>
      <c r="I60" s="4">
        <f t="shared" si="18"/>
        <v>-290692043873124.88</v>
      </c>
      <c r="J60" s="3">
        <f t="shared" si="19"/>
        <v>-1563.9221666666665</v>
      </c>
    </row>
    <row r="61" spans="2:20" x14ac:dyDescent="0.2">
      <c r="B61" t="s">
        <v>6</v>
      </c>
      <c r="C61" s="4">
        <f>-SUM(C52:C57)</f>
        <v>-1856433.8510756346</v>
      </c>
      <c r="D61" s="4">
        <f>-SUM(D52:D57)</f>
        <v>261082205.51516381</v>
      </c>
      <c r="E61" s="4">
        <f>-SUM(E52:E57)</f>
        <v>-36813254672.54129</v>
      </c>
      <c r="F61" s="4">
        <f>-SUM(F52:F57)</f>
        <v>5190668256772.0635</v>
      </c>
      <c r="G61" s="4">
        <f>-SUM(G52:G57)+C44-SUM(C52:G52)</f>
        <v>-1458614335425940.5</v>
      </c>
      <c r="H61" s="4">
        <f t="shared" si="17"/>
        <v>-1453460221198069.2</v>
      </c>
      <c r="I61" s="4">
        <f t="shared" si="18"/>
        <v>-290692044239613.88</v>
      </c>
      <c r="J61" s="3">
        <f t="shared" si="19"/>
        <v>-154702.82092296955</v>
      </c>
    </row>
    <row r="62" spans="2:20" x14ac:dyDescent="0.2">
      <c r="B62" t="s">
        <v>5</v>
      </c>
      <c r="C62" s="4">
        <f>C61+C59</f>
        <v>-1855535.3950756346</v>
      </c>
      <c r="D62" s="4">
        <f>D61+D59</f>
        <v>261083165.8747822</v>
      </c>
      <c r="E62" s="4">
        <f>E61+E59</f>
        <v>-36813253646.012894</v>
      </c>
      <c r="F62" s="4">
        <f>F61+F59</f>
        <v>5190668257869.3193</v>
      </c>
      <c r="G62" s="4">
        <f>G61+G59</f>
        <v>-1458614335424767.8</v>
      </c>
      <c r="H62" s="4">
        <f t="shared" si="17"/>
        <v>-1453460221192914</v>
      </c>
      <c r="I62" s="4">
        <f t="shared" si="18"/>
        <v>-290692044238582.81</v>
      </c>
      <c r="J62" s="3">
        <f t="shared" si="19"/>
        <v>-154627.94958963621</v>
      </c>
    </row>
    <row r="63" spans="2:20" x14ac:dyDescent="0.2">
      <c r="C63" s="3"/>
    </row>
    <row r="71" spans="2:5" x14ac:dyDescent="0.2">
      <c r="B71" t="s">
        <v>4</v>
      </c>
    </row>
    <row r="72" spans="2:5" x14ac:dyDescent="0.2">
      <c r="B72">
        <v>0</v>
      </c>
      <c r="C72">
        <v>30000</v>
      </c>
    </row>
    <row r="73" spans="2:5" x14ac:dyDescent="0.2">
      <c r="B73">
        <v>1</v>
      </c>
      <c r="C73">
        <v>21536</v>
      </c>
      <c r="D73" s="2">
        <f t="shared" ref="D73:D82" si="20">(C72-C73)/C72</f>
        <v>0.28213333333333335</v>
      </c>
    </row>
    <row r="74" spans="2:5" x14ac:dyDescent="0.2">
      <c r="B74">
        <v>2</v>
      </c>
      <c r="C74">
        <v>17721</v>
      </c>
      <c r="D74" s="2">
        <f t="shared" si="20"/>
        <v>0.17714524517087668</v>
      </c>
    </row>
    <row r="75" spans="2:5" x14ac:dyDescent="0.2">
      <c r="B75">
        <v>3</v>
      </c>
      <c r="C75">
        <v>14786</v>
      </c>
      <c r="D75" s="2">
        <f t="shared" si="20"/>
        <v>0.16562270752214886</v>
      </c>
      <c r="E75" s="2">
        <f>(C72-C75)/C72</f>
        <v>0.50713333333333332</v>
      </c>
    </row>
    <row r="76" spans="2:5" x14ac:dyDescent="0.2">
      <c r="B76">
        <v>4</v>
      </c>
      <c r="C76">
        <v>12814</v>
      </c>
      <c r="D76" s="2">
        <f t="shared" si="20"/>
        <v>0.13336940348978762</v>
      </c>
    </row>
    <row r="77" spans="2:5" x14ac:dyDescent="0.2">
      <c r="B77">
        <v>5</v>
      </c>
      <c r="C77">
        <v>11057</v>
      </c>
      <c r="D77" s="2">
        <f t="shared" si="20"/>
        <v>0.13711565475261434</v>
      </c>
    </row>
    <row r="78" spans="2:5" x14ac:dyDescent="0.2">
      <c r="B78">
        <v>6</v>
      </c>
      <c r="C78">
        <v>9664</v>
      </c>
      <c r="D78" s="2">
        <f t="shared" si="20"/>
        <v>0.125983539839016</v>
      </c>
      <c r="E78" s="2">
        <f>(C72-C78)/C72</f>
        <v>0.67786666666666662</v>
      </c>
    </row>
    <row r="79" spans="2:5" x14ac:dyDescent="0.2">
      <c r="B79">
        <v>7</v>
      </c>
      <c r="C79">
        <v>8486</v>
      </c>
      <c r="D79" s="2">
        <f t="shared" si="20"/>
        <v>0.12189569536423842</v>
      </c>
    </row>
    <row r="80" spans="2:5" x14ac:dyDescent="0.2">
      <c r="B80">
        <v>8</v>
      </c>
      <c r="C80">
        <v>7714</v>
      </c>
      <c r="D80" s="2">
        <f t="shared" si="20"/>
        <v>9.0973367900070698E-2</v>
      </c>
    </row>
    <row r="81" spans="2:9" x14ac:dyDescent="0.2">
      <c r="B81">
        <v>9</v>
      </c>
      <c r="C81">
        <v>6857</v>
      </c>
      <c r="D81" s="2">
        <f t="shared" si="20"/>
        <v>0.11109670728545502</v>
      </c>
    </row>
    <row r="82" spans="2:9" x14ac:dyDescent="0.2">
      <c r="B82">
        <v>10</v>
      </c>
      <c r="C82">
        <v>6000</v>
      </c>
      <c r="D82" s="2">
        <f t="shared" si="20"/>
        <v>0.12498177045355112</v>
      </c>
      <c r="E82" s="2">
        <f>(C72-C82)/C72</f>
        <v>0.8</v>
      </c>
    </row>
    <row r="83" spans="2:9" x14ac:dyDescent="0.2">
      <c r="B83">
        <v>11</v>
      </c>
    </row>
    <row r="84" spans="2:9" x14ac:dyDescent="0.2">
      <c r="B84">
        <v>12</v>
      </c>
    </row>
    <row r="85" spans="2:9" x14ac:dyDescent="0.2">
      <c r="B85">
        <v>13</v>
      </c>
      <c r="G85" t="s">
        <v>3</v>
      </c>
      <c r="I85" t="s">
        <v>2</v>
      </c>
    </row>
    <row r="86" spans="2:9" x14ac:dyDescent="0.2">
      <c r="B86">
        <v>14</v>
      </c>
      <c r="G86" t="s">
        <v>1</v>
      </c>
      <c r="H86" s="1">
        <v>0.55900000000000005</v>
      </c>
    </row>
    <row r="87" spans="2:9" x14ac:dyDescent="0.2">
      <c r="B87">
        <v>15</v>
      </c>
      <c r="G87" t="s">
        <v>0</v>
      </c>
      <c r="H87" s="1">
        <v>0.54100000000000004</v>
      </c>
    </row>
    <row r="90" spans="2:9" x14ac:dyDescent="0.2">
      <c r="F90" t="s">
        <v>107</v>
      </c>
      <c r="G90" t="s">
        <v>108</v>
      </c>
    </row>
    <row r="91" spans="2:9" x14ac:dyDescent="0.2">
      <c r="C91">
        <v>0</v>
      </c>
      <c r="D91">
        <v>0</v>
      </c>
      <c r="E91">
        <v>2023</v>
      </c>
      <c r="F91">
        <v>34020</v>
      </c>
      <c r="G91">
        <v>59750</v>
      </c>
      <c r="H91">
        <v>4000</v>
      </c>
    </row>
    <row r="92" spans="2:9" x14ac:dyDescent="0.2">
      <c r="C92">
        <v>1</v>
      </c>
      <c r="D92">
        <v>11000</v>
      </c>
      <c r="E92">
        <v>2022</v>
      </c>
      <c r="F92" s="6">
        <f>F91-(F91-F93)/2</f>
        <v>26518.59</v>
      </c>
      <c r="G92">
        <v>47000</v>
      </c>
      <c r="H92">
        <v>20000</v>
      </c>
    </row>
    <row r="93" spans="2:9" x14ac:dyDescent="0.2">
      <c r="C93">
        <f>C92+1</f>
        <v>2</v>
      </c>
      <c r="D93">
        <f>D92+11000</f>
        <v>22000</v>
      </c>
      <c r="E93">
        <v>2021</v>
      </c>
      <c r="F93" s="6">
        <f>F91*H86</f>
        <v>19017.18</v>
      </c>
      <c r="G93">
        <v>43900</v>
      </c>
      <c r="H93">
        <v>39500</v>
      </c>
    </row>
    <row r="94" spans="2:9" x14ac:dyDescent="0.2">
      <c r="C94">
        <f t="shared" ref="C94:C116" si="21">C93+1</f>
        <v>3</v>
      </c>
      <c r="D94">
        <v>14975</v>
      </c>
      <c r="E94">
        <v>2020</v>
      </c>
      <c r="F94">
        <v>12900</v>
      </c>
      <c r="G94">
        <v>25880</v>
      </c>
      <c r="H94">
        <v>49100</v>
      </c>
    </row>
    <row r="95" spans="2:9" x14ac:dyDescent="0.2">
      <c r="C95">
        <f t="shared" si="21"/>
        <v>4</v>
      </c>
      <c r="D95">
        <v>22059</v>
      </c>
      <c r="E95">
        <v>2019</v>
      </c>
      <c r="F95">
        <v>10890</v>
      </c>
      <c r="G95">
        <v>23000</v>
      </c>
      <c r="H95">
        <v>70000</v>
      </c>
    </row>
    <row r="96" spans="2:9" x14ac:dyDescent="0.2">
      <c r="C96">
        <f t="shared" si="21"/>
        <v>5</v>
      </c>
      <c r="D96">
        <v>38000</v>
      </c>
      <c r="E96">
        <v>2018</v>
      </c>
      <c r="F96">
        <v>10450</v>
      </c>
      <c r="G96">
        <v>19980</v>
      </c>
      <c r="H96">
        <v>107761</v>
      </c>
    </row>
    <row r="97" spans="3:9" x14ac:dyDescent="0.2">
      <c r="C97">
        <f t="shared" si="21"/>
        <v>6</v>
      </c>
      <c r="D97">
        <v>86399</v>
      </c>
      <c r="E97">
        <v>2017</v>
      </c>
      <c r="F97">
        <v>9250</v>
      </c>
      <c r="G97">
        <v>17750</v>
      </c>
      <c r="H97">
        <v>113100</v>
      </c>
      <c r="I97">
        <f>G98-G103</f>
        <v>5910</v>
      </c>
    </row>
    <row r="98" spans="3:9" x14ac:dyDescent="0.2">
      <c r="C98">
        <f t="shared" si="21"/>
        <v>7</v>
      </c>
      <c r="D98">
        <v>103000</v>
      </c>
      <c r="E98">
        <v>2016</v>
      </c>
      <c r="F98">
        <v>7950</v>
      </c>
      <c r="G98">
        <v>15900</v>
      </c>
      <c r="H98">
        <v>146074</v>
      </c>
    </row>
    <row r="99" spans="3:9" x14ac:dyDescent="0.2">
      <c r="C99">
        <f t="shared" si="21"/>
        <v>8</v>
      </c>
      <c r="D99">
        <v>75000</v>
      </c>
      <c r="E99">
        <v>2015</v>
      </c>
      <c r="F99">
        <v>6950</v>
      </c>
      <c r="G99">
        <v>14500</v>
      </c>
      <c r="H99">
        <v>166500</v>
      </c>
    </row>
    <row r="100" spans="3:9" x14ac:dyDescent="0.2">
      <c r="C100">
        <f t="shared" si="21"/>
        <v>9</v>
      </c>
      <c r="D100">
        <v>38000</v>
      </c>
      <c r="E100">
        <v>2014</v>
      </c>
      <c r="F100">
        <v>9150</v>
      </c>
      <c r="G100">
        <v>12400</v>
      </c>
      <c r="H100">
        <v>173000</v>
      </c>
    </row>
    <row r="101" spans="3:9" x14ac:dyDescent="0.2">
      <c r="C101">
        <f t="shared" si="21"/>
        <v>10</v>
      </c>
      <c r="E101">
        <f>E100-1</f>
        <v>2013</v>
      </c>
      <c r="G101">
        <v>12250</v>
      </c>
      <c r="H101">
        <v>159000</v>
      </c>
    </row>
    <row r="102" spans="3:9" x14ac:dyDescent="0.2">
      <c r="C102">
        <f t="shared" si="21"/>
        <v>11</v>
      </c>
      <c r="E102">
        <f t="shared" ref="E102:E124" si="22">E101-1</f>
        <v>2012</v>
      </c>
      <c r="G102">
        <v>10499</v>
      </c>
      <c r="H102">
        <v>246000</v>
      </c>
    </row>
    <row r="103" spans="3:9" x14ac:dyDescent="0.2">
      <c r="C103">
        <f t="shared" si="21"/>
        <v>12</v>
      </c>
      <c r="E103">
        <f t="shared" si="22"/>
        <v>2011</v>
      </c>
      <c r="G103">
        <v>9990</v>
      </c>
      <c r="H103">
        <v>211640</v>
      </c>
    </row>
    <row r="104" spans="3:9" x14ac:dyDescent="0.2">
      <c r="C104">
        <f t="shared" si="21"/>
        <v>13</v>
      </c>
      <c r="E104">
        <f t="shared" si="22"/>
        <v>2010</v>
      </c>
      <c r="G104">
        <v>9200</v>
      </c>
      <c r="H104">
        <v>280000</v>
      </c>
    </row>
    <row r="105" spans="3:9" x14ac:dyDescent="0.2">
      <c r="C105">
        <f t="shared" si="21"/>
        <v>14</v>
      </c>
      <c r="E105">
        <f t="shared" si="22"/>
        <v>2009</v>
      </c>
      <c r="G105">
        <v>8250</v>
      </c>
      <c r="H105">
        <v>252000</v>
      </c>
    </row>
    <row r="106" spans="3:9" x14ac:dyDescent="0.2">
      <c r="C106">
        <f t="shared" si="21"/>
        <v>15</v>
      </c>
      <c r="E106">
        <f t="shared" si="22"/>
        <v>2008</v>
      </c>
      <c r="G106">
        <v>6900</v>
      </c>
      <c r="H106">
        <v>250000</v>
      </c>
    </row>
    <row r="107" spans="3:9" x14ac:dyDescent="0.2">
      <c r="C107">
        <f t="shared" si="21"/>
        <v>16</v>
      </c>
      <c r="E107">
        <f t="shared" si="22"/>
        <v>2007</v>
      </c>
      <c r="G107">
        <v>5999</v>
      </c>
      <c r="H107">
        <v>399900</v>
      </c>
    </row>
    <row r="108" spans="3:9" x14ac:dyDescent="0.2">
      <c r="C108">
        <f t="shared" si="21"/>
        <v>17</v>
      </c>
      <c r="E108">
        <f t="shared" si="22"/>
        <v>2006</v>
      </c>
      <c r="G108">
        <v>4500</v>
      </c>
      <c r="H108">
        <v>230000</v>
      </c>
    </row>
    <row r="109" spans="3:9" x14ac:dyDescent="0.2">
      <c r="C109">
        <f t="shared" si="21"/>
        <v>18</v>
      </c>
      <c r="E109">
        <f t="shared" si="22"/>
        <v>2005</v>
      </c>
      <c r="G109">
        <v>4500</v>
      </c>
      <c r="H109">
        <v>300000</v>
      </c>
    </row>
    <row r="110" spans="3:9" x14ac:dyDescent="0.2">
      <c r="C110">
        <f t="shared" si="21"/>
        <v>19</v>
      </c>
      <c r="E110">
        <f t="shared" si="22"/>
        <v>2004</v>
      </c>
      <c r="G110">
        <v>1950</v>
      </c>
      <c r="H110">
        <v>194000</v>
      </c>
    </row>
    <row r="111" spans="3:9" x14ac:dyDescent="0.2">
      <c r="C111">
        <f t="shared" si="21"/>
        <v>20</v>
      </c>
      <c r="E111">
        <f t="shared" si="22"/>
        <v>2003</v>
      </c>
      <c r="G111">
        <v>1700</v>
      </c>
      <c r="H111">
        <v>382000</v>
      </c>
    </row>
    <row r="112" spans="3:9" x14ac:dyDescent="0.2">
      <c r="C112">
        <f t="shared" si="21"/>
        <v>21</v>
      </c>
      <c r="E112">
        <f t="shared" si="22"/>
        <v>2002</v>
      </c>
      <c r="G112">
        <v>1600</v>
      </c>
      <c r="H112">
        <v>263400</v>
      </c>
    </row>
    <row r="113" spans="3:8" x14ac:dyDescent="0.2">
      <c r="C113">
        <f t="shared" si="21"/>
        <v>22</v>
      </c>
      <c r="E113">
        <f t="shared" si="22"/>
        <v>2001</v>
      </c>
      <c r="G113">
        <v>799</v>
      </c>
      <c r="H113">
        <v>397000</v>
      </c>
    </row>
    <row r="114" spans="3:8" x14ac:dyDescent="0.2">
      <c r="C114">
        <f t="shared" si="21"/>
        <v>23</v>
      </c>
      <c r="E114">
        <f t="shared" si="22"/>
        <v>2000</v>
      </c>
      <c r="G114">
        <v>999</v>
      </c>
      <c r="H114">
        <v>330400</v>
      </c>
    </row>
    <row r="115" spans="3:8" x14ac:dyDescent="0.2">
      <c r="C115">
        <f t="shared" si="21"/>
        <v>24</v>
      </c>
      <c r="E115">
        <f t="shared" si="22"/>
        <v>1999</v>
      </c>
      <c r="G115">
        <v>1250</v>
      </c>
      <c r="H115">
        <v>249000</v>
      </c>
    </row>
    <row r="116" spans="3:8" x14ac:dyDescent="0.2">
      <c r="C116">
        <f t="shared" si="21"/>
        <v>25</v>
      </c>
      <c r="E116">
        <f t="shared" si="22"/>
        <v>1998</v>
      </c>
      <c r="G116">
        <v>1800</v>
      </c>
      <c r="H116">
        <v>225000</v>
      </c>
    </row>
    <row r="117" spans="3:8" x14ac:dyDescent="0.2">
      <c r="C117" s="2">
        <f>CORREL(C91:C116,G91:G116)</f>
        <v>-0.85810485534900705</v>
      </c>
      <c r="E117">
        <f t="shared" si="22"/>
        <v>1997</v>
      </c>
      <c r="H117" s="2">
        <f>CORREL(G91:G116,H91:H116)</f>
        <v>-0.8289654997984931</v>
      </c>
    </row>
    <row r="118" spans="3:8" x14ac:dyDescent="0.2">
      <c r="E118">
        <f t="shared" si="22"/>
        <v>1996</v>
      </c>
    </row>
    <row r="119" spans="3:8" x14ac:dyDescent="0.2">
      <c r="E119">
        <f t="shared" si="22"/>
        <v>1995</v>
      </c>
    </row>
    <row r="120" spans="3:8" x14ac:dyDescent="0.2">
      <c r="E120">
        <f t="shared" si="22"/>
        <v>1994</v>
      </c>
    </row>
    <row r="121" spans="3:8" x14ac:dyDescent="0.2">
      <c r="E121">
        <f t="shared" si="22"/>
        <v>1993</v>
      </c>
    </row>
    <row r="122" spans="3:8" x14ac:dyDescent="0.2">
      <c r="E122">
        <f t="shared" si="22"/>
        <v>1992</v>
      </c>
    </row>
    <row r="123" spans="3:8" x14ac:dyDescent="0.2">
      <c r="E123">
        <f t="shared" si="22"/>
        <v>1991</v>
      </c>
    </row>
    <row r="124" spans="3:8" x14ac:dyDescent="0.2">
      <c r="E124">
        <f t="shared" si="22"/>
        <v>1990</v>
      </c>
    </row>
  </sheetData>
  <conditionalFormatting sqref="C16:P16">
    <cfRule type="colorScale" priority="9">
      <colorScale>
        <cfvo type="min"/>
        <cfvo type="max"/>
        <color theme="1"/>
        <color rgb="FFFFEF9C"/>
      </colorScale>
    </cfRule>
  </conditionalFormatting>
  <conditionalFormatting sqref="C31:P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P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7DAB-CFF1-0A47-950D-C35534C12B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Машина</vt:lpstr>
      <vt:lpstr>Car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KHRISTOV</dc:creator>
  <cp:lastModifiedBy>Todor KHRISTOV</cp:lastModifiedBy>
  <dcterms:created xsi:type="dcterms:W3CDTF">2024-01-13T16:43:25Z</dcterms:created>
  <dcterms:modified xsi:type="dcterms:W3CDTF">2024-01-15T16:53:36Z</dcterms:modified>
</cp:coreProperties>
</file>