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18fd24b05b30b034/Desktop/data_analyst/challenges/challenge1_crowd_funding_analysis/Instructions/"/>
    </mc:Choice>
  </mc:AlternateContent>
  <xr:revisionPtr revIDLastSave="1403" documentId="13_ncr:40009_{11C9D2FE-BDF6-5C46-B9DE-A4DF0C4A6734}" xr6:coauthVersionLast="47" xr6:coauthVersionMax="47" xr10:uidLastSave="{449610D8-A6E7-42B2-9F37-8ECD397D3683}"/>
  <bookViews>
    <workbookView xWindow="14400" yWindow="0" windowWidth="14400" windowHeight="15600" firstSheet="1" activeTab="2" xr2:uid="{00000000-000D-0000-FFFF-FFFF00000000}"/>
  </bookViews>
  <sheets>
    <sheet name="Crowdfunding" sheetId="1" r:id="rId1"/>
    <sheet name="Outcome per Category" sheetId="4" r:id="rId2"/>
    <sheet name="Outcome per Sub-Category" sheetId="5" r:id="rId3"/>
    <sheet name="Outcome per Date Created Conv." sheetId="8" r:id="rId4"/>
    <sheet name="Goal Analysis" sheetId="11" r:id="rId5"/>
    <sheet name="Statistical Analysis" sheetId="16" r:id="rId6"/>
  </sheets>
  <definedNames>
    <definedName name="_xlnm._FilterDatabase" localSheetId="0" hidden="1">Crowdfunding!$G$1:$G$1001</definedName>
  </definedNames>
  <calcPr calcId="191029"/>
  <pivotCaches>
    <pivotCache cacheId="0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6" l="1"/>
  <c r="J19" i="16" s="1"/>
  <c r="K19" i="16"/>
  <c r="K18" i="16"/>
  <c r="K12" i="16"/>
  <c r="J12" i="16"/>
  <c r="K16" i="16"/>
  <c r="K15" i="16"/>
  <c r="J16" i="16"/>
  <c r="J15" i="16"/>
  <c r="J13" i="16"/>
  <c r="J8" i="16"/>
  <c r="K8" i="16"/>
  <c r="J9" i="16"/>
  <c r="K9" i="16"/>
  <c r="J10" i="16"/>
  <c r="K10" i="16"/>
  <c r="J11" i="16"/>
  <c r="K11" i="16"/>
  <c r="K13" i="16"/>
  <c r="D13" i="11" l="1"/>
  <c r="D12" i="11"/>
  <c r="D11" i="11"/>
  <c r="D10" i="11"/>
  <c r="D9" i="11"/>
  <c r="D8" i="11"/>
  <c r="D7" i="11"/>
  <c r="D6" i="11"/>
  <c r="D5" i="11"/>
  <c r="D4" i="11"/>
  <c r="D3" i="11"/>
  <c r="C13" i="11"/>
  <c r="C12" i="11"/>
  <c r="C11" i="11"/>
  <c r="C10" i="11"/>
  <c r="C9" i="11"/>
  <c r="C8" i="11"/>
  <c r="C7" i="11"/>
  <c r="C6" i="11"/>
  <c r="C4" i="11"/>
  <c r="C5" i="11"/>
  <c r="C3" i="11"/>
  <c r="C2" i="11"/>
  <c r="D2" i="11"/>
  <c r="B2" i="11"/>
  <c r="B13" i="11"/>
  <c r="B12" i="11"/>
  <c r="B11" i="11"/>
  <c r="B10" i="11"/>
  <c r="B9" i="11"/>
  <c r="B3" i="11"/>
  <c r="B4" i="11"/>
  <c r="B5" i="11"/>
  <c r="B6" i="11"/>
  <c r="B7" i="11"/>
  <c r="B8" i="11"/>
  <c r="E8" i="1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7" i="11" l="1"/>
  <c r="F7" i="11" s="1"/>
  <c r="E2" i="11"/>
  <c r="H2" i="11" s="1"/>
  <c r="G8" i="11"/>
  <c r="F8" i="11"/>
  <c r="H8" i="11"/>
  <c r="F5" i="11"/>
  <c r="F4" i="11"/>
  <c r="E13" i="11"/>
  <c r="F13" i="11" s="1"/>
  <c r="F2" i="11"/>
  <c r="E12" i="11"/>
  <c r="G12" i="11" s="1"/>
  <c r="E11" i="11"/>
  <c r="H11" i="11" s="1"/>
  <c r="E10" i="11"/>
  <c r="G10" i="11" s="1"/>
  <c r="E9" i="11"/>
  <c r="F9" i="11" s="1"/>
  <c r="E6" i="11"/>
  <c r="F6" i="11" s="1"/>
  <c r="E5" i="11"/>
  <c r="G5" i="11" s="1"/>
  <c r="E4" i="11"/>
  <c r="H4" i="11" s="1"/>
  <c r="E3" i="11"/>
  <c r="H3" i="11" s="1"/>
  <c r="H7" i="11" l="1"/>
  <c r="G7" i="11"/>
  <c r="G4" i="11"/>
  <c r="G2" i="11"/>
  <c r="G6" i="11"/>
  <c r="F3" i="11"/>
  <c r="H6" i="11"/>
  <c r="H5" i="11"/>
  <c r="G9" i="11"/>
  <c r="H9" i="11"/>
  <c r="F12" i="11"/>
  <c r="H10" i="11"/>
  <c r="G13" i="11"/>
  <c r="H12" i="11"/>
  <c r="F10" i="11"/>
  <c r="H13" i="11"/>
  <c r="F11" i="11"/>
  <c r="G11" i="11"/>
  <c r="G3" i="11"/>
</calcChain>
</file>

<file path=xl/sharedStrings.xml><?xml version="1.0" encoding="utf-8"?>
<sst xmlns="http://schemas.openxmlformats.org/spreadsheetml/2006/main" count="9067" uniqueCount="2119">
  <si>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</si>
  <si>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</si>
  <si>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</si>
  <si>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</si>
  <si>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</si>
  <si>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</si>
  <si>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</si>
  <si>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</si>
  <si>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</si>
  <si>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</si>
  <si>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</si>
  <si>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</si>
  <si>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</si>
  <si>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</si>
  <si>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</si>
  <si>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</si>
  <si>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</si>
  <si>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</si>
  <si>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</si>
  <si>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</si>
  <si>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</si>
  <si>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</si>
  <si>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</si>
  <si>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</si>
  <si>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</si>
  <si>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</si>
  <si>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</si>
  <si>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</si>
  <si>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</si>
  <si>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</si>
  <si>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</si>
  <si>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</si>
  <si>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</si>
  <si>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</si>
  <si>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</si>
  <si>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</si>
  <si>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</si>
  <si>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</si>
  <si>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</si>
  <si>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</si>
  <si>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</si>
  <si>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</si>
  <si>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</si>
  <si>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</si>
  <si>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</si>
  <si>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</si>
  <si>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</si>
  <si>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</si>
  <si>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</si>
  <si>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</si>
  <si>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</si>
  <si>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</si>
  <si>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</si>
  <si>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</si>
  <si>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</si>
  <si>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</si>
  <si>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</si>
  <si>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</si>
  <si>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</si>
  <si>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</si>
  <si>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</si>
  <si>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</si>
  <si>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</si>
  <si>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</si>
  <si>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</si>
  <si>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</si>
  <si>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</si>
  <si>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</si>
  <si>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</si>
  <si>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</si>
  <si>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</si>
  <si>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</si>
  <si>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</si>
  <si>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</si>
  <si>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</si>
  <si>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</si>
  <si>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</si>
  <si>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</si>
  <si>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</si>
  <si>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</si>
  <si>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</si>
  <si>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</si>
  <si>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</si>
  <si>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</si>
  <si>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</si>
  <si>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</si>
  <si>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</si>
  <si>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</si>
  <si>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</si>
  <si>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</si>
  <si>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</si>
  <si>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</si>
  <si>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</si>
  <si>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</si>
  <si>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</si>
  <si>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</si>
  <si>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</si>
  <si>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</si>
  <si>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</si>
  <si>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</si>
  <si>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</si>
  <si>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</si>
  <si>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</si>
  <si>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</si>
  <si>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</si>
  <si>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</si>
  <si>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</si>
  <si>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</si>
  <si>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</si>
  <si>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</si>
  <si>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</si>
  <si>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</si>
  <si>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</si>
  <si>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</si>
  <si>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</si>
  <si>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</si>
  <si>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</si>
  <si>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</si>
  <si>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</si>
  <si>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</si>
  <si>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</si>
  <si>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</si>
  <si>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</si>
  <si>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</si>
  <si>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</si>
  <si>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</si>
  <si>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</si>
  <si>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</si>
  <si>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</si>
  <si>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</si>
  <si>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</si>
  <si>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</si>
  <si>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</si>
  <si>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</si>
  <si>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</si>
  <si>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</si>
  <si>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</si>
  <si>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</si>
  <si>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</si>
  <si>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</si>
  <si>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</si>
  <si>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</si>
  <si>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</si>
  <si>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</si>
  <si>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</si>
  <si>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</si>
  <si>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</si>
  <si>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</si>
  <si>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</si>
  <si>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</si>
  <si>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</si>
  <si>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</si>
  <si>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</si>
  <si>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</si>
  <si>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</si>
  <si>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</si>
  <si>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</si>
  <si>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</si>
  <si>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</si>
  <si>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</si>
  <si>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</si>
  <si>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</si>
  <si>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</si>
  <si>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</si>
  <si>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</si>
  <si>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</si>
  <si>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</si>
  <si>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</si>
  <si>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</si>
  <si>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</si>
  <si>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</si>
  <si>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</si>
  <si>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</si>
  <si>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</si>
  <si>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</si>
  <si>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</si>
  <si>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</si>
  <si>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</si>
  <si>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</si>
  <si>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</si>
  <si>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</si>
  <si>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</si>
  <si>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</si>
  <si>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</si>
  <si>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</si>
  <si>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</si>
  <si>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</si>
  <si>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</si>
  <si>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</si>
  <si>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</si>
  <si>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</si>
  <si>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</si>
  <si>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</si>
  <si>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</si>
  <si>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</si>
  <si>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</si>
  <si>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</si>
  <si>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</si>
  <si>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</si>
  <si>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</si>
  <si>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</si>
  <si>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</si>
  <si>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</si>
  <si>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</si>
  <si>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</si>
  <si>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</si>
  <si>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</si>
  <si>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</si>
  <si>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</si>
  <si>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</si>
  <si>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</si>
  <si>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</si>
  <si>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</si>
  <si>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</si>
  <si>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</si>
  <si>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</si>
  <si>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</si>
  <si>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</si>
  <si>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</si>
  <si>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</si>
  <si>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</si>
  <si>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</si>
  <si>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</si>
  <si>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</si>
  <si>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</si>
  <si>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</si>
  <si>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</si>
  <si>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</si>
  <si>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</si>
  <si>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</si>
  <si>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</si>
  <si>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</si>
  <si>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</si>
  <si>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</si>
  <si>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</si>
  <si>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</si>
  <si>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</si>
  <si>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</si>
  <si>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</si>
  <si>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</si>
  <si>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</si>
  <si>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</si>
  <si>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</si>
  <si>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</si>
  <si>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</si>
  <si>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</si>
  <si>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</si>
  <si>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</si>
  <si>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</si>
  <si>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</si>
  <si>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</si>
  <si>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</si>
  <si>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</si>
  <si>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</si>
  <si>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</si>
  <si>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</si>
  <si>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</si>
  <si>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</si>
  <si>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</si>
  <si>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</si>
  <si>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</si>
  <si>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</si>
  <si>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</si>
  <si>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</si>
  <si>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</si>
  <si>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</si>
  <si>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</si>
  <si>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</si>
  <si>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</si>
  <si>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</si>
  <si>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</si>
  <si>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</si>
  <si>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</si>
  <si>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</si>
  <si>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</si>
  <si>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</si>
  <si>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</si>
  <si>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</si>
  <si>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</si>
  <si>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</si>
  <si>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</si>
  <si>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</si>
  <si>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</si>
  <si>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</si>
  <si>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</si>
  <si>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</si>
  <si>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</si>
  <si>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</si>
  <si>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</si>
  <si>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</si>
  <si>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</si>
  <si>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</si>
  <si>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</si>
  <si>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</si>
  <si>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</si>
  <si>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</si>
  <si>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</si>
  <si>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</si>
  <si>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</si>
  <si>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</si>
  <si>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</si>
  <si>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</si>
  <si>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</si>
  <si>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</si>
  <si>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</si>
  <si>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</si>
  <si>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</si>
  <si>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</si>
  <si>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</si>
  <si>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</si>
  <si>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</si>
  <si>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</si>
  <si>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</si>
  <si>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</si>
  <si>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</si>
  <si>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</si>
  <si>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</si>
  <si>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</si>
  <si>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</si>
  <si>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</si>
  <si>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</si>
  <si>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</si>
  <si>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</si>
  <si>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</si>
  <si>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</si>
  <si>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</si>
  <si>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</si>
  <si>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</si>
  <si>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</si>
  <si>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</si>
  <si>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</si>
  <si>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</si>
  <si>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</si>
  <si>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</si>
  <si>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</si>
  <si>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</si>
  <si>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</si>
  <si>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</si>
  <si>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</si>
  <si>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</si>
  <si>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</si>
  <si>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</si>
  <si>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</si>
  <si>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</si>
  <si>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</si>
  <si>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</si>
  <si>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</si>
  <si>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</si>
  <si>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</si>
  <si>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</si>
  <si>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</si>
  <si>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</si>
  <si>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</si>
  <si>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</si>
  <si>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</si>
  <si>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</si>
  <si>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</si>
  <si>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</si>
  <si>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</si>
  <si>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</si>
  <si>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</si>
  <si>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</si>
  <si>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</si>
  <si>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</si>
  <si>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</si>
  <si>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</si>
  <si>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</si>
  <si>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</si>
  <si>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</si>
  <si>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</si>
  <si>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</si>
  <si>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</si>
  <si>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</si>
  <si>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</si>
  <si>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</si>
  <si>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</si>
  <si>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</si>
  <si>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</si>
  <si>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</si>
  <si>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</si>
  <si>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</si>
  <si>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</si>
  <si>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</si>
  <si>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</si>
  <si>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</si>
  <si>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</si>
  <si>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</si>
  <si>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</si>
  <si>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</si>
  <si>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</si>
  <si>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</si>
  <si>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</si>
  <si>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</si>
  <si>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</si>
  <si>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</si>
  <si>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</si>
  <si>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</si>
  <si>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</si>
  <si>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</si>
  <si>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</si>
  <si>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</si>
  <si>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</si>
  <si>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</si>
  <si>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</si>
  <si>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</si>
  <si>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</si>
  <si>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</si>
  <si>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</si>
  <si>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</si>
  <si>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</si>
  <si>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</si>
  <si>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</si>
  <si>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</si>
  <si>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</si>
  <si>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</si>
  <si>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</si>
  <si>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</si>
  <si>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</si>
  <si>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</si>
  <si>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</si>
  <si>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</si>
  <si>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</si>
  <si>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</si>
  <si>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</si>
  <si>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</si>
  <si>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</si>
  <si>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</si>
  <si>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</si>
  <si>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</si>
  <si>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</si>
  <si>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</si>
  <si>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</si>
  <si>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</si>
  <si>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</si>
  <si>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</si>
  <si>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</si>
  <si>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</si>
  <si>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</si>
  <si>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</si>
  <si>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</si>
  <si>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</si>
  <si>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</si>
  <si>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</si>
  <si>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</si>
  <si>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</si>
  <si>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</si>
  <si>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</si>
  <si>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</si>
  <si>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</si>
  <si>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</si>
  <si>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</si>
  <si>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</si>
  <si>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</si>
  <si>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</si>
  <si>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</si>
  <si>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</si>
  <si>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</si>
  <si>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</si>
  <si>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</si>
  <si>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</si>
  <si>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</si>
  <si>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</si>
  <si>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</si>
  <si>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</si>
  <si>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</si>
  <si>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</si>
  <si>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</si>
  <si>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</si>
  <si>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</si>
  <si>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</si>
  <si>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</si>
  <si>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</si>
  <si>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</si>
  <si>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</si>
  <si>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</si>
  <si>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</si>
  <si>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</si>
  <si>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</si>
  <si>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</si>
  <si>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</si>
  <si>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</si>
  <si>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</si>
  <si>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</si>
  <si>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</si>
  <si>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</si>
  <si>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</si>
  <si>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</si>
  <si>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</si>
  <si>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</si>
  <si>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</si>
  <si>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</si>
  <si>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</si>
  <si>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</si>
  <si>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</si>
  <si>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</si>
  <si>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</si>
  <si>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</si>
  <si>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</si>
  <si>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</si>
  <si>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</si>
  <si>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</si>
  <si>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</si>
  <si>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</si>
  <si>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</si>
  <si>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</si>
  <si>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</si>
  <si>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</si>
  <si>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</si>
  <si>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</si>
  <si>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</si>
  <si>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</si>
  <si>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</si>
  <si>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</si>
  <si>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</si>
  <si>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</si>
  <si>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</si>
  <si>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</si>
  <si>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</si>
  <si>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</si>
  <si>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</si>
  <si>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</si>
  <si>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</si>
  <si>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</si>
  <si>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</si>
  <si>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</si>
  <si>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</si>
  <si>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</si>
  <si>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</si>
  <si>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</si>
  <si>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</si>
  <si>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</si>
  <si>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</si>
  <si>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</si>
  <si>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</si>
  <si>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</si>
  <si>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</si>
  <si>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</si>
  <si>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</si>
  <si>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</si>
  <si>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</si>
  <si>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</si>
  <si>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</si>
  <si>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</si>
  <si>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</si>
  <si>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</si>
  <si>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</si>
  <si>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</si>
  <si>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</si>
  <si>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</si>
  <si>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</si>
  <si>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</si>
  <si>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</si>
  <si>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</si>
  <si>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</si>
  <si>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</si>
  <si>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</si>
  <si>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</si>
  <si>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</si>
  <si>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</si>
  <si>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</si>
  <si>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</si>
  <si>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</si>
  <si>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</si>
  <si>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</si>
  <si>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</si>
  <si>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</si>
  <si>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</si>
  <si>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</si>
  <si>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</si>
  <si>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</si>
  <si>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</si>
  <si>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</si>
  <si>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</si>
  <si>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</si>
  <si>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</si>
  <si>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</si>
  <si>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</si>
  <si>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</si>
  <si>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</si>
  <si>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</si>
  <si>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</si>
  <si>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</si>
  <si>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</si>
  <si>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</si>
  <si>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</si>
  <si>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</si>
  <si>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</si>
  <si>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</si>
  <si>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</si>
  <si>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</si>
  <si>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</si>
  <si>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</si>
  <si>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</si>
  <si>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</si>
  <si>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</si>
  <si>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</si>
  <si>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</si>
  <si>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</si>
  <si>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</si>
  <si>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</si>
  <si>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</si>
  <si>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</si>
  <si>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</si>
  <si>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</si>
  <si>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</si>
  <si>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</si>
  <si>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</si>
  <si>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</si>
  <si>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</si>
  <si>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</si>
  <si>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</si>
  <si>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</si>
  <si>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</si>
  <si>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</si>
  <si>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</si>
  <si>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</si>
  <si>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</si>
  <si>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</si>
  <si>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</si>
  <si>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</si>
  <si>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</si>
  <si>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</si>
  <si>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</si>
  <si>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</si>
  <si>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</si>
  <si>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</si>
  <si>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</si>
  <si>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</si>
  <si>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</si>
  <si>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</si>
  <si>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</si>
  <si>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</si>
  <si>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</si>
  <si>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</si>
  <si>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</si>
  <si>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</si>
  <si>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</si>
  <si>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</si>
  <si>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</si>
  <si>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</si>
  <si>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</si>
  <si>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</si>
  <si>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</si>
  <si>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</si>
  <si>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</si>
  <si>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</si>
  <si>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</si>
  <si>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</si>
  <si>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</si>
  <si>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</si>
  <si>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</si>
  <si>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</si>
  <si>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</si>
  <si>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</si>
  <si>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</si>
  <si>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</si>
  <si>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</si>
  <si>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</si>
  <si>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</si>
  <si>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</si>
  <si>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</si>
  <si>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</si>
  <si>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</si>
  <si>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</si>
  <si>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</si>
  <si>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</si>
  <si>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</si>
  <si>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</si>
  <si>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</si>
  <si>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</si>
  <si>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</si>
  <si>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</si>
  <si>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</si>
  <si>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</si>
  <si>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</si>
  <si>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</si>
  <si>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</si>
  <si>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</si>
  <si>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</si>
  <si>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</si>
  <si>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</si>
  <si>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</si>
  <si>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</si>
  <si>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</si>
  <si>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</si>
  <si>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</si>
  <si>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</si>
  <si>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</si>
  <si>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</si>
  <si>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</si>
  <si>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</si>
  <si>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</si>
  <si>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</si>
  <si>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</si>
  <si>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</si>
  <si>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</si>
  <si>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</si>
  <si>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</si>
  <si>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</si>
  <si>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</si>
  <si>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</si>
  <si>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</si>
  <si>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</si>
  <si>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</si>
  <si>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</si>
  <si>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</si>
  <si>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</si>
  <si>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</si>
  <si>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</si>
  <si>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</si>
  <si>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</si>
  <si>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</si>
  <si>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</si>
  <si>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</si>
  <si>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</si>
  <si>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</si>
  <si>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</si>
  <si>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</si>
  <si>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</si>
  <si>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</si>
  <si>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</si>
  <si>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</si>
  <si>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</si>
  <si>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</si>
  <si>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</si>
  <si>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</si>
  <si>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</si>
  <si>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</si>
  <si>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</si>
  <si>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</si>
  <si>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</si>
  <si>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</si>
  <si>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</si>
  <si>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</si>
  <si>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</si>
  <si>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</si>
  <si>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</si>
  <si>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</si>
  <si>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</si>
  <si>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</si>
  <si>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</si>
  <si>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</si>
  <si>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</si>
  <si>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</si>
  <si>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</si>
  <si>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</si>
  <si>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</si>
  <si>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</si>
  <si>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</si>
  <si>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</si>
  <si>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</si>
  <si>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</si>
  <si>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</si>
  <si>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</si>
  <si>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</si>
  <si>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</si>
  <si>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</si>
  <si>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</si>
  <si>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</si>
  <si>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</si>
  <si>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</si>
  <si>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</si>
  <si>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</si>
  <si>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</si>
  <si>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</si>
  <si>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</si>
  <si>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</si>
  <si>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</si>
  <si>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</si>
  <si>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</si>
  <si>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</si>
  <si>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</si>
  <si>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</si>
  <si>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</si>
  <si>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</si>
  <si>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</si>
  <si>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</si>
  <si>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</si>
  <si>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</si>
  <si>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</si>
  <si>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</si>
  <si>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</si>
  <si>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</si>
  <si>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</si>
  <si>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</si>
  <si>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</si>
  <si>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</si>
  <si>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</si>
  <si>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</si>
  <si>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</si>
  <si>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</si>
  <si>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</si>
  <si>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</si>
  <si>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</si>
  <si>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</si>
  <si>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</si>
  <si>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</si>
  <si>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</si>
  <si>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</si>
  <si>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</si>
  <si>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</si>
  <si>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</si>
  <si>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</si>
  <si>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</si>
  <si>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</si>
  <si>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</si>
  <si>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</si>
  <si>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</si>
  <si>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</si>
  <si>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</si>
  <si>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</si>
  <si>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</si>
  <si>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</si>
  <si>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</si>
  <si>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</si>
  <si>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</si>
  <si>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</si>
  <si>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</si>
  <si>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</si>
  <si>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</si>
  <si>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</si>
  <si>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</si>
  <si>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</si>
  <si>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</si>
  <si>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</si>
  <si>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</si>
  <si>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</si>
  <si>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</si>
  <si>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</si>
  <si>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</si>
  <si>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</si>
  <si>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</si>
  <si>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</si>
  <si>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</si>
  <si>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</si>
  <si>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</si>
  <si>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</si>
  <si>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</si>
  <si>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</si>
  <si>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</si>
  <si>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</si>
  <si>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</si>
  <si>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</si>
  <si>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</si>
  <si>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</si>
  <si>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</si>
  <si>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</si>
  <si>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</si>
  <si>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</si>
  <si>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</si>
  <si>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</si>
  <si>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</si>
  <si>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</si>
  <si>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</si>
  <si>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</si>
  <si>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</si>
  <si>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</si>
  <si>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</si>
  <si>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</si>
  <si>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</si>
  <si>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</si>
  <si>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</si>
  <si>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</si>
  <si>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</si>
  <si>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</si>
  <si>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</si>
  <si>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</si>
  <si>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</si>
  <si>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</si>
  <si>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</si>
  <si>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</si>
  <si>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</si>
  <si>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</si>
  <si>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</si>
  <si>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</si>
  <si>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</si>
  <si>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</si>
  <si>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</si>
  <si>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</si>
  <si>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</si>
  <si>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</si>
  <si>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</si>
  <si>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</si>
  <si>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</si>
  <si>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</si>
  <si>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</si>
  <si>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</si>
  <si>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</si>
  <si>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</si>
  <si>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</si>
  <si>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</si>
  <si>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</si>
  <si>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</si>
  <si>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</si>
  <si>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</si>
  <si>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</si>
  <si>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</si>
  <si>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</si>
  <si>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</si>
  <si>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</si>
  <si>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</si>
  <si>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</si>
  <si>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</si>
  <si>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</si>
  <si>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</si>
  <si>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</si>
  <si>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</si>
  <si>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</si>
  <si>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</si>
  <si>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</si>
  <si>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</si>
  <si>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</si>
  <si>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</si>
  <si>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</si>
  <si>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</si>
  <si>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</si>
  <si>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</si>
  <si>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</si>
  <si>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</si>
  <si>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</si>
  <si>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</si>
  <si>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</si>
  <si>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</si>
  <si>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</si>
  <si>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</si>
  <si>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</si>
  <si>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</si>
  <si>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</si>
  <si>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</si>
  <si>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</si>
  <si>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</si>
  <si>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</si>
  <si>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</si>
  <si>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</si>
  <si>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</si>
  <si>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</si>
  <si>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</si>
  <si>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</si>
  <si>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</si>
  <si>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</si>
  <si>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</si>
  <si>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</si>
  <si>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</si>
  <si>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</si>
  <si>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</si>
  <si>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</si>
  <si>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</si>
  <si>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</si>
  <si>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</si>
  <si>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</si>
  <si>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</si>
  <si>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</si>
  <si>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</si>
  <si>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</si>
  <si>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</si>
  <si>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</si>
  <si>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</si>
  <si>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</si>
  <si>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</si>
  <si>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</si>
  <si>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</si>
  <si>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</si>
  <si>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</si>
  <si>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</si>
  <si>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</si>
  <si>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</si>
  <si>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</si>
  <si>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</si>
  <si>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</si>
  <si>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</si>
  <si>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</si>
  <si>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</si>
  <si>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</si>
  <si>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</si>
  <si>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</si>
  <si>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</si>
  <si>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</si>
  <si>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</si>
  <si>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</si>
  <si>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</si>
  <si>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</si>
  <si>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</si>
  <si>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</si>
  <si>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</si>
  <si>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</si>
  <si>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</si>
  <si>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</si>
  <si>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</si>
  <si>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</si>
  <si>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</si>
  <si>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</si>
  <si>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</si>
  <si>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</si>
  <si>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</si>
  <si>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</si>
  <si>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</si>
  <si>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</si>
  <si>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</si>
  <si>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</si>
  <si>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</si>
  <si>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</si>
  <si>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</si>
  <si>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</si>
  <si>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</si>
  <si>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</si>
  <si>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</si>
  <si>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</si>
  <si>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</si>
  <si>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</si>
  <si>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</si>
  <si>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</si>
  <si>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</si>
  <si>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</si>
  <si>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</si>
  <si>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</si>
  <si>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</si>
  <si>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</si>
  <si>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</si>
  <si>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</si>
  <si>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</si>
  <si>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</si>
  <si>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</si>
  <si>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</si>
  <si>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</si>
  <si>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</si>
  <si>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</si>
  <si>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</si>
  <si>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</si>
  <si>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</si>
  <si>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</si>
  <si>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</si>
  <si>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</si>
  <si>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</si>
  <si>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</si>
  <si>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</si>
  <si>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</si>
  <si>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</si>
  <si>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</si>
  <si>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</si>
  <si>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</si>
  <si>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</si>
  <si>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</si>
  <si>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</si>
  <si>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</si>
  <si>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</si>
  <si>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</si>
  <si>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</si>
  <si>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</si>
  <si>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</si>
  <si>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</si>
  <si>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</si>
  <si>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</si>
  <si>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</si>
  <si>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</si>
  <si>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</si>
  <si>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</si>
  <si>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</si>
  <si>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</si>
  <si>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</si>
  <si>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</si>
  <si>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</si>
  <si>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</si>
  <si>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</si>
  <si>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</si>
  <si>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</si>
  <si>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</si>
  <si>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</si>
  <si>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</si>
  <si>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</si>
  <si>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</si>
  <si>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</si>
  <si>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</si>
  <si>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</si>
  <si>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</si>
  <si>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</si>
  <si>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</si>
  <si>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</si>
  <si>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</si>
  <si>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</si>
  <si>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</si>
  <si>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</si>
  <si>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</si>
  <si>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</si>
  <si>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</si>
  <si>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</si>
  <si>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</si>
  <si>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</si>
  <si>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</si>
  <si>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</si>
  <si>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</si>
  <si>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</si>
  <si>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</si>
  <si>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</si>
  <si>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</si>
  <si>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</si>
  <si>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</si>
  <si>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</si>
  <si>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</si>
  <si>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</si>
  <si>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</si>
  <si>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</si>
  <si>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</si>
  <si>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</si>
  <si>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</si>
  <si>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</si>
  <si>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</si>
  <si>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</si>
  <si>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</si>
  <si>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</si>
  <si>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</si>
  <si>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</si>
  <si>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</si>
  <si>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</si>
  <si>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</si>
  <si>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</si>
  <si>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</si>
  <si>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</si>
  <si>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</si>
  <si>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</si>
  <si>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</si>
  <si>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</si>
  <si>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</si>
  <si>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</si>
  <si>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</si>
  <si>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</si>
  <si>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</si>
  <si>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</si>
  <si>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</si>
  <si>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</si>
  <si>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</si>
  <si>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</si>
  <si>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</si>
  <si>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</si>
  <si>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</si>
  <si>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</si>
  <si>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</si>
  <si>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</si>
  <si>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</si>
  <si>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</si>
  <si>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</si>
  <si>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</si>
  <si>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</si>
  <si>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</si>
  <si>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</si>
  <si>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</si>
  <si>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</si>
  <si>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</si>
  <si>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</si>
  <si>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</si>
  <si>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</si>
  <si>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</si>
  <si>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</si>
  <si>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</si>
  <si>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</si>
  <si>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</si>
  <si>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</si>
  <si>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</si>
  <si>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</si>
  <si>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</si>
  <si>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</si>
  <si>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</si>
  <si>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</si>
  <si>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</si>
  <si>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</si>
  <si>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</si>
  <si>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</si>
  <si>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</si>
  <si>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</si>
  <si>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</si>
  <si>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</si>
  <si>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</si>
  <si>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</si>
  <si>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</si>
  <si>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</si>
  <si>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</si>
  <si>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</si>
  <si>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</si>
  <si>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</si>
  <si>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</si>
  <si>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</si>
  <si>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</si>
  <si>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</si>
  <si>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</si>
  <si>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</si>
  <si>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</si>
  <si>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</si>
  <si>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</si>
  <si>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</si>
  <si>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</si>
  <si>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</si>
  <si>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</si>
  <si>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</si>
  <si>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</si>
  <si>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</si>
  <si>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</si>
  <si>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</si>
  <si>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</si>
  <si>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</si>
  <si>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</si>
  <si>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</si>
  <si>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</si>
  <si>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</si>
  <si>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</si>
  <si>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</si>
  <si>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</si>
  <si>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</si>
  <si>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</si>
  <si>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</si>
  <si>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</si>
  <si>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</si>
  <si>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</si>
  <si>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</si>
  <si>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</si>
  <si>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</si>
  <si>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</si>
  <si>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</si>
  <si>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</si>
  <si>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</si>
  <si>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</si>
  <si>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</si>
  <si>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</si>
  <si>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</si>
  <si>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</si>
  <si>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</si>
  <si>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</si>
  <si>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</si>
  <si>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</si>
  <si>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</si>
  <si>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</si>
  <si>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</si>
  <si>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</si>
  <si>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</si>
  <si>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</si>
  <si>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</si>
  <si>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</si>
  <si>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</si>
  <si>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</si>
  <si>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</si>
  <si>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</si>
  <si>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</si>
  <si>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</si>
  <si>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</si>
  <si>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</si>
  <si>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</si>
  <si>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</si>
  <si>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</si>
  <si>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</si>
  <si>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</si>
  <si>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</si>
  <si>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</si>
  <si>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</si>
  <si>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</si>
  <si>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</si>
  <si>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</si>
  <si>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</si>
  <si>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</si>
  <si>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</si>
  <si>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</si>
  <si>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</si>
  <si>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</si>
  <si>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</si>
  <si>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</si>
  <si>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</si>
  <si>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</si>
  <si>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</si>
  <si>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</si>
  <si>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</si>
  <si>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</si>
  <si>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</si>
  <si>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</si>
  <si>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</si>
  <si>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</si>
  <si>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</si>
  <si>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</si>
  <si>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</si>
  <si>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</si>
  <si>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</si>
  <si>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</si>
  <si>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</si>
  <si>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</si>
  <si>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</si>
  <si>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</si>
  <si>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</si>
  <si>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</si>
  <si>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</si>
  <si>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</si>
  <si>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</si>
  <si>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</si>
  <si>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</si>
  <si>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</si>
  <si>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</si>
  <si>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</si>
  <si>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</si>
  <si>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</si>
  <si>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</si>
  <si>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</si>
  <si>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</si>
  <si>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</si>
  <si>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</si>
  <si>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</si>
  <si>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</si>
  <si>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</si>
  <si>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</si>
  <si>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</si>
  <si>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</si>
  <si>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</si>
  <si>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</si>
  <si>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</si>
  <si>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</si>
  <si>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</si>
  <si>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</si>
  <si>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</si>
  <si>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</si>
  <si>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</si>
  <si>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</si>
  <si>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</si>
  <si>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</si>
  <si>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</si>
  <si>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</si>
  <si>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</si>
  <si>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</si>
  <si>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</si>
  <si>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</si>
  <si>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</si>
  <si>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</si>
  <si>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</si>
  <si>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</si>
  <si>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</si>
  <si>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</si>
  <si>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</si>
  <si>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</si>
  <si>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</si>
  <si>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</si>
  <si>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</si>
  <si>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</si>
  <si>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</si>
  <si>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</si>
  <si>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</si>
  <si>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</si>
  <si>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</si>
  <si>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</si>
  <si>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</si>
  <si>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</si>
  <si>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</si>
  <si>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</si>
  <si>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</si>
  <si>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</si>
  <si>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</si>
  <si>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</si>
  <si>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</si>
  <si>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</si>
  <si>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</si>
  <si>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</si>
  <si>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</si>
  <si>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</si>
  <si>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</si>
  <si>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</si>
  <si>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</si>
  <si>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</si>
  <si>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</si>
  <si>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</si>
  <si>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</si>
  <si>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</si>
  <si>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</si>
  <si>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</si>
  <si>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</si>
  <si>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</si>
  <si>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</si>
  <si>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</si>
  <si>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</si>
  <si>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</si>
  <si>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</si>
  <si>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</si>
  <si>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</si>
  <si>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</si>
  <si>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</si>
  <si>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</si>
  <si>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</si>
  <si>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</si>
  <si>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</si>
  <si>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</si>
  <si>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</si>
  <si>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</si>
  <si>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</si>
  <si>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</si>
  <si>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</si>
  <si>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</si>
  <si>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</si>
  <si>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</si>
  <si>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</si>
  <si>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</si>
  <si>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</si>
  <si>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</si>
  <si>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</si>
  <si>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</si>
  <si>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</si>
  <si>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</si>
  <si>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</si>
  <si>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</si>
  <si>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</si>
  <si>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</si>
  <si>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</si>
  <si>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</si>
  <si>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</si>
  <si>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</si>
  <si>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</si>
  <si>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</si>
  <si>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</si>
  <si>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</si>
  <si>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</si>
  <si>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</si>
  <si>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</si>
  <si>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</si>
  <si>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</si>
  <si>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</si>
  <si>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</si>
  <si>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</si>
  <si>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</si>
  <si>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</si>
  <si>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</si>
  <si>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</si>
  <si>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</si>
  <si>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</si>
  <si>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</si>
  <si>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</si>
  <si>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</si>
  <si>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</si>
  <si>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</si>
  <si>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</si>
  <si>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</si>
  <si>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</si>
  <si>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</si>
  <si>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</si>
  <si>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</si>
  <si>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</si>
  <si>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</si>
  <si>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</si>
  <si>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</si>
  <si>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</si>
  <si>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</si>
  <si>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</si>
  <si>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</si>
  <si>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</si>
  <si>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</si>
  <si>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</si>
  <si>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</si>
  <si>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</si>
  <si>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</si>
  <si>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</si>
  <si>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</si>
  <si>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</si>
  <si>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</si>
  <si>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</si>
  <si>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</si>
  <si>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</si>
  <si>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</si>
  <si>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</si>
  <si>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</si>
  <si>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</si>
  <si>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</si>
  <si>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</si>
  <si>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</si>
  <si>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</si>
  <si>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</si>
  <si>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</si>
  <si>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</si>
  <si>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</si>
  <si>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</si>
  <si>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</si>
  <si>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</si>
  <si>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</si>
  <si>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</si>
  <si>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</si>
  <si>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</si>
  <si>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</si>
  <si>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</si>
  <si>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</si>
  <si>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</si>
  <si>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</si>
  <si>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</si>
  <si>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</si>
  <si>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</si>
  <si>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</si>
  <si>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</si>
  <si>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</si>
  <si>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</si>
  <si>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</si>
  <si>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</si>
  <si>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</si>
  <si>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</si>
  <si>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</si>
  <si>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</si>
  <si>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</si>
  <si>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</si>
  <si>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</si>
  <si>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</si>
  <si>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</si>
  <si>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</si>
  <si>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</si>
  <si>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</si>
  <si>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</si>
  <si>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</si>
  <si>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</si>
  <si>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</si>
  <si>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</si>
  <si>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</si>
  <si>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</si>
  <si>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</si>
  <si>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</si>
  <si>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</si>
  <si>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</si>
  <si>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</si>
  <si>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</si>
  <si>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</si>
  <si>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</si>
  <si>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</si>
  <si>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</si>
  <si>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</si>
  <si>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</si>
  <si>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</si>
  <si>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</si>
  <si>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</si>
  <si>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</si>
  <si>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</si>
  <si>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</si>
  <si>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</si>
  <si>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</si>
  <si>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</si>
  <si>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</si>
  <si>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</si>
  <si>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</si>
  <si>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</si>
  <si>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</si>
  <si>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</si>
  <si>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</si>
  <si>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</si>
  <si>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</si>
  <si>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</si>
  <si>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</si>
  <si>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</si>
  <si>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</si>
  <si>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</si>
  <si>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</si>
  <si>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</si>
  <si>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</si>
  <si>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</si>
  <si>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</si>
  <si>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</si>
  <si>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</si>
  <si>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</si>
  <si>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</si>
  <si>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</si>
  <si>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</si>
  <si>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</si>
  <si>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</si>
  <si>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</si>
  <si>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</si>
  <si>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</si>
  <si>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</si>
  <si>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</si>
  <si>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</si>
  <si>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</si>
  <si>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</si>
  <si>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</si>
  <si>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</si>
  <si>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</si>
  <si>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</si>
  <si>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</si>
  <si>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</si>
  <si>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</si>
  <si>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</si>
  <si>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</si>
  <si>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</si>
  <si>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</si>
  <si>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</si>
  <si>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</si>
  <si>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</si>
  <si>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</si>
  <si>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</si>
  <si>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</si>
  <si>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</si>
  <si>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</si>
  <si>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</si>
  <si>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</si>
  <si>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</si>
  <si>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</si>
  <si>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</si>
  <si>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</si>
  <si>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</si>
  <si>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</si>
  <si>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</si>
  <si>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</si>
  <si>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</si>
  <si>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</si>
  <si>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</si>
  <si>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</si>
  <si>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</si>
  <si>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</si>
  <si>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</si>
  <si>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</si>
  <si>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</si>
  <si>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</si>
  <si>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</si>
  <si>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</si>
  <si>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</si>
  <si>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</si>
  <si>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</si>
  <si>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</si>
  <si>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</si>
  <si>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</si>
  <si>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</si>
  <si>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</si>
  <si>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</si>
  <si>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</si>
  <si>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</si>
  <si>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</si>
  <si>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</si>
  <si>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</si>
  <si>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</si>
  <si>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</si>
  <si>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</si>
  <si>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</si>
  <si>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</si>
  <si>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</si>
  <si>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</si>
  <si>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</si>
  <si>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</si>
  <si>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</si>
  <si>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</si>
  <si>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</si>
  <si>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</si>
  <si>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</si>
  <si>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</si>
  <si>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</si>
  <si>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</si>
  <si>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</si>
  <si>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</si>
  <si>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</si>
  <si>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</si>
  <si>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</si>
  <si>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</si>
  <si>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</si>
  <si>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</si>
  <si>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</si>
  <si>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</si>
  <si>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</si>
  <si>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</si>
  <si>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</si>
  <si>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</si>
  <si>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</si>
  <si>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</si>
  <si>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</si>
  <si>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</si>
  <si>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</si>
  <si>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</si>
  <si>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</si>
  <si>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</si>
  <si>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</si>
  <si>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</si>
  <si>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</si>
  <si>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</si>
  <si>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</si>
  <si>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</si>
  <si>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</si>
  <si>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</si>
  <si>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</si>
  <si>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</si>
  <si>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</si>
  <si>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</si>
  <si>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</si>
  <si>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</si>
  <si>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</si>
  <si>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</si>
  <si>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</si>
  <si>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</si>
  <si>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</si>
  <si>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</si>
  <si>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</si>
  <si>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</si>
  <si>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</si>
  <si>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</si>
  <si>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</si>
  <si>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</si>
  <si>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</si>
  <si>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</si>
  <si>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</si>
  <si>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</si>
  <si>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</si>
  <si>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</si>
  <si>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</si>
  <si>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</si>
  <si>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</si>
  <si>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</si>
  <si>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</si>
  <si>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</si>
  <si>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</si>
  <si>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</si>
  <si>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</si>
  <si>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</si>
  <si>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</si>
  <si>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</si>
  <si>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</si>
  <si>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</si>
  <si>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</si>
  <si>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</si>
  <si>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</si>
  <si>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</si>
  <si>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</si>
  <si>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</si>
  <si>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</si>
  <si>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</si>
  <si>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</si>
  <si>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</si>
  <si>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</si>
  <si>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</si>
  <si>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</si>
  <si>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</si>
  <si>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</si>
  <si>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</si>
  <si>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</si>
  <si>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</si>
  <si>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</si>
  <si>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</si>
  <si>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</si>
  <si>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</si>
  <si>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</si>
  <si>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</si>
  <si>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</si>
  <si>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</si>
  <si>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</si>
  <si>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</si>
  <si>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</si>
  <si>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</si>
  <si>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</si>
  <si>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</si>
  <si>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</si>
  <si>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</si>
  <si>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</si>
  <si>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</si>
  <si>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</si>
  <si>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</si>
  <si>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</si>
  <si>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</si>
  <si>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</si>
  <si>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</si>
  <si>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</si>
  <si>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</si>
  <si>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</si>
  <si>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</si>
  <si>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</si>
  <si>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</si>
  <si>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</si>
  <si>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</si>
  <si>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</si>
  <si>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</si>
  <si>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</si>
  <si>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</si>
  <si>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</si>
  <si>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</si>
  <si>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</si>
  <si>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</si>
  <si>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</si>
  <si>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</si>
  <si>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</si>
  <si>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</si>
  <si>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</si>
  <si>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</si>
  <si>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</si>
  <si>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</si>
  <si>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</si>
  <si>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</si>
  <si>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</si>
  <si>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</si>
  <si>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</si>
  <si>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</si>
  <si>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</si>
  <si>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</si>
  <si>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</si>
  <si>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</si>
  <si>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</si>
  <si>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</si>
  <si>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</si>
  <si>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</si>
  <si>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</si>
  <si>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</si>
  <si>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</si>
  <si>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</si>
  <si>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</si>
  <si>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</si>
  <si>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</si>
  <si>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</si>
  <si>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</si>
  <si>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</si>
  <si>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</si>
  <si>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</si>
  <si>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</si>
  <si>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</si>
  <si>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</si>
  <si>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</si>
  <si>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</si>
  <si>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</si>
  <si>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</si>
  <si>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</si>
  <si>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</si>
  <si>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</si>
  <si>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</si>
  <si>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</si>
  <si>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</si>
  <si>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</si>
  <si>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</si>
  <si>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</si>
  <si>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</si>
  <si>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</si>
  <si>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</si>
  <si>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</si>
  <si>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</si>
  <si>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</si>
  <si>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</si>
  <si>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</si>
  <si>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</si>
  <si>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</si>
  <si>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</si>
  <si>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</si>
  <si>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</si>
  <si>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</si>
  <si>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</si>
  <si>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</si>
  <si>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</si>
  <si>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</si>
  <si>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</si>
  <si>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</si>
  <si>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</si>
  <si>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</si>
  <si>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</si>
  <si>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</si>
  <si>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</si>
  <si>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</si>
  <si>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</si>
  <si>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</si>
  <si>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</si>
  <si>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</si>
  <si>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</si>
  <si>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</si>
  <si>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</si>
  <si>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</si>
  <si>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</si>
  <si>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</si>
  <si>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</si>
  <si>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</si>
  <si>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</si>
  <si>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</si>
  <si>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</si>
  <si>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</si>
  <si>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</si>
  <si>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</si>
  <si>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</si>
  <si>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</si>
  <si>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</si>
  <si>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</si>
  <si>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</si>
  <si>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</si>
  <si>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</si>
  <si>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</si>
  <si>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</si>
  <si>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</si>
  <si>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</si>
  <si>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</si>
  <si>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</si>
  <si>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</si>
  <si>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</si>
  <si>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</si>
  <si>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</si>
  <si>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</si>
  <si>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</si>
  <si>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</si>
  <si>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</si>
  <si>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</si>
  <si>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</si>
  <si>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</si>
  <si>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</si>
  <si>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</si>
  <si>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</si>
  <si>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</si>
  <si>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</si>
  <si>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</si>
  <si>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</si>
  <si>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</si>
  <si>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</si>
  <si>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</si>
  <si>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</si>
  <si>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</si>
  <si>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</si>
  <si>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</si>
  <si>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</si>
  <si>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</si>
  <si>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</si>
  <si>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</si>
  <si>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</si>
  <si>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</si>
  <si>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</si>
  <si>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</si>
  <si>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</si>
  <si>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</si>
  <si>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</si>
  <si>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</si>
  <si>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</si>
  <si>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</si>
  <si>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</si>
  <si>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</si>
  <si>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</si>
  <si>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</si>
  <si>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</si>
  <si>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</si>
  <si>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</si>
  <si>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</si>
  <si>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</si>
  <si>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</si>
  <si>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</si>
  <si>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</si>
  <si>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</si>
  <si>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</si>
  <si>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</si>
  <si>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</si>
  <si>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</si>
  <si>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</si>
  <si>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</si>
  <si>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</si>
  <si>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</si>
  <si>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</si>
  <si>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</si>
  <si>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</si>
  <si>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</si>
  <si>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</si>
  <si>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</si>
  <si>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</si>
  <si>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</si>
  <si>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</si>
  <si>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</si>
  <si>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</si>
  <si>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</si>
  <si>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</si>
  <si>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</si>
  <si>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</si>
  <si>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</si>
  <si>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</si>
  <si>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</si>
  <si>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</si>
  <si>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</si>
  <si>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</si>
  <si>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</si>
  <si>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</si>
  <si>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</si>
  <si>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</si>
  <si>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</si>
  <si>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</si>
  <si>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</si>
  <si>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</si>
  <si>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</si>
  <si>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</si>
  <si>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</si>
  <si>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</si>
  <si>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</si>
  <si>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</si>
  <si>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</si>
  <si>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</si>
  <si>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</si>
  <si>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</si>
  <si>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</si>
  <si>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</si>
  <si>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</si>
  <si>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</si>
  <si>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</si>
  <si>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</si>
  <si>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</si>
  <si>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</si>
  <si>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</si>
  <si>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</si>
  <si>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</si>
  <si>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</si>
  <si>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</si>
  <si>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</si>
  <si>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</si>
  <si>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</si>
  <si>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</si>
  <si>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</si>
  <si>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</si>
  <si>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</si>
  <si>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</si>
  <si>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</si>
  <si>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</si>
  <si>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</si>
  <si>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</si>
  <si>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</si>
  <si>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</si>
  <si>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</si>
  <si>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</si>
  <si>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</si>
  <si>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</si>
  <si>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</si>
  <si>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</si>
  <si>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</si>
  <si>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</si>
  <si>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</si>
  <si>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</si>
  <si>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</si>
  <si>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</si>
  <si>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</si>
  <si>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</si>
  <si>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</si>
  <si>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</si>
  <si>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</si>
  <si>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</si>
  <si>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</si>
  <si>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</si>
  <si>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</si>
  <si>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</si>
  <si>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</si>
  <si>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</si>
  <si>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</si>
  <si>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</si>
  <si>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</si>
  <si>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</si>
  <si>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</si>
  <si>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</si>
  <si>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</si>
  <si>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</si>
  <si>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</si>
  <si>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</si>
  <si>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</si>
  <si>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</si>
  <si>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</si>
  <si>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</si>
  <si>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</si>
  <si>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</si>
  <si>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</si>
  <si>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</si>
  <si>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</si>
  <si>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</si>
  <si>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</si>
  <si>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</si>
  <si>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</si>
  <si>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</si>
  <si>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</si>
  <si>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</si>
  <si>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</si>
  <si>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</si>
  <si>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</si>
  <si>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</si>
  <si>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</si>
  <si>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</si>
  <si>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</si>
  <si>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</si>
  <si>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</si>
  <si>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</si>
  <si>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</si>
  <si>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</si>
  <si>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</si>
  <si>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</si>
  <si>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</si>
  <si>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</si>
  <si>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</si>
  <si>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</si>
  <si>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</si>
  <si>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</si>
  <si>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</si>
  <si>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</si>
  <si>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</si>
  <si>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</si>
  <si>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</si>
  <si>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</si>
  <si>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</si>
  <si>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</si>
  <si>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</si>
  <si>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</si>
  <si>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</si>
  <si>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</si>
  <si>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</si>
  <si>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</si>
  <si>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</si>
  <si>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</si>
  <si>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</si>
  <si>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</si>
  <si>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</si>
  <si>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</si>
  <si>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</si>
  <si>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</si>
  <si>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</si>
  <si>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</si>
  <si>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</si>
  <si>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</si>
  <si>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</si>
  <si>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</si>
  <si>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</si>
  <si>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Percenteage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</si>
  <si>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</si>
  <si>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</si>
  <si>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</si>
  <si>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</si>
  <si>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</si>
  <si>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</si>
  <si>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</si>
  <si>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</si>
  <si>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</si>
  <si>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</si>
  <si>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</si>
  <si>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</si>
  <si>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</si>
  <si>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</si>
  <si>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</si>
  <si>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Standard Deviation</t>
  </si>
  <si>
    <t>Min</t>
  </si>
  <si>
    <t>Max</t>
  </si>
  <si>
    <t>Variance</t>
  </si>
  <si>
    <t>Backers for Successul Campaigns</t>
  </si>
  <si>
    <t>Mean + 1STD</t>
  </si>
  <si>
    <t>Mean - 1STD</t>
  </si>
  <si>
    <t>Samples within 1 STD</t>
  </si>
  <si>
    <t>Backers for Failed Campaigns</t>
  </si>
  <si>
    <t>Samples within 1 STD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</si>
</sst>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/>
    <xf numFmtId="0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EE6352"/>
        </patternFill>
      </fill>
    </dxf>
    <dxf>
      <fill>
        <patternFill>
          <bgColor rgb="FF3FA7D6"/>
        </patternFill>
      </fill>
    </dxf>
    <dxf>
      <fill>
        <patternFill>
          <bgColor rgb="FF59CD90"/>
        </patternFill>
      </fill>
    </dxf>
    <dxf>
      <fill>
        <patternFill>
          <bgColor rgb="FFFAC05E"/>
        </patternFill>
      </fill>
    </dxf>
    <dxf>
      <fill>
        <patternFill>
          <bgColor rgb="FFEE6352"/>
        </patternFill>
      </fill>
    </dxf>
    <dxf>
      <fill>
        <patternFill>
          <bgColor rgb="FF3FA7D6"/>
        </patternFill>
      </fill>
    </dxf>
    <dxf>
      <fill>
        <patternFill>
          <bgColor rgb="FF59CD90"/>
        </patternFill>
      </fill>
    </dxf>
    <dxf>
      <fill>
        <patternFill>
          <bgColor rgb="FFFAC05E"/>
        </patternFill>
      </fill>
    </dxf>
    <dxf>
      <fill>
        <patternFill>
          <bgColor rgb="FFEE6352"/>
        </patternFill>
      </fill>
    </dxf>
    <dxf>
      <fill>
        <patternFill>
          <bgColor rgb="FF3FA7D6"/>
        </patternFill>
      </fill>
    </dxf>
    <dxf>
      <fill>
        <patternFill>
          <bgColor rgb="FF59CD90"/>
        </patternFill>
      </fill>
    </dxf>
    <dxf>
      <fill>
        <patternFill>
          <bgColor rgb="FFFAC05E"/>
        </patternFill>
      </fill>
    </dxf>
    <dxf>
      <fill>
        <patternFill>
          <bgColor rgb="FFEE6352"/>
        </patternFill>
      </fill>
    </dxf>
    <dxf>
      <fill>
        <patternFill>
          <bgColor rgb="FF3FA7D6"/>
        </patternFill>
      </fill>
    </dxf>
    <dxf>
      <fill>
        <patternFill>
          <bgColor rgb="FF59CD90"/>
        </patternFill>
      </fill>
    </dxf>
    <dxf>
      <fill>
        <patternFill>
          <bgColor rgb="FFFAC05E"/>
        </patternFill>
      </fill>
    </dxf>
  </dxfs>
  <tableStyles count="0" defaultTableStyle="TableStyleMedium2" defaultPivotStyle="PivotStyleLight16"/>
  <colors>
    <mruColors>
      <color rgb="FFFAC05E"/>
      <color rgb="FF298FBD"/>
      <color rgb="FF3AC07A"/>
      <color rgb="FFEA4832"/>
      <color rgb="FFEB4E39"/>
      <color rgb="FF3FA7D6"/>
      <color rgb="FF59CD90"/>
      <color rgb="FFEE6352"/>
      <color rgb="FF00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Crowdfunding</a:t>
            </a:r>
            <a:r>
              <a:rPr lang="en-CA" sz="1800" b="1" baseline="0"/>
              <a:t> Campaigns O</a:t>
            </a:r>
            <a:r>
              <a:rPr lang="en-CA" sz="1800" b="1"/>
              <a:t>utcome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1-46A7-B01B-6F5B24185ED6}"/>
            </c:ext>
          </c:extLst>
        </c:ser>
        <c:ser>
          <c:idx val="1"/>
          <c:order val="1"/>
          <c:tx>
            <c:strRef>
              <c:f>'Outcome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1-46A7-B01B-6F5B24185ED6}"/>
            </c:ext>
          </c:extLst>
        </c:ser>
        <c:ser>
          <c:idx val="2"/>
          <c:order val="2"/>
          <c:tx>
            <c:strRef>
              <c:f>'Outcome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1-46A7-B01B-6F5B24185ED6}"/>
            </c:ext>
          </c:extLst>
        </c:ser>
        <c:ser>
          <c:idx val="3"/>
          <c:order val="3"/>
          <c:tx>
            <c:strRef>
              <c:f>'Outcome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4349-97D8-CC8F6088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969807"/>
        <c:axId val="1600981455"/>
      </c:barChart>
      <c:catAx>
        <c:axId val="16009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Campaign</a:t>
                </a:r>
                <a:r>
                  <a:rPr lang="en-CA" sz="1200" baseline="0"/>
                  <a:t> Categories</a:t>
                </a:r>
              </a:p>
            </c:rich>
          </c:tx>
          <c:layout>
            <c:manualLayout>
              <c:xMode val="edge"/>
              <c:yMode val="edge"/>
              <c:x val="0.4318518801900938"/>
              <c:y val="0.91566902928809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81455"/>
        <c:crosses val="autoZero"/>
        <c:auto val="1"/>
        <c:lblAlgn val="ctr"/>
        <c:lblOffset val="100"/>
        <c:noMultiLvlLbl val="0"/>
      </c:catAx>
      <c:valAx>
        <c:axId val="16009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Crowdfunding</a:t>
            </a:r>
            <a:r>
              <a:rPr lang="en-CA" sz="1800" b="1" baseline="0"/>
              <a:t> Campaigns Outcome per Sub-Category</a:t>
            </a:r>
            <a:endParaRPr lang="en-CA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19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D6D-A90B-AE7BD0190880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17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115</c:v>
                </c:pt>
                <c:pt idx="14">
                  <c:v>3</c:v>
                </c:pt>
                <c:pt idx="15">
                  <c:v>21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D6D-A90B-AE7BD0190880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F-4D6D-A90B-AE7BD0190880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27</c:v>
                </c:pt>
                <c:pt idx="3">
                  <c:v>17</c:v>
                </c:pt>
                <c:pt idx="4">
                  <c:v>10</c:v>
                </c:pt>
                <c:pt idx="5">
                  <c:v>6</c:v>
                </c:pt>
                <c:pt idx="6">
                  <c:v>17</c:v>
                </c:pt>
                <c:pt idx="7">
                  <c:v>20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10</c:v>
                </c:pt>
                <c:pt idx="12">
                  <c:v>24</c:v>
                </c:pt>
                <c:pt idx="13">
                  <c:v>156</c:v>
                </c:pt>
                <c:pt idx="14">
                  <c:v>3</c:v>
                </c:pt>
                <c:pt idx="15">
                  <c:v>41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22</c:v>
                </c:pt>
                <c:pt idx="22">
                  <c:v>27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F-4E67-973C-FB90F456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3216575"/>
        <c:axId val="923236543"/>
      </c:barChart>
      <c:catAx>
        <c:axId val="923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Sub-Categories</a:t>
                </a:r>
              </a:p>
            </c:rich>
          </c:tx>
          <c:layout>
            <c:manualLayout>
              <c:xMode val="edge"/>
              <c:yMode val="edge"/>
              <c:x val="0.43288776361685966"/>
              <c:y val="0.930203041856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36543"/>
        <c:crosses val="autoZero"/>
        <c:auto val="1"/>
        <c:lblAlgn val="ctr"/>
        <c:lblOffset val="100"/>
        <c:noMultiLvlLbl val="0"/>
      </c:catAx>
      <c:valAx>
        <c:axId val="923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Date Created Conv.!PivotTable1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Crowdfunding</a:t>
            </a:r>
            <a:r>
              <a:rPr lang="en-CA" baseline="0"/>
              <a:t> Campaigns Outcome from 2010-2020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Date Created Conv.'!$B$4:$B$5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per Date Created Conv.'!$A$6:$A$18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Date Created Conv.'!$B$6:$B$18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0-4219-B52D-4E94BADABBFC}"/>
            </c:ext>
          </c:extLst>
        </c:ser>
        <c:ser>
          <c:idx val="1"/>
          <c:order val="1"/>
          <c:tx>
            <c:strRef>
              <c:f>'Outcome per Date Created Conv.'!$C$4:$C$5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'Outcome per Date Created Conv.'!$A$6:$A$18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Date Created Conv.'!$C$6:$C$18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430-4219-B52D-4E94BADABBFC}"/>
            </c:ext>
          </c:extLst>
        </c:ser>
        <c:ser>
          <c:idx val="2"/>
          <c:order val="2"/>
          <c:tx>
            <c:strRef>
              <c:f>'Outcome per Date Created Conv.'!$D$4:$D$5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per Date Created Conv.'!$A$6:$A$18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Date Created Conv.'!$D$6:$D$18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430-4219-B52D-4E94BADABBFC}"/>
            </c:ext>
          </c:extLst>
        </c:ser>
        <c:ser>
          <c:idx val="3"/>
          <c:order val="3"/>
          <c:tx>
            <c:strRef>
              <c:f>'Outcome per Date Created Conv.'!$E$4:$E$5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'Outcome per Date Created Conv.'!$A$6:$A$18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Date Created Conv.'!$E$6:$E$18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430-4219-B52D-4E94BADA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215136"/>
        <c:axId val="1725220960"/>
      </c:lineChart>
      <c:catAx>
        <c:axId val="17252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20960"/>
        <c:crosses val="autoZero"/>
        <c:auto val="1"/>
        <c:lblAlgn val="ctr"/>
        <c:lblOffset val="100"/>
        <c:noMultiLvlLbl val="0"/>
      </c:catAx>
      <c:valAx>
        <c:axId val="17252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 Outcome</a:t>
            </a:r>
            <a:r>
              <a:rPr lang="en-CA" baseline="0"/>
              <a:t> based on Goal Amount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298FBD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F-44C5-8DD0-DECEC1E89C3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Percenteage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F-44C5-8DD0-DECEC1E89C3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AC05E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F-44C5-8DD0-DECEC1E8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16608"/>
        <c:axId val="750217024"/>
      </c:lineChart>
      <c:catAx>
        <c:axId val="7502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17024"/>
        <c:crosses val="autoZero"/>
        <c:auto val="1"/>
        <c:lblAlgn val="ctr"/>
        <c:lblOffset val="100"/>
        <c:noMultiLvlLbl val="0"/>
      </c:catAx>
      <c:valAx>
        <c:axId val="7502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420141</xdr:colOff>
      <xdr:row>4</xdr:row>
      <xdr:rowOff>44824</xdr:rowOff>
    </xdr:from>
    <xdr:to>
      <xdr:col>22</xdr:col>
      <xdr:colOff>43462</xdr:colOff>
      <xdr:row>34</xdr:row>
      <xdr:rowOff>15208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0A165-1D03-F53F-8B59-554A4DD51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3</xdr:row>
      <xdr:rowOff>133350</xdr:rowOff>
    </xdr:from>
    <xdr:to>
      <xdr:col>23</xdr:col>
      <xdr:colOff>587953</xdr:colOff>
      <xdr:row>36</xdr:row>
      <xdr:rowOff>105640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6494-6C28-9648-617C-D9FAD8D56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83004</xdr:colOff>
      <xdr:row>8</xdr:row>
      <xdr:rowOff>155120</xdr:rowOff>
    </xdr:from>
    <xdr:to>
      <xdr:col>18</xdr:col>
      <xdr:colOff>364671</xdr:colOff>
      <xdr:row>37</xdr:row>
      <xdr:rowOff>155121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2254-08FE-83BB-38F1-41B05E31B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1071563</xdr:colOff>
      <xdr:row>14</xdr:row>
      <xdr:rowOff>71437</xdr:rowOff>
    </xdr:from>
    <xdr:to>
      <xdr:col>11</xdr:col>
      <xdr:colOff>107156</xdr:colOff>
      <xdr:row>38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73359-3B54-C7BE-BDAC-8739EF37D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Arambulo" refreshedDate="44978.986853472219" createdVersion="8" refreshedVersion="8" minRefreshableVersion="3" recordCount="1000" xr:uid="{EB79D6CF-8ADC-4F89-BB76-C7390CE98A5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Arambulo" refreshedDate="44982.585651851849" createdVersion="8" refreshedVersion="8" minRefreshableVersion="3" recordCount="1001" xr:uid="{C464BABF-F1E3-460D-83FB-56D8445FCA7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x v="1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x v="2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x v="3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x v="4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x v="4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x v="5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x v="6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x v="7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x v="8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x v="5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x v="9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x v="9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x v="3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x v="1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x v="11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x v="12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x v="13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x v="14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x v="15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x v="16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x v="17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x v="18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x v="6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x v="19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x v="2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x v="21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x v="22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x v="23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x v="24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x v="25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x v="26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x v="27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x v="28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x v="29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x v="3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x v="31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x v="32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x v="33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x v="34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x v="35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x v="36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x v="37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x v="38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x v="39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x v="4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x v="41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x v="42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x v="43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x v="44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x v="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x v="45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x v="44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x v="35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x v="46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x v="47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x v="48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x v="49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x v="5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x v="1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x v="51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x v="52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x v="22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x v="53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x v="54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x v="55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x v="49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x v="56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x v="57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x v="58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x v="59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x v="46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x v="6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x v="1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x v="61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x v="62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x v="63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x v="4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x v="6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x v="64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x v="65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x v="66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x v="67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x v="68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x v="69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x v="7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x v="71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x v="72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x v="73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x v="74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x v="75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x v="76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x v="77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x v="78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x v="49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x v="79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x v="8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x v="81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x v="82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x v="4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x v="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x v="79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x v="41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x v="83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x v="84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x v="85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x v="61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x v="26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x v="42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x v="5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x v="86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x v="87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x v="53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x v="88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x v="89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x v="9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x v="44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x v="7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x v="91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x v="92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x v="93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x v="94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x v="95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x v="96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x v="97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x v="98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x v="99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x v="1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x v="101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x v="102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x v="103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x v="104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x v="88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x v="6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x v="105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x v="106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x v="107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x v="37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x v="103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x v="108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x v="2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x v="109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x v="92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x v="91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x v="25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x v="11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x v="35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x v="111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x v="29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x v="8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x v="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x v="112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x v="113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x v="114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x v="115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x v="116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x v="117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x v="3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x v="118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x v="119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x v="48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x v="2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x v="55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x v="26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x v="12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x v="121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x v="122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x v="97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x v="123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x v="124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x v="125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x v="7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x v="126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x v="127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x v="6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x v="128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x v="129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x v="13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x v="44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x v="131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x v="132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x v="133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x v="134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x v="135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x v="136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x v="67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x v="137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x v="138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x v="139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x v="14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x v="41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x v="141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x v="142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x v="47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x v="143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x v="144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x v="139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x v="145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x v="146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x v="37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x v="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x v="118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x v="111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x v="147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x v="148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x v="81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x v="25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x v="67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x v="149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x v="15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x v="151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x v="152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x v="32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x v="153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x v="1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x v="154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x v="155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x v="156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x v="57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x v="157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x v="58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x v="158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x v="73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x v="159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x v="16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x v="161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x v="162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x v="163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x v="164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x v="165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x v="166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x v="44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x v="74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x v="167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x v="168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x v="133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x v="169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x v="29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x v="166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x v="17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x v="171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x v="172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x v="141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x v="173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x v="31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x v="49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x v="6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x v="174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x v="8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x v="175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x v="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x v="143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x v="67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x v="158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x v="176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x v="177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x v="178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x v="57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x v="92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x v="37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x v="9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x v="179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x v="12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x v="49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x v="18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x v="7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x v="181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x v="182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x v="42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x v="26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x v="183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x v="184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x v="185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x v="75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x v="166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x v="61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x v="2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x v="31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x v="5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x v="48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x v="186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x v="187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x v="141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x v="32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x v="122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x v="79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x v="188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x v="9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x v="36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x v="126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x v="189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x v="37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x v="19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x v="191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x v="6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x v="192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x v="55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x v="44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x v="26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x v="167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x v="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x v="79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x v="193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x v="74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x v="118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x v="54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x v="191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x v="194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x v="195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x v="178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x v="75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x v="9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x v="18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x v="196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x v="1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x v="4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x v="103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x v="47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x v="57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x v="141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x v="197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x v="198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x v="199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x v="2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x v="143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x v="191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x v="44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x v="97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x v="201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x v="202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x v="203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x v="88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x v="204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x v="103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x v="205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x v="206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x v="207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x v="208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x v="209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x v="21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x v="211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x v="212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x v="213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x v="25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x v="214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x v="215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x v="48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x v="79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x v="216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x v="217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x v="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x v="218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x v="54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x v="219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x v="55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x v="167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x v="29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x v="173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x v="62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x v="22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x v="221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x v="2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x v="41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x v="5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x v="79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x v="39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x v="37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x v="34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x v="5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x v="91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x v="222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x v="223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x v="79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x v="224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x v="225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x v="5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x v="74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x v="226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x v="227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x v="44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x v="186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x v="98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x v="14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x v="9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x v="228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x v="229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x v="23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x v="231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x v="232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x v="233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x v="166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x v="234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x v="235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x v="236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x v="126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x v="143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x v="237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x v="32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x v="12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x v="238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x v="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x v="79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x v="19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x v="239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x v="24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x v="241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x v="242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x v="74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x v="243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x v="244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x v="184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x v="75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x v="118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x v="245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x v="246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x v="247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x v="248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x v="12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x v="249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x v="25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x v="92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x v="151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x v="251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x v="252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x v="135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x v="5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x v="37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x v="253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x v="254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x v="255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x v="32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x v="135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x v="106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x v="256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x v="91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x v="257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x v="81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x v="32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x v="111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x v="258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x v="259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x v="26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x v="91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x v="29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x v="8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x v="118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x v="85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x v="261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x v="262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x v="79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x v="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x v="263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x v="73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x v="264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x v="22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x v="265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x v="266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x v="92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x v="267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x v="9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x v="166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x v="268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x v="269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x v="27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x v="271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x v="53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x v="272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x v="1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x v="22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x v="36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x v="136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x v="33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x v="273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x v="92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x v="22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x v="71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x v="274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x v="275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x v="276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x v="166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x v="133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x v="277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x v="3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x v="278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x v="241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x v="279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x v="5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x v="28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x v="98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x v="243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x v="166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x v="281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x v="255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x v="79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x v="186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x v="17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x v="282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x v="122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x v="283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x v="284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x v="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x v="285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x v="81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x v="286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x v="168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x v="262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x v="287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x v="118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x v="288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x v="172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x v="75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x v="252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x v="14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x v="111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x v="289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x v="133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x v="29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x v="291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x v="35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x v="96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x v="126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x v="4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x v="292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x v="79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x v="127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x v="118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x v="111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x v="223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x v="25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x v="135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x v="293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x v="294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x v="39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x v="295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x v="296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x v="97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x v="122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x v="197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x v="297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x v="122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x v="98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x v="298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x v="299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x v="3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x v="54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x v="301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x v="3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x v="81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x v="302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x v="303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x v="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x v="304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x v="25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x v="305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x v="4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x v="9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x v="5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x v="46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x v="306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x v="307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x v="77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x v="162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x v="34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x v="41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x v="308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x v="309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x v="29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x v="85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x v="31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x v="311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x v="312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x v="26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x v="25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x v="313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x v="5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x v="314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x v="62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x v="139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x v="315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x v="8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x v="316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x v="46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x v="251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x v="317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x v="318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x v="2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x v="31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x v="151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x v="215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x v="58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x v="143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x v="6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x v="154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x v="319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x v="32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x v="321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x v="58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x v="322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x v="323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x v="324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x v="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x v="9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x v="325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x v="98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x v="326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x v="88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x v="74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x v="327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x v="61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x v="83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x v="328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x v="139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x v="8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x v="65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x v="329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x v="275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x v="33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x v="1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x v="331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x v="332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x v="333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x v="334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x v="335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x v="336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x v="135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x v="168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x v="33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x v="39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x v="89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x v="337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x v="4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x v="338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x v="339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x v="313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x v="195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x v="34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x v="341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x v="275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x v="342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x v="133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x v="343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x v="151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x v="243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x v="344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x v="345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x v="346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x v="201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x v="6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x v="347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x v="155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x v="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x v="348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x v="83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x v="6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x v="349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x v="35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x v="351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x v="83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x v="352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x v="353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x v="14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x v="354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x v="14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x v="83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x v="355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x v="135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x v="33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x v="35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x v="356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x v="357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x v="358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x v="359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x v="36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x v="36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x v="361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x v="62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x v="362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x v="98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x v="105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x v="1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x v="363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x v="364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x v="91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x v="173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x v="1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x v="365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x v="168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x v="42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x v="49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x v="19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x v="136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x v="92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x v="46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x v="366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x v="14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x v="243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x v="367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x v="368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x v="369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x v="71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x v="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x v="37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x v="251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x v="371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x v="251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x v="372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x v="2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x v="19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x v="12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x v="122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x v="333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x v="8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x v="126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x v="35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x v="373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x v="374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x v="22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x v="36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x v="111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x v="35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x v="251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x v="375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x v="376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x v="7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x v="141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x v="377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x v="378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x v="2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x v="3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x v="36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x v="379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x v="48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x v="38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x v="144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x v="3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x v="211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x v="106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x v="41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x v="381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x v="83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x v="98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x v="272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x v="272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x v="61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x v="22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x v="35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x v="382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x v="7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x v="383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x v="133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x v="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x v="136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x v="306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x v="53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x v="384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x v="6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x v="81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x v="1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x v="241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x v="385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x v="386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x v="196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x v="26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x v="36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x v="65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x v="61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x v="316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x v="387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x v="73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x v="388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x v="333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x v="36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x v="389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x v="39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x v="92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x v="151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x v="391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x v="202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x v="81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x v="392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x v="135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x v="251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x v="135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x v="71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x v="393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x v="313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x v="42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x v="394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x v="136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x v="25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x v="395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x v="118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x v="22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x v="65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x v="47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x v="143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x v="75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x v="4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x v="74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x v="396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x v="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x v="173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x v="8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x v="55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x v="97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x v="62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x v="31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x v="31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x v="5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x v="397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x v="33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x v="398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x v="221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x v="17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x v="17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x v="25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x v="173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x v="399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x v="31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x v="2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x v="42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x v="7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x v="4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x v="178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x v="401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x v="136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x v="54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x v="173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x v="143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x v="103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x v="319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x v="402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x v="403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x v="85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x v="19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x v="404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x v="32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x v="405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x v="33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x v="106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x v="406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x v="14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x v="42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x v="35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x v="35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x v="407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x v="67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x v="53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x v="17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x v="313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x v="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x v="46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x v="7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x v="408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x v="409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x v="41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x v="166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x v="98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x v="22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x v="19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x v="22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x v="35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x v="26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x v="1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x v="3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x v="411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x v="412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x v="73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x v="26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x v="413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x v="106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x v="414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x v="53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x v="369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x v="415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x v="58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x v="111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x v="416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x v="5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x v="67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x v="396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x v="417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x v="126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x v="74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x v="418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x v="37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x v="419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x v="75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x v="306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x v="36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x v="42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x v="162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x v="46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x v="141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x v="12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x v="421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x v="174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x v="35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x v="422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x v="33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x v="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x v="36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x v="1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x v="423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x v="191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x v="58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x v="2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x v="14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x v="424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x v="37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x v="425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x v="306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x v="37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x v="426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x v="33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x v="427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x v="41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x v="136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x v="167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x v="428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x v="98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x v="429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x v="43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x v="12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x v="431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x v="162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x v="251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x v="44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x v="225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x v="2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x v="26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x v="58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x v="173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x v="432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x v="8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x v="55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x v="1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x v="409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x v="243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x v="75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x v="34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x v="433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x v="103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x v="168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x v="83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x v="434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x v="184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x v="136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x v="151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x v="291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x v="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x v="435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x v="436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x v="88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x v="142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x v="31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x v="437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x v="122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x v="65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x v="438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x v="2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x v="57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x v="136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x v="291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x v="41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x v="196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x v="12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x v="439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x v="166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x v="58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x v="309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x v="135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x v="44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x v="441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x v="126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x v="91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x v="22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x v="26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x v="67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x v="138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x v="442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x v="313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x v="44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x v="443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x v="191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x v="305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x v="75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x v="8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x v="151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x v="166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x v="75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x v="122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x v="33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x v="122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x v="444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x v="238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x v="47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x v="4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x v="445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x v="446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x v="447"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2FE56-2F64-4689-A542-8BC556696A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6DAE5-4435-4B18-AAEE-610E952E2B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multipleItemSelectionAllowed="1" showAll="0">
      <items count="8">
        <item h="1" x="2"/>
        <item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CD657-D67D-4709-8A18-78D94F63E99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C05E"/>
      </a:accent1>
      <a:accent2>
        <a:srgbClr val="EE6352"/>
      </a:accent2>
      <a:accent3>
        <a:srgbClr val="59CD90"/>
      </a:accent3>
      <a:accent4>
        <a:srgbClr val="3FA7D6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zoomScale="70" zoomScaleNormal="70" workbookViewId="0">
      <selection activeCell="H52" sqref="H5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6" width="17.375" customWidth="1"/>
    <col min="8" max="8" width="17.125" customWidth="1"/>
    <col min="9" max="9" width="19" customWidth="1"/>
    <col min="12" max="13" width="24" customWidth="1"/>
    <col min="14" max="15" width="26" customWidth="1"/>
    <col min="18" max="18" width="28" bestFit="1" customWidth="1"/>
    <col min="19" max="19" width="19.5" customWidth="1"/>
    <col min="20" max="20" width="20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4">
        <f t="shared" ref="I3:I66" si="1">E3/H3</f>
        <v>92.151898734177209</v>
      </c>
      <c r="J3" t="s">
        <v>21</v>
      </c>
      <c r="K3" t="s">
        <v>22</v>
      </c>
      <c r="L3">
        <v>1408424400</v>
      </c>
      <c r="M3" s="7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hidden="1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hidden="1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hidden="1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hidden="1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hidden="1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hidden="1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hidden="1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hidden="1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hidden="1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hidden="1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hidden="1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hidden="1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hidden="1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4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7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hidden="1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hidden="1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hidden="1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hidden="1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hidden="1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hidden="1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hidden="1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hidden="1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hidden="1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hidden="1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hidden="1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hidden="1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hidden="1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hidden="1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hidden="1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hidden="1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hidden="1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hidden="1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hidden="1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hidden="1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hidden="1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hidden="1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hidden="1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hidden="1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hidden="1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hidden="1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hidden="1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hidden="1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hidden="1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hidden="1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hidden="1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hidden="1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hidden="1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hidden="1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hidden="1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hidden="1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hidden="1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hidden="1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hidden="1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hidden="1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hidden="1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hidden="1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hidden="1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hidden="1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 s="7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hidden="1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7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hidden="1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hidden="1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hidden="1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hidden="1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hidden="1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hidden="1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hidden="1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hidden="1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hidden="1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hidden="1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hidden="1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hidden="1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hidden="1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hidden="1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hidden="1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hidden="1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hidden="1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hidden="1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hidden="1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hidden="1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hidden="1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hidden="1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hidden="1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hidden="1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hidden="1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hidden="1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hidden="1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hidden="1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hidden="1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hidden="1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hidden="1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hidden="1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hidden="1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hidden="1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hidden="1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hidden="1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hidden="1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 s="7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7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hidden="1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hidden="1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hidden="1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hidden="1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hidden="1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hidden="1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hidden="1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hidden="1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hidden="1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hidden="1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hidden="1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hidden="1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hidden="1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hidden="1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hidden="1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hidden="1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hidden="1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hidden="1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hidden="1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hidden="1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hidden="1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hidden="1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hidden="1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hidden="1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hidden="1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hidden="1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hidden="1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hidden="1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hidden="1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hidden="1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hidden="1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hidden="1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hidden="1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hidden="1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hidden="1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hidden="1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hidden="1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hidden="1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hidden="1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hidden="1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hidden="1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hidden="1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hidden="1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hidden="1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 s="7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hidden="1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4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7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hidden="1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hidden="1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hidden="1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hidden="1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hidden="1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hidden="1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hidden="1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hidden="1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hidden="1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hidden="1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hidden="1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hidden="1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hidden="1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hidden="1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hidden="1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hidden="1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hidden="1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hidden="1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hidden="1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hidden="1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hidden="1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hidden="1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hidden="1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hidden="1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hidden="1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hidden="1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hidden="1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hidden="1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hidden="1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hidden="1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hidden="1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hidden="1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hidden="1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hidden="1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hidden="1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hidden="1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hidden="1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hidden="1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 s="7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7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hidden="1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hidden="1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hidden="1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hidden="1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hidden="1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hidden="1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hidden="1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hidden="1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hidden="1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hidden="1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hidden="1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hidden="1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hidden="1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hidden="1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hidden="1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hidden="1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hidden="1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hidden="1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hidden="1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hidden="1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hidden="1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hidden="1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hidden="1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hidden="1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hidden="1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hidden="1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hidden="1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hidden="1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hidden="1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hidden="1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hidden="1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hidden="1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hidden="1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hidden="1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hidden="1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hidden="1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hidden="1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 s="7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hidden="1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7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hidden="1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hidden="1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hidden="1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hidden="1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hidden="1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hidden="1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hidden="1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hidden="1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hidden="1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hidden="1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hidden="1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hidden="1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hidden="1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hidden="1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hidden="1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hidden="1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hidden="1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hidden="1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hidden="1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hidden="1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hidden="1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hidden="1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hidden="1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hidden="1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hidden="1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hidden="1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hidden="1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hidden="1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hidden="1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hidden="1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hidden="1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hidden="1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hidden="1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hidden="1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hidden="1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hidden="1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hidden="1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hidden="1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 s="7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hidden="1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4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7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hidden="1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hidden="1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hidden="1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hidden="1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hidden="1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hidden="1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hidden="1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hidden="1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hidden="1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hidden="1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hidden="1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hidden="1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hidden="1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hidden="1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hidden="1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hidden="1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hidden="1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hidden="1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hidden="1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hidden="1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hidden="1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hidden="1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hidden="1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hidden="1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hidden="1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hidden="1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hidden="1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hidden="1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hidden="1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hidden="1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4">
        <v>0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hidden="1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hidden="1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hidden="1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hidden="1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hidden="1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hidden="1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 s="7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hidden="1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7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hidden="1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hidden="1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hidden="1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hidden="1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hidden="1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hidden="1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hidden="1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hidden="1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hidden="1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hidden="1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hidden="1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hidden="1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hidden="1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hidden="1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hidden="1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hidden="1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hidden="1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hidden="1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hidden="1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hidden="1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hidden="1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hidden="1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hidden="1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hidden="1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hidden="1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hidden="1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hidden="1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hidden="1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hidden="1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hidden="1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hidden="1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hidden="1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hidden="1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hidden="1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hidden="1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hidden="1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hidden="1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 s="7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hidden="1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7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hidden="1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hidden="1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hidden="1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hidden="1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hidden="1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hidden="1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hidden="1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hidden="1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hidden="1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hidden="1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hidden="1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hidden="1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hidden="1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hidden="1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hidden="1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hidden="1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hidden="1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hidden="1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hidden="1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hidden="1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hidden="1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hidden="1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hidden="1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hidden="1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hidden="1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hidden="1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hidden="1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hidden="1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hidden="1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hidden="1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hidden="1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hidden="1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hidden="1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hidden="1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hidden="1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hidden="1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hidden="1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hidden="1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hidden="1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hidden="1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hidden="1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 s="7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hidden="1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7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hidden="1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hidden="1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hidden="1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hidden="1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hidden="1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hidden="1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hidden="1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hidden="1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hidden="1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hidden="1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hidden="1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hidden="1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hidden="1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hidden="1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hidden="1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hidden="1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hidden="1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hidden="1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hidden="1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hidden="1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hidden="1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hidden="1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hidden="1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hidden="1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hidden="1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hidden="1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hidden="1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hidden="1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hidden="1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hidden="1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hidden="1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hidden="1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hidden="1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hidden="1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 s="7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7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hidden="1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hidden="1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hidden="1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hidden="1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hidden="1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hidden="1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hidden="1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hidden="1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hidden="1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hidden="1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hidden="1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hidden="1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hidden="1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hidden="1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hidden="1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hidden="1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hidden="1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hidden="1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hidden="1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hidden="1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hidden="1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hidden="1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hidden="1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hidden="1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hidden="1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hidden="1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hidden="1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hidden="1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hidden="1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hidden="1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hidden="1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hidden="1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hidden="1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hidden="1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hidden="1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hidden="1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hidden="1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hidden="1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hidden="1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hidden="1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hidden="1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hidden="1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hidden="1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hidden="1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hidden="1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hidden="1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hidden="1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hidden="1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 s="7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7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hidden="1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hidden="1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hidden="1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hidden="1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hidden="1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hidden="1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hidden="1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hidden="1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hidden="1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hidden="1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hidden="1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hidden="1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hidden="1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hidden="1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hidden="1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hidden="1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hidden="1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hidden="1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hidden="1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hidden="1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hidden="1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hidden="1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hidden="1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hidden="1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hidden="1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hidden="1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hidden="1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hidden="1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hidden="1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hidden="1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hidden="1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hidden="1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hidden="1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hidden="1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hidden="1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hidden="1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hidden="1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hidden="1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hidden="1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hidden="1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hidden="1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hidden="1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 s="7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hidden="1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7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hidden="1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hidden="1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hidden="1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hidden="1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hidden="1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hidden="1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hidden="1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hidden="1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hidden="1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hidden="1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hidden="1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hidden="1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hidden="1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hidden="1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hidden="1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hidden="1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hidden="1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hidden="1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hidden="1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hidden="1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hidden="1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hidden="1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hidden="1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hidden="1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hidden="1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hidden="1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hidden="1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hidden="1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hidden="1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hidden="1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hidden="1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hidden="1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hidden="1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hidden="1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hidden="1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hidden="1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hidden="1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hidden="1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hidden="1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hidden="1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hidden="1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hidden="1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hidden="1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hidden="1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hidden="1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 s="7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7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hidden="1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hidden="1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hidden="1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hidden="1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hidden="1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hidden="1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hidden="1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hidden="1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hidden="1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hidden="1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hidden="1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hidden="1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hidden="1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hidden="1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hidden="1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hidden="1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hidden="1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hidden="1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hidden="1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hidden="1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hidden="1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hidden="1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hidden="1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hidden="1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hidden="1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hidden="1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hidden="1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hidden="1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hidden="1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hidden="1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hidden="1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hidden="1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hidden="1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hidden="1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hidden="1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hidden="1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hidden="1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hidden="1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 s="7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hidden="1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7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hidden="1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hidden="1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hidden="1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hidden="1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hidden="1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hidden="1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hidden="1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hidden="1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hidden="1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hidden="1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hidden="1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hidden="1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hidden="1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hidden="1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hidden="1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hidden="1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hidden="1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hidden="1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hidden="1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hidden="1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hidden="1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hidden="1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hidden="1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hidden="1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G2:G1001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EA4832"/>
        <color rgb="FF3AC07A"/>
        <color rgb="FF298FBD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D90-186F-405C-A99D-C9FE0F4C5B00}">
  <sheetPr codeName="Sheet2"/>
  <dimension ref="A2:F15"/>
  <sheetViews>
    <sheetView topLeftCell="B1" zoomScale="85" zoomScaleNormal="85" workbookViewId="0">
      <selection activeCell="E15" sqref="E15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</cols>
  <sheetData>
    <row r="2" spans="1:6" x14ac:dyDescent="0.25">
      <c r="A2" s="5" t="s">
        <v>6</v>
      </c>
      <c r="B2" t="s">
        <v>2066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6" t="s">
        <v>2041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5">
      <c r="A7" s="6" t="s">
        <v>2033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5">
      <c r="A8" s="6" t="s">
        <v>2050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5">
      <c r="A9" s="6" t="s">
        <v>2064</v>
      </c>
      <c r="B9" s="9"/>
      <c r="C9" s="9"/>
      <c r="D9" s="9"/>
      <c r="E9" s="9">
        <v>4</v>
      </c>
      <c r="F9" s="9">
        <v>4</v>
      </c>
    </row>
    <row r="10" spans="1:6" x14ac:dyDescent="0.25">
      <c r="A10" s="6" t="s">
        <v>2035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5">
      <c r="A11" s="6" t="s">
        <v>2054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5">
      <c r="A12" s="6" t="s">
        <v>2047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5">
      <c r="A13" s="6" t="s">
        <v>2037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5">
      <c r="A14" s="6" t="s">
        <v>2039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5">
      <c r="A15" s="6" t="s">
        <v>2068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9E96-5326-4426-B28A-7E6274871373}">
  <dimension ref="A1:F30"/>
  <sheetViews>
    <sheetView tabSelected="1" zoomScale="85" zoomScaleNormal="85" workbookViewId="0">
      <selection activeCell="Q41" sqref="Q41"/>
    </sheetView>
  </sheetViews>
  <sheetFormatPr defaultRowHeight="15.75" x14ac:dyDescent="0.25"/>
  <cols>
    <col min="1" max="1" width="16.875" bestFit="1" customWidth="1"/>
    <col min="2" max="2" width="16.75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</cols>
  <sheetData>
    <row r="1" spans="1:6" x14ac:dyDescent="0.25">
      <c r="A1" s="5" t="s">
        <v>6</v>
      </c>
      <c r="B1" t="s">
        <v>2086</v>
      </c>
    </row>
    <row r="2" spans="1:6" x14ac:dyDescent="0.25">
      <c r="A2" s="5" t="s">
        <v>2031</v>
      </c>
      <c r="B2" t="s">
        <v>2066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6" t="s">
        <v>2049</v>
      </c>
      <c r="B6">
        <v>1</v>
      </c>
      <c r="C6">
        <v>9</v>
      </c>
      <c r="D6">
        <v>2</v>
      </c>
      <c r="E6">
        <v>17</v>
      </c>
      <c r="F6">
        <v>29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13</v>
      </c>
      <c r="E8">
        <v>27</v>
      </c>
      <c r="F8">
        <v>44</v>
      </c>
    </row>
    <row r="9" spans="1:6" x14ac:dyDescent="0.25">
      <c r="A9" s="6" t="s">
        <v>2044</v>
      </c>
      <c r="B9">
        <v>2</v>
      </c>
      <c r="C9">
        <v>10</v>
      </c>
      <c r="D9">
        <v>1</v>
      </c>
      <c r="E9">
        <v>17</v>
      </c>
      <c r="F9">
        <v>30</v>
      </c>
    </row>
    <row r="10" spans="1:6" x14ac:dyDescent="0.25">
      <c r="A10" s="6" t="s">
        <v>2043</v>
      </c>
      <c r="C10">
        <v>6</v>
      </c>
      <c r="E10">
        <v>10</v>
      </c>
      <c r="F10">
        <v>16</v>
      </c>
    </row>
    <row r="11" spans="1:6" x14ac:dyDescent="0.25">
      <c r="A11" s="6" t="s">
        <v>2053</v>
      </c>
      <c r="B11">
        <v>1</v>
      </c>
      <c r="C11">
        <v>6</v>
      </c>
      <c r="E11">
        <v>6</v>
      </c>
      <c r="F11">
        <v>13</v>
      </c>
    </row>
    <row r="12" spans="1:6" x14ac:dyDescent="0.25">
      <c r="A12" s="6" t="s">
        <v>2034</v>
      </c>
      <c r="B12">
        <v>3</v>
      </c>
      <c r="C12">
        <v>17</v>
      </c>
      <c r="E12">
        <v>17</v>
      </c>
      <c r="F12">
        <v>37</v>
      </c>
    </row>
    <row r="13" spans="1:6" x14ac:dyDescent="0.25">
      <c r="A13" s="6" t="s">
        <v>2045</v>
      </c>
      <c r="B13">
        <v>1</v>
      </c>
      <c r="C13">
        <v>15</v>
      </c>
      <c r="E13">
        <v>20</v>
      </c>
      <c r="F13">
        <v>36</v>
      </c>
    </row>
    <row r="14" spans="1:6" x14ac:dyDescent="0.25">
      <c r="A14" s="6" t="s">
        <v>2058</v>
      </c>
      <c r="B14">
        <v>1</v>
      </c>
      <c r="C14">
        <v>4</v>
      </c>
      <c r="E14">
        <v>7</v>
      </c>
      <c r="F14">
        <v>12</v>
      </c>
    </row>
    <row r="15" spans="1:6" x14ac:dyDescent="0.25">
      <c r="A15" s="6" t="s">
        <v>2057</v>
      </c>
      <c r="E15">
        <v>3</v>
      </c>
      <c r="F15">
        <v>3</v>
      </c>
    </row>
    <row r="16" spans="1:6" x14ac:dyDescent="0.25">
      <c r="A16" s="6" t="s">
        <v>2061</v>
      </c>
      <c r="C16">
        <v>7</v>
      </c>
      <c r="D16">
        <v>1</v>
      </c>
      <c r="E16">
        <v>3</v>
      </c>
      <c r="F16">
        <v>11</v>
      </c>
    </row>
    <row r="17" spans="1:6" x14ac:dyDescent="0.25">
      <c r="A17" s="6" t="s">
        <v>2048</v>
      </c>
      <c r="B17">
        <v>1</v>
      </c>
      <c r="C17">
        <v>4</v>
      </c>
      <c r="D17">
        <v>1</v>
      </c>
      <c r="E17">
        <v>10</v>
      </c>
      <c r="F17">
        <v>16</v>
      </c>
    </row>
    <row r="18" spans="1:6" x14ac:dyDescent="0.25">
      <c r="A18" s="6" t="s">
        <v>2055</v>
      </c>
      <c r="B18">
        <v>3</v>
      </c>
      <c r="C18">
        <v>8</v>
      </c>
      <c r="D18">
        <v>1</v>
      </c>
      <c r="E18">
        <v>24</v>
      </c>
      <c r="F18">
        <v>36</v>
      </c>
    </row>
    <row r="19" spans="1:6" x14ac:dyDescent="0.25">
      <c r="A19" s="6" t="s">
        <v>2040</v>
      </c>
      <c r="B19">
        <v>19</v>
      </c>
      <c r="C19">
        <v>115</v>
      </c>
      <c r="D19">
        <v>1</v>
      </c>
      <c r="E19">
        <v>156</v>
      </c>
      <c r="F19">
        <v>291</v>
      </c>
    </row>
    <row r="20" spans="1:6" x14ac:dyDescent="0.25">
      <c r="A20" s="6" t="s">
        <v>2056</v>
      </c>
      <c r="C20">
        <v>3</v>
      </c>
      <c r="E20">
        <v>3</v>
      </c>
      <c r="F20">
        <v>6</v>
      </c>
    </row>
    <row r="21" spans="1:6" x14ac:dyDescent="0.25">
      <c r="A21" s="6" t="s">
        <v>2036</v>
      </c>
      <c r="B21">
        <v>4</v>
      </c>
      <c r="C21">
        <v>21</v>
      </c>
      <c r="E21">
        <v>41</v>
      </c>
      <c r="F21">
        <v>66</v>
      </c>
    </row>
    <row r="22" spans="1:6" x14ac:dyDescent="0.25">
      <c r="A22" s="6" t="s">
        <v>2063</v>
      </c>
      <c r="C22">
        <v>7</v>
      </c>
      <c r="E22">
        <v>4</v>
      </c>
      <c r="F22">
        <v>11</v>
      </c>
    </row>
    <row r="23" spans="1:6" x14ac:dyDescent="0.25">
      <c r="A23" s="6" t="s">
        <v>2052</v>
      </c>
      <c r="B23">
        <v>1</v>
      </c>
      <c r="C23">
        <v>3</v>
      </c>
      <c r="E23">
        <v>5</v>
      </c>
      <c r="F23">
        <v>9</v>
      </c>
    </row>
    <row r="24" spans="1:6" x14ac:dyDescent="0.25">
      <c r="A24" s="6" t="s">
        <v>2060</v>
      </c>
      <c r="B24">
        <v>2</v>
      </c>
      <c r="C24">
        <v>3</v>
      </c>
      <c r="E24">
        <v>9</v>
      </c>
      <c r="F24">
        <v>14</v>
      </c>
    </row>
    <row r="25" spans="1:6" x14ac:dyDescent="0.25">
      <c r="A25" s="6" t="s">
        <v>2059</v>
      </c>
      <c r="C25">
        <v>5</v>
      </c>
      <c r="E25">
        <v>12</v>
      </c>
      <c r="F25">
        <v>17</v>
      </c>
    </row>
    <row r="26" spans="1:6" x14ac:dyDescent="0.25">
      <c r="A26" s="6" t="s">
        <v>2051</v>
      </c>
      <c r="B26">
        <v>1</v>
      </c>
      <c r="C26">
        <v>13</v>
      </c>
      <c r="D26">
        <v>1</v>
      </c>
      <c r="E26">
        <v>11</v>
      </c>
      <c r="F26">
        <v>26</v>
      </c>
    </row>
    <row r="27" spans="1:6" x14ac:dyDescent="0.25">
      <c r="A27" s="6" t="s">
        <v>2046</v>
      </c>
      <c r="C27">
        <v>14</v>
      </c>
      <c r="D27">
        <v>1</v>
      </c>
      <c r="E27">
        <v>22</v>
      </c>
      <c r="F27">
        <v>37</v>
      </c>
    </row>
    <row r="28" spans="1:6" x14ac:dyDescent="0.25">
      <c r="A28" s="6" t="s">
        <v>2038</v>
      </c>
      <c r="B28">
        <v>2</v>
      </c>
      <c r="C28">
        <v>10</v>
      </c>
      <c r="D28">
        <v>1</v>
      </c>
      <c r="E28">
        <v>27</v>
      </c>
      <c r="F28">
        <v>40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2068</v>
      </c>
      <c r="B30">
        <v>46</v>
      </c>
      <c r="C30">
        <v>293</v>
      </c>
      <c r="D30">
        <v>10</v>
      </c>
      <c r="E30">
        <v>458</v>
      </c>
      <c r="F30">
        <v>807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C418-FDF4-40CA-A7B5-9B9108D121A0}">
  <dimension ref="A1:F18"/>
  <sheetViews>
    <sheetView zoomScale="85" zoomScaleNormal="85" workbookViewId="0">
      <selection activeCell="R8" sqref="R8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  <col min="7" max="7" width="11" bestFit="1" customWidth="1"/>
  </cols>
  <sheetData>
    <row r="1" spans="1:6" x14ac:dyDescent="0.25">
      <c r="A1" s="5" t="s">
        <v>2031</v>
      </c>
      <c r="B1" t="s">
        <v>2066</v>
      </c>
    </row>
    <row r="2" spans="1:6" x14ac:dyDescent="0.25">
      <c r="A2" s="5" t="s">
        <v>2085</v>
      </c>
      <c r="B2" t="s">
        <v>2066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6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6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6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6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6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6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6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6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6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6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6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6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6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A931-DC20-4B4F-AEA8-3081941BD9F8}">
  <dimension ref="A1:H13"/>
  <sheetViews>
    <sheetView zoomScale="80" zoomScaleNormal="80" workbookViewId="0">
      <selection activeCell="C3" sqref="C3"/>
    </sheetView>
  </sheetViews>
  <sheetFormatPr defaultRowHeight="15.75" x14ac:dyDescent="0.25"/>
  <cols>
    <col min="1" max="1" width="27.5" bestFit="1" customWidth="1"/>
    <col min="2" max="2" width="16.625" bestFit="1" customWidth="1"/>
    <col min="3" max="3" width="13.125" bestFit="1" customWidth="1"/>
    <col min="4" max="4" width="15.875" bestFit="1" customWidth="1"/>
    <col min="5" max="5" width="12.375" customWidth="1"/>
    <col min="6" max="6" width="19.5" style="10" bestFit="1" customWidth="1"/>
    <col min="7" max="7" width="17" bestFit="1" customWidth="1"/>
    <col min="8" max="8" width="18.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s="11" t="s">
        <v>2092</v>
      </c>
      <c r="G1" s="10" t="s">
        <v>2093</v>
      </c>
      <c r="H1" s="10" t="s">
        <v>2094</v>
      </c>
    </row>
    <row r="2" spans="1:8" x14ac:dyDescent="0.25">
      <c r="A2" t="s">
        <v>2095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B2+C2+D2</f>
        <v>51</v>
      </c>
      <c r="F2" s="10">
        <f>(B2/E2)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2096</v>
      </c>
      <c r="B3">
        <f>COUNTIFS(Crowdfunding!$D$2:$D$1001, "&gt;=1000", Crowdfunding!$D$2:$D$1001, "&lt;=4999", Crowdfunding!$G$2:$G$1001, "successful")</f>
        <v>191</v>
      </c>
      <c r="C3">
        <f>COUNTIFS(Crowdfunding!$D$2:$D$1001, "&gt;=1000", Crowdfunding!$D$2:$D$1001, "&lt;=4999", Crowdfunding!$G$2:$G$1001, "failed")</f>
        <v>38</v>
      </c>
      <c r="D3">
        <f>COUNTIFS(Crowdfunding!$D$2:$D$1001, "&gt;=1000", Crowdfunding!$D$2:$D$1001, "&lt;=4999", Crowdfunding!$G$2:$G$1001, "canceled")</f>
        <v>2</v>
      </c>
      <c r="E3">
        <f t="shared" ref="E3:E13" si="0">B3+C3+D3</f>
        <v>231</v>
      </c>
      <c r="F3" s="10">
        <f t="shared" ref="F3:F13" si="1">(B3/E3)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2097</v>
      </c>
      <c r="B4">
        <f>COUNTIFS(Crowdfunding!$D$2:$D$1001, "&gt;=5000", Crowdfunding!$D$2:$D$1001, "&lt;=9999", Crowdfunding!$G$2:$G$1001, "successful")</f>
        <v>164</v>
      </c>
      <c r="C4">
        <f>COUNTIFS(Crowdfunding!$D$2:$D$1001, "&gt;=5000", Crowdfunding!$D$2:$D$1001, "&lt;=9999", Crowdfunding!$G$2:$G$1001, "failed")</f>
        <v>126</v>
      </c>
      <c r="D4">
        <f>COUNTIFS(Crowdfunding!$D$2:$D$1001, "&gt;=5000", Crowdfunding!$D$2:$D$1001, "&lt;=9999", Crowdfunding!$G$2:$G$1001,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2098</v>
      </c>
      <c r="B5">
        <f>COUNTIFS(Crowdfunding!$D$2:$D$1001, "&gt;=10000", Crowdfunding!$D$2:$D$1001, "&lt;=14999", Crowdfunding!$G$2:$G$1001, "successful")</f>
        <v>4</v>
      </c>
      <c r="C5">
        <f>COUNTIFS(Crowdfunding!$D$2:$D$1001, "&gt;=10000", Crowdfunding!$D$2:$D$1001, "&lt;=14999", Crowdfunding!$G$2:$G$1001, "failed")</f>
        <v>5</v>
      </c>
      <c r="D5">
        <f>COUNTIFS(Crowdfunding!$D$2:$D$1001, "&gt;=10000", Crowdfunding!$D$2:$D$1001, "&lt;=14999", Crowdfunding!$G$2:$G$1001,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2099</v>
      </c>
      <c r="B6">
        <f>COUNTIFS(Crowdfunding!$D$2:$D$1001, "&gt;=15000", Crowdfunding!$D$2:$D$1001, "&lt;=19999", Crowdfunding!$G$2:$G$1001, "successful")</f>
        <v>10</v>
      </c>
      <c r="C6">
        <f>COUNTIFS(Crowdfunding!$D$2:$D$1001, "&gt;=15000", Crowdfunding!$D$2:$D$1001, "&lt;=19999", Crowdfunding!$G$2:$G$1001, "failed")</f>
        <v>0</v>
      </c>
      <c r="D6">
        <f>COUNTIFS(Crowdfunding!$D$2:$D$1001, "&gt;=15000", Crowdfunding!$D$2:$D$1001, "&lt;=19999", Crowdfunding!$G$2:$G$1001,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2100</v>
      </c>
      <c r="B7">
        <f>COUNTIFS(Crowdfunding!$D$2:$D$1001, "&gt;=20000", Crowdfunding!$D$2:$D$1001, "&lt;=24999", Crowdfunding!$G$2:$G$1001, "successful")</f>
        <v>7</v>
      </c>
      <c r="C7">
        <f>COUNTIFS(Crowdfunding!$D$2:$D$1001, "&gt;=20000", Crowdfunding!$D$2:$D$1001, "&lt;=24999", Crowdfunding!$G$2:$G$1001, "failed")</f>
        <v>0</v>
      </c>
      <c r="D7">
        <f>COUNTIFS(Crowdfunding!$D$2:$D$1001, "&gt;=20000", Crowdfunding!$D$2:$D$1001, "&lt;=24999", Crowdfunding!$G$2:$G$1001,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2101</v>
      </c>
      <c r="B8">
        <f>COUNTIFS(Crowdfunding!$D$2:$D$1001, "&gt;=25000", Crowdfunding!$D$2:$D$1001, "&lt;=29999", Crowdfunding!$G$2:$G$1001, "successful")</f>
        <v>11</v>
      </c>
      <c r="C8">
        <f>COUNTIFS(Crowdfunding!$D$2:$D$1001, "&gt;=25000", Crowdfunding!$D$2:$D$1001, "&lt;=29999", Crowdfunding!$G$2:$G$1001, "failed")</f>
        <v>3</v>
      </c>
      <c r="D8">
        <f>COUNTIFS(Crowdfunding!$D$2:$D$1001, "&gt;=25000", Crowdfunding!$D$2:$D$1001, "&lt;=29999", Crowdfunding!$G$2:$G$1001,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2102</v>
      </c>
      <c r="B9">
        <f>COUNTIFS(Crowdfunding!$D$2:$D$1001, "&gt;=30000", Crowdfunding!$D$2:$D$1001, "&lt;=34999", Crowdfunding!$G$2:$G$1001, "successful")</f>
        <v>7</v>
      </c>
      <c r="C9">
        <f>COUNTIFS(Crowdfunding!$D$2:$D$1001, "&gt;=30000", Crowdfunding!$D$2:$D$1001, "&lt;=34999", Crowdfunding!$G$2:$G$1001, "failed")</f>
        <v>0</v>
      </c>
      <c r="D9">
        <f>COUNTIFS(Crowdfunding!$D$2:$D$1001, "&gt;=30000", Crowdfunding!$D$2:$D$1001, "&lt;=34999", Crowdfunding!$G$2:$G$1001,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2103</v>
      </c>
      <c r="B10">
        <f>COUNTIFS(Crowdfunding!$D$2:$D$1001, "&gt;=35000", Crowdfunding!$D$2:$D$1001, "&lt;=39999", Crowdfunding!$G$2:$G$1001, "successful")</f>
        <v>8</v>
      </c>
      <c r="C10">
        <f>COUNTIFS(Crowdfunding!$D$2:$D$1001, "&gt;=35000", Crowdfunding!$D$2:$D$1001, "&lt;=39999", Crowdfunding!$G$2:$G$1001, "failed")</f>
        <v>3</v>
      </c>
      <c r="D10">
        <f>COUNTIFS(Crowdfunding!$D$2:$D$1001, "&gt;=35000", Crowdfunding!$D$2:$D$1001, "&lt;=39999", Crowdfunding!$G$2:$G$1001,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2104</v>
      </c>
      <c r="B11">
        <f>COUNTIFS(Crowdfunding!$D$2:$D$1001, "&gt;=40000", Crowdfunding!$D$2:$D$1001, "&lt;=44999", Crowdfunding!$G$2:$G$1001, "successful")</f>
        <v>11</v>
      </c>
      <c r="C11">
        <f>COUNTIFS(Crowdfunding!$D$2:$D$1001, "&gt;=40000", Crowdfunding!$D$2:$D$1001, "&lt;=44999", Crowdfunding!$G$2:$G$1001, "failed")</f>
        <v>3</v>
      </c>
      <c r="D11">
        <f>COUNTIFS(Crowdfunding!$D$2:$D$1001, "&gt;=40000", Crowdfunding!$D$2:$D$1001, "&lt;=44999", Crowdfunding!$G$2:$G$1001,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2105</v>
      </c>
      <c r="B12">
        <f>COUNTIFS(Crowdfunding!$D$2:$D$1001, "&gt;=45000", Crowdfunding!$D$2:$D$1001, "&lt;=49999", Crowdfunding!$G$2:$G$1001, "successful")</f>
        <v>8</v>
      </c>
      <c r="C12">
        <f>COUNTIFS(Crowdfunding!$D$2:$D$1001, "&gt;=45000", Crowdfunding!$D$2:$D$1001, "&lt;=49999", Crowdfunding!$G$2:$G$1001, "failed")</f>
        <v>3</v>
      </c>
      <c r="D12">
        <f>COUNTIFS(Crowdfunding!$D$2:$D$1001, "&gt;=45000", Crowdfunding!$D$2:$D$1001, "&lt;=49999", Crowdfunding!$G$2:$G$1001,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2106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810E-260F-457B-B838-398BB019ED9C}">
  <dimension ref="A1:K566"/>
  <sheetViews>
    <sheetView zoomScale="70" zoomScaleNormal="70" workbookViewId="0">
      <selection activeCell="J13" sqref="J13"/>
    </sheetView>
  </sheetViews>
  <sheetFormatPr defaultRowHeight="15.75" x14ac:dyDescent="0.25"/>
  <cols>
    <col min="2" max="2" width="15.875" customWidth="1"/>
    <col min="5" max="5" width="18.25" customWidth="1"/>
    <col min="9" max="9" width="22.625" customWidth="1"/>
    <col min="10" max="10" width="28.875" customWidth="1"/>
    <col min="11" max="11" width="28.375" customWidth="1"/>
    <col min="12" max="12" width="16.375" bestFit="1" customWidth="1"/>
    <col min="13" max="13" width="17.25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J7" t="s">
        <v>2113</v>
      </c>
      <c r="K7" t="s">
        <v>2117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I8" t="s">
        <v>2107</v>
      </c>
      <c r="J8" s="13">
        <f>AVERAGE(B2:B566)</f>
        <v>851.14690265486729</v>
      </c>
      <c r="K8" s="13">
        <f>AVERAGE(E2:E365)</f>
        <v>585.61538461538464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I9" t="s">
        <v>2108</v>
      </c>
      <c r="J9" s="13">
        <f>MEDIAN(B2:B566)</f>
        <v>201</v>
      </c>
      <c r="K9" s="13">
        <f>MEDIAN(E2:E365)</f>
        <v>114.5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I10" t="s">
        <v>2110</v>
      </c>
      <c r="J10" s="13">
        <f>MIN(B2:B566)</f>
        <v>16</v>
      </c>
      <c r="K10" s="13">
        <f>MIN(E2:E365)</f>
        <v>0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I11" t="s">
        <v>2111</v>
      </c>
      <c r="J11" s="13">
        <f>MAX(B2:B566)</f>
        <v>7295</v>
      </c>
      <c r="K11" s="13">
        <f>MAX(E2:E365)</f>
        <v>6080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  <c r="I12" t="s">
        <v>2112</v>
      </c>
      <c r="J12" s="13">
        <f>_xlfn.VAR.P(B2:B566)</f>
        <v>1603373.7324019109</v>
      </c>
      <c r="K12" s="13">
        <f>_xlfn.VAR.P(E2:E365)</f>
        <v>921574.68174133555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I13" t="s">
        <v>2109</v>
      </c>
      <c r="J13" s="13">
        <f>_xlfn.STDEV.P(B2:B566)</f>
        <v>1266.2439466397898</v>
      </c>
      <c r="K13" s="13">
        <f>_xlfn.STDEV.P(E2:E365)</f>
        <v>959.98681331637863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  <c r="I15" t="s">
        <v>2114</v>
      </c>
      <c r="J15" s="13">
        <f>J8+J13</f>
        <v>2117.3908492946571</v>
      </c>
      <c r="K15" s="13">
        <f>K8+K13</f>
        <v>1545.6021979317634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  <c r="I16" t="s">
        <v>2115</v>
      </c>
      <c r="J16" s="13">
        <f>J8-J13</f>
        <v>-415.09704398492249</v>
      </c>
      <c r="K16" s="13">
        <f>K8-K13</f>
        <v>-374.37142870099399</v>
      </c>
    </row>
    <row r="17" spans="1:11" x14ac:dyDescent="0.25">
      <c r="A17" t="s">
        <v>20</v>
      </c>
      <c r="B17">
        <v>129</v>
      </c>
      <c r="D17" t="s">
        <v>14</v>
      </c>
      <c r="E17">
        <v>1</v>
      </c>
      <c r="J17" s="12"/>
      <c r="K17" s="12"/>
    </row>
    <row r="18" spans="1:11" x14ac:dyDescent="0.25">
      <c r="A18" t="s">
        <v>20</v>
      </c>
      <c r="B18">
        <v>226</v>
      </c>
      <c r="D18" t="s">
        <v>14</v>
      </c>
      <c r="E18">
        <v>1467</v>
      </c>
      <c r="I18" t="s">
        <v>2116</v>
      </c>
      <c r="J18" s="12">
        <f>COUNTIF(B2:B566, "&lt;=2117")</f>
        <v>480</v>
      </c>
      <c r="K18" s="12">
        <f>COUNTIF(E2:E365, "&lt;=1546")</f>
        <v>319</v>
      </c>
    </row>
    <row r="19" spans="1:11" x14ac:dyDescent="0.25">
      <c r="A19" t="s">
        <v>20</v>
      </c>
      <c r="B19">
        <v>5419</v>
      </c>
      <c r="D19" t="s">
        <v>14</v>
      </c>
      <c r="E19">
        <v>75</v>
      </c>
      <c r="I19" t="s">
        <v>2118</v>
      </c>
      <c r="J19" s="14">
        <f>(J18/565)</f>
        <v>0.84955752212389379</v>
      </c>
      <c r="K19" s="14">
        <f>K18/364</f>
        <v>0.87637362637362637</v>
      </c>
    </row>
    <row r="20" spans="1:11" x14ac:dyDescent="0.25">
      <c r="A20" t="s">
        <v>20</v>
      </c>
      <c r="B20">
        <v>165</v>
      </c>
      <c r="D20" t="s">
        <v>14</v>
      </c>
      <c r="E20">
        <v>120</v>
      </c>
    </row>
    <row r="21" spans="1:11" x14ac:dyDescent="0.25">
      <c r="A21" t="s">
        <v>20</v>
      </c>
      <c r="B21">
        <v>1965</v>
      </c>
      <c r="D21" t="s">
        <v>14</v>
      </c>
      <c r="E21">
        <v>2253</v>
      </c>
    </row>
    <row r="22" spans="1:11" x14ac:dyDescent="0.25">
      <c r="A22" t="s">
        <v>20</v>
      </c>
      <c r="B22">
        <v>16</v>
      </c>
      <c r="D22" t="s">
        <v>14</v>
      </c>
      <c r="E22">
        <v>5</v>
      </c>
    </row>
    <row r="23" spans="1:11" x14ac:dyDescent="0.25">
      <c r="A23" t="s">
        <v>20</v>
      </c>
      <c r="B23">
        <v>107</v>
      </c>
      <c r="D23" t="s">
        <v>14</v>
      </c>
      <c r="E23">
        <v>38</v>
      </c>
    </row>
    <row r="24" spans="1:11" x14ac:dyDescent="0.25">
      <c r="A24" t="s">
        <v>20</v>
      </c>
      <c r="B24">
        <v>134</v>
      </c>
      <c r="D24" t="s">
        <v>14</v>
      </c>
      <c r="E24">
        <v>12</v>
      </c>
    </row>
    <row r="25" spans="1:11" x14ac:dyDescent="0.25">
      <c r="A25" t="s">
        <v>20</v>
      </c>
      <c r="B25">
        <v>198</v>
      </c>
      <c r="D25" t="s">
        <v>14</v>
      </c>
      <c r="E25">
        <v>1684</v>
      </c>
    </row>
    <row r="26" spans="1:11" x14ac:dyDescent="0.25">
      <c r="A26" t="s">
        <v>20</v>
      </c>
      <c r="B26">
        <v>111</v>
      </c>
      <c r="D26" t="s">
        <v>14</v>
      </c>
      <c r="E26">
        <v>56</v>
      </c>
    </row>
    <row r="27" spans="1:11" x14ac:dyDescent="0.25">
      <c r="A27" t="s">
        <v>20</v>
      </c>
      <c r="B27">
        <v>222</v>
      </c>
      <c r="D27" t="s">
        <v>14</v>
      </c>
      <c r="E27">
        <v>838</v>
      </c>
    </row>
    <row r="28" spans="1:11" x14ac:dyDescent="0.25">
      <c r="A28" t="s">
        <v>20</v>
      </c>
      <c r="B28">
        <v>6212</v>
      </c>
      <c r="D28" t="s">
        <v>14</v>
      </c>
      <c r="E28">
        <v>1000</v>
      </c>
    </row>
    <row r="29" spans="1:11" x14ac:dyDescent="0.25">
      <c r="A29" t="s">
        <v>20</v>
      </c>
      <c r="B29">
        <v>98</v>
      </c>
      <c r="D29" t="s">
        <v>14</v>
      </c>
      <c r="E29">
        <v>1482</v>
      </c>
    </row>
    <row r="30" spans="1:11" x14ac:dyDescent="0.25">
      <c r="A30" t="s">
        <v>20</v>
      </c>
      <c r="B30">
        <v>92</v>
      </c>
      <c r="D30" t="s">
        <v>14</v>
      </c>
      <c r="E30">
        <v>106</v>
      </c>
    </row>
    <row r="31" spans="1:11" x14ac:dyDescent="0.25">
      <c r="A31" t="s">
        <v>20</v>
      </c>
      <c r="B31">
        <v>149</v>
      </c>
      <c r="D31" t="s">
        <v>14</v>
      </c>
      <c r="E31">
        <v>679</v>
      </c>
    </row>
    <row r="32" spans="1:11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Category</vt:lpstr>
      <vt:lpstr>Outcome per Sub-Category</vt:lpstr>
      <vt:lpstr>Outcome per Date Created Conv.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Joseph Arambulo</cp:lastModifiedBy>
  <dcterms:created xsi:type="dcterms:W3CDTF">2021-09-29T18:52:28Z</dcterms:created>
  <dcterms:modified xsi:type="dcterms:W3CDTF">2023-02-27T05:09:58Z</dcterms:modified>
</cp:coreProperties>
</file>