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\seqinf_detection_replication_origin\"/>
    </mc:Choice>
  </mc:AlternateContent>
  <xr:revisionPtr revIDLastSave="0" documentId="13_ncr:1_{468F7707-D6CF-4D92-A6EF-FEBB0AF4DD3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" i="1" l="1"/>
  <c r="C112" i="1"/>
  <c r="B112" i="1"/>
  <c r="F120" i="1"/>
  <c r="P4" i="1"/>
  <c r="P14" i="1"/>
  <c r="F121" i="1"/>
  <c r="F119" i="1"/>
  <c r="I37" i="1" l="1"/>
  <c r="L38" i="1"/>
  <c r="K38" i="1"/>
  <c r="K39" i="1"/>
  <c r="J24" i="1"/>
  <c r="J4" i="1"/>
  <c r="J14" i="1"/>
  <c r="P23" i="1"/>
  <c r="J23" i="1" s="1"/>
  <c r="P35" i="1"/>
  <c r="J35" i="1" s="1"/>
  <c r="P37" i="1"/>
  <c r="J37" i="1" s="1"/>
  <c r="P44" i="1"/>
  <c r="J44" i="1" s="1"/>
  <c r="P57" i="1"/>
  <c r="J57" i="1" s="1"/>
  <c r="P59" i="1"/>
  <c r="J59" i="1" s="1"/>
  <c r="J36" i="1"/>
  <c r="J39" i="1" l="1"/>
  <c r="J38" i="1"/>
  <c r="O70" i="1"/>
  <c r="O71" i="1"/>
  <c r="O72" i="1"/>
  <c r="O73" i="1"/>
  <c r="O74" i="1"/>
  <c r="O75" i="1"/>
  <c r="O76" i="1"/>
  <c r="O77" i="1"/>
  <c r="O78" i="1"/>
  <c r="N70" i="1"/>
  <c r="N71" i="1"/>
  <c r="N72" i="1"/>
  <c r="N73" i="1"/>
  <c r="N74" i="1"/>
  <c r="N75" i="1"/>
  <c r="N76" i="1"/>
  <c r="N77" i="1"/>
  <c r="N78" i="1"/>
  <c r="O69" i="1"/>
  <c r="N69" i="1"/>
  <c r="O56" i="1"/>
  <c r="O57" i="1"/>
  <c r="O58" i="1"/>
  <c r="O59" i="1"/>
  <c r="O60" i="1"/>
  <c r="O61" i="1"/>
  <c r="O62" i="1"/>
  <c r="O63" i="1"/>
  <c r="O64" i="1"/>
  <c r="N56" i="1"/>
  <c r="N57" i="1"/>
  <c r="N58" i="1"/>
  <c r="N59" i="1"/>
  <c r="N60" i="1"/>
  <c r="N61" i="1"/>
  <c r="N62" i="1"/>
  <c r="N63" i="1"/>
  <c r="N64" i="1"/>
  <c r="O55" i="1"/>
  <c r="N55" i="1"/>
  <c r="O84" i="1"/>
  <c r="O85" i="1"/>
  <c r="O86" i="1"/>
  <c r="O87" i="1"/>
  <c r="O88" i="1"/>
  <c r="O89" i="1"/>
  <c r="O90" i="1"/>
  <c r="O91" i="1"/>
  <c r="O92" i="1"/>
  <c r="N84" i="1"/>
  <c r="N85" i="1"/>
  <c r="N86" i="1"/>
  <c r="N87" i="1"/>
  <c r="N88" i="1"/>
  <c r="N89" i="1"/>
  <c r="N90" i="1"/>
  <c r="N91" i="1"/>
  <c r="N92" i="1"/>
  <c r="O83" i="1"/>
  <c r="N83" i="1"/>
  <c r="O97" i="1"/>
  <c r="N97" i="1"/>
  <c r="O42" i="1"/>
  <c r="O43" i="1"/>
  <c r="O44" i="1"/>
  <c r="O45" i="1"/>
  <c r="O46" i="1"/>
  <c r="O47" i="1"/>
  <c r="O48" i="1"/>
  <c r="O49" i="1"/>
  <c r="O50" i="1"/>
  <c r="N42" i="1"/>
  <c r="N43" i="1"/>
  <c r="N44" i="1"/>
  <c r="N45" i="1"/>
  <c r="N46" i="1"/>
  <c r="N47" i="1"/>
  <c r="N48" i="1"/>
  <c r="N49" i="1"/>
  <c r="N50" i="1"/>
  <c r="O41" i="1"/>
  <c r="N41" i="1"/>
  <c r="O36" i="1"/>
  <c r="O37" i="1"/>
  <c r="O35" i="1"/>
  <c r="N36" i="1"/>
  <c r="N37" i="1"/>
  <c r="N35" i="1"/>
  <c r="O20" i="1"/>
  <c r="O21" i="1"/>
  <c r="O22" i="1"/>
  <c r="O23" i="1"/>
  <c r="O24" i="1"/>
  <c r="O25" i="1"/>
  <c r="O26" i="1"/>
  <c r="O27" i="1"/>
  <c r="O28" i="1"/>
  <c r="O29" i="1"/>
  <c r="O30" i="1"/>
  <c r="N20" i="1"/>
  <c r="N21" i="1"/>
  <c r="N22" i="1"/>
  <c r="N23" i="1"/>
  <c r="N24" i="1"/>
  <c r="N25" i="1"/>
  <c r="N26" i="1"/>
  <c r="N27" i="1"/>
  <c r="N28" i="1"/>
  <c r="N29" i="1"/>
  <c r="N30" i="1"/>
  <c r="O19" i="1"/>
  <c r="N19" i="1"/>
  <c r="O4" i="1"/>
  <c r="O5" i="1"/>
  <c r="O3" i="1"/>
  <c r="N4" i="1"/>
  <c r="N5" i="1"/>
  <c r="N3" i="1"/>
  <c r="N11" i="1"/>
  <c r="N12" i="1"/>
  <c r="N13" i="1"/>
  <c r="N14" i="1"/>
  <c r="N10" i="1"/>
  <c r="O11" i="1"/>
  <c r="O12" i="1"/>
  <c r="O13" i="1"/>
  <c r="O14" i="1"/>
  <c r="O10" i="1"/>
  <c r="K33" i="1"/>
  <c r="L33" i="1"/>
  <c r="L31" i="1"/>
  <c r="L32" i="1" s="1"/>
  <c r="K31" i="1"/>
  <c r="K32" i="1" s="1"/>
  <c r="L39" i="1"/>
  <c r="L8" i="1"/>
  <c r="K8" i="1"/>
  <c r="L6" i="1"/>
  <c r="L7" i="1" s="1"/>
  <c r="L17" i="1"/>
  <c r="K17" i="1"/>
  <c r="L15" i="1"/>
  <c r="L16" i="1" s="1"/>
  <c r="L53" i="1"/>
  <c r="L51" i="1"/>
  <c r="L52" i="1" s="1"/>
  <c r="L67" i="1"/>
  <c r="L65" i="1"/>
  <c r="L66" i="1" s="1"/>
  <c r="L81" i="1"/>
  <c r="L79" i="1"/>
  <c r="L80" i="1" s="1"/>
  <c r="L95" i="1"/>
  <c r="K93" i="1"/>
  <c r="K94" i="1" s="1"/>
  <c r="L93" i="1"/>
  <c r="L94" i="1" s="1"/>
  <c r="N38" i="1" l="1"/>
  <c r="N98" i="1"/>
  <c r="N94" i="1"/>
  <c r="N80" i="1"/>
  <c r="N66" i="1"/>
  <c r="N52" i="1"/>
  <c r="N32" i="1"/>
  <c r="N16" i="1"/>
  <c r="N7" i="1"/>
  <c r="K53" i="1"/>
  <c r="K67" i="1"/>
  <c r="K81" i="1"/>
  <c r="K95" i="1"/>
  <c r="K79" i="1"/>
  <c r="K80" i="1" s="1"/>
  <c r="K65" i="1"/>
  <c r="K66" i="1" s="1"/>
  <c r="K51" i="1"/>
  <c r="K52" i="1" s="1"/>
  <c r="K15" i="1"/>
  <c r="K16" i="1" s="1"/>
  <c r="K6" i="1"/>
  <c r="K7" i="1" s="1"/>
  <c r="H30" i="1"/>
  <c r="I30" i="1"/>
  <c r="J30" i="1"/>
  <c r="J97" i="1"/>
  <c r="J5" i="1"/>
  <c r="J10" i="1"/>
  <c r="J11" i="1"/>
  <c r="J12" i="1"/>
  <c r="J13" i="1"/>
  <c r="J19" i="1"/>
  <c r="J20" i="1"/>
  <c r="J21" i="1"/>
  <c r="J22" i="1"/>
  <c r="J25" i="1"/>
  <c r="J26" i="1"/>
  <c r="J27" i="1"/>
  <c r="J28" i="1"/>
  <c r="J29" i="1"/>
  <c r="J41" i="1"/>
  <c r="J42" i="1"/>
  <c r="J43" i="1"/>
  <c r="J45" i="1"/>
  <c r="J46" i="1"/>
  <c r="J47" i="1"/>
  <c r="J48" i="1"/>
  <c r="J49" i="1"/>
  <c r="J50" i="1"/>
  <c r="J55" i="1"/>
  <c r="J56" i="1"/>
  <c r="J58" i="1"/>
  <c r="J60" i="1"/>
  <c r="J61" i="1"/>
  <c r="J62" i="1"/>
  <c r="J63" i="1"/>
  <c r="J64" i="1"/>
  <c r="J69" i="1"/>
  <c r="J70" i="1"/>
  <c r="J71" i="1"/>
  <c r="J72" i="1"/>
  <c r="J73" i="1"/>
  <c r="J74" i="1"/>
  <c r="J75" i="1"/>
  <c r="J76" i="1"/>
  <c r="J77" i="1"/>
  <c r="J78" i="1"/>
  <c r="J83" i="1"/>
  <c r="J84" i="1"/>
  <c r="J85" i="1"/>
  <c r="J86" i="1"/>
  <c r="J87" i="1"/>
  <c r="J88" i="1"/>
  <c r="J89" i="1"/>
  <c r="J90" i="1"/>
  <c r="J91" i="1"/>
  <c r="J92" i="1"/>
  <c r="J3" i="1"/>
  <c r="H3" i="1"/>
  <c r="H4" i="1"/>
  <c r="H5" i="1"/>
  <c r="H10" i="1"/>
  <c r="H11" i="1"/>
  <c r="H12" i="1"/>
  <c r="H13" i="1"/>
  <c r="H14" i="1"/>
  <c r="H19" i="1"/>
  <c r="H20" i="1"/>
  <c r="H21" i="1"/>
  <c r="H22" i="1"/>
  <c r="H23" i="1"/>
  <c r="H24" i="1"/>
  <c r="H25" i="1"/>
  <c r="H26" i="1"/>
  <c r="H27" i="1"/>
  <c r="H28" i="1"/>
  <c r="H29" i="1"/>
  <c r="I3" i="1"/>
  <c r="I4" i="1"/>
  <c r="I5" i="1"/>
  <c r="I10" i="1"/>
  <c r="I11" i="1"/>
  <c r="I12" i="1"/>
  <c r="I13" i="1"/>
  <c r="I14" i="1"/>
  <c r="I19" i="1"/>
  <c r="I20" i="1"/>
  <c r="I21" i="1"/>
  <c r="I22" i="1"/>
  <c r="I23" i="1"/>
  <c r="I24" i="1"/>
  <c r="I25" i="1"/>
  <c r="I26" i="1"/>
  <c r="I27" i="1"/>
  <c r="I28" i="1"/>
  <c r="I29" i="1"/>
  <c r="I35" i="1"/>
  <c r="I36" i="1"/>
  <c r="I39" i="1" l="1"/>
  <c r="I38" i="1"/>
  <c r="I15" i="1"/>
  <c r="J65" i="1"/>
  <c r="J66" i="1"/>
  <c r="J67" i="1"/>
  <c r="I16" i="1"/>
  <c r="J94" i="1"/>
  <c r="J6" i="1"/>
  <c r="J32" i="1"/>
  <c r="J31" i="1"/>
  <c r="J33" i="1"/>
  <c r="J16" i="1"/>
  <c r="J15" i="1"/>
  <c r="I32" i="1"/>
  <c r="I33" i="1"/>
  <c r="I31" i="1"/>
  <c r="I8" i="1"/>
  <c r="J93" i="1"/>
  <c r="J95" i="1"/>
  <c r="I17" i="1"/>
  <c r="I6" i="1"/>
  <c r="I7" i="1"/>
  <c r="J8" i="1"/>
  <c r="J53" i="1"/>
  <c r="J17" i="1"/>
  <c r="J7" i="1"/>
  <c r="J81" i="1"/>
  <c r="J80" i="1"/>
  <c r="J52" i="1"/>
  <c r="J79" i="1"/>
  <c r="J51" i="1"/>
  <c r="H50" i="1"/>
  <c r="H41" i="1"/>
  <c r="I97" i="1"/>
  <c r="H97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4" i="1"/>
  <c r="H64" i="1"/>
  <c r="I63" i="1"/>
  <c r="H63" i="1"/>
  <c r="I62" i="1"/>
  <c r="H62" i="1"/>
  <c r="I61" i="1"/>
  <c r="H61" i="1"/>
  <c r="I60" i="1"/>
  <c r="H60" i="1"/>
  <c r="I59" i="1"/>
  <c r="I58" i="1"/>
  <c r="H58" i="1"/>
  <c r="I57" i="1"/>
  <c r="H57" i="1"/>
  <c r="I56" i="1"/>
  <c r="H56" i="1"/>
  <c r="I55" i="1"/>
  <c r="H55" i="1"/>
  <c r="I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I67" i="1" l="1"/>
  <c r="I81" i="1"/>
  <c r="I53" i="1"/>
  <c r="I94" i="1"/>
  <c r="I95" i="1"/>
  <c r="I93" i="1"/>
  <c r="I79" i="1"/>
  <c r="I80" i="1"/>
  <c r="I66" i="1"/>
  <c r="I52" i="1"/>
  <c r="I65" i="1"/>
  <c r="I51" i="1"/>
</calcChain>
</file>

<file path=xl/sharedStrings.xml><?xml version="1.0" encoding="utf-8"?>
<sst xmlns="http://schemas.openxmlformats.org/spreadsheetml/2006/main" count="232" uniqueCount="174">
  <si>
    <t>Accession Number</t>
  </si>
  <si>
    <t>Strain</t>
  </si>
  <si>
    <t>Minimum pos</t>
  </si>
  <si>
    <t>DoriC Min pos</t>
  </si>
  <si>
    <t>DoriC oriStart</t>
  </si>
  <si>
    <t>DoriC oriEnd</t>
  </si>
  <si>
    <t>Genome Length</t>
  </si>
  <si>
    <t>Is min pos in oriC range?
1=true; 0=false</t>
  </si>
  <si>
    <t>Abs. Difference to
DoriC min</t>
  </si>
  <si>
    <t>Escherichia coli str. K-12 substr. MG1655, complete genome</t>
  </si>
  <si>
    <t>NC_011750.1</t>
  </si>
  <si>
    <t>Escherichia coli IAI39 chromosome, complete genome</t>
  </si>
  <si>
    <t>NC_017634.1</t>
  </si>
  <si>
    <t>Escherichia coli O83:H1 str. NRG 857C chromosome, complete genome</t>
  </si>
  <si>
    <t>NC_018658.1</t>
  </si>
  <si>
    <t>Escherichia coli O104:H4 str. 2011C-3493 chromosome, complete genome</t>
  </si>
  <si>
    <t>Escherichia coli O157:H7 str. Sakai DNA, complete genome</t>
  </si>
  <si>
    <t>NC_004431.1</t>
  </si>
  <si>
    <t>Escherichia coli CFT073, complete genome</t>
  </si>
  <si>
    <t>NC_007946.1</t>
  </si>
  <si>
    <t>Escherichia coli UTI89, complete genome</t>
  </si>
  <si>
    <t>NC_008253.1</t>
  </si>
  <si>
    <t>Escherichia coli 536, complete genome</t>
  </si>
  <si>
    <t>NC_008563.1</t>
  </si>
  <si>
    <t>Escherichia coli APEC O1, complete genome</t>
  </si>
  <si>
    <t>NC_009800.1</t>
  </si>
  <si>
    <t>Escherichia coli HS, complete genome</t>
  </si>
  <si>
    <t>NZ_CP010811</t>
  </si>
  <si>
    <t>Vibrio cholerae strain 1154-74, complete genome</t>
  </si>
  <si>
    <t>NZ_CP010812</t>
  </si>
  <si>
    <t>Vibrio cholerae strain 10432-62, complete genome</t>
  </si>
  <si>
    <t>NC_009456.1</t>
  </si>
  <si>
    <t>Vibrio cholerae O395 chromosome 1</t>
  </si>
  <si>
    <t>NC_009457.1</t>
  </si>
  <si>
    <t>Vibrio cholerae O395 chromosome 2</t>
  </si>
  <si>
    <t>NC_012578.1</t>
  </si>
  <si>
    <t>Vibrio cholerae M66-2 chromosome 1</t>
  </si>
  <si>
    <t>NC_012580.1</t>
  </si>
  <si>
    <t>Vibrio cholerae M66-2 chromosome 2</t>
  </si>
  <si>
    <t>NC_012668.1</t>
  </si>
  <si>
    <t>Vibrio cholerae MJ-1236 chromosome 1</t>
  </si>
  <si>
    <t>NC_012667.1</t>
  </si>
  <si>
    <t>Vibrio cholerae MJ-1236 chromosome 2</t>
  </si>
  <si>
    <t>NC_016445.1</t>
  </si>
  <si>
    <t>Vibrio cholerae O1 str. 2010EL-1786 chromosome chromosome 1</t>
  </si>
  <si>
    <t>NC_016446.1</t>
  </si>
  <si>
    <t>Vibrio cholerae O1 str. 2010EL-1786 chromosome chromosome 2</t>
  </si>
  <si>
    <t>NC_003198.1</t>
  </si>
  <si>
    <t>Salmonella enterica subsp. enterica serovar Typhi str. CT18</t>
  </si>
  <si>
    <t>NC_006511.1</t>
  </si>
  <si>
    <t>Salmonella enterica subsp. enterica serovar Paratyphi A str. ATCC 9150</t>
  </si>
  <si>
    <t>NC_010102.1</t>
  </si>
  <si>
    <t>Salmonella enterica subsp. enterica serovar Paratyphi B str. SPB7</t>
  </si>
  <si>
    <t>NC_016854.1</t>
  </si>
  <si>
    <t>Salmonella enterica subsp. enterica serovar Typhimurium str. D23580</t>
  </si>
  <si>
    <t>NC_016810.1</t>
  </si>
  <si>
    <t>Salmonella enterica subsp. enterica serovar Typhimurium str. SL1344</t>
  </si>
  <si>
    <t>NC_011080.1</t>
  </si>
  <si>
    <t>Salmonella enterica subsp. enterica serovar Newport str. SL254</t>
  </si>
  <si>
    <t>NC_011083.1</t>
  </si>
  <si>
    <t>Salmonella enterica subsp. enterica serovar Heidelberg str. SL476</t>
  </si>
  <si>
    <t>NC_011294.1</t>
  </si>
  <si>
    <t>Salmonella enterica subsp. enterica serovar Enteritidis str. P125109</t>
  </si>
  <si>
    <t>NZ_CP007245</t>
  </si>
  <si>
    <t>Salmonella enterica subsp. enterica serovar Enteritidis str. EC20120008</t>
  </si>
  <si>
    <t>NZ_CP015574</t>
  </si>
  <si>
    <t>Salmonella enterica strain FORC_038</t>
  </si>
  <si>
    <t>OriC is not near GC minimum</t>
  </si>
  <si>
    <t>NC_009486.1</t>
  </si>
  <si>
    <t>Thermotoga petrophila RKU-1</t>
  </si>
  <si>
    <t>NC_000853.1</t>
  </si>
  <si>
    <t>Thermotoga maritima MSB8</t>
  </si>
  <si>
    <t>NC_009828.1</t>
  </si>
  <si>
    <t>Pseudothermotoga lettingae TMO</t>
  </si>
  <si>
    <t>NC_010483.1</t>
  </si>
  <si>
    <t>Thermotoga sp. RQ2</t>
  </si>
  <si>
    <t>NC_011978.1</t>
  </si>
  <si>
    <t>Thermotoga neapolitana DSM 4359</t>
  </si>
  <si>
    <t>NC_013642.1</t>
  </si>
  <si>
    <t>Thermotoga naphthophila RKU-10</t>
  </si>
  <si>
    <t>NZ_CP003408</t>
  </si>
  <si>
    <t>Thermotoga sp. 2812B</t>
  </si>
  <si>
    <t>NZ_CP007633</t>
  </si>
  <si>
    <t>Thermotoga sp. RQ7</t>
  </si>
  <si>
    <t>NZ_CP010967</t>
  </si>
  <si>
    <t>Thermotoga maritima strain Tma200</t>
  </si>
  <si>
    <t>NZ_CP011108</t>
  </si>
  <si>
    <t>Thermotoga maritima strain Tma100</t>
  </si>
  <si>
    <t>NC_004344.2</t>
  </si>
  <si>
    <t>Wigglesworthia glossinidia endosymbiont of Glossina brevipalpis</t>
  </si>
  <si>
    <t>NC_000913.3</t>
  </si>
  <si>
    <t>FAMILIES</t>
  </si>
  <si>
    <t>REFERENCE STRAINS</t>
  </si>
  <si>
    <t>Escherichia coli str. K-12 substr. MG1655</t>
  </si>
  <si>
    <t>NC_002695.2</t>
  </si>
  <si>
    <t>Escherichia coli O157:H7 str. Sakai DNA</t>
  </si>
  <si>
    <t>Escherichia coli IAI39 chromosome</t>
  </si>
  <si>
    <t>Escherichia coli O83:H1 str. NRG 857C chromosome</t>
  </si>
  <si>
    <t>Escherichia coli O104:H4 str. 2011C-3493 chromosome</t>
  </si>
  <si>
    <t>Enterobacteriaceae</t>
  </si>
  <si>
    <t>NC_004337.2</t>
  </si>
  <si>
    <t>Shigella flexneri 2a str. 301 chromosome</t>
  </si>
  <si>
    <t>Shigella dysenteriae Sd197 chromosome</t>
  </si>
  <si>
    <t>NC_007606.1</t>
  </si>
  <si>
    <t>NC_003197.2</t>
  </si>
  <si>
    <t>Salmonella enterica subsp. enterica serovar Typhimurium str. LT2</t>
  </si>
  <si>
    <t>NC_014121.1</t>
  </si>
  <si>
    <t>Enterobacter cloacae subsp. cloacae ATCC 13047 chromosome</t>
  </si>
  <si>
    <t>NC_015663.1</t>
  </si>
  <si>
    <t>Enterobacter aerogenes KCTC 2190 chromosome</t>
  </si>
  <si>
    <t>NC_016845.1</t>
  </si>
  <si>
    <t>Klebsiella pneumoniae subsp. pneumoniae HS11286 chromosome</t>
  </si>
  <si>
    <t>Vibrionaceae</t>
  </si>
  <si>
    <t>NC_002505.1</t>
  </si>
  <si>
    <t>Vibrio cholerae O1 biovar El Tor str. N16961 chromosome I</t>
  </si>
  <si>
    <t>NC_006840.2</t>
  </si>
  <si>
    <t>Vibrio fischeri ES114 chromosome I</t>
  </si>
  <si>
    <t>NC_004603.1</t>
  </si>
  <si>
    <t>Vibrio parahaemolyticus RIMD 2210633 chromosome 1</t>
  </si>
  <si>
    <t>KNOWN ORICS</t>
  </si>
  <si>
    <t>NC_003047.1</t>
  </si>
  <si>
    <t>Sinorhizobium meliloti 1021 chromosome</t>
  </si>
  <si>
    <t>NC_000117.1</t>
  </si>
  <si>
    <t>Chlamydia trachomatis D/UW-3/CX chromosome</t>
  </si>
  <si>
    <t>TEST GENOMES</t>
  </si>
  <si>
    <t>Abs. Difference to
DoriC oriStart</t>
  </si>
  <si>
    <t>Motifs (score &gt;= 10) in zoom 
region</t>
  </si>
  <si>
    <t>Avg</t>
  </si>
  <si>
    <t>Avg outliers
removed</t>
  </si>
  <si>
    <t>StdDev</t>
  </si>
  <si>
    <t>Rev Comp Motif in zoom region (&gt;= -10)</t>
  </si>
  <si>
    <t>OVERVIEW STATISTICS</t>
  </si>
  <si>
    <t>Strain/Family</t>
  </si>
  <si>
    <t>Difference to
DoriC min</t>
  </si>
  <si>
    <t>Difference to
DoriC oriStart</t>
  </si>
  <si>
    <t>Escherichia coli</t>
  </si>
  <si>
    <t>Vribrio cholerae</t>
  </si>
  <si>
    <t>Salmonella enterica</t>
  </si>
  <si>
    <t>Thermotoga</t>
  </si>
  <si>
    <t>Wigglesworthia glossinidia</t>
  </si>
  <si>
    <t>237 ± 185</t>
  </si>
  <si>
    <t>1 ± 1</t>
  </si>
  <si>
    <t>70 ± 26</t>
  </si>
  <si>
    <t>0 ± 1</t>
  </si>
  <si>
    <t>Known-OriC</t>
  </si>
  <si>
    <t>105 ± 28</t>
  </si>
  <si>
    <t>1085 ± 1073</t>
  </si>
  <si>
    <t>References (E.coli)</t>
  </si>
  <si>
    <t>164 ± 189</t>
  </si>
  <si>
    <t>523 ± 881</t>
  </si>
  <si>
    <t>2 ± 0</t>
  </si>
  <si>
    <t>186 ± 207</t>
  </si>
  <si>
    <t>600 ± 645</t>
  </si>
  <si>
    <t>2 ± 1</t>
  </si>
  <si>
    <t>191 ± 250</t>
  </si>
  <si>
    <t>177 ± 227</t>
  </si>
  <si>
    <t>152 ± 117</t>
  </si>
  <si>
    <t>534 ± 165</t>
  </si>
  <si>
    <t>3 ± 1</t>
  </si>
  <si>
    <t>115 ± 98</t>
  </si>
  <si>
    <t>Motifs in OriC region
 DoriC</t>
  </si>
  <si>
    <t>Dist to Motif Number of DoriC</t>
  </si>
  <si>
    <t>Dist of Ref Comp Motif to DoriC</t>
  </si>
  <si>
    <t>Avg Number of Rev Comp Motifs in zoom region 
(score ≤ -10)</t>
  </si>
  <si>
    <t>Average Difference 
to Number of Motifs in DoriC (oriC region)</t>
  </si>
  <si>
    <t xml:space="preserve">Avg Number of Motifs in zoom region (score ≥ 10) </t>
  </si>
  <si>
    <t>Diff OriStart with respect to genome length
(only used for red genomes)</t>
  </si>
  <si>
    <t>126 ± 176</t>
  </si>
  <si>
    <t>103 ± 1</t>
  </si>
  <si>
    <t>3073 ± 3336</t>
  </si>
  <si>
    <t>Known Ori Start</t>
  </si>
  <si>
    <t>Difference</t>
  </si>
  <si>
    <t>Known Orics/Control</t>
  </si>
  <si>
    <t>Average for Test Geomes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</si>
</sst>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 Unicode MS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b/>
      <strike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right" vertical="center"/>
    </xf>
    <xf numFmtId="0" fontId="0" fillId="0" borderId="0" xfId="0" applyFill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3" borderId="0" xfId="0" applyFont="1" applyFill="1"/>
    <xf numFmtId="0" fontId="1" fillId="3" borderId="0" xfId="0" applyFont="1" applyFill="1" applyAlignment="1">
      <alignment horizontal="right" vertical="center"/>
    </xf>
    <xf numFmtId="1" fontId="0" fillId="3" borderId="0" xfId="0" applyNumberFormat="1" applyFill="1" applyAlignment="1">
      <alignment vertical="center"/>
    </xf>
    <xf numFmtId="1" fontId="1" fillId="3" borderId="0" xfId="0" applyNumberFormat="1" applyFont="1" applyFill="1" applyAlignment="1">
      <alignment vertical="center"/>
    </xf>
    <xf numFmtId="1" fontId="1" fillId="3" borderId="0" xfId="0" applyNumberFormat="1" applyFont="1" applyFill="1"/>
    <xf numFmtId="1" fontId="0" fillId="3" borderId="0" xfId="0" applyNumberFormat="1" applyFill="1" applyAlignment="1">
      <alignment horizontal="right" vertical="center"/>
    </xf>
    <xf numFmtId="1" fontId="1" fillId="3" borderId="0" xfId="0" applyNumberFormat="1" applyFont="1" applyFill="1" applyAlignment="1">
      <alignment horizontal="right" vertical="center"/>
    </xf>
    <xf numFmtId="0" fontId="0" fillId="3" borderId="0" xfId="0" applyFill="1"/>
    <xf numFmtId="1" fontId="1" fillId="3" borderId="0" xfId="0" applyNumberFormat="1" applyFont="1" applyFill="1" applyAlignment="1">
      <alignment horizontal="right" wrapText="1"/>
    </xf>
    <xf numFmtId="1" fontId="0" fillId="3" borderId="0" xfId="0" applyNumberFormat="1" applyFont="1" applyFill="1" applyAlignment="1">
      <alignment horizontal="right" wrapText="1"/>
    </xf>
    <xf numFmtId="1" fontId="0" fillId="3" borderId="0" xfId="0" applyNumberFormat="1" applyFont="1" applyFill="1" applyAlignment="1">
      <alignment horizontal="right" vertical="center"/>
    </xf>
    <xf numFmtId="1" fontId="0" fillId="3" borderId="0" xfId="0" applyNumberFormat="1" applyFill="1" applyAlignment="1">
      <alignment horizontal="right" vertical="center" wrapText="1"/>
    </xf>
    <xf numFmtId="1" fontId="1" fillId="3" borderId="0" xfId="0" applyNumberFormat="1" applyFont="1" applyFill="1" applyAlignment="1">
      <alignment horizontal="right" vertical="center" wrapText="1"/>
    </xf>
    <xf numFmtId="1" fontId="0" fillId="3" borderId="0" xfId="0" applyNumberFormat="1" applyFont="1" applyFill="1" applyAlignment="1">
      <alignment horizontal="right" vertical="center" wrapText="1"/>
    </xf>
    <xf numFmtId="1" fontId="0" fillId="3" borderId="0" xfId="0" applyNumberFormat="1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center"/>
    </xf>
    <xf numFmtId="1" fontId="0" fillId="3" borderId="0" xfId="0" applyNumberFormat="1" applyFill="1"/>
    <xf numFmtId="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Font="1" applyFill="1" applyAlignment="1">
      <alignment horizontal="left" vertical="center" wrapText="1"/>
    </xf>
    <xf numFmtId="0" fontId="4" fillId="0" borderId="0" xfId="0" applyFont="1"/>
    <xf numFmtId="0" fontId="0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ont="1" applyFill="1" applyAlignment="1">
      <alignment horizontal="right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right"/>
    </xf>
    <xf numFmtId="0" fontId="0" fillId="4" borderId="0" xfId="0" applyFont="1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 vertical="center" wrapText="1"/>
    </xf>
    <xf numFmtId="1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left"/>
    </xf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topLeftCell="A103" zoomScale="98" workbookViewId="0">
      <selection activeCell="G112" sqref="G112"/>
    </sheetView>
  </sheetViews>
  <sheetFormatPr baseColWidth="10" defaultRowHeight="14.4"/>
  <cols>
    <col min="1" max="1" width="25.6640625" customWidth="1"/>
    <col min="2" max="2" width="58.5546875" customWidth="1"/>
    <col min="3" max="3" width="13.88671875" customWidth="1"/>
    <col min="4" max="4" width="13" customWidth="1"/>
    <col min="5" max="5" width="17.77734375" customWidth="1"/>
    <col min="6" max="6" width="15.109375" customWidth="1"/>
    <col min="7" max="7" width="13.6640625" customWidth="1"/>
    <col min="8" max="8" width="14" customWidth="1"/>
    <col min="9" max="10" width="11.5546875" customWidth="1"/>
    <col min="11" max="11" width="13.77734375" customWidth="1"/>
    <col min="12" max="12" width="15.44140625" customWidth="1"/>
    <col min="14" max="14" width="17.109375" customWidth="1"/>
    <col min="16" max="16" width="17.109375" customWidth="1"/>
    <col min="18" max="18" width="12.21875" bestFit="1" customWidth="1"/>
  </cols>
  <sheetData>
    <row r="1" spans="1:19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125</v>
      </c>
      <c r="K1" s="2" t="s">
        <v>126</v>
      </c>
      <c r="L1" s="2" t="s">
        <v>130</v>
      </c>
      <c r="M1" s="2" t="s">
        <v>160</v>
      </c>
      <c r="N1" s="2" t="s">
        <v>161</v>
      </c>
      <c r="O1" s="2" t="s">
        <v>162</v>
      </c>
      <c r="P1" s="2" t="s">
        <v>166</v>
      </c>
      <c r="Q1" s="2"/>
      <c r="S1" s="9" t="s">
        <v>67</v>
      </c>
    </row>
    <row r="2" spans="1:19">
      <c r="A2" s="18" t="s">
        <v>119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7"/>
    </row>
    <row r="3" spans="1:19">
      <c r="A3" s="15" t="s">
        <v>90</v>
      </c>
      <c r="B3" s="15" t="s">
        <v>93</v>
      </c>
      <c r="C3" s="16">
        <v>3925500</v>
      </c>
      <c r="D3" s="4">
        <v>3923620</v>
      </c>
      <c r="E3" s="4">
        <v>3923657</v>
      </c>
      <c r="F3" s="4">
        <v>3924034</v>
      </c>
      <c r="G3" s="16">
        <v>4641652</v>
      </c>
      <c r="H3" s="4">
        <f>IF(AND(C3&gt;=E3,C3&lt;=F3),1,0)</f>
        <v>0</v>
      </c>
      <c r="I3" s="28">
        <f>ABS(D3-C3)</f>
        <v>1880</v>
      </c>
      <c r="J3" s="4">
        <f>ABS(E3-C3)</f>
        <v>1843</v>
      </c>
      <c r="K3" s="21">
        <v>2</v>
      </c>
      <c r="L3" s="21">
        <v>2</v>
      </c>
      <c r="M3" s="21">
        <v>4</v>
      </c>
      <c r="N3" s="20">
        <f>ABS(M3-K3)</f>
        <v>2</v>
      </c>
      <c r="O3" s="20">
        <f>ABS(M3-L3)</f>
        <v>2</v>
      </c>
      <c r="P3" s="2"/>
      <c r="Q3" s="2"/>
      <c r="R3" s="27"/>
    </row>
    <row r="4" spans="1:19" s="57" customFormat="1">
      <c r="A4" s="55" t="s">
        <v>120</v>
      </c>
      <c r="B4" s="55" t="s">
        <v>121</v>
      </c>
      <c r="C4" s="56">
        <v>3628500</v>
      </c>
      <c r="D4" s="57">
        <v>3628624</v>
      </c>
      <c r="E4" s="56">
        <v>1</v>
      </c>
      <c r="F4" s="56">
        <v>477</v>
      </c>
      <c r="G4" s="56">
        <v>3654135</v>
      </c>
      <c r="H4" s="58">
        <f>IF(AND(C4&gt;=E4,C4&lt;=F4),1,0)</f>
        <v>0</v>
      </c>
      <c r="I4" s="58">
        <f>ABS(D4-C4)</f>
        <v>124</v>
      </c>
      <c r="J4" s="59">
        <f>P4</f>
        <v>25634</v>
      </c>
      <c r="K4" s="60">
        <v>0</v>
      </c>
      <c r="L4" s="60">
        <v>0</v>
      </c>
      <c r="M4" s="60">
        <v>3</v>
      </c>
      <c r="N4" s="61">
        <f t="shared" ref="N4:N5" si="0">ABS(M4-K4)</f>
        <v>3</v>
      </c>
      <c r="O4" s="61">
        <f t="shared" ref="O4:O5" si="1">ABS(M4-L4)</f>
        <v>3</v>
      </c>
      <c r="P4" s="2">
        <f>ABS(ABS(G4-E4)-ABS(0-C4))</f>
        <v>25634</v>
      </c>
      <c r="Q4" s="61"/>
    </row>
    <row r="5" spans="1:19">
      <c r="A5" s="15" t="s">
        <v>122</v>
      </c>
      <c r="B5" s="15" t="s">
        <v>123</v>
      </c>
      <c r="C5" s="16">
        <v>720300</v>
      </c>
      <c r="D5">
        <v>720385</v>
      </c>
      <c r="E5">
        <v>719974</v>
      </c>
      <c r="F5">
        <v>720270</v>
      </c>
      <c r="G5" s="16">
        <v>1042519</v>
      </c>
      <c r="H5" s="4">
        <f>IF(AND(C5&gt;=E5,C5&lt;=F5),1,0)</f>
        <v>0</v>
      </c>
      <c r="I5" s="4">
        <f>ABS(D5-C5)</f>
        <v>85</v>
      </c>
      <c r="J5" s="4">
        <f>ABS(E5-C5)</f>
        <v>326</v>
      </c>
      <c r="K5" s="21">
        <v>1</v>
      </c>
      <c r="L5" s="21">
        <v>2</v>
      </c>
      <c r="M5" s="21">
        <v>3</v>
      </c>
      <c r="N5" s="20">
        <f t="shared" si="0"/>
        <v>2</v>
      </c>
      <c r="O5" s="20">
        <f t="shared" si="1"/>
        <v>1</v>
      </c>
      <c r="P5" s="2"/>
      <c r="Q5" s="20"/>
      <c r="R5" s="27"/>
    </row>
    <row r="6" spans="1:19">
      <c r="A6" s="15"/>
      <c r="B6" s="15"/>
      <c r="C6" s="16"/>
      <c r="G6" s="16"/>
      <c r="H6" s="23" t="s">
        <v>127</v>
      </c>
      <c r="I6" s="35">
        <f>AVERAGE(I3:I5)</f>
        <v>696.33333333333337</v>
      </c>
      <c r="J6" s="35">
        <f>AVERAGE(J3:J5)</f>
        <v>9267.6666666666661</v>
      </c>
      <c r="K6" s="35">
        <f>AVERAGE(K3:K5)</f>
        <v>1</v>
      </c>
      <c r="L6" s="46">
        <f>AVERAGE(L3:L5)</f>
        <v>1.3333333333333333</v>
      </c>
      <c r="M6" s="21"/>
      <c r="N6" s="20"/>
      <c r="O6" s="20"/>
      <c r="P6" s="2"/>
      <c r="Q6" s="20"/>
      <c r="R6" s="27"/>
    </row>
    <row r="7" spans="1:19" ht="28.8">
      <c r="A7" s="15"/>
      <c r="B7" s="14"/>
      <c r="C7" s="14"/>
      <c r="D7" s="14"/>
      <c r="E7" s="14"/>
      <c r="F7" s="14"/>
      <c r="G7" s="14"/>
      <c r="H7" s="29" t="s">
        <v>128</v>
      </c>
      <c r="I7" s="36">
        <f>AVERAGE(I4:I5)</f>
        <v>104.5</v>
      </c>
      <c r="J7" s="36">
        <f>AVERAGE(J3,J5)</f>
        <v>1084.5</v>
      </c>
      <c r="K7" s="45">
        <f>K6</f>
        <v>1</v>
      </c>
      <c r="L7" s="45">
        <f>L6</f>
        <v>1.3333333333333333</v>
      </c>
      <c r="M7" s="21"/>
      <c r="N7" s="74">
        <f>AVERAGE(N3:O5)</f>
        <v>2.1666666666666665</v>
      </c>
      <c r="O7" s="74"/>
      <c r="P7" s="2"/>
      <c r="Q7" s="20"/>
      <c r="R7" s="27"/>
    </row>
    <row r="8" spans="1:19">
      <c r="A8" s="15"/>
      <c r="B8" s="14"/>
      <c r="C8" s="14"/>
      <c r="D8" s="14"/>
      <c r="E8" s="14"/>
      <c r="F8" s="14"/>
      <c r="G8" s="14"/>
      <c r="H8" s="29" t="s">
        <v>129</v>
      </c>
      <c r="I8" s="36">
        <f>STDEV(I4:I5)</f>
        <v>27.577164466275352</v>
      </c>
      <c r="J8" s="36">
        <f>STDEV(J3,J5)</f>
        <v>1072.6809870599925</v>
      </c>
      <c r="K8" s="45">
        <f>STDEV(K3:K5)</f>
        <v>1</v>
      </c>
      <c r="L8" s="45">
        <f>STDEV(L3:L5)</f>
        <v>1.1547005383792517</v>
      </c>
      <c r="M8" s="21"/>
      <c r="N8" s="20"/>
      <c r="O8" s="20"/>
      <c r="P8" s="2"/>
      <c r="Q8" s="20"/>
      <c r="R8" s="27"/>
    </row>
    <row r="9" spans="1:19">
      <c r="A9" s="18" t="s">
        <v>92</v>
      </c>
      <c r="B9" s="14"/>
      <c r="C9" s="19"/>
      <c r="D9" s="16"/>
      <c r="E9" s="16"/>
      <c r="F9" s="16"/>
      <c r="G9" s="19"/>
      <c r="H9" s="4"/>
      <c r="I9" s="4"/>
      <c r="J9" s="4"/>
      <c r="K9" s="21"/>
      <c r="L9" s="21"/>
      <c r="M9" s="20"/>
      <c r="N9" s="20"/>
      <c r="O9" s="20"/>
      <c r="P9" s="2"/>
      <c r="Q9" s="20"/>
      <c r="R9" s="27"/>
    </row>
    <row r="10" spans="1:19">
      <c r="A10" s="15" t="s">
        <v>90</v>
      </c>
      <c r="B10" s="15" t="s">
        <v>93</v>
      </c>
      <c r="C10" s="16">
        <v>3925500</v>
      </c>
      <c r="D10" s="4">
        <v>3923620</v>
      </c>
      <c r="E10" s="4">
        <v>3923657</v>
      </c>
      <c r="F10" s="4">
        <v>3924034</v>
      </c>
      <c r="G10" s="16">
        <v>4641652</v>
      </c>
      <c r="H10" s="4">
        <f>IF(AND(C10&gt;=E10,C10&lt;=F10),1,0)</f>
        <v>0</v>
      </c>
      <c r="I10" s="28">
        <f>ABS(D10-C10)</f>
        <v>1880</v>
      </c>
      <c r="J10" s="4">
        <f>ABS(E10-C10)</f>
        <v>1843</v>
      </c>
      <c r="K10" s="21">
        <v>2</v>
      </c>
      <c r="L10" s="21">
        <v>2</v>
      </c>
      <c r="M10" s="21">
        <v>4</v>
      </c>
      <c r="N10" s="20">
        <f>ABS(M10-K10)</f>
        <v>2</v>
      </c>
      <c r="O10" s="20">
        <f>ABS(M10-L10)</f>
        <v>2</v>
      </c>
      <c r="P10" s="2"/>
      <c r="Q10" s="2"/>
      <c r="R10" s="27"/>
    </row>
    <row r="11" spans="1:19">
      <c r="A11" t="s">
        <v>94</v>
      </c>
      <c r="B11" t="s">
        <v>95</v>
      </c>
      <c r="C11">
        <v>4719100</v>
      </c>
      <c r="D11" s="4">
        <v>4719041</v>
      </c>
      <c r="E11" s="4">
        <v>4719078</v>
      </c>
      <c r="F11" s="4">
        <v>4719455</v>
      </c>
      <c r="G11">
        <v>5498578</v>
      </c>
      <c r="H11" s="4">
        <f>IF(AND(C11&gt;=E11,C11&lt;=F11),1,0)</f>
        <v>1</v>
      </c>
      <c r="I11" s="4">
        <f>ABS(D11-C11)</f>
        <v>59</v>
      </c>
      <c r="J11" s="4">
        <f>ABS(E11-C11)</f>
        <v>22</v>
      </c>
      <c r="K11" s="22">
        <v>2</v>
      </c>
      <c r="L11" s="22">
        <v>2</v>
      </c>
      <c r="M11">
        <v>4</v>
      </c>
      <c r="N11" s="20">
        <f t="shared" ref="N11:N14" si="2">ABS(M11-K11)</f>
        <v>2</v>
      </c>
      <c r="O11" s="20">
        <f t="shared" ref="O11:O14" si="3">ABS(M11-L11)</f>
        <v>2</v>
      </c>
      <c r="P11" s="2"/>
    </row>
    <row r="12" spans="1:19">
      <c r="A12" t="s">
        <v>10</v>
      </c>
      <c r="B12" t="s">
        <v>96</v>
      </c>
      <c r="C12">
        <v>4529000</v>
      </c>
      <c r="D12" s="4">
        <v>4529067</v>
      </c>
      <c r="E12" s="4">
        <v>4529104</v>
      </c>
      <c r="F12" s="4">
        <v>4529481</v>
      </c>
      <c r="G12">
        <v>5132068</v>
      </c>
      <c r="H12" s="4">
        <f>IF(AND(C12&gt;=E12,C12&lt;=F12),1,0)</f>
        <v>0</v>
      </c>
      <c r="I12" s="4">
        <f>ABS(D12-C12)</f>
        <v>67</v>
      </c>
      <c r="J12" s="4">
        <f>ABS(E12-C12)</f>
        <v>104</v>
      </c>
      <c r="K12" s="22">
        <v>2</v>
      </c>
      <c r="L12" s="22">
        <v>2</v>
      </c>
      <c r="M12">
        <v>4</v>
      </c>
      <c r="N12" s="20">
        <f t="shared" si="2"/>
        <v>2</v>
      </c>
      <c r="O12" s="20">
        <f t="shared" si="3"/>
        <v>2</v>
      </c>
      <c r="P12" s="2"/>
    </row>
    <row r="13" spans="1:19">
      <c r="A13" t="s">
        <v>12</v>
      </c>
      <c r="B13" t="s">
        <v>97</v>
      </c>
      <c r="C13">
        <v>3946600</v>
      </c>
      <c r="D13" s="4">
        <v>3946684</v>
      </c>
      <c r="E13" s="4">
        <v>3946721</v>
      </c>
      <c r="F13" s="4">
        <v>3947098</v>
      </c>
      <c r="G13">
        <v>4747819</v>
      </c>
      <c r="H13" s="4">
        <f>IF(AND(C13&gt;=E13,C13&lt;=F13),1,0)</f>
        <v>0</v>
      </c>
      <c r="I13" s="4">
        <f>ABS(D13-C13)</f>
        <v>84</v>
      </c>
      <c r="J13" s="4">
        <f>ABS(E13-C13)</f>
        <v>121</v>
      </c>
      <c r="K13" s="22">
        <v>2</v>
      </c>
      <c r="L13" s="22">
        <v>2</v>
      </c>
      <c r="M13">
        <v>4</v>
      </c>
      <c r="N13" s="20">
        <f t="shared" si="2"/>
        <v>2</v>
      </c>
      <c r="O13" s="20">
        <f t="shared" si="3"/>
        <v>2</v>
      </c>
      <c r="P13" s="2"/>
    </row>
    <row r="14" spans="1:19" s="57" customFormat="1">
      <c r="A14" s="57" t="s">
        <v>14</v>
      </c>
      <c r="B14" s="57" t="s">
        <v>98</v>
      </c>
      <c r="C14" s="57">
        <v>400</v>
      </c>
      <c r="D14" s="58">
        <v>847</v>
      </c>
      <c r="E14" s="58">
        <v>5225716</v>
      </c>
      <c r="F14" s="58">
        <v>5226093</v>
      </c>
      <c r="G14" s="57">
        <v>5273097</v>
      </c>
      <c r="H14" s="58">
        <f>IF(AND(C14&gt;=E14,C14&lt;=F14),1,0)</f>
        <v>0</v>
      </c>
      <c r="I14" s="58">
        <f>ABS(D14-C14)</f>
        <v>447</v>
      </c>
      <c r="J14" s="59">
        <f>P14</f>
        <v>46981</v>
      </c>
      <c r="K14" s="62">
        <v>1</v>
      </c>
      <c r="L14" s="62">
        <v>1</v>
      </c>
      <c r="M14" s="57">
        <v>4</v>
      </c>
      <c r="N14" s="61">
        <f t="shared" si="2"/>
        <v>3</v>
      </c>
      <c r="O14" s="61">
        <f t="shared" si="3"/>
        <v>3</v>
      </c>
      <c r="P14" s="2">
        <f>ABS(ABS(G14-E14)-ABS(0-C14))</f>
        <v>46981</v>
      </c>
    </row>
    <row r="15" spans="1:19">
      <c r="D15" s="4"/>
      <c r="E15" s="4"/>
      <c r="F15" s="4"/>
      <c r="H15" s="23" t="s">
        <v>127</v>
      </c>
      <c r="I15" s="35">
        <f>AVERAGE(I10:I14)</f>
        <v>507.4</v>
      </c>
      <c r="J15" s="35">
        <f>AVERAGE(J10:J14)</f>
        <v>9814.2000000000007</v>
      </c>
      <c r="K15" s="35">
        <f t="shared" ref="K15" si="4">AVERAGE(K10:K14)</f>
        <v>1.8</v>
      </c>
      <c r="L15" s="47">
        <f>AVERAGE(L10:L14)</f>
        <v>1.8</v>
      </c>
      <c r="P15" s="2"/>
    </row>
    <row r="16" spans="1:19" ht="28.8">
      <c r="H16" s="29" t="s">
        <v>128</v>
      </c>
      <c r="I16" s="36">
        <f>AVERAGE(I11:I14)</f>
        <v>164.25</v>
      </c>
      <c r="J16" s="36">
        <f>AVERAGE(J10:J13)</f>
        <v>522.5</v>
      </c>
      <c r="K16" s="37">
        <f>K15</f>
        <v>1.8</v>
      </c>
      <c r="L16" s="37">
        <f>L15</f>
        <v>1.8</v>
      </c>
      <c r="N16" s="74">
        <f>AVERAGE(N10:O14)</f>
        <v>2.2000000000000002</v>
      </c>
      <c r="O16" s="74"/>
      <c r="P16" s="2"/>
    </row>
    <row r="17" spans="1:16">
      <c r="A17" s="17" t="s">
        <v>91</v>
      </c>
      <c r="H17" s="31" t="s">
        <v>129</v>
      </c>
      <c r="I17" s="36">
        <f>STDEV(I11:I14)</f>
        <v>188.78802045327629</v>
      </c>
      <c r="J17" s="36">
        <f>STDEV(J10:J13)</f>
        <v>881.3937825966326</v>
      </c>
      <c r="K17" s="37">
        <f>STDEV(K10:K14)</f>
        <v>0.44721359549995815</v>
      </c>
      <c r="L17" s="37">
        <f>STDEV(L10:L14)</f>
        <v>0.44721359549995815</v>
      </c>
      <c r="P17" s="2"/>
    </row>
    <row r="18" spans="1:16">
      <c r="A18" s="17" t="s">
        <v>99</v>
      </c>
      <c r="H18" s="4"/>
      <c r="I18" s="4"/>
      <c r="J18" s="4"/>
      <c r="P18" s="2"/>
    </row>
    <row r="19" spans="1:16">
      <c r="A19" s="15" t="s">
        <v>90</v>
      </c>
      <c r="B19" s="15" t="s">
        <v>93</v>
      </c>
      <c r="C19" s="16">
        <v>3925500</v>
      </c>
      <c r="D19" s="4">
        <v>3923620</v>
      </c>
      <c r="E19" s="4">
        <v>3923657</v>
      </c>
      <c r="F19" s="4">
        <v>3924034</v>
      </c>
      <c r="G19" s="16">
        <v>4641652</v>
      </c>
      <c r="H19" s="4">
        <f>IF(AND(C19&gt;=E19,C19&lt;=F19),1,0)</f>
        <v>0</v>
      </c>
      <c r="I19" s="28">
        <f>ABS(D19-C19)</f>
        <v>1880</v>
      </c>
      <c r="J19" s="4">
        <f>ABS(E19-C19)</f>
        <v>1843</v>
      </c>
      <c r="K19">
        <v>2</v>
      </c>
      <c r="L19">
        <v>2</v>
      </c>
      <c r="M19">
        <v>4</v>
      </c>
      <c r="N19">
        <f>ABS(M19-K19)</f>
        <v>2</v>
      </c>
      <c r="O19">
        <f>ABS(M19-L19)</f>
        <v>2</v>
      </c>
      <c r="P19" s="2"/>
    </row>
    <row r="20" spans="1:16">
      <c r="A20" t="s">
        <v>94</v>
      </c>
      <c r="B20" t="s">
        <v>95</v>
      </c>
      <c r="C20">
        <v>4719100</v>
      </c>
      <c r="D20" s="4">
        <v>4719041</v>
      </c>
      <c r="E20" s="4">
        <v>4719078</v>
      </c>
      <c r="F20" s="4">
        <v>4719455</v>
      </c>
      <c r="G20">
        <v>5498578</v>
      </c>
      <c r="H20" s="4">
        <f>IF(AND(C20&gt;=E20,C20&lt;=F20),1,0)</f>
        <v>1</v>
      </c>
      <c r="I20" s="4">
        <f>ABS(D20-C20)</f>
        <v>59</v>
      </c>
      <c r="J20" s="4">
        <f>ABS(E20-C20)</f>
        <v>22</v>
      </c>
      <c r="K20">
        <v>2</v>
      </c>
      <c r="L20">
        <v>2</v>
      </c>
      <c r="M20">
        <v>4</v>
      </c>
      <c r="N20">
        <f t="shared" ref="N20:N30" si="5">ABS(M20-K20)</f>
        <v>2</v>
      </c>
      <c r="O20">
        <f t="shared" ref="O20:O30" si="6">ABS(M20-L20)</f>
        <v>2</v>
      </c>
      <c r="P20" s="2"/>
    </row>
    <row r="21" spans="1:16">
      <c r="A21" t="s">
        <v>10</v>
      </c>
      <c r="B21" t="s">
        <v>96</v>
      </c>
      <c r="C21">
        <v>4529000</v>
      </c>
      <c r="D21" s="4">
        <v>4529067</v>
      </c>
      <c r="E21" s="4">
        <v>4529104</v>
      </c>
      <c r="F21" s="4">
        <v>4529481</v>
      </c>
      <c r="G21">
        <v>5132068</v>
      </c>
      <c r="H21" s="4">
        <f>IF(AND(C21&gt;=E21,C21&lt;=F21),1,0)</f>
        <v>0</v>
      </c>
      <c r="I21" s="4">
        <f>ABS(D21-C21)</f>
        <v>67</v>
      </c>
      <c r="J21" s="4">
        <f>ABS(E21-C21)</f>
        <v>104</v>
      </c>
      <c r="K21">
        <v>2</v>
      </c>
      <c r="L21">
        <v>2</v>
      </c>
      <c r="M21">
        <v>4</v>
      </c>
      <c r="N21">
        <f t="shared" si="5"/>
        <v>2</v>
      </c>
      <c r="O21">
        <f t="shared" si="6"/>
        <v>2</v>
      </c>
      <c r="P21" s="2"/>
    </row>
    <row r="22" spans="1:16">
      <c r="A22" t="s">
        <v>12</v>
      </c>
      <c r="B22" t="s">
        <v>97</v>
      </c>
      <c r="C22">
        <v>3946600</v>
      </c>
      <c r="D22" s="4">
        <v>3946684</v>
      </c>
      <c r="E22" s="4">
        <v>3946721</v>
      </c>
      <c r="F22" s="4">
        <v>3947098</v>
      </c>
      <c r="G22">
        <v>4747819</v>
      </c>
      <c r="H22" s="4">
        <f>IF(AND(C22&gt;=E22,C22&lt;=F22),1,0)</f>
        <v>0</v>
      </c>
      <c r="I22" s="4">
        <f>ABS(D22-C22)</f>
        <v>84</v>
      </c>
      <c r="J22" s="4">
        <f>ABS(E22-C22)</f>
        <v>121</v>
      </c>
      <c r="K22">
        <v>2</v>
      </c>
      <c r="L22">
        <v>2</v>
      </c>
      <c r="M22">
        <v>4</v>
      </c>
      <c r="N22">
        <f t="shared" si="5"/>
        <v>2</v>
      </c>
      <c r="O22">
        <f t="shared" si="6"/>
        <v>2</v>
      </c>
      <c r="P22" s="2"/>
    </row>
    <row r="23" spans="1:16" s="57" customFormat="1">
      <c r="A23" s="57" t="s">
        <v>14</v>
      </c>
      <c r="B23" s="57" t="s">
        <v>98</v>
      </c>
      <c r="C23" s="57">
        <v>400</v>
      </c>
      <c r="D23" s="58">
        <v>847</v>
      </c>
      <c r="E23" s="58">
        <v>5225716</v>
      </c>
      <c r="F23" s="58">
        <v>5226093</v>
      </c>
      <c r="G23" s="57">
        <v>5273097</v>
      </c>
      <c r="H23" s="58">
        <f>IF(AND(C23&gt;=E23,C23&lt;=F23),1,0)</f>
        <v>0</v>
      </c>
      <c r="I23" s="58">
        <f>ABS(D23-C23)</f>
        <v>447</v>
      </c>
      <c r="J23" s="59">
        <f>P23</f>
        <v>46981</v>
      </c>
      <c r="K23" s="57">
        <v>1</v>
      </c>
      <c r="L23" s="57">
        <v>1</v>
      </c>
      <c r="M23" s="57">
        <v>4</v>
      </c>
      <c r="N23" s="57">
        <f t="shared" si="5"/>
        <v>3</v>
      </c>
      <c r="O23" s="57">
        <f t="shared" si="6"/>
        <v>3</v>
      </c>
      <c r="P23" s="2">
        <f>ABS(ABS(G23-E23)-ABS(0-C23))</f>
        <v>46981</v>
      </c>
    </row>
    <row r="24" spans="1:16">
      <c r="A24" t="s">
        <v>100</v>
      </c>
      <c r="B24" t="s">
        <v>101</v>
      </c>
      <c r="C24">
        <v>3821700</v>
      </c>
      <c r="D24">
        <v>3821722</v>
      </c>
      <c r="E24">
        <v>3932902</v>
      </c>
      <c r="F24">
        <v>3933279</v>
      </c>
      <c r="G24">
        <v>4607202</v>
      </c>
      <c r="H24" s="4">
        <f>IF(AND(C24&gt;=E24,C24&lt;=F24),1,0)</f>
        <v>0</v>
      </c>
      <c r="I24" s="4">
        <f>ABS(D24-C24)</f>
        <v>22</v>
      </c>
      <c r="J24" s="28">
        <f>ABS(E24-C24)</f>
        <v>111202</v>
      </c>
      <c r="K24">
        <v>2</v>
      </c>
      <c r="L24">
        <v>1</v>
      </c>
      <c r="M24">
        <v>3</v>
      </c>
      <c r="N24">
        <f t="shared" si="5"/>
        <v>1</v>
      </c>
      <c r="O24">
        <f t="shared" si="6"/>
        <v>2</v>
      </c>
      <c r="P24" s="2"/>
    </row>
    <row r="25" spans="1:16">
      <c r="A25" t="s">
        <v>103</v>
      </c>
      <c r="B25" t="s">
        <v>102</v>
      </c>
      <c r="C25">
        <v>4309800</v>
      </c>
      <c r="D25">
        <v>4309863</v>
      </c>
      <c r="E25">
        <v>3740583</v>
      </c>
      <c r="F25">
        <v>3740960</v>
      </c>
      <c r="G25">
        <v>4369232</v>
      </c>
      <c r="H25" s="4">
        <f>IF(AND(C25&gt;=E25,C25&lt;=F25),1,0)</f>
        <v>0</v>
      </c>
      <c r="I25" s="4">
        <f>ABS(D25-C25)</f>
        <v>63</v>
      </c>
      <c r="J25" s="28">
        <f>ABS(E25-C25)</f>
        <v>569217</v>
      </c>
      <c r="K25">
        <v>0</v>
      </c>
      <c r="L25">
        <v>1</v>
      </c>
      <c r="M25">
        <v>4</v>
      </c>
      <c r="N25">
        <f t="shared" si="5"/>
        <v>4</v>
      </c>
      <c r="O25">
        <f t="shared" si="6"/>
        <v>3</v>
      </c>
      <c r="P25" s="2"/>
    </row>
    <row r="26" spans="1:16">
      <c r="A26" t="s">
        <v>104</v>
      </c>
      <c r="B26" t="s">
        <v>105</v>
      </c>
      <c r="C26">
        <v>4083700</v>
      </c>
      <c r="D26">
        <v>4084364</v>
      </c>
      <c r="E26">
        <v>4083788</v>
      </c>
      <c r="F26">
        <v>4084165</v>
      </c>
      <c r="G26">
        <v>4857450</v>
      </c>
      <c r="H26" s="4">
        <f>IF(AND(C26&gt;=E26,C26&lt;=F26),1,0)</f>
        <v>0</v>
      </c>
      <c r="I26" s="4">
        <f>ABS(D26-C26)</f>
        <v>664</v>
      </c>
      <c r="J26" s="4">
        <f>ABS(E26-C26)</f>
        <v>88</v>
      </c>
      <c r="K26">
        <v>2</v>
      </c>
      <c r="L26">
        <v>2</v>
      </c>
      <c r="M26">
        <v>4</v>
      </c>
      <c r="N26">
        <f t="shared" si="5"/>
        <v>2</v>
      </c>
      <c r="O26">
        <f t="shared" si="6"/>
        <v>2</v>
      </c>
      <c r="P26" s="2"/>
    </row>
    <row r="27" spans="1:16">
      <c r="A27" t="s">
        <v>47</v>
      </c>
      <c r="B27" t="s">
        <v>48</v>
      </c>
      <c r="C27">
        <v>3764800</v>
      </c>
      <c r="D27" s="4">
        <v>3764856</v>
      </c>
      <c r="E27" s="4">
        <v>3765058</v>
      </c>
      <c r="F27" s="4">
        <v>3765435</v>
      </c>
      <c r="G27">
        <v>4809037</v>
      </c>
      <c r="H27" s="4">
        <f>IF(AND(C27&gt;=E27,C27&lt;=F27),1,0)</f>
        <v>0</v>
      </c>
      <c r="I27" s="4">
        <f>ABS(D27-C27)</f>
        <v>56</v>
      </c>
      <c r="J27" s="4">
        <f>ABS(E27-C27)</f>
        <v>258</v>
      </c>
      <c r="K27">
        <v>2</v>
      </c>
      <c r="L27">
        <v>3</v>
      </c>
      <c r="M27">
        <v>2</v>
      </c>
      <c r="N27">
        <f t="shared" si="5"/>
        <v>0</v>
      </c>
      <c r="O27">
        <f t="shared" si="6"/>
        <v>1</v>
      </c>
      <c r="P27" s="2"/>
    </row>
    <row r="28" spans="1:16">
      <c r="A28" t="s">
        <v>106</v>
      </c>
      <c r="B28" t="s">
        <v>107</v>
      </c>
      <c r="C28">
        <v>5288200</v>
      </c>
      <c r="D28">
        <v>5288543</v>
      </c>
      <c r="E28">
        <v>5286982</v>
      </c>
      <c r="F28">
        <v>5287355</v>
      </c>
      <c r="G28">
        <v>5314581</v>
      </c>
      <c r="H28" s="4">
        <f>IF(AND(C28&gt;=E28,C28&lt;=F28),1,0)</f>
        <v>0</v>
      </c>
      <c r="I28" s="4">
        <f>ABS(D28-C28)</f>
        <v>343</v>
      </c>
      <c r="J28" s="4">
        <f>ABS(E28-C28)</f>
        <v>1218</v>
      </c>
      <c r="K28">
        <v>0</v>
      </c>
      <c r="L28">
        <v>0</v>
      </c>
      <c r="M28">
        <v>4</v>
      </c>
      <c r="N28">
        <f t="shared" si="5"/>
        <v>4</v>
      </c>
      <c r="O28">
        <f t="shared" si="6"/>
        <v>4</v>
      </c>
      <c r="P28" s="2"/>
    </row>
    <row r="29" spans="1:16">
      <c r="A29" t="s">
        <v>108</v>
      </c>
      <c r="B29" t="s">
        <v>109</v>
      </c>
      <c r="C29">
        <v>1495100</v>
      </c>
      <c r="D29">
        <v>1495199</v>
      </c>
      <c r="E29">
        <v>1496150</v>
      </c>
      <c r="F29">
        <v>1496532</v>
      </c>
      <c r="G29">
        <v>5280350</v>
      </c>
      <c r="H29" s="4">
        <f>IF(AND(C29&gt;=E29,C29&lt;=F29),1,0)</f>
        <v>0</v>
      </c>
      <c r="I29" s="4">
        <f>ABS(D29-C29)</f>
        <v>99</v>
      </c>
      <c r="J29" s="4">
        <f>ABS(E29-C29)</f>
        <v>1050</v>
      </c>
      <c r="K29">
        <v>0</v>
      </c>
      <c r="L29">
        <v>0</v>
      </c>
      <c r="M29">
        <v>4</v>
      </c>
      <c r="N29">
        <f t="shared" si="5"/>
        <v>4</v>
      </c>
      <c r="O29">
        <f t="shared" si="6"/>
        <v>4</v>
      </c>
      <c r="P29" s="2"/>
    </row>
    <row r="30" spans="1:16" s="27" customFormat="1">
      <c r="A30" s="27" t="s">
        <v>110</v>
      </c>
      <c r="B30" s="27" t="s">
        <v>111</v>
      </c>
      <c r="C30" s="27">
        <v>700</v>
      </c>
      <c r="D30" s="27">
        <v>845</v>
      </c>
      <c r="E30" s="27">
        <v>1</v>
      </c>
      <c r="F30" s="27">
        <v>381</v>
      </c>
      <c r="G30" s="27">
        <v>5333942</v>
      </c>
      <c r="H30" s="24">
        <f>IF(AND(C30&gt;=E30,C30&lt;=F30),1,0)</f>
        <v>0</v>
      </c>
      <c r="I30" s="24">
        <f>ABS(D30-C30)</f>
        <v>145</v>
      </c>
      <c r="J30" s="24">
        <f>ABS(E30-C30)</f>
        <v>699</v>
      </c>
      <c r="K30" s="27">
        <v>3</v>
      </c>
      <c r="L30" s="27">
        <v>3</v>
      </c>
      <c r="M30" s="27">
        <v>4</v>
      </c>
      <c r="N30" s="27">
        <f t="shared" si="5"/>
        <v>1</v>
      </c>
      <c r="O30" s="27">
        <f t="shared" si="6"/>
        <v>1</v>
      </c>
      <c r="P30" s="32"/>
    </row>
    <row r="31" spans="1:16">
      <c r="H31" s="23" t="s">
        <v>127</v>
      </c>
      <c r="I31" s="35">
        <f>AVERAGE(I19:I30)</f>
        <v>327.41666666666669</v>
      </c>
      <c r="J31" s="35">
        <f>AVERAGE(J19:J30)</f>
        <v>61066.916666666664</v>
      </c>
      <c r="K31" s="35">
        <f>AVERAGE(K19:K30)</f>
        <v>1.5</v>
      </c>
      <c r="L31" s="50">
        <f>AVERAGE(L19:L30)</f>
        <v>1.5833333333333333</v>
      </c>
      <c r="P31" s="2"/>
    </row>
    <row r="32" spans="1:16" ht="28.8">
      <c r="H32" s="29" t="s">
        <v>128</v>
      </c>
      <c r="I32" s="36">
        <f>AVERAGE(I20:I30)</f>
        <v>186.27272727272728</v>
      </c>
      <c r="J32" s="36">
        <f>AVERAGE(J19,J20,J21,J22,J26,J27,J28,J29,J30)</f>
        <v>600.33333333333337</v>
      </c>
      <c r="K32" s="37">
        <f>K31</f>
        <v>1.5</v>
      </c>
      <c r="L32" s="37">
        <f>L31</f>
        <v>1.5833333333333333</v>
      </c>
      <c r="N32" s="73">
        <f>AVERAGE(N19:O30)</f>
        <v>2.2916666666666665</v>
      </c>
      <c r="O32" s="73"/>
      <c r="P32" s="2"/>
    </row>
    <row r="33" spans="1:18">
      <c r="H33" s="29" t="s">
        <v>129</v>
      </c>
      <c r="I33" s="36">
        <f>STDEV(I20:I30)</f>
        <v>207.39387209321828</v>
      </c>
      <c r="J33" s="36">
        <f>STDEV(J19,J20,J21,J22,J26,J27,J28,J29,J30)</f>
        <v>644.97306145295715</v>
      </c>
      <c r="K33" s="37">
        <f>STDEV(K19:K30)</f>
        <v>1</v>
      </c>
      <c r="L33" s="37">
        <f>STDEV(L19:L30)</f>
        <v>0.99620491989562199</v>
      </c>
      <c r="P33" s="2"/>
    </row>
    <row r="34" spans="1:18">
      <c r="A34" s="17" t="s">
        <v>112</v>
      </c>
      <c r="H34" s="4"/>
      <c r="I34" s="4"/>
      <c r="J34" s="4"/>
      <c r="P34" s="2"/>
    </row>
    <row r="35" spans="1:18" s="57" customFormat="1">
      <c r="A35" s="63" t="s">
        <v>113</v>
      </c>
      <c r="B35" s="57" t="s">
        <v>114</v>
      </c>
      <c r="C35" s="57">
        <v>0</v>
      </c>
      <c r="D35" s="57">
        <v>1</v>
      </c>
      <c r="E35" s="57">
        <v>2961047</v>
      </c>
      <c r="F35" s="57">
        <v>234</v>
      </c>
      <c r="G35" s="57">
        <v>2961149</v>
      </c>
      <c r="H35" s="58">
        <v>1</v>
      </c>
      <c r="I35" s="58">
        <f>ABS(D35-C35)</f>
        <v>1</v>
      </c>
      <c r="J35" s="58">
        <f>P35</f>
        <v>102</v>
      </c>
      <c r="K35" s="57">
        <v>3</v>
      </c>
      <c r="L35" s="57">
        <v>3</v>
      </c>
      <c r="M35" s="57">
        <v>3</v>
      </c>
      <c r="N35" s="57">
        <f>ABS(M35-K35)</f>
        <v>0</v>
      </c>
      <c r="O35" s="57">
        <f>ABS(M35-L35)</f>
        <v>0</v>
      </c>
      <c r="P35" s="2">
        <f>ABS(ABS(G35-E35)-ABS(0-C35))</f>
        <v>102</v>
      </c>
    </row>
    <row r="36" spans="1:18" s="70" customFormat="1">
      <c r="A36" s="70" t="s">
        <v>115</v>
      </c>
      <c r="B36" s="70" t="s">
        <v>116</v>
      </c>
      <c r="C36" s="70">
        <v>2897200</v>
      </c>
      <c r="D36" s="70">
        <v>2905915</v>
      </c>
      <c r="E36" s="70">
        <v>2906069</v>
      </c>
      <c r="F36" s="70">
        <v>312</v>
      </c>
      <c r="G36" s="70">
        <v>2897536</v>
      </c>
      <c r="H36" s="28">
        <v>0</v>
      </c>
      <c r="I36" s="28">
        <f>ABS(D36-C36)</f>
        <v>8715</v>
      </c>
      <c r="J36" s="28">
        <f>ABS(E36-C36)</f>
        <v>8869</v>
      </c>
      <c r="K36" s="28">
        <v>1</v>
      </c>
      <c r="L36" s="28">
        <v>3</v>
      </c>
      <c r="M36" s="28">
        <v>3</v>
      </c>
      <c r="N36" s="70">
        <f t="shared" ref="N36:N37" si="7">ABS(M36-K36)</f>
        <v>2</v>
      </c>
      <c r="O36" s="70">
        <f t="shared" ref="O36:O37" si="8">ABS(M36-L36)</f>
        <v>0</v>
      </c>
      <c r="P36" s="71"/>
    </row>
    <row r="37" spans="1:18" s="57" customFormat="1">
      <c r="A37" s="57" t="s">
        <v>117</v>
      </c>
      <c r="B37" s="57" t="s">
        <v>118</v>
      </c>
      <c r="C37" s="57">
        <v>0</v>
      </c>
      <c r="D37" s="57">
        <v>3288308</v>
      </c>
      <c r="E37" s="57">
        <v>3288455</v>
      </c>
      <c r="F37" s="57">
        <v>370</v>
      </c>
      <c r="G37" s="57">
        <v>3288558</v>
      </c>
      <c r="H37" s="58">
        <v>1</v>
      </c>
      <c r="I37" s="58">
        <f>ABS(D37-C37-G37)</f>
        <v>250</v>
      </c>
      <c r="J37" s="58">
        <f>P37</f>
        <v>103</v>
      </c>
      <c r="K37" s="57">
        <v>1</v>
      </c>
      <c r="L37" s="57">
        <v>3</v>
      </c>
      <c r="M37" s="57">
        <v>5</v>
      </c>
      <c r="N37" s="57">
        <f t="shared" si="7"/>
        <v>4</v>
      </c>
      <c r="O37" s="57">
        <f t="shared" si="8"/>
        <v>2</v>
      </c>
      <c r="P37" s="2">
        <f>ABS(ABS(G37-E37)-ABS(0-C37))</f>
        <v>103</v>
      </c>
    </row>
    <row r="38" spans="1:18">
      <c r="E38" s="54"/>
      <c r="H38" s="23" t="s">
        <v>127</v>
      </c>
      <c r="I38" s="35">
        <f>AVERAGE(I35,I37)</f>
        <v>125.5</v>
      </c>
      <c r="J38" s="35">
        <f>AVERAGE(J35,J37)</f>
        <v>102.5</v>
      </c>
      <c r="K38" s="35">
        <f>AVERAGE(K35,K37)</f>
        <v>2</v>
      </c>
      <c r="L38" s="48">
        <f>AVERAGE(L35,L37)</f>
        <v>3</v>
      </c>
      <c r="N38" s="75">
        <f>AVERAGE(N35,O35,O37,N37)</f>
        <v>1.5</v>
      </c>
      <c r="O38" s="75"/>
      <c r="P38" s="2"/>
    </row>
    <row r="39" spans="1:18">
      <c r="H39" s="49" t="s">
        <v>129</v>
      </c>
      <c r="I39" s="35">
        <f>STDEV(I35,I37)</f>
        <v>176.06958851545033</v>
      </c>
      <c r="J39" s="35">
        <f>STDEV(J35,J37)</f>
        <v>0.70710678118654757</v>
      </c>
      <c r="K39" s="50">
        <f>STDEV(K35,K37)</f>
        <v>1.4142135623730951</v>
      </c>
      <c r="L39" s="40">
        <f>STDEV(L35:L37)</f>
        <v>0</v>
      </c>
      <c r="P39" s="2"/>
    </row>
    <row r="40" spans="1:18">
      <c r="A40" s="17" t="s">
        <v>124</v>
      </c>
      <c r="H40" s="4"/>
      <c r="I40" s="4"/>
      <c r="J40" s="4"/>
      <c r="P40" s="2"/>
    </row>
    <row r="41" spans="1:18">
      <c r="A41" s="4" t="s">
        <v>90</v>
      </c>
      <c r="B41" s="4" t="s">
        <v>9</v>
      </c>
      <c r="C41" s="4">
        <v>3925500</v>
      </c>
      <c r="D41" s="4">
        <v>3923620</v>
      </c>
      <c r="E41" s="4">
        <v>3923657</v>
      </c>
      <c r="F41" s="4">
        <v>3924034</v>
      </c>
      <c r="G41" s="4">
        <v>4641652</v>
      </c>
      <c r="H41" s="4">
        <f>IF(AND(C41&gt;=E41,C41&lt;=F41),1,0)</f>
        <v>0</v>
      </c>
      <c r="I41" s="28">
        <f>ABS(D41-C41)</f>
        <v>1880</v>
      </c>
      <c r="J41" s="28">
        <f>ABS(E41-C41)</f>
        <v>1843</v>
      </c>
      <c r="K41" s="4">
        <v>2</v>
      </c>
      <c r="L41" s="5">
        <v>2</v>
      </c>
      <c r="M41" s="12">
        <v>4</v>
      </c>
      <c r="N41" s="13">
        <f>ABS(M41-K41)</f>
        <v>2</v>
      </c>
      <c r="O41">
        <f>ABS(M41-L41)</f>
        <v>2</v>
      </c>
      <c r="P41" s="2"/>
    </row>
    <row r="42" spans="1:18">
      <c r="A42" s="4" t="s">
        <v>10</v>
      </c>
      <c r="B42" s="4" t="s">
        <v>11</v>
      </c>
      <c r="C42" s="4">
        <v>4529000</v>
      </c>
      <c r="D42" s="4">
        <v>4529067</v>
      </c>
      <c r="E42" s="4">
        <v>4529104</v>
      </c>
      <c r="F42" s="4">
        <v>4529481</v>
      </c>
      <c r="G42" s="4">
        <v>5132068</v>
      </c>
      <c r="H42" s="4">
        <f>IF(AND(C42&gt;=E42,C42&lt;=F42),1,0)</f>
        <v>0</v>
      </c>
      <c r="I42" s="4">
        <f>ABS(D42-C42)</f>
        <v>67</v>
      </c>
      <c r="J42" s="4">
        <f>ABS(E42-C42)</f>
        <v>104</v>
      </c>
      <c r="K42" s="4">
        <v>2</v>
      </c>
      <c r="L42" s="5">
        <v>2</v>
      </c>
      <c r="M42" s="12">
        <v>4</v>
      </c>
      <c r="N42" s="13">
        <f t="shared" ref="N42:N50" si="9">ABS(M42-K42)</f>
        <v>2</v>
      </c>
      <c r="O42">
        <f t="shared" ref="O42:O50" si="10">ABS(M42-L42)</f>
        <v>2</v>
      </c>
      <c r="P42" s="2"/>
    </row>
    <row r="43" spans="1:18">
      <c r="A43" s="4" t="s">
        <v>12</v>
      </c>
      <c r="B43" s="4" t="s">
        <v>13</v>
      </c>
      <c r="C43" s="4">
        <v>3946600</v>
      </c>
      <c r="D43" s="4">
        <v>3946684</v>
      </c>
      <c r="E43" s="4">
        <v>3946721</v>
      </c>
      <c r="F43" s="4">
        <v>3947098</v>
      </c>
      <c r="G43" s="4">
        <v>4747819</v>
      </c>
      <c r="H43" s="4">
        <f>IF(AND(C43&gt;=E43,C43&lt;=F43),1,0)</f>
        <v>0</v>
      </c>
      <c r="I43" s="4">
        <f>ABS(D43-C43)</f>
        <v>84</v>
      </c>
      <c r="J43" s="4">
        <f>ABS(E43-C43)</f>
        <v>121</v>
      </c>
      <c r="K43" s="4">
        <v>2</v>
      </c>
      <c r="L43" s="6">
        <v>2</v>
      </c>
      <c r="M43" s="12">
        <v>4</v>
      </c>
      <c r="N43" s="13">
        <f t="shared" si="9"/>
        <v>2</v>
      </c>
      <c r="O43">
        <f t="shared" si="10"/>
        <v>2</v>
      </c>
      <c r="P43" s="2"/>
      <c r="R43" s="68"/>
    </row>
    <row r="44" spans="1:18" s="57" customFormat="1">
      <c r="A44" s="58" t="s">
        <v>14</v>
      </c>
      <c r="B44" s="58" t="s">
        <v>15</v>
      </c>
      <c r="C44" s="58">
        <v>400</v>
      </c>
      <c r="D44" s="58">
        <v>847</v>
      </c>
      <c r="E44" s="58">
        <v>5225716</v>
      </c>
      <c r="F44" s="58">
        <v>5226093</v>
      </c>
      <c r="G44" s="58">
        <v>5273097</v>
      </c>
      <c r="H44" s="58">
        <f>IF(AND(C44&gt;=E44,C44&lt;=F44),1,0)</f>
        <v>0</v>
      </c>
      <c r="I44" s="58">
        <f>ABS(D44-C44)</f>
        <v>447</v>
      </c>
      <c r="J44" s="59">
        <f>P44</f>
        <v>46981</v>
      </c>
      <c r="K44" s="58">
        <v>1</v>
      </c>
      <c r="L44" s="64">
        <v>1</v>
      </c>
      <c r="M44" s="65">
        <v>4</v>
      </c>
      <c r="N44" s="66">
        <f t="shared" si="9"/>
        <v>3</v>
      </c>
      <c r="O44" s="57">
        <f t="shared" si="10"/>
        <v>3</v>
      </c>
      <c r="P44" s="2">
        <f>ABS(ABS(G44-E44)-ABS(0-C44))</f>
        <v>46981</v>
      </c>
    </row>
    <row r="45" spans="1:18">
      <c r="A45" s="4" t="s">
        <v>94</v>
      </c>
      <c r="B45" s="3" t="s">
        <v>16</v>
      </c>
      <c r="C45" s="4">
        <v>4719100</v>
      </c>
      <c r="D45" s="4">
        <v>4719041</v>
      </c>
      <c r="E45" s="4">
        <v>4719078</v>
      </c>
      <c r="F45" s="4">
        <v>4719455</v>
      </c>
      <c r="G45" s="4">
        <v>5498578</v>
      </c>
      <c r="H45" s="4">
        <f>IF(AND(C45&gt;=E45,C45&lt;=F45),1,0)</f>
        <v>1</v>
      </c>
      <c r="I45" s="4">
        <f>ABS(D45-C45)</f>
        <v>59</v>
      </c>
      <c r="J45" s="4">
        <f>ABS(E45-C45)</f>
        <v>22</v>
      </c>
      <c r="K45" s="4">
        <v>2</v>
      </c>
      <c r="L45" s="6">
        <v>2</v>
      </c>
      <c r="M45" s="12">
        <v>4</v>
      </c>
      <c r="N45" s="13">
        <f t="shared" si="9"/>
        <v>2</v>
      </c>
      <c r="O45">
        <f t="shared" si="10"/>
        <v>2</v>
      </c>
      <c r="P45" s="2"/>
    </row>
    <row r="46" spans="1:18">
      <c r="A46" s="4" t="s">
        <v>17</v>
      </c>
      <c r="B46" s="4" t="s">
        <v>18</v>
      </c>
      <c r="C46" s="4">
        <v>4427400</v>
      </c>
      <c r="D46" s="4">
        <v>4426630</v>
      </c>
      <c r="E46" s="4">
        <v>4426667</v>
      </c>
      <c r="F46" s="4">
        <v>4427044</v>
      </c>
      <c r="G46" s="4">
        <v>5231428</v>
      </c>
      <c r="H46" s="4">
        <f>IF(AND(C46&gt;=E46,C46&lt;=F46),1,0)</f>
        <v>0</v>
      </c>
      <c r="I46" s="4">
        <f>ABS(D46-C46)</f>
        <v>770</v>
      </c>
      <c r="J46" s="4">
        <f>ABS(E46-C46)</f>
        <v>733</v>
      </c>
      <c r="K46" s="4">
        <v>4</v>
      </c>
      <c r="L46" s="6">
        <v>2</v>
      </c>
      <c r="M46" s="12">
        <v>4</v>
      </c>
      <c r="N46" s="13">
        <f t="shared" si="9"/>
        <v>0</v>
      </c>
      <c r="O46">
        <f t="shared" si="10"/>
        <v>2</v>
      </c>
      <c r="P46" s="2"/>
    </row>
    <row r="47" spans="1:18">
      <c r="A47" s="4" t="s">
        <v>19</v>
      </c>
      <c r="B47" s="3" t="s">
        <v>20</v>
      </c>
      <c r="C47" s="4">
        <v>4186400</v>
      </c>
      <c r="D47" s="4">
        <v>4186465</v>
      </c>
      <c r="E47" s="4">
        <v>4186502</v>
      </c>
      <c r="F47" s="4">
        <v>4186879</v>
      </c>
      <c r="G47" s="4">
        <v>5065741</v>
      </c>
      <c r="H47" s="4">
        <f>IF(AND(C47&gt;=E47,C47&lt;=F47),1,0)</f>
        <v>0</v>
      </c>
      <c r="I47" s="4">
        <f>ABS(D47-C47)</f>
        <v>65</v>
      </c>
      <c r="J47" s="4">
        <f>ABS(E47-C47)</f>
        <v>102</v>
      </c>
      <c r="K47" s="4">
        <v>2</v>
      </c>
      <c r="L47" s="5">
        <v>2</v>
      </c>
      <c r="M47" s="12">
        <v>4</v>
      </c>
      <c r="N47" s="13">
        <f t="shared" si="9"/>
        <v>2</v>
      </c>
      <c r="O47">
        <f t="shared" si="10"/>
        <v>2</v>
      </c>
      <c r="P47" s="2"/>
    </row>
    <row r="48" spans="1:18">
      <c r="A48" s="4" t="s">
        <v>21</v>
      </c>
      <c r="B48" s="3" t="s">
        <v>22</v>
      </c>
      <c r="C48" s="4">
        <v>4109300</v>
      </c>
      <c r="D48" s="4">
        <v>4109386</v>
      </c>
      <c r="E48" s="4">
        <v>4109423</v>
      </c>
      <c r="F48" s="4">
        <v>4109800</v>
      </c>
      <c r="G48" s="4">
        <v>4938920</v>
      </c>
      <c r="H48" s="4">
        <f>IF(AND(C48&gt;=E48,C48&lt;=F48),1,0)</f>
        <v>0</v>
      </c>
      <c r="I48" s="4">
        <f>ABS(D48-C48)</f>
        <v>86</v>
      </c>
      <c r="J48" s="4">
        <f>ABS(E48-C48)</f>
        <v>123</v>
      </c>
      <c r="K48" s="4">
        <v>2</v>
      </c>
      <c r="L48" s="6">
        <v>2</v>
      </c>
      <c r="M48" s="12">
        <v>4</v>
      </c>
      <c r="N48" s="13">
        <f t="shared" si="9"/>
        <v>2</v>
      </c>
      <c r="O48">
        <f t="shared" si="10"/>
        <v>2</v>
      </c>
      <c r="P48" s="2"/>
    </row>
    <row r="49" spans="1:16">
      <c r="A49" s="4" t="s">
        <v>23</v>
      </c>
      <c r="B49" s="3" t="s">
        <v>24</v>
      </c>
      <c r="C49" s="4">
        <v>4219200</v>
      </c>
      <c r="D49" s="4">
        <v>4219262</v>
      </c>
      <c r="E49" s="4">
        <v>4219299</v>
      </c>
      <c r="F49" s="4">
        <v>4219676</v>
      </c>
      <c r="G49" s="4">
        <v>5082025</v>
      </c>
      <c r="H49" s="4">
        <f>IF(AND(C49&gt;=E49,C49&lt;=F49),1,0)</f>
        <v>0</v>
      </c>
      <c r="I49" s="4">
        <f>ABS(D49-C49)</f>
        <v>62</v>
      </c>
      <c r="J49" s="4">
        <f>ABS(E49-C49)</f>
        <v>99</v>
      </c>
      <c r="K49" s="4">
        <v>2</v>
      </c>
      <c r="L49" s="6">
        <v>2</v>
      </c>
      <c r="M49" s="12">
        <v>4</v>
      </c>
      <c r="N49" s="13">
        <f t="shared" si="9"/>
        <v>2</v>
      </c>
      <c r="O49">
        <f t="shared" si="10"/>
        <v>2</v>
      </c>
      <c r="P49" s="2"/>
    </row>
    <row r="50" spans="1:16">
      <c r="A50" s="3" t="s">
        <v>25</v>
      </c>
      <c r="B50" s="3" t="s">
        <v>26</v>
      </c>
      <c r="C50" s="4">
        <v>3952700</v>
      </c>
      <c r="D50" s="4">
        <v>3952776</v>
      </c>
      <c r="E50" s="4">
        <v>3952813</v>
      </c>
      <c r="F50" s="4">
        <v>3953190</v>
      </c>
      <c r="G50" s="4">
        <v>4643538</v>
      </c>
      <c r="H50" s="4">
        <f>IF(AND(C50&gt;=E50,C50&lt;=F50),1,0)</f>
        <v>0</v>
      </c>
      <c r="I50" s="4">
        <f>ABS(D50-C50)</f>
        <v>76</v>
      </c>
      <c r="J50" s="4">
        <f>ABS(E50-C50)</f>
        <v>113</v>
      </c>
      <c r="K50" s="4">
        <v>2</v>
      </c>
      <c r="L50" s="6">
        <v>2</v>
      </c>
      <c r="M50" s="12">
        <v>3</v>
      </c>
      <c r="N50" s="13">
        <f t="shared" si="9"/>
        <v>1</v>
      </c>
      <c r="O50">
        <f t="shared" si="10"/>
        <v>1</v>
      </c>
      <c r="P50" s="2"/>
    </row>
    <row r="51" spans="1:16">
      <c r="A51" s="3"/>
      <c r="B51" s="3"/>
      <c r="C51" s="4"/>
      <c r="D51" s="4"/>
      <c r="E51" s="4"/>
      <c r="F51" s="4"/>
      <c r="G51" s="4"/>
      <c r="H51" s="23" t="s">
        <v>127</v>
      </c>
      <c r="I51" s="35">
        <f>AVERAGE(I41:I50)</f>
        <v>359.6</v>
      </c>
      <c r="J51" s="35">
        <f t="shared" ref="J51:K51" si="11">AVERAGE(J41:J50)</f>
        <v>5024.1000000000004</v>
      </c>
      <c r="K51" s="35">
        <f t="shared" si="11"/>
        <v>2.1</v>
      </c>
      <c r="L51" s="44">
        <f>AVERAGE(L41:L50)</f>
        <v>1.9</v>
      </c>
      <c r="M51" s="12"/>
      <c r="P51" s="2"/>
    </row>
    <row r="52" spans="1:16" ht="28.8">
      <c r="A52" s="3"/>
      <c r="B52" s="3"/>
      <c r="C52" s="4"/>
      <c r="D52" s="4"/>
      <c r="E52" s="4"/>
      <c r="F52" s="4"/>
      <c r="G52" s="4"/>
      <c r="H52" s="29" t="s">
        <v>128</v>
      </c>
      <c r="I52" s="36">
        <f>AVERAGE(I42:I50)</f>
        <v>190.66666666666666</v>
      </c>
      <c r="J52" s="36">
        <f>AVERAGE(J43,J42,J45,J46,J47,J48,J49,J50)</f>
        <v>177.125</v>
      </c>
      <c r="K52" s="36">
        <f>K51</f>
        <v>2.1</v>
      </c>
      <c r="L52" s="45">
        <f>L51</f>
        <v>1.9</v>
      </c>
      <c r="M52" s="12"/>
      <c r="N52" s="73">
        <f>AVERAGE(N41:O50)</f>
        <v>1.9</v>
      </c>
      <c r="O52" s="73"/>
      <c r="P52" s="2"/>
    </row>
    <row r="53" spans="1:16">
      <c r="A53" s="3"/>
      <c r="B53" s="3"/>
      <c r="C53" s="4"/>
      <c r="D53" s="4"/>
      <c r="E53" s="4"/>
      <c r="F53" s="4"/>
      <c r="G53" s="4"/>
      <c r="H53" s="29" t="s">
        <v>129</v>
      </c>
      <c r="I53" s="36">
        <f>STDEV(I42:I50)</f>
        <v>250.44759930971588</v>
      </c>
      <c r="J53" s="36">
        <f>STDEV(J42,J43,J45,J46,J47,J48,J49,J50)</f>
        <v>226.88791285566538</v>
      </c>
      <c r="K53" s="36">
        <f>STDEV(K41:K50)</f>
        <v>0.73786478737262173</v>
      </c>
      <c r="L53" s="45">
        <f>STDEV(L41:L50)</f>
        <v>0.31622776601683766</v>
      </c>
      <c r="M53" s="12"/>
      <c r="P53" s="2"/>
    </row>
    <row r="54" spans="1:16">
      <c r="J54" s="4"/>
      <c r="L54" s="7"/>
      <c r="M54" s="12"/>
      <c r="P54" s="2"/>
    </row>
    <row r="55" spans="1:16">
      <c r="A55" s="4" t="s">
        <v>27</v>
      </c>
      <c r="B55" s="3" t="s">
        <v>28</v>
      </c>
      <c r="C55" s="4">
        <v>3919700</v>
      </c>
      <c r="D55" s="4">
        <v>3919929</v>
      </c>
      <c r="E55" s="4">
        <v>3928084</v>
      </c>
      <c r="F55" s="4">
        <v>37</v>
      </c>
      <c r="G55" s="4">
        <v>3928357</v>
      </c>
      <c r="H55" s="4">
        <f>IF(AND(C55&gt;=E55,C55&lt;=F55),1,0)</f>
        <v>0</v>
      </c>
      <c r="I55" s="4">
        <f>ABS(D55-C55)</f>
        <v>229</v>
      </c>
      <c r="J55" s="4">
        <f>ABS(E55-C55)</f>
        <v>8384</v>
      </c>
      <c r="K55" s="4">
        <v>0</v>
      </c>
      <c r="L55" s="5">
        <v>0</v>
      </c>
      <c r="M55" s="12">
        <v>3</v>
      </c>
      <c r="N55">
        <f>ABS(M55-K55)</f>
        <v>3</v>
      </c>
      <c r="O55">
        <f>ABS(M55-L55)</f>
        <v>3</v>
      </c>
      <c r="P55" s="2"/>
    </row>
    <row r="56" spans="1:16">
      <c r="A56" s="4" t="s">
        <v>29</v>
      </c>
      <c r="B56" s="3" t="s">
        <v>30</v>
      </c>
      <c r="C56" s="4">
        <v>4042300</v>
      </c>
      <c r="D56" s="4">
        <v>4042399</v>
      </c>
      <c r="E56" s="4">
        <v>4077189</v>
      </c>
      <c r="F56" s="4">
        <v>37</v>
      </c>
      <c r="G56" s="4">
        <v>4077462</v>
      </c>
      <c r="H56" s="4">
        <f>IF(AND(C56&gt;=E56,C56&lt;=F56),1,0)</f>
        <v>0</v>
      </c>
      <c r="I56" s="4">
        <f>ABS(D56-C56)</f>
        <v>99</v>
      </c>
      <c r="J56" s="28">
        <f>ABS(E56-C56)</f>
        <v>34889</v>
      </c>
      <c r="K56" s="4">
        <v>1</v>
      </c>
      <c r="L56" s="5">
        <v>0</v>
      </c>
      <c r="M56" s="12">
        <v>3</v>
      </c>
      <c r="N56">
        <f t="shared" ref="N56:N64" si="12">ABS(M56-K56)</f>
        <v>2</v>
      </c>
      <c r="O56">
        <f t="shared" ref="O56:O64" si="13">ABS(M56-L56)</f>
        <v>3</v>
      </c>
      <c r="P56" s="2"/>
    </row>
    <row r="57" spans="1:16" s="57" customFormat="1">
      <c r="A57" s="58" t="s">
        <v>31</v>
      </c>
      <c r="B57" s="58" t="s">
        <v>32</v>
      </c>
      <c r="C57" s="58">
        <v>1108100</v>
      </c>
      <c r="D57" s="58">
        <v>1108189</v>
      </c>
      <c r="E57" s="58">
        <v>151587</v>
      </c>
      <c r="F57" s="58">
        <v>152473</v>
      </c>
      <c r="G57" s="58">
        <v>1108250</v>
      </c>
      <c r="H57" s="58">
        <f>IF(AND(C57&gt;=E57,C57&lt;=F57),1,0)</f>
        <v>0</v>
      </c>
      <c r="I57" s="58">
        <f>ABS(D57-C57)</f>
        <v>89</v>
      </c>
      <c r="J57" s="59">
        <f>P57</f>
        <v>151437</v>
      </c>
      <c r="K57" s="58">
        <v>0</v>
      </c>
      <c r="L57" s="64">
        <v>0</v>
      </c>
      <c r="M57" s="65">
        <v>14</v>
      </c>
      <c r="N57" s="57">
        <f t="shared" si="12"/>
        <v>14</v>
      </c>
      <c r="O57" s="57">
        <f t="shared" si="13"/>
        <v>14</v>
      </c>
      <c r="P57" s="69">
        <f>ABS(ABS(G57-E57)-ABS(0-C57))</f>
        <v>151437</v>
      </c>
    </row>
    <row r="58" spans="1:16">
      <c r="A58" s="4" t="s">
        <v>33</v>
      </c>
      <c r="B58" s="4" t="s">
        <v>34</v>
      </c>
      <c r="C58" s="4">
        <v>2670300</v>
      </c>
      <c r="D58" s="4">
        <v>2670379</v>
      </c>
      <c r="E58" s="4">
        <v>2668956</v>
      </c>
      <c r="F58" s="4">
        <v>2669429</v>
      </c>
      <c r="G58" s="4">
        <v>3024069</v>
      </c>
      <c r="H58" s="4">
        <f>IF(AND(C58&gt;=E58,C58&lt;=F58),1,0)</f>
        <v>0</v>
      </c>
      <c r="I58" s="4">
        <f>ABS(D58-C58)</f>
        <v>79</v>
      </c>
      <c r="J58" s="4">
        <f>ABS(E58-C58)</f>
        <v>1344</v>
      </c>
      <c r="K58" s="4">
        <v>0</v>
      </c>
      <c r="L58" s="5">
        <v>1</v>
      </c>
      <c r="M58" s="12">
        <v>5</v>
      </c>
      <c r="N58">
        <f t="shared" si="12"/>
        <v>5</v>
      </c>
      <c r="O58">
        <f t="shared" si="13"/>
        <v>4</v>
      </c>
      <c r="P58" s="2"/>
    </row>
    <row r="59" spans="1:16" s="57" customFormat="1">
      <c r="A59" s="58" t="s">
        <v>35</v>
      </c>
      <c r="B59" s="58" t="s">
        <v>36</v>
      </c>
      <c r="C59" s="58">
        <v>0</v>
      </c>
      <c r="D59" s="58">
        <v>1</v>
      </c>
      <c r="E59" s="58">
        <v>2892421</v>
      </c>
      <c r="F59" s="58">
        <v>234</v>
      </c>
      <c r="G59" s="58">
        <v>2892523</v>
      </c>
      <c r="H59" s="58">
        <v>1</v>
      </c>
      <c r="I59" s="58">
        <f>ABS(D59-C59)</f>
        <v>1</v>
      </c>
      <c r="J59" s="65">
        <f>P59</f>
        <v>102</v>
      </c>
      <c r="K59" s="58">
        <v>3</v>
      </c>
      <c r="L59" s="67">
        <v>3</v>
      </c>
      <c r="M59" s="65">
        <v>3</v>
      </c>
      <c r="N59" s="57">
        <f t="shared" si="12"/>
        <v>0</v>
      </c>
      <c r="O59" s="57">
        <f t="shared" si="13"/>
        <v>0</v>
      </c>
      <c r="P59" s="2">
        <f>ABS(ABS(G59-E59)-ABS(0-C59))</f>
        <v>102</v>
      </c>
    </row>
    <row r="60" spans="1:16">
      <c r="A60" s="4" t="s">
        <v>37</v>
      </c>
      <c r="B60" s="4" t="s">
        <v>38</v>
      </c>
      <c r="C60" s="4">
        <v>2200</v>
      </c>
      <c r="D60" s="4">
        <v>79</v>
      </c>
      <c r="E60" s="4">
        <v>247</v>
      </c>
      <c r="F60" s="4">
        <v>1133</v>
      </c>
      <c r="G60" s="4">
        <v>1046382</v>
      </c>
      <c r="H60" s="4">
        <f>IF(AND(C60&gt;=E60,C60&lt;=F60),1,0)</f>
        <v>0</v>
      </c>
      <c r="I60" s="28">
        <f>ABS(D60-C60)</f>
        <v>2121</v>
      </c>
      <c r="J60" s="4">
        <f>ABS(E60-C60)</f>
        <v>1953</v>
      </c>
      <c r="K60" s="4">
        <v>1</v>
      </c>
      <c r="L60" s="5">
        <v>0</v>
      </c>
      <c r="M60" s="12">
        <v>8</v>
      </c>
      <c r="N60">
        <f t="shared" si="12"/>
        <v>7</v>
      </c>
      <c r="O60">
        <f t="shared" si="13"/>
        <v>8</v>
      </c>
      <c r="P60" s="2"/>
    </row>
    <row r="61" spans="1:16">
      <c r="A61" s="4" t="s">
        <v>39</v>
      </c>
      <c r="B61" s="4" t="s">
        <v>40</v>
      </c>
      <c r="C61" s="4">
        <v>509000</v>
      </c>
      <c r="D61" s="4">
        <v>509270</v>
      </c>
      <c r="E61" s="4">
        <v>517431</v>
      </c>
      <c r="F61" s="4">
        <v>517741</v>
      </c>
      <c r="G61" s="4">
        <v>3149584</v>
      </c>
      <c r="H61" s="4">
        <f>IF(AND(C61&gt;=E61,C61&lt;=F61),1,0)</f>
        <v>0</v>
      </c>
      <c r="I61" s="4">
        <f>ABS(D61-C61)</f>
        <v>270</v>
      </c>
      <c r="J61" s="4">
        <f>ABS(E61-C61)</f>
        <v>8431</v>
      </c>
      <c r="K61" s="4">
        <v>0</v>
      </c>
      <c r="L61" s="5">
        <v>0</v>
      </c>
      <c r="M61" s="12">
        <v>3</v>
      </c>
      <c r="N61">
        <f t="shared" si="12"/>
        <v>3</v>
      </c>
      <c r="O61">
        <f t="shared" si="13"/>
        <v>3</v>
      </c>
      <c r="P61" s="2"/>
    </row>
    <row r="62" spans="1:16">
      <c r="A62" s="4" t="s">
        <v>41</v>
      </c>
      <c r="B62" s="4" t="s">
        <v>42</v>
      </c>
      <c r="C62" s="4">
        <v>271100</v>
      </c>
      <c r="D62" s="4">
        <v>273869</v>
      </c>
      <c r="E62" s="4">
        <v>272387</v>
      </c>
      <c r="F62" s="4">
        <v>273614</v>
      </c>
      <c r="G62" s="4">
        <v>1086784</v>
      </c>
      <c r="H62" s="4">
        <f>IF(AND(C62&gt;=E62,C62&lt;=F62),1,0)</f>
        <v>0</v>
      </c>
      <c r="I62" s="28">
        <f>ABS(D62-C62)</f>
        <v>2769</v>
      </c>
      <c r="J62" s="4">
        <f>ABS(E62-C62)</f>
        <v>1287</v>
      </c>
      <c r="K62" s="4">
        <v>0</v>
      </c>
      <c r="L62" s="5">
        <v>1</v>
      </c>
      <c r="M62" s="12">
        <v>1</v>
      </c>
      <c r="N62">
        <f t="shared" si="12"/>
        <v>1</v>
      </c>
      <c r="O62">
        <f t="shared" si="13"/>
        <v>0</v>
      </c>
      <c r="P62" s="2"/>
    </row>
    <row r="63" spans="1:16">
      <c r="A63" s="4" t="s">
        <v>43</v>
      </c>
      <c r="B63" s="4" t="s">
        <v>44</v>
      </c>
      <c r="C63" s="4">
        <v>2555300</v>
      </c>
      <c r="D63" s="4">
        <v>2555260</v>
      </c>
      <c r="E63" s="4">
        <v>2553837</v>
      </c>
      <c r="F63" s="4">
        <v>2554310</v>
      </c>
      <c r="G63" s="4">
        <v>3031375</v>
      </c>
      <c r="H63" s="4">
        <f>IF(AND(C63&gt;=E63,C63&lt;=F63),1,0)</f>
        <v>0</v>
      </c>
      <c r="I63" s="4">
        <f>ABS(D63-C63)</f>
        <v>40</v>
      </c>
      <c r="J63" s="4">
        <f>ABS(E63-C63)</f>
        <v>1463</v>
      </c>
      <c r="K63" s="4">
        <v>0</v>
      </c>
      <c r="L63" s="5">
        <v>1</v>
      </c>
      <c r="M63" s="12">
        <v>5</v>
      </c>
      <c r="N63">
        <f t="shared" si="12"/>
        <v>5</v>
      </c>
      <c r="O63">
        <f t="shared" si="13"/>
        <v>4</v>
      </c>
      <c r="P63" s="2"/>
    </row>
    <row r="64" spans="1:16">
      <c r="A64" s="4" t="s">
        <v>45</v>
      </c>
      <c r="B64" s="4" t="s">
        <v>46</v>
      </c>
      <c r="C64" s="4">
        <v>774700</v>
      </c>
      <c r="D64" s="4">
        <v>772215</v>
      </c>
      <c r="E64" s="4">
        <v>773081</v>
      </c>
      <c r="F64" s="4">
        <v>773967</v>
      </c>
      <c r="G64" s="4">
        <v>1046365</v>
      </c>
      <c r="H64" s="4">
        <f>IF(AND(C64&gt;=E64,C64&lt;=F64),1,0)</f>
        <v>0</v>
      </c>
      <c r="I64" s="28">
        <f>ABS(D64-C64)</f>
        <v>2485</v>
      </c>
      <c r="J64" s="4">
        <f>ABS(E64-C64)</f>
        <v>1619</v>
      </c>
      <c r="K64" s="4">
        <v>0</v>
      </c>
      <c r="L64" s="5">
        <v>0</v>
      </c>
      <c r="M64" s="12">
        <v>8</v>
      </c>
      <c r="N64">
        <f t="shared" si="12"/>
        <v>8</v>
      </c>
      <c r="O64">
        <f t="shared" si="13"/>
        <v>8</v>
      </c>
      <c r="P64" s="2"/>
    </row>
    <row r="65" spans="1:16">
      <c r="A65" s="4"/>
      <c r="B65" s="4"/>
      <c r="C65" s="4"/>
      <c r="D65" s="4"/>
      <c r="E65" s="4"/>
      <c r="F65" s="4"/>
      <c r="G65" s="4"/>
      <c r="H65" s="23" t="s">
        <v>127</v>
      </c>
      <c r="I65" s="35">
        <f>AVERAGE(I55:I64)</f>
        <v>818.2</v>
      </c>
      <c r="J65" s="35">
        <f>AVERAGE(J55:J64)</f>
        <v>21090.9</v>
      </c>
      <c r="K65" s="35">
        <f t="shared" ref="K65" si="14">AVERAGE(K55:K64)</f>
        <v>0.5</v>
      </c>
      <c r="L65" s="43">
        <f>AVERAGE(L55:L64)</f>
        <v>0.6</v>
      </c>
      <c r="M65" s="12"/>
      <c r="P65" s="2"/>
    </row>
    <row r="66" spans="1:16" ht="28.8">
      <c r="A66" s="4"/>
      <c r="B66" s="4"/>
      <c r="C66" s="4"/>
      <c r="D66" s="4"/>
      <c r="E66" s="4"/>
      <c r="F66" s="4"/>
      <c r="G66" s="4"/>
      <c r="H66" s="29" t="s">
        <v>128</v>
      </c>
      <c r="I66" s="36">
        <f>AVERAGE(I55,I56,I57,I58,I59,I61,I63)</f>
        <v>115.28571428571429</v>
      </c>
      <c r="J66" s="36">
        <f>AVERAGE(J55,J58,J60,J61,J62,J63,J64,J59)</f>
        <v>3072.875</v>
      </c>
      <c r="K66" s="36">
        <f>K65</f>
        <v>0.5</v>
      </c>
      <c r="L66" s="39">
        <f>L65</f>
        <v>0.6</v>
      </c>
      <c r="M66" s="12"/>
      <c r="N66" s="73">
        <f>AVERAGE(N55:O64)</f>
        <v>4.75</v>
      </c>
      <c r="O66" s="73"/>
      <c r="P66" s="2"/>
    </row>
    <row r="67" spans="1:16">
      <c r="A67" s="4"/>
      <c r="B67" s="4"/>
      <c r="C67" s="4"/>
      <c r="D67" s="4"/>
      <c r="E67" s="4"/>
      <c r="F67" s="4"/>
      <c r="G67" s="4"/>
      <c r="H67" s="29" t="s">
        <v>129</v>
      </c>
      <c r="I67" s="36">
        <f>STDEV(I55,I56,I57,I58,I59,I61,I63)</f>
        <v>98.208476018644959</v>
      </c>
      <c r="J67" s="36">
        <f>STDEV(J55,J58,J60,J61,J62,J63,J64,J59)</f>
        <v>3335.556900921601</v>
      </c>
      <c r="K67" s="36">
        <f>STDEV(K55:K64)</f>
        <v>0.97182531580755005</v>
      </c>
      <c r="L67" s="39">
        <f>STDEV(L55:L64)</f>
        <v>0.96609178307929588</v>
      </c>
      <c r="M67" s="12"/>
      <c r="P67" s="2"/>
    </row>
    <row r="68" spans="1:16">
      <c r="J68" s="4"/>
      <c r="K68" s="4"/>
      <c r="L68" s="7"/>
      <c r="M68" s="12"/>
      <c r="P68" s="2"/>
    </row>
    <row r="69" spans="1:16">
      <c r="A69" s="4" t="s">
        <v>47</v>
      </c>
      <c r="B69" s="4" t="s">
        <v>48</v>
      </c>
      <c r="C69" s="4">
        <v>3764800</v>
      </c>
      <c r="D69" s="4">
        <v>3764856</v>
      </c>
      <c r="E69" s="4">
        <v>3765058</v>
      </c>
      <c r="F69" s="4">
        <v>3765435</v>
      </c>
      <c r="G69" s="4">
        <v>4809037</v>
      </c>
      <c r="H69" s="4">
        <f>IF(AND(C69&gt;=E69,C69&lt;=F69),1,0)</f>
        <v>0</v>
      </c>
      <c r="I69" s="4">
        <f>ABS(D69-C69)</f>
        <v>56</v>
      </c>
      <c r="J69" s="4">
        <f>ABS(E69-C69)</f>
        <v>258</v>
      </c>
      <c r="K69" s="4">
        <v>2</v>
      </c>
      <c r="L69" s="8">
        <v>3</v>
      </c>
      <c r="M69" s="12">
        <v>4</v>
      </c>
      <c r="N69">
        <f>ABS(M69-K69)</f>
        <v>2</v>
      </c>
      <c r="O69">
        <f>ABS(M69-L69)</f>
        <v>1</v>
      </c>
      <c r="P69" s="2"/>
    </row>
    <row r="70" spans="1:16">
      <c r="A70" s="4" t="s">
        <v>49</v>
      </c>
      <c r="B70" s="4" t="s">
        <v>50</v>
      </c>
      <c r="C70" s="4">
        <v>3859300</v>
      </c>
      <c r="D70" s="4">
        <v>3859383</v>
      </c>
      <c r="E70" s="4">
        <v>3858807</v>
      </c>
      <c r="F70" s="4">
        <v>3859184</v>
      </c>
      <c r="G70" s="4">
        <v>4585229</v>
      </c>
      <c r="H70" s="4">
        <f>IF(AND(C70&gt;=E70,C70&lt;=F70),1,0)</f>
        <v>0</v>
      </c>
      <c r="I70" s="4">
        <f>ABS(D70-C70)</f>
        <v>83</v>
      </c>
      <c r="J70" s="4">
        <f>ABS(E70-C70)</f>
        <v>493</v>
      </c>
      <c r="K70" s="4">
        <v>3</v>
      </c>
      <c r="L70" s="8">
        <v>2</v>
      </c>
      <c r="M70" s="12">
        <v>4</v>
      </c>
      <c r="N70">
        <f t="shared" ref="N70:N78" si="15">ABS(M70-K70)</f>
        <v>1</v>
      </c>
      <c r="O70">
        <f t="shared" ref="O70:O78" si="16">ABS(M70-L70)</f>
        <v>2</v>
      </c>
      <c r="P70" s="2"/>
    </row>
    <row r="71" spans="1:16">
      <c r="A71" s="4" t="s">
        <v>51</v>
      </c>
      <c r="B71" s="4" t="s">
        <v>52</v>
      </c>
      <c r="C71" s="4">
        <v>4029100</v>
      </c>
      <c r="D71" s="4">
        <v>4028937</v>
      </c>
      <c r="E71" s="4">
        <v>4028361</v>
      </c>
      <c r="F71" s="4">
        <v>4028738</v>
      </c>
      <c r="G71" s="4">
        <v>4858887</v>
      </c>
      <c r="H71" s="4">
        <f>IF(AND(C71&gt;=E71,C71&lt;=F71),1,0)</f>
        <v>0</v>
      </c>
      <c r="I71" s="4">
        <f>ABS(D71-C71)</f>
        <v>163</v>
      </c>
      <c r="J71" s="4">
        <f>ABS(E71-C71)</f>
        <v>739</v>
      </c>
      <c r="K71" s="4">
        <v>4</v>
      </c>
      <c r="L71" s="8">
        <v>2</v>
      </c>
      <c r="M71" s="12">
        <v>4</v>
      </c>
      <c r="N71">
        <f t="shared" si="15"/>
        <v>0</v>
      </c>
      <c r="O71">
        <f t="shared" si="16"/>
        <v>2</v>
      </c>
      <c r="P71" s="2"/>
    </row>
    <row r="72" spans="1:16">
      <c r="A72" s="4" t="s">
        <v>53</v>
      </c>
      <c r="B72" s="4" t="s">
        <v>54</v>
      </c>
      <c r="C72" s="4">
        <v>4107100</v>
      </c>
      <c r="D72" s="4">
        <v>4107240</v>
      </c>
      <c r="E72" s="4">
        <v>4106664</v>
      </c>
      <c r="F72" s="4">
        <v>4107041</v>
      </c>
      <c r="G72" s="4">
        <v>4879400</v>
      </c>
      <c r="H72" s="4">
        <f>IF(AND(C72&gt;=E72,C72&lt;=F72),1,0)</f>
        <v>0</v>
      </c>
      <c r="I72" s="4">
        <f>ABS(D72-C72)</f>
        <v>140</v>
      </c>
      <c r="J72" s="4">
        <f>ABS(E72-C72)</f>
        <v>436</v>
      </c>
      <c r="K72" s="4">
        <v>3</v>
      </c>
      <c r="L72" s="8">
        <v>2</v>
      </c>
      <c r="M72" s="12">
        <v>4</v>
      </c>
      <c r="N72">
        <f t="shared" si="15"/>
        <v>1</v>
      </c>
      <c r="O72">
        <f t="shared" si="16"/>
        <v>2</v>
      </c>
      <c r="P72" s="2"/>
    </row>
    <row r="73" spans="1:16">
      <c r="A73" s="4" t="s">
        <v>55</v>
      </c>
      <c r="B73" s="4" t="s">
        <v>56</v>
      </c>
      <c r="C73" s="4">
        <v>4105600</v>
      </c>
      <c r="D73" s="4">
        <v>4105675</v>
      </c>
      <c r="E73" s="4">
        <v>4105099</v>
      </c>
      <c r="F73" s="4">
        <v>4105476</v>
      </c>
      <c r="G73" s="4">
        <v>4878012</v>
      </c>
      <c r="H73" s="4">
        <f>IF(AND(C73&gt;=E73,C73&lt;=F73),1,0)</f>
        <v>0</v>
      </c>
      <c r="I73" s="4">
        <f>ABS(D73-C73)</f>
        <v>75</v>
      </c>
      <c r="J73" s="4">
        <f>ABS(E73-C73)</f>
        <v>501</v>
      </c>
      <c r="K73" s="4">
        <v>3</v>
      </c>
      <c r="L73" s="7">
        <v>2</v>
      </c>
      <c r="M73" s="12">
        <v>4</v>
      </c>
      <c r="N73">
        <f t="shared" si="15"/>
        <v>1</v>
      </c>
      <c r="O73">
        <f t="shared" si="16"/>
        <v>2</v>
      </c>
      <c r="P73" s="2"/>
    </row>
    <row r="74" spans="1:16">
      <c r="A74" s="4" t="s">
        <v>57</v>
      </c>
      <c r="B74" s="4" t="s">
        <v>58</v>
      </c>
      <c r="C74" s="4">
        <v>4050500</v>
      </c>
      <c r="D74" s="4">
        <v>4050629</v>
      </c>
      <c r="E74" s="4">
        <v>4050053</v>
      </c>
      <c r="F74" s="4">
        <v>4050430</v>
      </c>
      <c r="G74" s="4">
        <v>4827641</v>
      </c>
      <c r="H74" s="4">
        <f>IF(AND(C74&gt;=E74,C74&lt;=F74),1,0)</f>
        <v>0</v>
      </c>
      <c r="I74" s="4">
        <f>ABS(D74-C74)</f>
        <v>129</v>
      </c>
      <c r="J74" s="4">
        <f>ABS(E74-C74)</f>
        <v>447</v>
      </c>
      <c r="K74" s="4">
        <v>3</v>
      </c>
      <c r="L74" s="7">
        <v>2</v>
      </c>
      <c r="M74" s="12">
        <v>4</v>
      </c>
      <c r="N74">
        <f t="shared" si="15"/>
        <v>1</v>
      </c>
      <c r="O74">
        <f t="shared" si="16"/>
        <v>2</v>
      </c>
      <c r="P74" s="2"/>
    </row>
    <row r="75" spans="1:16">
      <c r="A75" s="4" t="s">
        <v>59</v>
      </c>
      <c r="B75" s="4" t="s">
        <v>60</v>
      </c>
      <c r="C75" s="4">
        <v>4094400</v>
      </c>
      <c r="D75" s="4">
        <v>4094255</v>
      </c>
      <c r="E75" s="4">
        <v>4093679</v>
      </c>
      <c r="F75" s="4">
        <v>4094056</v>
      </c>
      <c r="G75" s="4">
        <v>4888768</v>
      </c>
      <c r="H75" s="4">
        <f>IF(AND(C75&gt;=E75,C75&lt;=F75),1,0)</f>
        <v>0</v>
      </c>
      <c r="I75" s="4">
        <f>ABS(D75-C75)</f>
        <v>145</v>
      </c>
      <c r="J75" s="4">
        <f>ABS(E75-C75)</f>
        <v>721</v>
      </c>
      <c r="K75" s="4">
        <v>4</v>
      </c>
      <c r="L75" s="8">
        <v>2</v>
      </c>
      <c r="M75" s="12">
        <v>4</v>
      </c>
      <c r="N75">
        <f t="shared" si="15"/>
        <v>0</v>
      </c>
      <c r="O75">
        <f t="shared" si="16"/>
        <v>2</v>
      </c>
      <c r="P75" s="2"/>
    </row>
    <row r="76" spans="1:16">
      <c r="A76" s="4" t="s">
        <v>61</v>
      </c>
      <c r="B76" s="4" t="s">
        <v>62</v>
      </c>
      <c r="C76" s="4">
        <v>3954600</v>
      </c>
      <c r="D76" s="4">
        <v>3954702</v>
      </c>
      <c r="E76" s="4">
        <v>3954126</v>
      </c>
      <c r="F76" s="4">
        <v>3954503</v>
      </c>
      <c r="G76" s="4">
        <v>4685848</v>
      </c>
      <c r="H76" s="4">
        <f>IF(AND(C76&gt;=E76,C76&lt;=F76),1,0)</f>
        <v>0</v>
      </c>
      <c r="I76" s="4">
        <f>ABS(D76-C76)</f>
        <v>102</v>
      </c>
      <c r="J76" s="4">
        <f>ABS(E76-C76)</f>
        <v>474</v>
      </c>
      <c r="K76" s="4">
        <v>3</v>
      </c>
      <c r="L76" s="7">
        <v>2</v>
      </c>
      <c r="M76" s="12">
        <v>4</v>
      </c>
      <c r="N76">
        <f t="shared" si="15"/>
        <v>1</v>
      </c>
      <c r="O76">
        <f t="shared" si="16"/>
        <v>2</v>
      </c>
      <c r="P76" s="2"/>
    </row>
    <row r="77" spans="1:16">
      <c r="A77" s="4" t="s">
        <v>63</v>
      </c>
      <c r="B77" s="4" t="s">
        <v>64</v>
      </c>
      <c r="C77" s="4">
        <v>3977500</v>
      </c>
      <c r="D77" s="4">
        <v>3977342</v>
      </c>
      <c r="E77" s="4">
        <v>3976766</v>
      </c>
      <c r="F77" s="4">
        <v>3977143</v>
      </c>
      <c r="G77" s="4">
        <v>4711924</v>
      </c>
      <c r="H77" s="4">
        <f>IF(AND(C77&gt;=E77,C77&lt;=F77),1,0)</f>
        <v>0</v>
      </c>
      <c r="I77" s="4">
        <f>ABS(D77-C77)</f>
        <v>158</v>
      </c>
      <c r="J77" s="4">
        <f>ABS(E77-C77)</f>
        <v>734</v>
      </c>
      <c r="K77" s="4">
        <v>4</v>
      </c>
      <c r="L77" s="8">
        <v>2</v>
      </c>
      <c r="M77" s="12">
        <v>4</v>
      </c>
      <c r="N77">
        <f t="shared" si="15"/>
        <v>0</v>
      </c>
      <c r="O77">
        <f t="shared" si="16"/>
        <v>2</v>
      </c>
      <c r="P77" s="2"/>
    </row>
    <row r="78" spans="1:16">
      <c r="A78" s="10" t="s">
        <v>65</v>
      </c>
      <c r="B78" s="10" t="s">
        <v>66</v>
      </c>
      <c r="C78" s="10">
        <v>4903100</v>
      </c>
      <c r="D78" s="10">
        <v>4902632</v>
      </c>
      <c r="E78" s="10">
        <v>1268199</v>
      </c>
      <c r="F78" s="10">
        <v>1269338</v>
      </c>
      <c r="G78" s="10">
        <v>4938076</v>
      </c>
      <c r="H78" s="10">
        <f>IF(AND(C78&gt;=E78,C78&lt;=F78),1,0)</f>
        <v>0</v>
      </c>
      <c r="I78" s="10">
        <f>ABS(D78-C78)</f>
        <v>468</v>
      </c>
      <c r="J78" s="30">
        <f>ABS(E78-C78)</f>
        <v>3634901</v>
      </c>
      <c r="K78" s="10">
        <v>2</v>
      </c>
      <c r="L78" s="25">
        <v>4</v>
      </c>
      <c r="M78" s="12">
        <v>5</v>
      </c>
      <c r="N78">
        <f t="shared" si="15"/>
        <v>3</v>
      </c>
      <c r="O78">
        <f t="shared" si="16"/>
        <v>1</v>
      </c>
      <c r="P78" s="2"/>
    </row>
    <row r="79" spans="1:16">
      <c r="A79" s="24"/>
      <c r="B79" s="24"/>
      <c r="C79" s="24"/>
      <c r="D79" s="24"/>
      <c r="E79" s="24"/>
      <c r="F79" s="24"/>
      <c r="G79" s="24"/>
      <c r="H79" s="23" t="s">
        <v>127</v>
      </c>
      <c r="I79" s="35">
        <f>AVERAGE(I69:I78)</f>
        <v>151.9</v>
      </c>
      <c r="J79" s="35">
        <f t="shared" ref="J79:K79" si="17">AVERAGE(J69:J78)</f>
        <v>363970.4</v>
      </c>
      <c r="K79" s="35">
        <f t="shared" si="17"/>
        <v>3.1</v>
      </c>
      <c r="L79" s="42">
        <f>AVERAGE(L69:L78)</f>
        <v>2.2999999999999998</v>
      </c>
      <c r="M79" s="12"/>
      <c r="P79" s="2"/>
    </row>
    <row r="80" spans="1:16" ht="28.8">
      <c r="A80" s="24"/>
      <c r="B80" s="24"/>
      <c r="C80" s="24"/>
      <c r="D80" s="24"/>
      <c r="E80" s="24"/>
      <c r="F80" s="24"/>
      <c r="G80" s="24"/>
      <c r="H80" s="29" t="s">
        <v>128</v>
      </c>
      <c r="I80" s="36">
        <f>AVERAGE(I69:I78)</f>
        <v>151.9</v>
      </c>
      <c r="J80" s="39">
        <f>AVERAGE(J69:J77)</f>
        <v>533.66666666666663</v>
      </c>
      <c r="K80" s="39">
        <f>K79</f>
        <v>3.1</v>
      </c>
      <c r="L80" s="45">
        <f>L79</f>
        <v>2.2999999999999998</v>
      </c>
      <c r="M80" s="12"/>
      <c r="N80" s="73">
        <f>AVERAGE(N69:O78)</f>
        <v>1.4</v>
      </c>
      <c r="O80" s="73"/>
      <c r="P80" s="2"/>
    </row>
    <row r="81" spans="1:16">
      <c r="A81" s="24"/>
      <c r="B81" s="24"/>
      <c r="C81" s="24"/>
      <c r="D81" s="24"/>
      <c r="E81" s="24"/>
      <c r="F81" s="24"/>
      <c r="G81" s="24"/>
      <c r="H81" s="29" t="s">
        <v>129</v>
      </c>
      <c r="I81" s="36">
        <f>STDEV(I69:I78)</f>
        <v>116.97145900698264</v>
      </c>
      <c r="J81" s="36">
        <f>STDEV(J69:J77)</f>
        <v>164.58736281987143</v>
      </c>
      <c r="K81" s="36">
        <f>STDEV(K69:K78)</f>
        <v>0.73786478737262229</v>
      </c>
      <c r="L81" s="41">
        <f>STDEV(L69:L78)</f>
        <v>0.67494855771055307</v>
      </c>
      <c r="M81" s="12"/>
      <c r="P81" s="2"/>
    </row>
    <row r="82" spans="1:16">
      <c r="J82" s="4"/>
      <c r="M82" s="12"/>
      <c r="P82" s="2"/>
    </row>
    <row r="83" spans="1:16">
      <c r="A83" s="4" t="s">
        <v>68</v>
      </c>
      <c r="B83" s="4" t="s">
        <v>69</v>
      </c>
      <c r="C83" s="4">
        <v>787100</v>
      </c>
      <c r="D83" s="4">
        <v>787199</v>
      </c>
      <c r="E83" s="4">
        <v>786686</v>
      </c>
      <c r="F83" s="4">
        <v>787242</v>
      </c>
      <c r="G83" s="4">
        <v>1823511</v>
      </c>
      <c r="H83" s="4">
        <f>IF(AND(C83&gt;=E83,C83&lt;=F83),1,0)</f>
        <v>1</v>
      </c>
      <c r="I83" s="4">
        <f>ABS(D83-C83)</f>
        <v>99</v>
      </c>
      <c r="J83" s="4">
        <f>ABS(E83-C83)</f>
        <v>414</v>
      </c>
      <c r="K83" s="5">
        <v>0</v>
      </c>
      <c r="L83" s="5">
        <v>1</v>
      </c>
      <c r="M83" s="12">
        <v>9</v>
      </c>
      <c r="N83">
        <f>ABS(M83-K83)</f>
        <v>9</v>
      </c>
      <c r="O83">
        <f>ABS(M83-L83)</f>
        <v>8</v>
      </c>
      <c r="P83" s="2"/>
    </row>
    <row r="84" spans="1:16">
      <c r="A84" s="4" t="s">
        <v>70</v>
      </c>
      <c r="B84" s="4" t="s">
        <v>71</v>
      </c>
      <c r="C84" s="4">
        <v>156900</v>
      </c>
      <c r="D84" s="4">
        <v>156978</v>
      </c>
      <c r="E84" s="4">
        <v>156961</v>
      </c>
      <c r="F84" s="4">
        <v>157517</v>
      </c>
      <c r="G84" s="4">
        <v>1860725</v>
      </c>
      <c r="H84" s="4">
        <f>IF(AND(C84&gt;=E84,C84&lt;=F84),1,0)</f>
        <v>0</v>
      </c>
      <c r="I84" s="4">
        <f>ABS(D84-C84)</f>
        <v>78</v>
      </c>
      <c r="J84" s="4">
        <f>ABS(E84-C84)</f>
        <v>61</v>
      </c>
      <c r="K84" s="5">
        <v>1</v>
      </c>
      <c r="L84" s="5">
        <v>0</v>
      </c>
      <c r="M84" s="12">
        <v>6</v>
      </c>
      <c r="N84">
        <f t="shared" ref="N84:N92" si="18">ABS(M84-K84)</f>
        <v>5</v>
      </c>
      <c r="O84">
        <f t="shared" ref="O84:O92" si="19">ABS(M84-L84)</f>
        <v>6</v>
      </c>
      <c r="P84" s="2"/>
    </row>
    <row r="85" spans="1:16">
      <c r="A85" s="4" t="s">
        <v>72</v>
      </c>
      <c r="B85" s="4" t="s">
        <v>73</v>
      </c>
      <c r="C85" s="4">
        <v>140800</v>
      </c>
      <c r="D85" s="4">
        <v>140889</v>
      </c>
      <c r="E85" s="4">
        <v>157248</v>
      </c>
      <c r="F85" s="4">
        <v>157755</v>
      </c>
      <c r="G85" s="4">
        <v>2135342</v>
      </c>
      <c r="H85" s="4">
        <f>IF(AND(C85&gt;=E85,C85&lt;=F85),1,0)</f>
        <v>0</v>
      </c>
      <c r="I85" s="4">
        <f>ABS(D85-C85)</f>
        <v>89</v>
      </c>
      <c r="J85" s="28">
        <f>ABS(E85-C85)</f>
        <v>16448</v>
      </c>
      <c r="K85" s="5">
        <v>0</v>
      </c>
      <c r="L85" s="5">
        <v>0</v>
      </c>
      <c r="M85" s="12">
        <v>3</v>
      </c>
      <c r="N85">
        <f t="shared" si="18"/>
        <v>3</v>
      </c>
      <c r="O85">
        <f t="shared" si="19"/>
        <v>3</v>
      </c>
      <c r="P85" s="2"/>
    </row>
    <row r="86" spans="1:16">
      <c r="A86" s="4" t="s">
        <v>74</v>
      </c>
      <c r="B86" s="4" t="s">
        <v>75</v>
      </c>
      <c r="C86" s="4">
        <v>822100</v>
      </c>
      <c r="D86" s="4">
        <v>822207</v>
      </c>
      <c r="E86" s="4">
        <v>821694</v>
      </c>
      <c r="F86" s="4">
        <v>822250</v>
      </c>
      <c r="G86" s="4">
        <v>1877693</v>
      </c>
      <c r="H86" s="4">
        <f>IF(AND(C86&gt;=E86,C86&lt;=F86),1,0)</f>
        <v>1</v>
      </c>
      <c r="I86" s="4">
        <f>ABS(D86-C86)</f>
        <v>107</v>
      </c>
      <c r="J86" s="4">
        <f>ABS(E86-C86)</f>
        <v>406</v>
      </c>
      <c r="K86" s="5">
        <v>0</v>
      </c>
      <c r="L86" s="5">
        <v>1</v>
      </c>
      <c r="M86" s="12">
        <v>9</v>
      </c>
      <c r="N86">
        <f t="shared" si="18"/>
        <v>9</v>
      </c>
      <c r="O86">
        <f t="shared" si="19"/>
        <v>8</v>
      </c>
      <c r="P86" s="2"/>
    </row>
    <row r="87" spans="1:16">
      <c r="A87" s="4" t="s">
        <v>76</v>
      </c>
      <c r="B87" s="4" t="s">
        <v>77</v>
      </c>
      <c r="C87" s="4">
        <v>539300</v>
      </c>
      <c r="D87" s="4">
        <v>539312</v>
      </c>
      <c r="E87" s="4">
        <v>539224</v>
      </c>
      <c r="F87" s="4">
        <v>539439</v>
      </c>
      <c r="G87" s="4">
        <v>1884562</v>
      </c>
      <c r="H87" s="4">
        <f>IF(AND(C87&gt;=E87,C87&lt;=F87),1,0)</f>
        <v>1</v>
      </c>
      <c r="I87" s="4">
        <f>ABS(D87-C87)</f>
        <v>12</v>
      </c>
      <c r="J87" s="4">
        <f>ABS(E87-C87)</f>
        <v>76</v>
      </c>
      <c r="K87" s="5">
        <v>0</v>
      </c>
      <c r="L87" s="5">
        <v>1</v>
      </c>
      <c r="M87" s="12">
        <v>3</v>
      </c>
      <c r="N87">
        <f t="shared" si="18"/>
        <v>3</v>
      </c>
      <c r="O87">
        <f t="shared" si="19"/>
        <v>2</v>
      </c>
      <c r="P87" s="2"/>
    </row>
    <row r="88" spans="1:16">
      <c r="A88" s="10" t="s">
        <v>78</v>
      </c>
      <c r="B88" s="10" t="s">
        <v>79</v>
      </c>
      <c r="C88" s="10">
        <v>141800</v>
      </c>
      <c r="D88" s="10">
        <v>141850</v>
      </c>
      <c r="E88" s="10">
        <v>807603</v>
      </c>
      <c r="F88" s="10">
        <v>808159</v>
      </c>
      <c r="G88" s="10">
        <v>1809823</v>
      </c>
      <c r="H88" s="10">
        <f>IF(AND(C88&gt;=E88,C88&lt;=F88),1,0)</f>
        <v>0</v>
      </c>
      <c r="I88" s="10">
        <f>ABS(D88-C88)</f>
        <v>50</v>
      </c>
      <c r="J88" s="30">
        <f>ABS(E88-C88)</f>
        <v>665803</v>
      </c>
      <c r="K88" s="11">
        <v>1</v>
      </c>
      <c r="L88" s="26">
        <v>0</v>
      </c>
      <c r="M88" s="12">
        <v>9</v>
      </c>
      <c r="N88">
        <f t="shared" si="18"/>
        <v>8</v>
      </c>
      <c r="O88">
        <f t="shared" si="19"/>
        <v>9</v>
      </c>
      <c r="P88" s="2"/>
    </row>
    <row r="89" spans="1:16">
      <c r="A89" s="4" t="s">
        <v>80</v>
      </c>
      <c r="B89" s="4" t="s">
        <v>81</v>
      </c>
      <c r="C89" s="4">
        <v>826900</v>
      </c>
      <c r="D89" s="4">
        <v>826973</v>
      </c>
      <c r="E89" s="4">
        <v>826460</v>
      </c>
      <c r="F89" s="4">
        <v>827016</v>
      </c>
      <c r="G89" s="4">
        <v>1843731</v>
      </c>
      <c r="H89" s="4">
        <f>IF(AND(C89&gt;=E89,C89&lt;=F89),1,0)</f>
        <v>1</v>
      </c>
      <c r="I89" s="4">
        <f>ABS(D89-C89)</f>
        <v>73</v>
      </c>
      <c r="J89" s="4">
        <f>ABS(E89-C89)</f>
        <v>440</v>
      </c>
      <c r="K89" s="5">
        <v>0</v>
      </c>
      <c r="L89" s="5">
        <v>1</v>
      </c>
      <c r="M89" s="12">
        <v>9</v>
      </c>
      <c r="N89">
        <f t="shared" si="18"/>
        <v>9</v>
      </c>
      <c r="O89">
        <f t="shared" si="19"/>
        <v>8</v>
      </c>
      <c r="P89" s="2"/>
    </row>
    <row r="90" spans="1:16">
      <c r="A90" s="4" t="s">
        <v>82</v>
      </c>
      <c r="B90" s="4" t="s">
        <v>83</v>
      </c>
      <c r="C90" s="4">
        <v>816400</v>
      </c>
      <c r="D90" s="4">
        <v>816438</v>
      </c>
      <c r="E90" s="4">
        <v>816027</v>
      </c>
      <c r="F90" s="4">
        <v>816571</v>
      </c>
      <c r="G90" s="4">
        <v>1851618</v>
      </c>
      <c r="H90" s="4">
        <f>IF(AND(C90&gt;=E90,C90&lt;=F90),1,0)</f>
        <v>1</v>
      </c>
      <c r="I90" s="4">
        <f>ABS(D90-C90)</f>
        <v>38</v>
      </c>
      <c r="J90" s="4">
        <f>ABS(E90-C90)</f>
        <v>373</v>
      </c>
      <c r="K90" s="5">
        <v>0</v>
      </c>
      <c r="L90" s="5">
        <v>1</v>
      </c>
      <c r="M90" s="12">
        <v>8</v>
      </c>
      <c r="N90">
        <f t="shared" si="18"/>
        <v>8</v>
      </c>
      <c r="O90">
        <f t="shared" si="19"/>
        <v>7</v>
      </c>
      <c r="P90" s="2"/>
    </row>
    <row r="91" spans="1:16">
      <c r="A91" s="4" t="s">
        <v>84</v>
      </c>
      <c r="B91" s="4" t="s">
        <v>85</v>
      </c>
      <c r="C91" s="4">
        <v>156900</v>
      </c>
      <c r="D91" s="4">
        <v>156978</v>
      </c>
      <c r="E91" s="4">
        <v>156961</v>
      </c>
      <c r="F91" s="4">
        <v>157517</v>
      </c>
      <c r="G91" s="4">
        <v>1859582</v>
      </c>
      <c r="H91" s="4">
        <f>IF(AND(C91&gt;=E91,C91&lt;=F91),1,0)</f>
        <v>0</v>
      </c>
      <c r="I91" s="4">
        <f>ABS(D91-C91)</f>
        <v>78</v>
      </c>
      <c r="J91" s="4">
        <f>ABS(E91-C91)</f>
        <v>61</v>
      </c>
      <c r="K91" s="5">
        <v>1</v>
      </c>
      <c r="L91" s="5">
        <v>0</v>
      </c>
      <c r="M91" s="12">
        <v>9</v>
      </c>
      <c r="N91">
        <f t="shared" si="18"/>
        <v>8</v>
      </c>
      <c r="O91">
        <f t="shared" si="19"/>
        <v>9</v>
      </c>
      <c r="P91" s="2"/>
    </row>
    <row r="92" spans="1:16">
      <c r="A92" s="4" t="s">
        <v>86</v>
      </c>
      <c r="B92" s="4" t="s">
        <v>87</v>
      </c>
      <c r="C92" s="4">
        <v>156900</v>
      </c>
      <c r="D92" s="4">
        <v>156978</v>
      </c>
      <c r="E92" s="4">
        <v>156961</v>
      </c>
      <c r="F92" s="4">
        <v>157517</v>
      </c>
      <c r="G92" s="4">
        <v>1869610</v>
      </c>
      <c r="H92" s="4">
        <f>IF(AND(C92&gt;=E92,C92&lt;=F92),1,0)</f>
        <v>0</v>
      </c>
      <c r="I92" s="4">
        <f>ABS(D92-C92)</f>
        <v>78</v>
      </c>
      <c r="J92" s="4">
        <f>ABS(E92-C92)</f>
        <v>61</v>
      </c>
      <c r="K92" s="5">
        <v>1</v>
      </c>
      <c r="L92" s="5">
        <v>0</v>
      </c>
      <c r="M92" s="12">
        <v>9</v>
      </c>
      <c r="N92">
        <f t="shared" si="18"/>
        <v>8</v>
      </c>
      <c r="O92">
        <f t="shared" si="19"/>
        <v>9</v>
      </c>
      <c r="P92" s="2"/>
    </row>
    <row r="93" spans="1:16">
      <c r="A93" s="4"/>
      <c r="B93" s="4"/>
      <c r="C93" s="4"/>
      <c r="D93" s="4"/>
      <c r="E93" s="4"/>
      <c r="F93" s="4"/>
      <c r="G93" s="4"/>
      <c r="H93" s="23" t="s">
        <v>127</v>
      </c>
      <c r="I93" s="35">
        <f>AVERAGE(I83:I92)</f>
        <v>70.2</v>
      </c>
      <c r="J93" s="35">
        <f>AVERAGE(J83:J92)</f>
        <v>68414.3</v>
      </c>
      <c r="K93" s="35">
        <f>AVERAGE(K83:K92)</f>
        <v>0.4</v>
      </c>
      <c r="L93" s="38">
        <f>AVERAGE(L83:L92)</f>
        <v>0.5</v>
      </c>
      <c r="M93" s="12"/>
      <c r="P93" s="2"/>
    </row>
    <row r="94" spans="1:16" ht="28.8">
      <c r="A94" s="4"/>
      <c r="B94" s="4"/>
      <c r="C94" s="4"/>
      <c r="D94" s="4"/>
      <c r="E94" s="4"/>
      <c r="F94" s="4"/>
      <c r="G94" s="4"/>
      <c r="H94" s="29" t="s">
        <v>128</v>
      </c>
      <c r="I94" s="36">
        <f>AVERAGE(I83:I92)</f>
        <v>70.2</v>
      </c>
      <c r="J94" s="36">
        <f>AVERAGE(J83,J84,J86,J87,J89,J90,J91,J92)</f>
        <v>236.5</v>
      </c>
      <c r="K94" s="37">
        <f>K93</f>
        <v>0.4</v>
      </c>
      <c r="L94" s="39">
        <f>L93</f>
        <v>0.5</v>
      </c>
      <c r="M94" s="12"/>
      <c r="N94" s="73">
        <f>AVERAGE(N83:O92)</f>
        <v>6.95</v>
      </c>
      <c r="O94" s="73"/>
      <c r="P94" s="2"/>
    </row>
    <row r="95" spans="1:16">
      <c r="A95" s="4"/>
      <c r="B95" s="4"/>
      <c r="C95" s="4"/>
      <c r="D95" s="4"/>
      <c r="E95" s="4"/>
      <c r="F95" s="4"/>
      <c r="G95" s="4"/>
      <c r="H95" s="29" t="s">
        <v>129</v>
      </c>
      <c r="I95" s="36">
        <f>STDEV(I83:I92)</f>
        <v>28.981986742726168</v>
      </c>
      <c r="J95" s="36">
        <f>STDEV(J83,J84,J86,J87,J89,J90,J91,J92)</f>
        <v>184.56202983588705</v>
      </c>
      <c r="K95" s="37">
        <f>STDEV(K83:K92)</f>
        <v>0.5163977794943222</v>
      </c>
      <c r="L95" s="39">
        <f>STDEV(L83:L92)</f>
        <v>0.52704627669472992</v>
      </c>
      <c r="M95" s="12"/>
      <c r="P95" s="2"/>
    </row>
    <row r="96" spans="1:16">
      <c r="J96" s="4"/>
      <c r="M96" s="12"/>
      <c r="P96" s="2"/>
    </row>
    <row r="97" spans="1:16">
      <c r="A97" t="s">
        <v>88</v>
      </c>
      <c r="B97" s="3" t="s">
        <v>89</v>
      </c>
      <c r="C97">
        <v>591200</v>
      </c>
      <c r="D97">
        <v>590733</v>
      </c>
      <c r="E97">
        <v>697376</v>
      </c>
      <c r="F97">
        <v>181</v>
      </c>
      <c r="G97">
        <v>697724</v>
      </c>
      <c r="H97">
        <f>IF(AND(C97&gt;=E97,C97&lt;=F97),1,0)</f>
        <v>0</v>
      </c>
      <c r="I97">
        <f>ABS(D97-C97)</f>
        <v>467</v>
      </c>
      <c r="J97" s="4">
        <f>ABS(E97-C97)</f>
        <v>106176</v>
      </c>
      <c r="K97" s="7">
        <v>0</v>
      </c>
      <c r="L97" s="7">
        <v>0</v>
      </c>
      <c r="M97" s="12">
        <v>0</v>
      </c>
      <c r="N97">
        <f>ABS(M97-K97)</f>
        <v>0</v>
      </c>
      <c r="O97">
        <f>ABS(M97-L97)</f>
        <v>0</v>
      </c>
      <c r="P97" s="2"/>
    </row>
    <row r="98" spans="1:16">
      <c r="H98" s="31" t="s">
        <v>127</v>
      </c>
      <c r="I98" s="33">
        <v>467</v>
      </c>
      <c r="J98" s="33">
        <v>106176</v>
      </c>
      <c r="K98" s="34">
        <v>0</v>
      </c>
      <c r="L98" s="33">
        <v>0</v>
      </c>
      <c r="N98" s="72">
        <f>AVERAGE(N97:O97)</f>
        <v>0</v>
      </c>
      <c r="O98" s="72"/>
    </row>
    <row r="99" spans="1:16">
      <c r="H99" s="32"/>
    </row>
    <row r="102" spans="1:16">
      <c r="A102" s="17" t="s">
        <v>131</v>
      </c>
    </row>
    <row r="103" spans="1:16" ht="72">
      <c r="A103" s="18" t="s">
        <v>132</v>
      </c>
      <c r="B103" s="2" t="s">
        <v>133</v>
      </c>
      <c r="C103" s="2" t="s">
        <v>134</v>
      </c>
      <c r="D103" s="2" t="s">
        <v>165</v>
      </c>
      <c r="E103" s="2" t="s">
        <v>163</v>
      </c>
      <c r="F103" s="2" t="s">
        <v>164</v>
      </c>
    </row>
    <row r="104" spans="1:16">
      <c r="A104" t="s">
        <v>144</v>
      </c>
      <c r="B104" s="52" t="s">
        <v>145</v>
      </c>
      <c r="C104" s="52" t="s">
        <v>146</v>
      </c>
      <c r="D104" s="52" t="s">
        <v>141</v>
      </c>
      <c r="E104" s="52" t="s">
        <v>141</v>
      </c>
      <c r="F104" s="52">
        <v>2</v>
      </c>
    </row>
    <row r="105" spans="1:16">
      <c r="A105" t="s">
        <v>147</v>
      </c>
      <c r="B105" s="52" t="s">
        <v>148</v>
      </c>
      <c r="C105" s="52" t="s">
        <v>149</v>
      </c>
      <c r="D105" s="52" t="s">
        <v>150</v>
      </c>
      <c r="E105" s="52" t="s">
        <v>150</v>
      </c>
      <c r="F105" s="52">
        <v>2</v>
      </c>
    </row>
    <row r="106" spans="1:16">
      <c r="A106" t="s">
        <v>99</v>
      </c>
      <c r="B106" s="52" t="s">
        <v>151</v>
      </c>
      <c r="C106" s="52" t="s">
        <v>152</v>
      </c>
      <c r="D106" s="52" t="s">
        <v>153</v>
      </c>
      <c r="E106" s="52" t="s">
        <v>153</v>
      </c>
      <c r="F106" s="52">
        <v>2</v>
      </c>
    </row>
    <row r="107" spans="1:16">
      <c r="A107" t="s">
        <v>112</v>
      </c>
      <c r="B107" s="52" t="s">
        <v>167</v>
      </c>
      <c r="C107" s="52" t="s">
        <v>168</v>
      </c>
      <c r="D107" s="52" t="s">
        <v>153</v>
      </c>
      <c r="E107" s="52" t="s">
        <v>153</v>
      </c>
      <c r="F107" s="52">
        <v>2</v>
      </c>
    </row>
    <row r="108" spans="1:16">
      <c r="A108" t="s">
        <v>135</v>
      </c>
      <c r="B108" s="52" t="s">
        <v>154</v>
      </c>
      <c r="C108" s="52" t="s">
        <v>155</v>
      </c>
      <c r="D108" s="52" t="s">
        <v>153</v>
      </c>
      <c r="E108" s="52" t="s">
        <v>150</v>
      </c>
      <c r="F108" s="52">
        <v>2</v>
      </c>
    </row>
    <row r="109" spans="1:16">
      <c r="A109" t="s">
        <v>137</v>
      </c>
      <c r="B109" s="51" t="s">
        <v>156</v>
      </c>
      <c r="C109" s="51" t="s">
        <v>157</v>
      </c>
      <c r="D109" s="51" t="s">
        <v>158</v>
      </c>
      <c r="E109" s="53" t="s">
        <v>153</v>
      </c>
      <c r="F109" s="52">
        <v>1</v>
      </c>
    </row>
    <row r="110" spans="1:16">
      <c r="A110" t="s">
        <v>136</v>
      </c>
      <c r="B110" s="52" t="s">
        <v>159</v>
      </c>
      <c r="C110" s="52" t="s">
        <v>169</v>
      </c>
      <c r="D110" s="52" t="s">
        <v>141</v>
      </c>
      <c r="E110" s="52" t="s">
        <v>141</v>
      </c>
      <c r="F110" s="52">
        <v>5</v>
      </c>
    </row>
    <row r="111" spans="1:16">
      <c r="A111" t="s">
        <v>138</v>
      </c>
      <c r="B111" s="52" t="s">
        <v>142</v>
      </c>
      <c r="C111" s="52" t="s">
        <v>140</v>
      </c>
      <c r="D111" s="52" t="s">
        <v>143</v>
      </c>
      <c r="E111" s="52" t="s">
        <v>141</v>
      </c>
      <c r="F111" s="52">
        <v>7</v>
      </c>
    </row>
    <row r="112" spans="1:16">
      <c r="A112" t="s">
        <v>173</v>
      </c>
      <c r="B112" s="76">
        <f>AVERAGE(191,152,115,70)</f>
        <v>132</v>
      </c>
      <c r="C112" s="68">
        <f>AVERAGE(117,534,3073,237)</f>
        <v>990.25</v>
      </c>
      <c r="F112" s="68">
        <f>AVERAGE(F108:F111)</f>
        <v>3.75</v>
      </c>
    </row>
    <row r="114" spans="1:6">
      <c r="A114" t="s">
        <v>139</v>
      </c>
      <c r="B114" s="52">
        <v>467</v>
      </c>
      <c r="C114" s="52">
        <v>106176</v>
      </c>
      <c r="D114" s="52">
        <v>0</v>
      </c>
      <c r="E114" s="52">
        <v>0</v>
      </c>
      <c r="F114" s="52">
        <v>0</v>
      </c>
    </row>
    <row r="118" spans="1:6">
      <c r="C118" s="1" t="s">
        <v>2</v>
      </c>
      <c r="D118" s="17" t="s">
        <v>170</v>
      </c>
      <c r="E118" s="17" t="s">
        <v>6</v>
      </c>
      <c r="F118" s="17" t="s">
        <v>171</v>
      </c>
    </row>
    <row r="119" spans="1:6">
      <c r="A119" t="s">
        <v>172</v>
      </c>
      <c r="B119" s="15" t="s">
        <v>93</v>
      </c>
      <c r="C119" s="16">
        <v>3925500</v>
      </c>
      <c r="D119">
        <v>3925744</v>
      </c>
      <c r="E119" s="16">
        <v>4641652</v>
      </c>
      <c r="F119">
        <f>D119-C119</f>
        <v>244</v>
      </c>
    </row>
    <row r="120" spans="1:6">
      <c r="B120" s="55" t="s">
        <v>121</v>
      </c>
      <c r="C120" s="56">
        <v>3628500</v>
      </c>
      <c r="D120" s="57">
        <v>1</v>
      </c>
      <c r="E120" s="56">
        <v>3654135</v>
      </c>
      <c r="F120">
        <f>ABS(ABS(E120-C120)-ABS(0-D120))</f>
        <v>25634</v>
      </c>
    </row>
    <row r="121" spans="1:6">
      <c r="B121" s="15" t="s">
        <v>123</v>
      </c>
      <c r="C121" s="16">
        <v>720300</v>
      </c>
      <c r="D121">
        <v>719988</v>
      </c>
      <c r="E121" s="16">
        <v>1042519</v>
      </c>
      <c r="F121">
        <f>C121-D121</f>
        <v>312</v>
      </c>
    </row>
  </sheetData>
  <mergeCells count="9">
    <mergeCell ref="N98:O98"/>
    <mergeCell ref="N94:O94"/>
    <mergeCell ref="N66:O66"/>
    <mergeCell ref="N80:O80"/>
    <mergeCell ref="N7:O7"/>
    <mergeCell ref="N16:O16"/>
    <mergeCell ref="N32:O32"/>
    <mergeCell ref="N38:O38"/>
    <mergeCell ref="N52:O52"/>
  </mergeCells>
  <pageMargins left="0.70000000000000007" right="0.70000000000000007" top="0.78740157500000008" bottom="0.78740157500000008" header="0.30000000000000004" footer="0.30000000000000004"/>
  <pageSetup paperSize="9" fitToWidth="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2019-12-28T11:18:17Z</dcterms:created>
  <dcterms:modified xsi:type="dcterms:W3CDTF">2020-01-09T11:57:11Z</dcterms:modified>
</cp:coreProperties>
</file>