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5200" windowHeight="11835" tabRatio="913" firstSheet="4" activeTab="9"/>
  </bookViews>
  <sheets>
    <sheet name="NxCVA Input 236058564" sheetId="11" state="hidden" r:id="rId1"/>
    <sheet name="NmxCVA MTM" sheetId="31" r:id="rId2"/>
    <sheet name="NxCVA Input 236058559" sheetId="15" r:id="rId3"/>
    <sheet name="Greeks MX" sheetId="30" r:id="rId4"/>
    <sheet name="NxCVA Greeks" sheetId="32" r:id="rId5"/>
    <sheet name="Vanilla call 236058559" sheetId="13" r:id="rId6"/>
    <sheet name="Vanilla put 236058565" sheetId="16" r:id="rId7"/>
    <sheet name="Dig call 236058505" sheetId="17" r:id="rId8"/>
    <sheet name="Dig put 236058508" sheetId="19" r:id="rId9"/>
    <sheet name="Summary" sheetId="25" r:id="rId10"/>
    <sheet name="Summary_Corr" sheetId="34" r:id="rId11"/>
    <sheet name="Van quanto 236058581" sheetId="26" r:id="rId12"/>
    <sheet name="Mx vs Nx Preview 1.30.1" sheetId="20" state="hidden" r:id="rId13"/>
    <sheet name="Van composite 236058569" sheetId="27" r:id="rId14"/>
    <sheet name="Dig quanto 236058511" sheetId="28" r:id="rId15"/>
    <sheet name="Dig composite 236058512" sheetId="29" r:id="rId16"/>
    <sheet name="Forward 236058502" sheetId="33" r:id="rId17"/>
  </sheets>
  <definedNames>
    <definedName name="_xlnm._FilterDatabase" localSheetId="1" hidden="1">'NmxCVA MTM'!$A$1:$I$18</definedName>
    <definedName name="_xlnm._FilterDatabase" localSheetId="4" hidden="1">'NxCVA Greeks'!$A$1:$M$505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34" l="1"/>
  <c r="B6" i="34"/>
  <c r="C5" i="34"/>
  <c r="B5" i="34"/>
  <c r="E4" i="34"/>
  <c r="D4" i="34"/>
  <c r="C4" i="34"/>
  <c r="B4" i="34"/>
  <c r="D3" i="34"/>
  <c r="F3" i="34" s="1"/>
  <c r="E3" i="34"/>
  <c r="C3" i="34"/>
  <c r="B3" i="34"/>
  <c r="F10" i="33"/>
  <c r="M31" i="25" l="1"/>
  <c r="Q9" i="29" l="1"/>
  <c r="Q12" i="29"/>
  <c r="Q13" i="28"/>
  <c r="I43" i="27" l="1"/>
  <c r="I51" i="26"/>
  <c r="R8" i="26"/>
  <c r="Q10" i="26" l="1"/>
  <c r="O22" i="27"/>
  <c r="Y38" i="27"/>
  <c r="AA26" i="26"/>
  <c r="Q12" i="27"/>
  <c r="Q9" i="27"/>
  <c r="Q17" i="26" l="1"/>
  <c r="Q19" i="26" l="1"/>
  <c r="Q24" i="26" s="1"/>
  <c r="Q18" i="26"/>
  <c r="Q20" i="26" s="1"/>
  <c r="F4" i="34"/>
  <c r="G4" i="34"/>
  <c r="F5" i="34"/>
  <c r="G5" i="34"/>
  <c r="F6" i="34"/>
  <c r="G6" i="34"/>
  <c r="G3" i="34"/>
  <c r="Q21" i="26" l="1"/>
  <c r="N13" i="28"/>
  <c r="P6" i="28"/>
  <c r="N9" i="29"/>
  <c r="O22" i="29"/>
  <c r="O25" i="28"/>
  <c r="Q23" i="26" l="1"/>
  <c r="J51" i="26"/>
  <c r="H23" i="27"/>
  <c r="N9" i="27"/>
  <c r="P9" i="26" l="1"/>
  <c r="B3" i="33" l="1"/>
  <c r="B7" i="33"/>
  <c r="B10" i="33" s="1"/>
  <c r="I3" i="33"/>
  <c r="I2" i="33"/>
  <c r="B11" i="33" l="1"/>
  <c r="F3" i="33"/>
  <c r="H35" i="25"/>
  <c r="H36" i="25"/>
  <c r="H29" i="25"/>
  <c r="H30" i="25"/>
  <c r="H24" i="25"/>
  <c r="P6" i="29"/>
  <c r="P9" i="29" s="1"/>
  <c r="O23" i="29"/>
  <c r="O26" i="28"/>
  <c r="O9" i="27"/>
  <c r="P6" i="27"/>
  <c r="P6" i="26"/>
  <c r="P8" i="27"/>
  <c r="N8" i="13"/>
  <c r="N7" i="13"/>
  <c r="N26" i="28"/>
  <c r="P9" i="27" l="1"/>
  <c r="N23" i="29" l="1"/>
  <c r="N23" i="27"/>
  <c r="P12" i="29"/>
  <c r="O12" i="29"/>
  <c r="O9" i="29"/>
  <c r="P13" i="28"/>
  <c r="O13" i="28"/>
  <c r="P13" i="26"/>
  <c r="O13" i="26"/>
  <c r="M13" i="25" l="1"/>
  <c r="I31" i="25" s="1"/>
  <c r="O31" i="25"/>
  <c r="M33" i="25"/>
  <c r="J29" i="17"/>
  <c r="J30" i="17" s="1"/>
  <c r="R35" i="25"/>
  <c r="T35" i="25" s="1"/>
  <c r="R27" i="25"/>
  <c r="S27" i="25" s="1"/>
  <c r="R29" i="25"/>
  <c r="T29" i="25" s="1"/>
  <c r="O33" i="25" l="1"/>
  <c r="N33" i="25"/>
  <c r="R31" i="25"/>
  <c r="T31" i="25" s="1"/>
  <c r="T27" i="25"/>
  <c r="M30" i="25"/>
  <c r="M28" i="25"/>
  <c r="M25" i="25"/>
  <c r="M32" i="25"/>
  <c r="R28" i="25"/>
  <c r="S28" i="25" s="1"/>
  <c r="R25" i="25"/>
  <c r="S25" i="25" s="1"/>
  <c r="R32" i="25"/>
  <c r="M27" i="25"/>
  <c r="M36" i="25"/>
  <c r="O36" i="25" s="1"/>
  <c r="R30" i="25"/>
  <c r="S30" i="25" s="1"/>
  <c r="R36" i="25"/>
  <c r="R33" i="25"/>
  <c r="S33" i="25" s="1"/>
  <c r="M29" i="25"/>
  <c r="M26" i="25"/>
  <c r="M35" i="25"/>
  <c r="R26" i="25"/>
  <c r="S26" i="25" s="1"/>
  <c r="M24" i="25"/>
  <c r="M23" i="25"/>
  <c r="M22" i="25"/>
  <c r="M34" i="25"/>
  <c r="R24" i="25"/>
  <c r="R23" i="25"/>
  <c r="R22" i="25"/>
  <c r="R34" i="25"/>
  <c r="S34" i="25" s="1"/>
  <c r="N12" i="29"/>
  <c r="F6" i="33" s="1"/>
  <c r="F11" i="33" s="1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18" i="15"/>
  <c r="B11" i="17"/>
  <c r="M10" i="17" s="1"/>
  <c r="N12" i="27"/>
  <c r="O12" i="27" l="1"/>
  <c r="P12" i="27"/>
  <c r="C11" i="33"/>
  <c r="G11" i="33"/>
  <c r="O23" i="25"/>
  <c r="O22" i="25"/>
  <c r="O35" i="25"/>
  <c r="O25" i="25"/>
  <c r="N25" i="25"/>
  <c r="O28" i="25"/>
  <c r="N28" i="25"/>
  <c r="N26" i="25"/>
  <c r="O26" i="25"/>
  <c r="O24" i="25"/>
  <c r="O29" i="25"/>
  <c r="N30" i="25"/>
  <c r="O30" i="25"/>
  <c r="O34" i="25"/>
  <c r="N34" i="25"/>
  <c r="O27" i="25"/>
  <c r="N27" i="25"/>
  <c r="O32" i="25"/>
  <c r="T24" i="25"/>
  <c r="T36" i="25"/>
  <c r="T34" i="25"/>
  <c r="T26" i="25"/>
  <c r="T25" i="25"/>
  <c r="T22" i="25"/>
  <c r="T33" i="25"/>
  <c r="T28" i="25"/>
  <c r="T23" i="25"/>
  <c r="T30" i="25"/>
  <c r="T32" i="25"/>
  <c r="N13" i="26"/>
  <c r="M9" i="19" l="1"/>
  <c r="M7" i="16" l="1"/>
  <c r="N12" i="15" l="1"/>
  <c r="N13" i="15"/>
  <c r="N11" i="15"/>
  <c r="M9" i="13"/>
  <c r="N9" i="13" s="1"/>
  <c r="N24" i="29" l="1"/>
  <c r="N24" i="27"/>
  <c r="N27" i="28"/>
  <c r="Q4" i="28" s="1"/>
  <c r="Q10" i="28" s="1"/>
  <c r="Q17" i="28" s="1"/>
  <c r="M27" i="19"/>
  <c r="M25" i="13"/>
  <c r="N5" i="13" s="1"/>
  <c r="N24" i="26"/>
  <c r="M29" i="16"/>
  <c r="M27" i="17"/>
  <c r="M9" i="17"/>
  <c r="Q18" i="28" l="1"/>
  <c r="Q20" i="28" s="1"/>
  <c r="Q21" i="28" s="1"/>
  <c r="Q19" i="28"/>
  <c r="O24" i="27"/>
  <c r="O4" i="28"/>
  <c r="O10" i="28" s="1"/>
  <c r="O17" i="28" s="1"/>
  <c r="P4" i="28"/>
  <c r="O4" i="26"/>
  <c r="O10" i="26" s="1"/>
  <c r="O17" i="26" s="1"/>
  <c r="P4" i="26"/>
  <c r="P10" i="26" s="1"/>
  <c r="P17" i="26" s="1"/>
  <c r="M9" i="16"/>
  <c r="P10" i="28" l="1"/>
  <c r="P17" i="28" s="1"/>
  <c r="P19" i="26"/>
  <c r="P18" i="26"/>
  <c r="P20" i="26" s="1"/>
  <c r="P21" i="26" s="1"/>
  <c r="O19" i="28"/>
  <c r="O18" i="28"/>
  <c r="O20" i="28" s="1"/>
  <c r="O21" i="28" s="1"/>
  <c r="O19" i="26"/>
  <c r="O18" i="26"/>
  <c r="O20" i="26" s="1"/>
  <c r="M5" i="13"/>
  <c r="P18" i="28" l="1"/>
  <c r="P20" i="28" s="1"/>
  <c r="P21" i="28" s="1"/>
  <c r="P19" i="28"/>
  <c r="O21" i="26"/>
  <c r="M5" i="25"/>
  <c r="I23" i="25" s="1"/>
  <c r="M6" i="25"/>
  <c r="I24" i="25" s="1"/>
  <c r="J24" i="25" s="1"/>
  <c r="M7" i="25"/>
  <c r="I25" i="25" s="1"/>
  <c r="M8" i="25"/>
  <c r="I26" i="25" s="1"/>
  <c r="M9" i="25"/>
  <c r="I27" i="25" s="1"/>
  <c r="M10" i="25"/>
  <c r="I28" i="25" s="1"/>
  <c r="M11" i="25"/>
  <c r="I29" i="25" s="1"/>
  <c r="J29" i="25" s="1"/>
  <c r="M12" i="25"/>
  <c r="I30" i="25" s="1"/>
  <c r="J30" i="25" s="1"/>
  <c r="M14" i="25"/>
  <c r="I32" i="25" s="1"/>
  <c r="M15" i="25"/>
  <c r="I33" i="25" s="1"/>
  <c r="M16" i="25"/>
  <c r="I34" i="25" s="1"/>
  <c r="M17" i="25"/>
  <c r="I35" i="25" s="1"/>
  <c r="J35" i="25" s="1"/>
  <c r="M18" i="25"/>
  <c r="I36" i="25" s="1"/>
  <c r="J36" i="25" s="1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5" i="25"/>
  <c r="M4" i="25"/>
  <c r="I22" i="25" s="1"/>
  <c r="L4" i="25"/>
  <c r="Q11" i="25" l="1"/>
  <c r="U6" i="25"/>
  <c r="N4" i="26"/>
  <c r="M7" i="17"/>
  <c r="M28" i="17" s="1"/>
  <c r="AA27" i="26" l="1"/>
  <c r="AA28" i="26" s="1"/>
  <c r="N10" i="26"/>
  <c r="Q6" i="25"/>
  <c r="Q12" i="25"/>
  <c r="Q17" i="25"/>
  <c r="Q18" i="25"/>
  <c r="N17" i="26" l="1"/>
  <c r="F29" i="19"/>
  <c r="J29" i="19"/>
  <c r="G29" i="17"/>
  <c r="G30" i="17" s="1"/>
  <c r="I4" i="25" l="1"/>
  <c r="Q4" i="25" l="1"/>
  <c r="H22" i="25"/>
  <c r="J22" i="25" s="1"/>
  <c r="N25" i="27"/>
  <c r="U15" i="25"/>
  <c r="Q4" i="27" l="1"/>
  <c r="Y39" i="27"/>
  <c r="Y40" i="27" s="1"/>
  <c r="N4" i="27"/>
  <c r="N16" i="27" s="1"/>
  <c r="O4" i="27"/>
  <c r="O16" i="27" s="1"/>
  <c r="O17" i="27" s="1"/>
  <c r="P4" i="27"/>
  <c r="P16" i="27" s="1"/>
  <c r="P18" i="27" s="1"/>
  <c r="G14" i="25"/>
  <c r="G13" i="25"/>
  <c r="G16" i="25"/>
  <c r="G15" i="25"/>
  <c r="Q16" i="27" l="1"/>
  <c r="N32" i="27"/>
  <c r="P17" i="27"/>
  <c r="P19" i="27" s="1"/>
  <c r="P20" i="27" s="1"/>
  <c r="N27" i="29"/>
  <c r="F4" i="29"/>
  <c r="J4" i="29"/>
  <c r="B9" i="29"/>
  <c r="B15" i="29" s="1"/>
  <c r="B27" i="29"/>
  <c r="B28" i="29" s="1"/>
  <c r="G32" i="29"/>
  <c r="Q17" i="27" l="1"/>
  <c r="Q19" i="27" s="1"/>
  <c r="Q18" i="27"/>
  <c r="Q23" i="27" s="1"/>
  <c r="O4" i="29"/>
  <c r="O16" i="29" s="1"/>
  <c r="Q4" i="29"/>
  <c r="Q16" i="29" s="1"/>
  <c r="P4" i="29"/>
  <c r="P16" i="29" s="1"/>
  <c r="O18" i="27"/>
  <c r="O19" i="27"/>
  <c r="N4" i="29"/>
  <c r="N16" i="29" s="1"/>
  <c r="N17" i="29" s="1"/>
  <c r="N34" i="29" s="1"/>
  <c r="B16" i="29"/>
  <c r="B18" i="29" s="1"/>
  <c r="B19" i="29" s="1"/>
  <c r="K18" i="25" s="1"/>
  <c r="J18" i="25" s="1"/>
  <c r="B17" i="29"/>
  <c r="K28" i="28"/>
  <c r="K25" i="28"/>
  <c r="N4" i="28"/>
  <c r="N10" i="28" s="1"/>
  <c r="N17" i="28" s="1"/>
  <c r="B4" i="28"/>
  <c r="Q18" i="29" l="1"/>
  <c r="Q17" i="29"/>
  <c r="Q19" i="29" s="1"/>
  <c r="Q20" i="29" s="1"/>
  <c r="B10" i="28"/>
  <c r="B16" i="28" s="1"/>
  <c r="Q20" i="27"/>
  <c r="N33" i="29"/>
  <c r="O20" i="27"/>
  <c r="O17" i="29"/>
  <c r="O19" i="29" s="1"/>
  <c r="O20" i="29" s="1"/>
  <c r="O18" i="29"/>
  <c r="P18" i="29"/>
  <c r="P17" i="29"/>
  <c r="P19" i="29" s="1"/>
  <c r="P20" i="29" s="1"/>
  <c r="B25" i="28"/>
  <c r="N19" i="29"/>
  <c r="N20" i="29" s="1"/>
  <c r="N18" i="29"/>
  <c r="B17" i="28" l="1"/>
  <c r="B19" i="28" s="1"/>
  <c r="B20" i="28" s="1"/>
  <c r="K17" i="25" s="1"/>
  <c r="J17" i="25" s="1"/>
  <c r="B18" i="28"/>
  <c r="J43" i="27"/>
  <c r="Q22" i="27"/>
  <c r="N31" i="29"/>
  <c r="Q36" i="25" s="1"/>
  <c r="S36" i="25" s="1"/>
  <c r="N30" i="29"/>
  <c r="L36" i="25" s="1"/>
  <c r="N36" i="25" s="1"/>
  <c r="N18" i="25"/>
  <c r="O18" i="25" s="1"/>
  <c r="N19" i="28"/>
  <c r="N18" i="28"/>
  <c r="N33" i="28" s="1"/>
  <c r="B26" i="27"/>
  <c r="B27" i="27" s="1"/>
  <c r="B9" i="27"/>
  <c r="B14" i="27" s="1"/>
  <c r="P18" i="25" l="1"/>
  <c r="N32" i="28"/>
  <c r="N20" i="28"/>
  <c r="N21" i="28" s="1"/>
  <c r="B15" i="27"/>
  <c r="B17" i="27" s="1"/>
  <c r="B16" i="27"/>
  <c r="N30" i="28" l="1"/>
  <c r="Q35" i="25" s="1"/>
  <c r="S35" i="25" s="1"/>
  <c r="N29" i="28"/>
  <c r="L35" i="25" s="1"/>
  <c r="N35" i="25" s="1"/>
  <c r="N17" i="25"/>
  <c r="N17" i="27"/>
  <c r="N18" i="27"/>
  <c r="B18" i="27"/>
  <c r="K11" i="25" s="1"/>
  <c r="J11" i="25" s="1"/>
  <c r="N31" i="27" l="1"/>
  <c r="O17" i="25"/>
  <c r="P17" i="25"/>
  <c r="N19" i="27"/>
  <c r="I31" i="26"/>
  <c r="B4" i="26"/>
  <c r="B25" i="26" s="1"/>
  <c r="N20" i="27" l="1"/>
  <c r="B10" i="26"/>
  <c r="N27" i="27" l="1"/>
  <c r="L29" i="25" s="1"/>
  <c r="N29" i="25" s="1"/>
  <c r="N11" i="25"/>
  <c r="P11" i="25" s="1"/>
  <c r="N28" i="27"/>
  <c r="Q29" i="25" s="1"/>
  <c r="S29" i="25" s="1"/>
  <c r="N18" i="26"/>
  <c r="N20" i="26" s="1"/>
  <c r="N19" i="26"/>
  <c r="B16" i="26"/>
  <c r="N21" i="26" l="1"/>
  <c r="N31" i="26"/>
  <c r="N30" i="26"/>
  <c r="O11" i="25"/>
  <c r="N27" i="26"/>
  <c r="B18" i="26"/>
  <c r="B17" i="26"/>
  <c r="B19" i="26" s="1"/>
  <c r="B20" i="26" l="1"/>
  <c r="L24" i="25"/>
  <c r="N24" i="25" s="1"/>
  <c r="N28" i="26"/>
  <c r="Q24" i="25" s="1"/>
  <c r="S24" i="25" s="1"/>
  <c r="N6" i="25"/>
  <c r="P6" i="25" s="1"/>
  <c r="N12" i="25"/>
  <c r="P12" i="25" s="1"/>
  <c r="K12" i="25" l="1"/>
  <c r="J12" i="25" s="1"/>
  <c r="K6" i="25"/>
  <c r="J6" i="25" s="1"/>
  <c r="I16" i="25"/>
  <c r="I15" i="25"/>
  <c r="I10" i="25"/>
  <c r="I9" i="25"/>
  <c r="I8" i="25"/>
  <c r="I7" i="25"/>
  <c r="I14" i="25"/>
  <c r="I13" i="25"/>
  <c r="I5" i="25"/>
  <c r="Q16" i="25" l="1"/>
  <c r="H34" i="25"/>
  <c r="J34" i="25" s="1"/>
  <c r="Q9" i="25"/>
  <c r="H27" i="25"/>
  <c r="J27" i="25" s="1"/>
  <c r="Q13" i="25"/>
  <c r="H31" i="25"/>
  <c r="J31" i="25" s="1"/>
  <c r="Q7" i="25"/>
  <c r="H25" i="25"/>
  <c r="J25" i="25" s="1"/>
  <c r="Q8" i="25"/>
  <c r="H26" i="25"/>
  <c r="J26" i="25" s="1"/>
  <c r="Q10" i="25"/>
  <c r="H28" i="25"/>
  <c r="J28" i="25" s="1"/>
  <c r="Q15" i="25"/>
  <c r="H33" i="25"/>
  <c r="J33" i="25" s="1"/>
  <c r="Q5" i="25"/>
  <c r="H23" i="25"/>
  <c r="J23" i="25" s="1"/>
  <c r="Q14" i="25"/>
  <c r="H32" i="25"/>
  <c r="J32" i="25" s="1"/>
  <c r="O6" i="25"/>
  <c r="O12" i="25"/>
  <c r="O14" i="20"/>
  <c r="O13" i="20"/>
  <c r="O17" i="20" l="1"/>
  <c r="O8" i="20" l="1"/>
  <c r="O18" i="20" l="1"/>
  <c r="O6" i="20"/>
  <c r="O7" i="20"/>
  <c r="O4" i="20"/>
  <c r="O5" i="20"/>
  <c r="H16" i="20" l="1"/>
  <c r="H15" i="20"/>
  <c r="H12" i="20"/>
  <c r="H11" i="20"/>
  <c r="H10" i="20"/>
  <c r="H9" i="20"/>
  <c r="H7" i="20"/>
  <c r="H6" i="20"/>
  <c r="H5" i="20"/>
  <c r="H4" i="20"/>
  <c r="B7" i="17" l="1"/>
  <c r="M11" i="19" l="1"/>
  <c r="B9" i="19"/>
  <c r="M7" i="19"/>
  <c r="M6" i="19"/>
  <c r="M11" i="17"/>
  <c r="V15" i="25" s="1"/>
  <c r="M6" i="17"/>
  <c r="M11" i="16"/>
  <c r="B9" i="16"/>
  <c r="M6" i="16"/>
  <c r="M11" i="13"/>
  <c r="B9" i="13"/>
  <c r="M6" i="13"/>
  <c r="N6" i="13" s="1"/>
  <c r="BG6" i="15" a="1"/>
  <c r="BD9" i="15" a="1"/>
  <c r="S1" i="15"/>
  <c r="BP11" i="15" a="1"/>
  <c r="B13" i="15" a="1"/>
  <c r="BA5" i="15" a="1"/>
  <c r="BS6" i="15" a="1"/>
  <c r="D1" i="15"/>
  <c r="P1" i="15"/>
  <c r="G1" i="15"/>
  <c r="BM14" i="15" a="1"/>
  <c r="BJ9" i="15" a="1"/>
  <c r="N11" i="13" l="1"/>
  <c r="M10" i="19"/>
  <c r="M10" i="16"/>
  <c r="B13" i="13"/>
  <c r="M10" i="13"/>
  <c r="N10" i="13" s="1"/>
  <c r="N13" i="13" s="1"/>
  <c r="M5" i="17"/>
  <c r="M5" i="19"/>
  <c r="M5" i="16"/>
  <c r="B17" i="17"/>
  <c r="B18" i="17" s="1"/>
  <c r="B22" i="17" s="1"/>
  <c r="B15" i="17"/>
  <c r="B16" i="17" s="1"/>
  <c r="B20" i="17" s="1"/>
  <c r="B23" i="17" s="1"/>
  <c r="B13" i="19"/>
  <c r="B13" i="16"/>
  <c r="B17" i="16" s="1"/>
  <c r="BD10" i="15"/>
  <c r="BD11" i="15"/>
  <c r="BD12" i="15"/>
  <c r="BD9" i="15"/>
  <c r="BS8" i="15"/>
  <c r="BS7" i="15"/>
  <c r="BS6" i="15"/>
  <c r="BS9" i="15"/>
  <c r="BM17" i="15"/>
  <c r="BM15" i="15"/>
  <c r="BM14" i="15"/>
  <c r="BM16" i="15"/>
  <c r="B14" i="15"/>
  <c r="B15" i="15"/>
  <c r="B13" i="15"/>
  <c r="B16" i="15"/>
  <c r="BJ10" i="15"/>
  <c r="BJ9" i="15"/>
  <c r="BJ11" i="15"/>
  <c r="BJ12" i="15"/>
  <c r="BA7" i="15"/>
  <c r="BA5" i="15"/>
  <c r="BA6" i="15"/>
  <c r="BA8" i="15"/>
  <c r="BP12" i="15"/>
  <c r="BP11" i="15"/>
  <c r="BP13" i="15"/>
  <c r="BP14" i="15"/>
  <c r="BG8" i="15"/>
  <c r="BG9" i="15"/>
  <c r="BG6" i="15"/>
  <c r="BG7" i="15"/>
  <c r="L5" i="11"/>
  <c r="L4" i="11"/>
  <c r="L3" i="11"/>
  <c r="BS6" i="11" a="1"/>
  <c r="BA5" i="11" a="1"/>
  <c r="G1" i="11"/>
  <c r="B13" i="11" a="1"/>
  <c r="D1" i="11"/>
  <c r="BJ9" i="11" a="1"/>
  <c r="BD9" i="11" a="1"/>
  <c r="S1" i="11"/>
  <c r="BM14" i="11" a="1"/>
  <c r="P1" i="11"/>
  <c r="BG6" i="11" a="1"/>
  <c r="BP11" i="11" a="1"/>
  <c r="M13" i="16" l="1"/>
  <c r="M17" i="16" s="1"/>
  <c r="M24" i="16" s="1"/>
  <c r="M13" i="17"/>
  <c r="M15" i="17" s="1"/>
  <c r="M14" i="17"/>
  <c r="N14" i="13"/>
  <c r="N16" i="13" s="1"/>
  <c r="N15" i="13"/>
  <c r="M13" i="13"/>
  <c r="M14" i="13" s="1"/>
  <c r="V6" i="25"/>
  <c r="M13" i="19"/>
  <c r="M14" i="19" s="1"/>
  <c r="L23" i="25"/>
  <c r="N23" i="25" s="1"/>
  <c r="M30" i="16"/>
  <c r="M26" i="13"/>
  <c r="M21" i="13" s="1"/>
  <c r="Q22" i="25" s="1"/>
  <c r="S22" i="25" s="1"/>
  <c r="B15" i="13"/>
  <c r="B14" i="13"/>
  <c r="B16" i="13" s="1"/>
  <c r="B21" i="17"/>
  <c r="B26" i="17" s="1"/>
  <c r="B19" i="17"/>
  <c r="B25" i="17" s="1"/>
  <c r="B14" i="19"/>
  <c r="B16" i="19" s="1"/>
  <c r="B17" i="19" s="1"/>
  <c r="B15" i="19"/>
  <c r="B14" i="16"/>
  <c r="B15" i="16"/>
  <c r="BD9" i="11"/>
  <c r="BD10" i="11"/>
  <c r="BD11" i="11"/>
  <c r="BD12" i="11"/>
  <c r="BS7" i="11"/>
  <c r="BS6" i="11"/>
  <c r="BS9" i="11"/>
  <c r="BS8" i="11"/>
  <c r="BM14" i="11"/>
  <c r="BM16" i="11"/>
  <c r="BM17" i="11"/>
  <c r="BM15" i="11"/>
  <c r="B14" i="11"/>
  <c r="B15" i="11"/>
  <c r="B13" i="11"/>
  <c r="B16" i="11"/>
  <c r="BJ9" i="11"/>
  <c r="BJ11" i="11"/>
  <c r="BJ12" i="11"/>
  <c r="BJ10" i="11"/>
  <c r="BA5" i="11"/>
  <c r="BA6" i="11"/>
  <c r="BA8" i="11"/>
  <c r="BA7" i="11"/>
  <c r="BP13" i="11"/>
  <c r="BP14" i="11"/>
  <c r="BP12" i="11"/>
  <c r="BP11" i="11"/>
  <c r="BG8" i="11"/>
  <c r="BG9" i="11"/>
  <c r="BG6" i="11"/>
  <c r="BG7" i="11"/>
  <c r="M15" i="19" l="1"/>
  <c r="M17" i="19"/>
  <c r="N17" i="13"/>
  <c r="N18" i="13" s="1"/>
  <c r="M23" i="19"/>
  <c r="Q32" i="25" s="1"/>
  <c r="S32" i="25" s="1"/>
  <c r="M22" i="19"/>
  <c r="L32" i="25" s="1"/>
  <c r="N32" i="25" s="1"/>
  <c r="M18" i="17"/>
  <c r="M22" i="17"/>
  <c r="L31" i="25" s="1"/>
  <c r="N31" i="25" s="1"/>
  <c r="M23" i="17"/>
  <c r="Q31" i="25" s="1"/>
  <c r="S31" i="25" s="1"/>
  <c r="M15" i="16"/>
  <c r="M25" i="16"/>
  <c r="Q23" i="25" s="1"/>
  <c r="S23" i="25" s="1"/>
  <c r="B27" i="17"/>
  <c r="J13" i="25" s="1"/>
  <c r="J14" i="25"/>
  <c r="I7" i="20"/>
  <c r="B18" i="19"/>
  <c r="B28" i="17"/>
  <c r="K13" i="25" s="1"/>
  <c r="M15" i="13"/>
  <c r="M20" i="13" s="1"/>
  <c r="B17" i="13"/>
  <c r="M14" i="16"/>
  <c r="B24" i="17"/>
  <c r="B16" i="16"/>
  <c r="B19" i="16" s="1"/>
  <c r="B21" i="16" s="1"/>
  <c r="B18" i="16"/>
  <c r="B20" i="16" s="1"/>
  <c r="M18" i="19"/>
  <c r="M19" i="19" s="1"/>
  <c r="M20" i="19" s="1"/>
  <c r="M16" i="19"/>
  <c r="M17" i="17"/>
  <c r="I6" i="20" l="1"/>
  <c r="L22" i="25"/>
  <c r="N22" i="25" s="1"/>
  <c r="K14" i="25"/>
  <c r="J7" i="20"/>
  <c r="M18" i="16"/>
  <c r="M20" i="16" s="1"/>
  <c r="M16" i="16"/>
  <c r="M19" i="16" s="1"/>
  <c r="M21" i="16" s="1"/>
  <c r="J5" i="25"/>
  <c r="I5" i="20"/>
  <c r="B22" i="16"/>
  <c r="J4" i="25"/>
  <c r="I4" i="20"/>
  <c r="B18" i="13"/>
  <c r="M16" i="13"/>
  <c r="J6" i="20"/>
  <c r="N14" i="25"/>
  <c r="P14" i="25" s="1"/>
  <c r="M16" i="17"/>
  <c r="M19" i="17" l="1"/>
  <c r="M20" i="17" s="1"/>
  <c r="N13" i="25" s="1"/>
  <c r="P13" i="25" s="1"/>
  <c r="O14" i="25"/>
  <c r="M17" i="13"/>
  <c r="M18" i="13" s="1"/>
  <c r="M22" i="16"/>
  <c r="N5" i="25" s="1"/>
  <c r="P5" i="25" s="1"/>
  <c r="K5" i="25"/>
  <c r="J5" i="20"/>
  <c r="K4" i="25"/>
  <c r="J4" i="20"/>
  <c r="N4" i="25" l="1"/>
  <c r="P4" i="25" s="1"/>
  <c r="N21" i="13"/>
  <c r="O4" i="25"/>
  <c r="O13" i="25"/>
  <c r="O5" i="25"/>
</calcChain>
</file>

<file path=xl/comments1.xml><?xml version="1.0" encoding="utf-8"?>
<comments xmlns="http://schemas.openxmlformats.org/spreadsheetml/2006/main">
  <authors>
    <author>Автор</author>
  </authors>
  <commentList>
    <comment ref="O13" authorId="0" shapeId="0">
      <text>
        <r>
          <rPr>
            <b/>
            <sz val="9"/>
            <color indexed="81"/>
            <rFont val="Tahoma"/>
            <charset val="1"/>
          </rPr>
          <t>Автор:</t>
        </r>
        <r>
          <rPr>
            <sz val="9"/>
            <color indexed="81"/>
            <rFont val="Tahoma"/>
            <charset val="1"/>
          </rPr>
          <t xml:space="preserve">
сходится лучше, если сравнивать без Call Spread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H6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другая модель в murex</t>
        </r>
      </text>
    </comment>
    <comment ref="H7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другая модель в murex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P10" authorId="0" shapeId="0">
      <text>
        <r>
          <rPr>
            <b/>
            <sz val="9"/>
            <color indexed="81"/>
            <rFont val="Tahoma"/>
            <charset val="1"/>
          </rPr>
          <t>Автор:</t>
        </r>
        <r>
          <rPr>
            <sz val="9"/>
            <color indexed="81"/>
            <rFont val="Tahoma"/>
            <charset val="1"/>
          </rPr>
          <t xml:space="preserve">
Поменял знак корреляции</t>
        </r>
      </text>
    </comment>
    <comment ref="O25" authorId="0" shapeId="0">
      <text>
        <r>
          <rPr>
            <b/>
            <sz val="9"/>
            <color indexed="81"/>
            <rFont val="Tahoma"/>
            <charset val="1"/>
          </rPr>
          <t>Автор:</t>
        </r>
        <r>
          <rPr>
            <sz val="9"/>
            <color indexed="81"/>
            <rFont val="Tahoma"/>
            <charset val="1"/>
          </rPr>
          <t xml:space="preserve">
Поставил сдвиг на 1bp, как чувствительности в NxCVA</t>
        </r>
      </text>
    </comment>
  </commentList>
</comments>
</file>

<file path=xl/sharedStrings.xml><?xml version="1.0" encoding="utf-8"?>
<sst xmlns="http://schemas.openxmlformats.org/spreadsheetml/2006/main" count="1430" uniqueCount="354">
  <si>
    <t>Inputs:</t>
  </si>
  <si>
    <t>Forward Price (S)</t>
  </si>
  <si>
    <t>Strike Price (X)</t>
  </si>
  <si>
    <r>
      <t>Volatility (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)</t>
    </r>
  </si>
  <si>
    <t>Risk-free Rate</t>
  </si>
  <si>
    <t>Time to expiration (T)</t>
  </si>
  <si>
    <t>yrs</t>
  </si>
  <si>
    <t>Output:</t>
  </si>
  <si>
    <t>D1</t>
  </si>
  <si>
    <t>D2</t>
  </si>
  <si>
    <t>N(D1)</t>
  </si>
  <si>
    <t>N(D2)</t>
  </si>
  <si>
    <t>Call Price</t>
  </si>
  <si>
    <t>GAZP RUB</t>
  </si>
  <si>
    <t># of Options</t>
  </si>
  <si>
    <t>USDRUB</t>
  </si>
  <si>
    <t>Name</t>
  </si>
  <si>
    <t>NOWDATE</t>
  </si>
  <si>
    <t>GAZP_RUB_DIVIDEND_CURVE</t>
  </si>
  <si>
    <t>EQUITYVOLSURFACE_GAZP_RUB_GAZP_RUB_EQ_VOL_SURFACE</t>
  </si>
  <si>
    <t>Object</t>
  </si>
  <si>
    <t>MODEL</t>
  </si>
  <si>
    <t>DATE</t>
  </si>
  <si>
    <t>DiscountFactor</t>
  </si>
  <si>
    <t>DividendAmount</t>
  </si>
  <si>
    <t>ExDivDate</t>
  </si>
  <si>
    <t>PayDate</t>
  </si>
  <si>
    <t>EVENTS</t>
  </si>
  <si>
    <t>MARKET DATA</t>
  </si>
  <si>
    <t>INSTRUMENT</t>
  </si>
  <si>
    <t>INSTRUMENT COLLECTION</t>
  </si>
  <si>
    <t>Type</t>
  </si>
  <si>
    <t>EQ</t>
  </si>
  <si>
    <t>SINGLE DATE</t>
  </si>
  <si>
    <t>YIELD</t>
  </si>
  <si>
    <t>DIVIDEND</t>
  </si>
  <si>
    <t>EQ VOL</t>
  </si>
  <si>
    <t>EQ EUROPEAN</t>
  </si>
  <si>
    <t>COMPONENTS</t>
  </si>
  <si>
    <t>DATES</t>
  </si>
  <si>
    <t>CURRENCY</t>
  </si>
  <si>
    <t>RUB</t>
  </si>
  <si>
    <t>FLAVOR</t>
  </si>
  <si>
    <t>Call</t>
  </si>
  <si>
    <t>Black</t>
  </si>
  <si>
    <t>UPDATED</t>
  </si>
  <si>
    <t>BASIS</t>
  </si>
  <si>
    <t>ACT/365</t>
  </si>
  <si>
    <t>RATE/DIVIDEND</t>
  </si>
  <si>
    <t>GAZP_RUB_DIVIDEND_CURVE.RATEORDIVIDEND</t>
  </si>
  <si>
    <t>ID</t>
  </si>
  <si>
    <t>INTERP METHOD</t>
  </si>
  <si>
    <t>Linear</t>
  </si>
  <si>
    <t>VOLATILITY BASIS</t>
  </si>
  <si>
    <t>ACT/360</t>
  </si>
  <si>
    <t>END DATE</t>
  </si>
  <si>
    <t>DOMESTIC YIELD CURVE</t>
  </si>
  <si>
    <t>TIMER</t>
  </si>
  <si>
    <t>INTERP VARIABLE</t>
  </si>
  <si>
    <t>Continuous Rate</t>
  </si>
  <si>
    <t>DATA</t>
  </si>
  <si>
    <t>EQUITYVOLSURFACE.GAZPRUB.MATRIX</t>
  </si>
  <si>
    <t>ASSET NAME</t>
  </si>
  <si>
    <t>GAZP_RUB</t>
  </si>
  <si>
    <t>DIVIDEND CURVE</t>
  </si>
  <si>
    <t>TIMER CPU</t>
  </si>
  <si>
    <t>SIGMA1</t>
  </si>
  <si>
    <t>SPOT PRICE</t>
  </si>
  <si>
    <t>SETTLEMENT DATE</t>
  </si>
  <si>
    <t>NOTICE PERIOD</t>
  </si>
  <si>
    <t>0BD</t>
  </si>
  <si>
    <t>VOLS</t>
  </si>
  <si>
    <t>STRIKE</t>
  </si>
  <si>
    <t>DISCRETE DIVIDEND CONVENTION</t>
  </si>
  <si>
    <t>SPOT</t>
  </si>
  <si>
    <t>2BD</t>
  </si>
  <si>
    <t>INSTRUMENTS</t>
  </si>
  <si>
    <t>EXTRAPOLATION</t>
  </si>
  <si>
    <t>FLATEXTRAPOLATION</t>
  </si>
  <si>
    <t>Black Model (based on Murex)</t>
  </si>
  <si>
    <t>Black Model (based on NxCVA)</t>
  </si>
  <si>
    <t xml:space="preserve">NUMERIXCVA </t>
  </si>
  <si>
    <t>NxCVA Black-Scholes</t>
  </si>
  <si>
    <t>Spot</t>
  </si>
  <si>
    <t>Dividend</t>
  </si>
  <si>
    <t>Call Price, $</t>
  </si>
  <si>
    <t>DF XCCY</t>
  </si>
  <si>
    <t>RUB:_XCCY_CURVE</t>
  </si>
  <si>
    <t>RUB:_XCCY_CURVE.DATA</t>
  </si>
  <si>
    <t>PV XCCY</t>
  </si>
  <si>
    <t>Murex</t>
  </si>
  <si>
    <t>22512637_INSTRUMENTS</t>
  </si>
  <si>
    <t>RUB:_IRS_CURVE_CURVE</t>
  </si>
  <si>
    <t>RUB:_IRS_CURVE_CURVE.DATA</t>
  </si>
  <si>
    <t>22512637_EQ_INSTRUMENT</t>
  </si>
  <si>
    <t>22512637_EQ_MODEL</t>
  </si>
  <si>
    <t>22512633_INSTRUMENTS</t>
  </si>
  <si>
    <t>22512633_EQ_INSTRUMENT</t>
  </si>
  <si>
    <t>22512633_EQ_MODEL</t>
  </si>
  <si>
    <t>MUREX - European call</t>
  </si>
  <si>
    <t>MUREX - European put</t>
  </si>
  <si>
    <t>Put Price</t>
  </si>
  <si>
    <t>N(-D1)</t>
  </si>
  <si>
    <t>N(-D2)</t>
  </si>
  <si>
    <t>Call, $</t>
  </si>
  <si>
    <t>Put, $</t>
  </si>
  <si>
    <t>MTM PV</t>
  </si>
  <si>
    <t>Sim PV</t>
  </si>
  <si>
    <t>Original #</t>
  </si>
  <si>
    <t>MUREX - Digital call</t>
  </si>
  <si>
    <t>UI</t>
  </si>
  <si>
    <t>Typology</t>
  </si>
  <si>
    <t>Theory</t>
  </si>
  <si>
    <t>USD</t>
  </si>
  <si>
    <t>UI (PnL MV)</t>
  </si>
  <si>
    <t>Nx CVA</t>
  </si>
  <si>
    <t>Put Price, $</t>
  </si>
  <si>
    <t>TradeID</t>
  </si>
  <si>
    <t>Comment</t>
  </si>
  <si>
    <t>-</t>
  </si>
  <si>
    <t>Премия в другой валюте, Delivery</t>
  </si>
  <si>
    <t>Delivery, In nominal</t>
  </si>
  <si>
    <t>Американский</t>
  </si>
  <si>
    <t>Пут</t>
  </si>
  <si>
    <t>In Nominal</t>
  </si>
  <si>
    <t>Composite</t>
  </si>
  <si>
    <t>Quanto</t>
  </si>
  <si>
    <t>Quanto, In nominal</t>
  </si>
  <si>
    <t>Премия в другой валюте</t>
  </si>
  <si>
    <t>Put</t>
  </si>
  <si>
    <t>Vanilla</t>
  </si>
  <si>
    <t>Digital</t>
  </si>
  <si>
    <t>Call Price by Call spread</t>
  </si>
  <si>
    <t>Call Price by Call spread, $</t>
  </si>
  <si>
    <t>D1 normal</t>
  </si>
  <si>
    <t>D2 normal</t>
  </si>
  <si>
    <r>
      <t>Volatility (</t>
    </r>
    <r>
      <rPr>
        <sz val="10"/>
        <rFont val="Symbol"/>
        <family val="1"/>
        <charset val="2"/>
      </rPr>
      <t>s</t>
    </r>
    <r>
      <rPr>
        <sz val="10"/>
        <rFont val="Arial"/>
        <family val="2"/>
      </rPr>
      <t>) normal</t>
    </r>
  </si>
  <si>
    <t>N(D1) normal</t>
  </si>
  <si>
    <t>N(D2) normal</t>
  </si>
  <si>
    <t>Strike Price (X) normal</t>
  </si>
  <si>
    <t>Black modedel (based on Murex)</t>
  </si>
  <si>
    <t>Black modedel (based on NxCVA)</t>
  </si>
  <si>
    <t>Strike Price (X) moded</t>
  </si>
  <si>
    <t>Volatility (s) moded</t>
  </si>
  <si>
    <t>D1 moded</t>
  </si>
  <si>
    <t>D2 moded</t>
  </si>
  <si>
    <t>N(D1) moded</t>
  </si>
  <si>
    <t>N(D2) moded</t>
  </si>
  <si>
    <t>Notional</t>
  </si>
  <si>
    <t>236058532</t>
  </si>
  <si>
    <t>236058533</t>
  </si>
  <si>
    <t>236058538</t>
  </si>
  <si>
    <t>236058540</t>
  </si>
  <si>
    <t>236058543</t>
  </si>
  <si>
    <t>236058546</t>
  </si>
  <si>
    <t>236058550</t>
  </si>
  <si>
    <t>236058551</t>
  </si>
  <si>
    <t>236058554</t>
  </si>
  <si>
    <t>236058555</t>
  </si>
  <si>
    <t>236058557</t>
  </si>
  <si>
    <t>236058558</t>
  </si>
  <si>
    <t>Nominal</t>
  </si>
  <si>
    <t>Barrier</t>
  </si>
  <si>
    <t>UpOut, Rebate Knocktime</t>
  </si>
  <si>
    <t>Rebate Maturity</t>
  </si>
  <si>
    <t>UpIn 260 270</t>
  </si>
  <si>
    <t>UpIn 270 260</t>
  </si>
  <si>
    <t>UpOut 260 270</t>
  </si>
  <si>
    <t>DownIn 230 240</t>
  </si>
  <si>
    <t>DownIn 240 230</t>
  </si>
  <si>
    <t>DownOut 230 240</t>
  </si>
  <si>
    <t>DownOut 240 230</t>
  </si>
  <si>
    <t>BarrierDates - At maturity</t>
  </si>
  <si>
    <t>UpOut 270 260</t>
  </si>
  <si>
    <t>Spot (S) - DIV</t>
  </si>
  <si>
    <t>Correlation (FX, Spot)</t>
  </si>
  <si>
    <t>Quanto factor</t>
  </si>
  <si>
    <t>Volatility FX (ATM)</t>
  </si>
  <si>
    <t>Modified Spot</t>
  </si>
  <si>
    <t>Risk-free Rate (d)</t>
  </si>
  <si>
    <t>Risk-free Rate (f)</t>
  </si>
  <si>
    <t>Murex (CS)</t>
  </si>
  <si>
    <t>Forward price</t>
  </si>
  <si>
    <t>Murex (CS=No)</t>
  </si>
  <si>
    <t>UI vs Theory, %</t>
  </si>
  <si>
    <t>FX forward</t>
  </si>
  <si>
    <t>FX swap points</t>
  </si>
  <si>
    <t>Repo rate</t>
  </si>
  <si>
    <t>Discount Rate (d)</t>
  </si>
  <si>
    <t>RUB XCCY</t>
  </si>
  <si>
    <t>Capitalized Rate (f)</t>
  </si>
  <si>
    <t>Modified Vol</t>
  </si>
  <si>
    <t>Murex(CS)</t>
  </si>
  <si>
    <t>Call/Put parity</t>
  </si>
  <si>
    <t>C-P</t>
  </si>
  <si>
    <t>C+P</t>
  </si>
  <si>
    <t>Nominal * exp(-rT)</t>
  </si>
  <si>
    <t>Digital call/put parity</t>
  </si>
  <si>
    <t>Forward FX price</t>
  </si>
  <si>
    <t>USD FRA</t>
  </si>
  <si>
    <t>MUREX - Vanilla quanto</t>
  </si>
  <si>
    <t>MUREX - Digital quanto</t>
  </si>
  <si>
    <t>MUREX - Vanilla composite</t>
  </si>
  <si>
    <t>MUREX - Digital composite</t>
  </si>
  <si>
    <t>Notional,
USD</t>
  </si>
  <si>
    <t>Theory,
USD</t>
  </si>
  <si>
    <t>Spot (S) - DIV, $</t>
  </si>
  <si>
    <t>Strike Price (X), $</t>
  </si>
  <si>
    <t>The volatility value is based on the Strike (RUB) = Strike (USD) * Quanto Factor = 248</t>
  </si>
  <si>
    <t>For MTM PV / Sim PV calculations the discount curves are always used</t>
  </si>
  <si>
    <t>Switched to USD LIBOR 3M</t>
  </si>
  <si>
    <t>USD FED Funds curve switched to USD FRA (as in Nx CVA) and Linear</t>
  </si>
  <si>
    <t>Murex value</t>
  </si>
  <si>
    <t>The volatility value is based on the Strike (RUB) = Strike (USD) * FX forward = 273</t>
  </si>
  <si>
    <t>Forward Price, $</t>
  </si>
  <si>
    <t>Forward price theor.</t>
  </si>
  <si>
    <t>Forward price, $</t>
  </si>
  <si>
    <t>MUREX price</t>
  </si>
  <si>
    <t>Digital call Price</t>
  </si>
  <si>
    <t>Call Price normal (for 1 stock)</t>
  </si>
  <si>
    <t>Call Price moded (for 1 stock)</t>
  </si>
  <si>
    <t>Digital call Price, $</t>
  </si>
  <si>
    <t>MUREX</t>
  </si>
  <si>
    <t>MUREX - Digital put</t>
  </si>
  <si>
    <t>Strike</t>
  </si>
  <si>
    <t>Dividend, $</t>
  </si>
  <si>
    <t>Taxes are applied for dividends</t>
  </si>
  <si>
    <t>NxCVA diff, %</t>
  </si>
  <si>
    <t>NxCVA/Murex diff, %</t>
  </si>
  <si>
    <t>Premium in other ccy, Delivery</t>
  </si>
  <si>
    <t>Delivery, In nominal = Yes</t>
  </si>
  <si>
    <t>American</t>
  </si>
  <si>
    <t>In Nominal = Yes</t>
  </si>
  <si>
    <t>Premium in other ccy</t>
  </si>
  <si>
    <t>Vega (1% vol chng), $</t>
  </si>
  <si>
    <t>Дельта - это то, какую позицию в $ в акциях нужно взять для нулевой чувствительности к акции</t>
  </si>
  <si>
    <t>Delta (=derivative * Spot), $</t>
  </si>
  <si>
    <t>Portfolio simulation as of past date by trade</t>
  </si>
  <si>
    <t>OPT_VANILLA_AO</t>
  </si>
  <si>
    <t>MX original number</t>
  </si>
  <si>
    <t>Vol</t>
  </si>
  <si>
    <t>Quantity</t>
  </si>
  <si>
    <t>Discount Rate</t>
  </si>
  <si>
    <t>Repo Rate</t>
  </si>
  <si>
    <t>Ucur</t>
  </si>
  <si>
    <t>Cur</t>
  </si>
  <si>
    <t>MV USD</t>
  </si>
  <si>
    <t>CashDelta</t>
  </si>
  <si>
    <t>Gamma</t>
  </si>
  <si>
    <t>Vega</t>
  </si>
  <si>
    <t>Theta</t>
  </si>
  <si>
    <t>Rho</t>
  </si>
  <si>
    <t>DivSns</t>
  </si>
  <si>
    <t xml:space="preserve">Total </t>
  </si>
  <si>
    <t>MX Trade Number</t>
  </si>
  <si>
    <t>ZakharovAleksey-EQgreekstest</t>
  </si>
  <si>
    <t>Counterparty Code</t>
  </si>
  <si>
    <t>Instrument type</t>
  </si>
  <si>
    <t>Contract Number</t>
  </si>
  <si>
    <t>OriginalNumber</t>
  </si>
  <si>
    <t>Trade Date</t>
  </si>
  <si>
    <t>Maturity Date</t>
  </si>
  <si>
    <t>LSIAN</t>
  </si>
  <si>
    <t>EquityOption</t>
  </si>
  <si>
    <t>EquityOptionBarrier</t>
  </si>
  <si>
    <t>EquityForward</t>
  </si>
  <si>
    <t>22512343_1</t>
  </si>
  <si>
    <t>Налоги учтены, продисконтированы по Репо ставке</t>
  </si>
  <si>
    <t>DF REPO</t>
  </si>
  <si>
    <t>PV REPO RATE</t>
  </si>
  <si>
    <t>Ex Dividend Date</t>
  </si>
  <si>
    <t>Pay Date</t>
  </si>
  <si>
    <t>Amount</t>
  </si>
  <si>
    <t>Tax</t>
  </si>
  <si>
    <t>Tax Part</t>
  </si>
  <si>
    <t>Net Amount</t>
  </si>
  <si>
    <t>Rub: XCCY</t>
  </si>
  <si>
    <t>DF</t>
  </si>
  <si>
    <t>NxCVA</t>
  </si>
  <si>
    <t>Theory Delta</t>
  </si>
  <si>
    <t>Time</t>
  </si>
  <si>
    <t>Date</t>
  </si>
  <si>
    <t>RepoRate</t>
  </si>
  <si>
    <t>ForwardPrice</t>
  </si>
  <si>
    <t>Theory Vega</t>
  </si>
  <si>
    <t>Theory Calc diff,%</t>
  </si>
  <si>
    <t>Trade</t>
  </si>
  <si>
    <t>ValueType</t>
  </si>
  <si>
    <t>Scope</t>
  </si>
  <si>
    <t>WhatIf</t>
  </si>
  <si>
    <t>Trader</t>
  </si>
  <si>
    <t>Desk</t>
  </si>
  <si>
    <t>Cpty</t>
  </si>
  <si>
    <t>Portfolio</t>
  </si>
  <si>
    <t>FactorType</t>
  </si>
  <si>
    <t>NettingSet</t>
  </si>
  <si>
    <t>Base</t>
  </si>
  <si>
    <t>Eq delta - GAZP RUB</t>
  </si>
  <si>
    <t>Eq vega - GAZP RUB</t>
  </si>
  <si>
    <t>TradeDetails</t>
  </si>
  <si>
    <t>Delta</t>
  </si>
  <si>
    <t>NmxCVA diff,%</t>
  </si>
  <si>
    <t>Nx CVA 1.36</t>
  </si>
  <si>
    <t>Quantity * (S*exp([repo - r]*T)-K*exp(-rT))</t>
  </si>
  <si>
    <t>delta</t>
  </si>
  <si>
    <t>vega</t>
  </si>
  <si>
    <t>Shifted Spot</t>
  </si>
  <si>
    <t>Shifted Vol</t>
  </si>
  <si>
    <t>Shifted vol</t>
  </si>
  <si>
    <t>Spot,$</t>
  </si>
  <si>
    <t>Murex CashDelta</t>
  </si>
  <si>
    <t>Murex MTM, $</t>
  </si>
  <si>
    <t>NmxCVA Sim PV, $</t>
  </si>
  <si>
    <t>Risk Free Rate</t>
  </si>
  <si>
    <t>Strike Price</t>
  </si>
  <si>
    <t>Forward Price, rub</t>
  </si>
  <si>
    <t>NmxCVA theoretical</t>
  </si>
  <si>
    <t>NmxCVA 1.36</t>
  </si>
  <si>
    <t>Price MTM,$</t>
  </si>
  <si>
    <t>Forward Price</t>
  </si>
  <si>
    <t>Diff theor,%</t>
  </si>
  <si>
    <t>Diff NmxCVA,%</t>
  </si>
  <si>
    <t>Price Sim PV,$</t>
  </si>
  <si>
    <t>Correl (GAZP RUB, USDRUB)</t>
  </si>
  <si>
    <t>theoretical delta</t>
  </si>
  <si>
    <t>theoretical vega</t>
  </si>
  <si>
    <t>Modified Forward</t>
  </si>
  <si>
    <t>Волатильность берется из страйка Strike*USDRUBspot</t>
  </si>
  <si>
    <t>Волатильность берется из страйка Strike*QuantoFactor</t>
  </si>
  <si>
    <t>Mx</t>
  </si>
  <si>
    <t>Difference</t>
  </si>
  <si>
    <t>Quanto vanilla</t>
  </si>
  <si>
    <t>Quanto digital</t>
  </si>
  <si>
    <t>Composite vanilla</t>
  </si>
  <si>
    <t>Composite digital</t>
  </si>
  <si>
    <t>Correlation (USD/RUB, GAZP RUB) = 0</t>
  </si>
  <si>
    <t>Murex Vega</t>
  </si>
  <si>
    <t>Vol from Nmxcva 1.36</t>
  </si>
  <si>
    <t>22512650_put</t>
  </si>
  <si>
    <t>22512650_call</t>
  </si>
  <si>
    <t>Forward</t>
  </si>
  <si>
    <t>Corr=1</t>
  </si>
  <si>
    <t>Theoretical price</t>
  </si>
  <si>
    <t>NmxCVA price</t>
  </si>
  <si>
    <t>Call - Put</t>
  </si>
  <si>
    <t>22512640_call</t>
  </si>
  <si>
    <t>22512640_put</t>
  </si>
  <si>
    <t>SimPV from NxCVA with corr =0.5</t>
  </si>
  <si>
    <t>Diff</t>
  </si>
  <si>
    <t>SimPV from NxCVA with corr = 0.5</t>
  </si>
  <si>
    <t>Price of 1 option</t>
  </si>
  <si>
    <t>Corr</t>
  </si>
  <si>
    <t>Murex price with corr=0.5</t>
  </si>
  <si>
    <t>Correlation (USD/RUB, GAZP RUB) = 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</si>
</sst>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3" formatCode="_-* #,##0.00_-;\-* #,##0.00_-;_-* &quot;-&quot;??_-;_-@_-"/>
    <numFmt numFmtId="164" formatCode="0.00000"/>
    <numFmt numFmtId="165" formatCode="0.000"/>
    <numFmt numFmtId="166" formatCode="_-* #,##0_-;\-* #,##0_-;_-* &quot;-&quot;??_-;_-@_-"/>
    <numFmt numFmtId="167" formatCode="0.0"/>
    <numFmt numFmtId="168" formatCode="0.0000%"/>
    <numFmt numFmtId="169" formatCode="#,##0\ _р"/>
    <numFmt numFmtId="170" formatCode="_-* #,##0\ _р_-;\-* #,##0\ _р_-;_-* &quot;-&quot;\ _р_-;_-@_-"/>
    <numFmt numFmtId="171" formatCode="0.0000000"/>
    <numFmt numFmtId="172" formatCode="0.000%"/>
    <numFmt numFmtId="173" formatCode="_-* #,##0.00_₽_-;\-* #,##0.00_₽_-;_-* &quot;-&quot;??_₽_-;_-@_-"/>
    <numFmt numFmtId="174" formatCode="0.0000"/>
    <numFmt numFmtId="175" formatCode="0.0%"/>
    <numFmt numFmtId="176" formatCode="_-* #,##0.0_-;\-* #,##0.0_-;_-* &quot;-&quot;??_-;_-@_-"/>
    <numFmt numFmtId="177" formatCode="_-* #,##0.0000_-;\-* #,##0.0000_-;_-* &quot;-&quot;??_-;_-@_-"/>
    <numFmt numFmtId="178" formatCode="_-* #,##0.000_-;\-* #,##0.000_-;_-* &quot;-&quot;??_-;_-@_-"/>
  </numFmts>
  <fonts count="39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0"/>
      <color indexed="26"/>
      <name val="Arial"/>
      <family val="2"/>
    </font>
    <font>
      <sz val="10"/>
      <color indexed="26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Symbol"/>
      <family val="1"/>
      <charset val="2"/>
    </font>
    <font>
      <sz val="11"/>
      <color indexed="8"/>
      <name val="Calibri"/>
      <family val="2"/>
      <scheme val="minor"/>
    </font>
    <font>
      <sz val="10"/>
      <color indexed="8"/>
      <name val="Tahoma"/>
      <family val="2"/>
    </font>
    <font>
      <sz val="10"/>
      <color indexed="9"/>
      <name val="Tahoma"/>
      <family val="2"/>
    </font>
    <font>
      <sz val="18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b/>
      <sz val="10"/>
      <color indexed="8"/>
      <name val="Tahoma"/>
      <family val="2"/>
      <charset val="204"/>
    </font>
    <font>
      <b/>
      <sz val="12"/>
      <color theme="1"/>
      <name val="Times New Roman"/>
      <family val="1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0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</fills>
  <borders count="69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auto="1"/>
      </top>
      <bottom style="thin">
        <color indexed="64"/>
      </bottom>
      <diagonal/>
    </border>
    <border>
      <left/>
      <right style="double">
        <color indexed="64"/>
      </right>
      <top style="thin">
        <color auto="1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auto="1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7030A0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double">
        <color rgb="FF7030A0"/>
      </right>
      <top style="thin">
        <color indexed="64"/>
      </top>
      <bottom/>
      <diagonal/>
    </border>
    <border>
      <left style="thin">
        <color indexed="64"/>
      </left>
      <right style="double">
        <color rgb="FF7030A0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7030A0"/>
      </bottom>
      <diagonal/>
    </border>
    <border>
      <left style="thin">
        <color indexed="64"/>
      </left>
      <right style="double">
        <color rgb="FF7030A0"/>
      </right>
      <top style="thin">
        <color indexed="64"/>
      </top>
      <bottom style="medium">
        <color rgb="FF7030A0"/>
      </bottom>
      <diagonal/>
    </border>
    <border>
      <left/>
      <right style="thin">
        <color auto="1"/>
      </right>
      <top style="thin">
        <color indexed="64"/>
      </top>
      <bottom style="medium">
        <color rgb="FF7030A0"/>
      </bottom>
      <diagonal/>
    </border>
  </borders>
  <cellStyleXfs count="50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8" borderId="23" applyNumberFormat="0" applyFont="0" applyAlignment="0" applyProtection="0"/>
    <xf numFmtId="0" fontId="11" fillId="0" borderId="0"/>
    <xf numFmtId="0" fontId="14" fillId="0" borderId="0" applyNumberFormat="0" applyFill="0" applyBorder="0" applyAlignment="0" applyProtection="0"/>
    <xf numFmtId="0" fontId="15" fillId="0" borderId="16" applyNumberFormat="0" applyFill="0" applyAlignment="0" applyProtection="0"/>
    <xf numFmtId="0" fontId="16" fillId="0" borderId="17" applyNumberFormat="0" applyFill="0" applyAlignment="0" applyProtection="0"/>
    <xf numFmtId="0" fontId="17" fillId="0" borderId="18" applyNumberFormat="0" applyFill="0" applyAlignment="0" applyProtection="0"/>
    <xf numFmtId="0" fontId="17" fillId="0" borderId="0" applyNumberFormat="0" applyFill="0" applyBorder="0" applyAlignment="0" applyProtection="0"/>
    <xf numFmtId="0" fontId="18" fillId="12" borderId="0" applyNumberFormat="0" applyBorder="0" applyAlignment="0" applyProtection="0"/>
    <xf numFmtId="0" fontId="19" fillId="13" borderId="0" applyNumberFormat="0" applyBorder="0" applyAlignment="0" applyProtection="0"/>
    <xf numFmtId="0" fontId="20" fillId="14" borderId="0" applyNumberFormat="0" applyBorder="0" applyAlignment="0" applyProtection="0"/>
    <xf numFmtId="0" fontId="21" fillId="15" borderId="19" applyNumberFormat="0" applyAlignment="0" applyProtection="0"/>
    <xf numFmtId="0" fontId="22" fillId="16" borderId="20" applyNumberFormat="0" applyAlignment="0" applyProtection="0"/>
    <xf numFmtId="0" fontId="23" fillId="16" borderId="19" applyNumberFormat="0" applyAlignment="0" applyProtection="0"/>
    <xf numFmtId="0" fontId="24" fillId="0" borderId="21" applyNumberFormat="0" applyFill="0" applyAlignment="0" applyProtection="0"/>
    <xf numFmtId="0" fontId="25" fillId="17" borderId="22" applyNumberFormat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24" applyNumberFormat="0" applyFill="0" applyAlignment="0" applyProtection="0"/>
    <xf numFmtId="0" fontId="29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29" fillId="22" borderId="0" applyNumberFormat="0" applyBorder="0" applyAlignment="0" applyProtection="0"/>
    <xf numFmtId="0" fontId="29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9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1" borderId="0" applyNumberFormat="0" applyBorder="0" applyAlignment="0" applyProtection="0"/>
    <xf numFmtId="0" fontId="29" fillId="42" borderId="0" applyNumberFormat="0" applyBorder="0" applyAlignment="0" applyProtection="0"/>
    <xf numFmtId="0" fontId="1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8" borderId="23" applyNumberFormat="0" applyFont="0" applyAlignment="0" applyProtection="0"/>
  </cellStyleXfs>
  <cellXfs count="400">
    <xf numFmtId="0" fontId="0" fillId="0" borderId="0" xfId="0"/>
    <xf numFmtId="2" fontId="8" fillId="4" borderId="0" xfId="0" applyNumberFormat="1" applyFont="1" applyFill="1" applyBorder="1"/>
    <xf numFmtId="10" fontId="8" fillId="4" borderId="0" xfId="0" applyNumberFormat="1" applyFont="1" applyFill="1" applyBorder="1"/>
    <xf numFmtId="3" fontId="8" fillId="4" borderId="0" xfId="0" applyNumberFormat="1" applyFont="1" applyFill="1" applyBorder="1"/>
    <xf numFmtId="0" fontId="8" fillId="3" borderId="0" xfId="0" applyFont="1" applyFill="1" applyBorder="1"/>
    <xf numFmtId="164" fontId="8" fillId="4" borderId="0" xfId="0" applyNumberFormat="1" applyFont="1" applyFill="1" applyBorder="1"/>
    <xf numFmtId="165" fontId="8" fillId="4" borderId="0" xfId="0" applyNumberFormat="1" applyFont="1" applyFill="1" applyBorder="1"/>
    <xf numFmtId="0" fontId="11" fillId="0" borderId="0" xfId="0" applyNumberFormat="1" applyFont="1" applyFill="1" applyBorder="1" applyAlignment="1" applyProtection="1"/>
    <xf numFmtId="0" fontId="0" fillId="0" borderId="0" xfId="0" applyFill="1" applyBorder="1"/>
    <xf numFmtId="0" fontId="10" fillId="0" borderId="0" xfId="0" applyFont="1" applyFill="1" applyBorder="1" applyAlignment="1">
      <alignment horizontal="right"/>
    </xf>
    <xf numFmtId="0" fontId="13" fillId="0" borderId="0" xfId="0" applyFon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5" fillId="2" borderId="14" xfId="0" applyFont="1" applyFill="1" applyBorder="1" applyAlignment="1">
      <alignment horizontal="left"/>
    </xf>
    <xf numFmtId="0" fontId="6" fillId="2" borderId="3" xfId="0" applyFont="1" applyFill="1" applyBorder="1" applyAlignment="1"/>
    <xf numFmtId="0" fontId="6" fillId="2" borderId="2" xfId="0" applyFont="1" applyFill="1" applyBorder="1" applyAlignment="1"/>
    <xf numFmtId="0" fontId="0" fillId="0" borderId="0" xfId="0" applyBorder="1"/>
    <xf numFmtId="0" fontId="0" fillId="0" borderId="7" xfId="0" applyBorder="1"/>
    <xf numFmtId="0" fontId="7" fillId="3" borderId="6" xfId="0" applyFont="1" applyFill="1" applyBorder="1"/>
    <xf numFmtId="0" fontId="8" fillId="3" borderId="5" xfId="0" applyFont="1" applyFill="1" applyBorder="1"/>
    <xf numFmtId="0" fontId="8" fillId="3" borderId="1" xfId="0" applyFont="1" applyFill="1" applyBorder="1"/>
    <xf numFmtId="165" fontId="8" fillId="4" borderId="5" xfId="0" applyNumberFormat="1" applyFont="1" applyFill="1" applyBorder="1"/>
    <xf numFmtId="0" fontId="8" fillId="4" borderId="1" xfId="0" applyFont="1" applyFill="1" applyBorder="1"/>
    <xf numFmtId="0" fontId="8" fillId="4" borderId="8" xfId="0" applyFont="1" applyFill="1" applyBorder="1"/>
    <xf numFmtId="0" fontId="8" fillId="4" borderId="4" xfId="0" applyFont="1" applyFill="1" applyBorder="1"/>
    <xf numFmtId="0" fontId="7" fillId="3" borderId="8" xfId="0" applyFont="1" applyFill="1" applyBorder="1"/>
    <xf numFmtId="0" fontId="8" fillId="3" borderId="4" xfId="0" applyFont="1" applyFill="1" applyBorder="1"/>
    <xf numFmtId="0" fontId="7" fillId="4" borderId="6" xfId="0" applyFont="1" applyFill="1" applyBorder="1"/>
    <xf numFmtId="0" fontId="8" fillId="4" borderId="5" xfId="0" applyFont="1" applyFill="1" applyBorder="1"/>
    <xf numFmtId="166" fontId="7" fillId="4" borderId="5" xfId="1" applyNumberFormat="1" applyFont="1" applyFill="1" applyBorder="1"/>
    <xf numFmtId="0" fontId="0" fillId="0" borderId="8" xfId="0" applyBorder="1"/>
    <xf numFmtId="0" fontId="0" fillId="0" borderId="9" xfId="0" applyBorder="1"/>
    <xf numFmtId="0" fontId="0" fillId="0" borderId="15" xfId="0" applyBorder="1"/>
    <xf numFmtId="0" fontId="0" fillId="0" borderId="10" xfId="0" applyBorder="1"/>
    <xf numFmtId="0" fontId="6" fillId="2" borderId="0" xfId="0" applyFont="1" applyFill="1" applyBorder="1" applyAlignment="1"/>
    <xf numFmtId="0" fontId="0" fillId="10" borderId="12" xfId="0" applyFill="1" applyBorder="1"/>
    <xf numFmtId="0" fontId="0" fillId="0" borderId="8" xfId="0" applyFill="1" applyBorder="1"/>
    <xf numFmtId="0" fontId="0" fillId="0" borderId="8" xfId="0" applyBorder="1" applyAlignment="1">
      <alignment horizontal="left"/>
    </xf>
    <xf numFmtId="166" fontId="7" fillId="9" borderId="0" xfId="1" applyNumberFormat="1" applyFont="1" applyFill="1" applyBorder="1"/>
    <xf numFmtId="0" fontId="8" fillId="11" borderId="8" xfId="0" applyFont="1" applyFill="1" applyBorder="1"/>
    <xf numFmtId="2" fontId="8" fillId="11" borderId="0" xfId="0" applyNumberFormat="1" applyFont="1" applyFill="1" applyBorder="1"/>
    <xf numFmtId="10" fontId="8" fillId="11" borderId="0" xfId="0" applyNumberFormat="1" applyFont="1" applyFill="1" applyBorder="1"/>
    <xf numFmtId="168" fontId="8" fillId="11" borderId="0" xfId="2" applyNumberFormat="1" applyFont="1" applyFill="1" applyBorder="1"/>
    <xf numFmtId="165" fontId="8" fillId="11" borderId="0" xfId="0" applyNumberFormat="1" applyFont="1" applyFill="1" applyBorder="1"/>
    <xf numFmtId="164" fontId="8" fillId="11" borderId="0" xfId="0" applyNumberFormat="1" applyFont="1" applyFill="1" applyBorder="1"/>
    <xf numFmtId="166" fontId="7" fillId="11" borderId="5" xfId="1" applyNumberFormat="1" applyFont="1" applyFill="1" applyBorder="1"/>
    <xf numFmtId="166" fontId="7" fillId="11" borderId="0" xfId="1" applyNumberFormat="1" applyFont="1" applyFill="1" applyBorder="1"/>
    <xf numFmtId="2" fontId="8" fillId="11" borderId="5" xfId="0" applyNumberFormat="1" applyFont="1" applyFill="1" applyBorder="1"/>
    <xf numFmtId="0" fontId="8" fillId="11" borderId="6" xfId="0" applyFont="1" applyFill="1" applyBorder="1"/>
    <xf numFmtId="2" fontId="0" fillId="0" borderId="0" xfId="0" applyNumberFormat="1" applyBorder="1"/>
    <xf numFmtId="167" fontId="11" fillId="0" borderId="0" xfId="0" applyNumberFormat="1" applyFont="1" applyFill="1" applyBorder="1" applyAlignment="1" applyProtection="1"/>
    <xf numFmtId="2" fontId="0" fillId="0" borderId="0" xfId="0" applyNumberFormat="1" applyFill="1" applyBorder="1"/>
    <xf numFmtId="166" fontId="8" fillId="11" borderId="0" xfId="1" applyNumberFormat="1" applyFont="1" applyFill="1" applyBorder="1"/>
    <xf numFmtId="166" fontId="0" fillId="0" borderId="0" xfId="1" applyNumberFormat="1" applyFont="1" applyBorder="1"/>
    <xf numFmtId="0" fontId="11" fillId="0" borderId="0" xfId="4"/>
    <xf numFmtId="0" fontId="11" fillId="6" borderId="0" xfId="4" applyFont="1" applyFill="1" applyBorder="1" applyAlignment="1">
      <alignment horizontal="right"/>
    </xf>
    <xf numFmtId="165" fontId="0" fillId="0" borderId="0" xfId="0" applyNumberFormat="1" applyBorder="1" applyAlignment="1">
      <alignment horizontal="right" vertical="center"/>
    </xf>
    <xf numFmtId="14" fontId="11" fillId="6" borderId="0" xfId="4" applyNumberFormat="1" applyFont="1" applyFill="1" applyBorder="1" applyAlignment="1">
      <alignment horizontal="right"/>
    </xf>
    <xf numFmtId="0" fontId="11" fillId="6" borderId="31" xfId="4" applyFont="1" applyFill="1" applyBorder="1" applyAlignment="1">
      <alignment horizontal="right"/>
    </xf>
    <xf numFmtId="0" fontId="11" fillId="6" borderId="32" xfId="4" applyFont="1" applyFill="1" applyBorder="1" applyAlignment="1">
      <alignment horizontal="right"/>
    </xf>
    <xf numFmtId="0" fontId="11" fillId="6" borderId="33" xfId="4" applyFont="1" applyFill="1" applyBorder="1" applyAlignment="1">
      <alignment horizontal="right"/>
    </xf>
    <xf numFmtId="0" fontId="11" fillId="6" borderId="34" xfId="4" applyFont="1" applyFill="1" applyBorder="1" applyAlignment="1">
      <alignment horizontal="right"/>
    </xf>
    <xf numFmtId="0" fontId="11" fillId="7" borderId="35" xfId="4" applyFont="1" applyFill="1" applyBorder="1" applyAlignment="1">
      <alignment horizontal="right"/>
    </xf>
    <xf numFmtId="0" fontId="12" fillId="8" borderId="35" xfId="4" applyFont="1" applyFill="1" applyBorder="1" applyAlignment="1">
      <alignment horizontal="left"/>
    </xf>
    <xf numFmtId="0" fontId="11" fillId="7" borderId="36" xfId="4" applyFont="1" applyFill="1" applyBorder="1" applyAlignment="1">
      <alignment horizontal="right"/>
    </xf>
    <xf numFmtId="0" fontId="12" fillId="8" borderId="36" xfId="4" applyFont="1" applyFill="1" applyBorder="1" applyAlignment="1">
      <alignment horizontal="left"/>
    </xf>
    <xf numFmtId="0" fontId="11" fillId="7" borderId="37" xfId="4" applyFont="1" applyFill="1" applyBorder="1" applyAlignment="1">
      <alignment horizontal="right"/>
    </xf>
    <xf numFmtId="0" fontId="12" fillId="8" borderId="37" xfId="4" applyFont="1" applyFill="1" applyBorder="1" applyAlignment="1">
      <alignment horizontal="left"/>
    </xf>
    <xf numFmtId="0" fontId="12" fillId="5" borderId="35" xfId="4" applyFont="1" applyFill="1" applyBorder="1" applyAlignment="1">
      <alignment horizontal="left"/>
    </xf>
    <xf numFmtId="0" fontId="12" fillId="5" borderId="36" xfId="4" applyFont="1" applyFill="1" applyBorder="1" applyAlignment="1">
      <alignment horizontal="left"/>
    </xf>
    <xf numFmtId="0" fontId="11" fillId="6" borderId="38" xfId="4" applyFont="1" applyFill="1" applyBorder="1" applyAlignment="1">
      <alignment horizontal="right"/>
    </xf>
    <xf numFmtId="0" fontId="12" fillId="5" borderId="35" xfId="4" applyFont="1" applyFill="1" applyBorder="1" applyAlignment="1">
      <alignment horizontal="right"/>
    </xf>
    <xf numFmtId="0" fontId="12" fillId="5" borderId="36" xfId="4" applyFont="1" applyFill="1" applyBorder="1" applyAlignment="1">
      <alignment horizontal="right"/>
    </xf>
    <xf numFmtId="0" fontId="11" fillId="6" borderId="39" xfId="4" applyFont="1" applyFill="1" applyBorder="1" applyAlignment="1">
      <alignment horizontal="right"/>
    </xf>
    <xf numFmtId="0" fontId="11" fillId="6" borderId="40" xfId="4" applyFont="1" applyFill="1" applyBorder="1" applyAlignment="1">
      <alignment horizontal="right"/>
    </xf>
    <xf numFmtId="0" fontId="11" fillId="6" borderId="41" xfId="4" applyFont="1" applyFill="1" applyBorder="1" applyAlignment="1">
      <alignment horizontal="right"/>
    </xf>
    <xf numFmtId="0" fontId="12" fillId="5" borderId="37" xfId="4" applyFont="1" applyFill="1" applyBorder="1" applyAlignment="1">
      <alignment horizontal="right"/>
    </xf>
    <xf numFmtId="0" fontId="12" fillId="5" borderId="42" xfId="4" applyFont="1" applyFill="1" applyBorder="1" applyAlignment="1">
      <alignment horizontal="right"/>
    </xf>
    <xf numFmtId="0" fontId="12" fillId="5" borderId="43" xfId="4" applyFont="1" applyFill="1" applyBorder="1" applyAlignment="1">
      <alignment horizontal="right"/>
    </xf>
    <xf numFmtId="0" fontId="12" fillId="5" borderId="44" xfId="4" applyFont="1" applyFill="1" applyBorder="1" applyAlignment="1">
      <alignment horizontal="right"/>
    </xf>
    <xf numFmtId="0" fontId="12" fillId="5" borderId="37" xfId="4" applyFont="1" applyFill="1" applyBorder="1" applyAlignment="1">
      <alignment horizontal="left"/>
    </xf>
    <xf numFmtId="0" fontId="11" fillId="7" borderId="40" xfId="4" applyFont="1" applyFill="1" applyBorder="1" applyAlignment="1">
      <alignment horizontal="right"/>
    </xf>
    <xf numFmtId="0" fontId="11" fillId="7" borderId="42" xfId="4" applyFont="1" applyFill="1" applyBorder="1" applyAlignment="1">
      <alignment horizontal="right"/>
    </xf>
    <xf numFmtId="0" fontId="11" fillId="7" borderId="43" xfId="4" applyFont="1" applyFill="1" applyBorder="1" applyAlignment="1">
      <alignment horizontal="right"/>
    </xf>
    <xf numFmtId="0" fontId="11" fillId="7" borderId="44" xfId="4" applyFont="1" applyFill="1" applyBorder="1" applyAlignment="1">
      <alignment horizontal="right"/>
    </xf>
    <xf numFmtId="14" fontId="11" fillId="6" borderId="40" xfId="4" applyNumberFormat="1" applyFont="1" applyFill="1" applyBorder="1" applyAlignment="1">
      <alignment horizontal="right"/>
    </xf>
    <xf numFmtId="14" fontId="11" fillId="6" borderId="34" xfId="4" applyNumberFormat="1" applyFont="1" applyFill="1" applyBorder="1" applyAlignment="1">
      <alignment horizontal="right"/>
    </xf>
    <xf numFmtId="14" fontId="11" fillId="6" borderId="32" xfId="4" applyNumberFormat="1" applyFont="1" applyFill="1" applyBorder="1" applyAlignment="1">
      <alignment horizontal="right"/>
    </xf>
    <xf numFmtId="14" fontId="11" fillId="0" borderId="0" xfId="4" applyNumberFormat="1"/>
    <xf numFmtId="14" fontId="11" fillId="6" borderId="41" xfId="4" applyNumberFormat="1" applyFont="1" applyFill="1" applyBorder="1" applyAlignment="1">
      <alignment horizontal="right"/>
    </xf>
    <xf numFmtId="14" fontId="11" fillId="6" borderId="38" xfId="4" applyNumberFormat="1" applyFont="1" applyFill="1" applyBorder="1" applyAlignment="1">
      <alignment horizontal="right"/>
    </xf>
    <xf numFmtId="14" fontId="11" fillId="6" borderId="39" xfId="4" applyNumberFormat="1" applyFont="1" applyFill="1" applyBorder="1" applyAlignment="1">
      <alignment horizontal="right"/>
    </xf>
    <xf numFmtId="14" fontId="11" fillId="6" borderId="33" xfId="4" applyNumberFormat="1" applyFont="1" applyFill="1" applyBorder="1" applyAlignment="1">
      <alignment horizontal="right"/>
    </xf>
    <xf numFmtId="14" fontId="11" fillId="6" borderId="31" xfId="4" applyNumberFormat="1" applyFont="1" applyFill="1" applyBorder="1" applyAlignment="1">
      <alignment horizontal="right"/>
    </xf>
    <xf numFmtId="14" fontId="12" fillId="5" borderId="37" xfId="4" applyNumberFormat="1" applyFont="1" applyFill="1" applyBorder="1" applyAlignment="1">
      <alignment horizontal="right"/>
    </xf>
    <xf numFmtId="14" fontId="12" fillId="5" borderId="36" xfId="4" applyNumberFormat="1" applyFont="1" applyFill="1" applyBorder="1" applyAlignment="1">
      <alignment horizontal="right"/>
    </xf>
    <xf numFmtId="14" fontId="12" fillId="5" borderId="35" xfId="4" applyNumberFormat="1" applyFont="1" applyFill="1" applyBorder="1" applyAlignment="1">
      <alignment horizontal="right"/>
    </xf>
    <xf numFmtId="0" fontId="7" fillId="4" borderId="0" xfId="0" applyFont="1" applyFill="1" applyBorder="1"/>
    <xf numFmtId="166" fontId="7" fillId="11" borderId="5" xfId="1" applyNumberFormat="1" applyFont="1" applyFill="1" applyBorder="1" applyAlignment="1">
      <alignment horizontal="left"/>
    </xf>
    <xf numFmtId="0" fontId="0" fillId="0" borderId="45" xfId="0" applyBorder="1"/>
    <xf numFmtId="0" fontId="28" fillId="0" borderId="48" xfId="0" applyFont="1" applyBorder="1"/>
    <xf numFmtId="0" fontId="28" fillId="0" borderId="26" xfId="0" applyFont="1" applyBorder="1"/>
    <xf numFmtId="0" fontId="28" fillId="0" borderId="25" xfId="0" applyFont="1" applyBorder="1"/>
    <xf numFmtId="0" fontId="28" fillId="0" borderId="49" xfId="0" applyFont="1" applyBorder="1"/>
    <xf numFmtId="0" fontId="28" fillId="0" borderId="27" xfId="0" applyFont="1" applyBorder="1"/>
    <xf numFmtId="0" fontId="30" fillId="0" borderId="45" xfId="0" applyFont="1" applyBorder="1"/>
    <xf numFmtId="0" fontId="7" fillId="4" borderId="8" xfId="0" applyFont="1" applyFill="1" applyBorder="1"/>
    <xf numFmtId="0" fontId="7" fillId="4" borderId="41" xfId="0" applyFont="1" applyFill="1" applyBorder="1"/>
    <xf numFmtId="0" fontId="8" fillId="4" borderId="31" xfId="0" applyFont="1" applyFill="1" applyBorder="1"/>
    <xf numFmtId="0" fontId="0" fillId="0" borderId="0" xfId="0"/>
    <xf numFmtId="169" fontId="0" fillId="0" borderId="0" xfId="0" applyNumberFormat="1"/>
    <xf numFmtId="0" fontId="3" fillId="0" borderId="45" xfId="0" applyFont="1" applyBorder="1"/>
    <xf numFmtId="169" fontId="0" fillId="0" borderId="50" xfId="0" applyNumberFormat="1" applyBorder="1"/>
    <xf numFmtId="0" fontId="0" fillId="0" borderId="0" xfId="0"/>
    <xf numFmtId="0" fontId="5" fillId="2" borderId="51" xfId="0" applyFont="1" applyFill="1" applyBorder="1" applyAlignment="1">
      <alignment horizontal="left"/>
    </xf>
    <xf numFmtId="0" fontId="7" fillId="3" borderId="52" xfId="0" applyFont="1" applyFill="1" applyBorder="1"/>
    <xf numFmtId="0" fontId="6" fillId="0" borderId="0" xfId="0" applyFont="1" applyFill="1" applyBorder="1" applyAlignment="1"/>
    <xf numFmtId="0" fontId="8" fillId="11" borderId="52" xfId="0" applyFont="1" applyFill="1" applyBorder="1"/>
    <xf numFmtId="2" fontId="8" fillId="11" borderId="41" xfId="0" applyNumberFormat="1" applyFont="1" applyFill="1" applyBorder="1"/>
    <xf numFmtId="0" fontId="8" fillId="0" borderId="0" xfId="0" applyFont="1" applyFill="1" applyBorder="1"/>
    <xf numFmtId="2" fontId="8" fillId="11" borderId="0" xfId="2" applyNumberFormat="1" applyFont="1" applyFill="1" applyBorder="1"/>
    <xf numFmtId="10" fontId="8" fillId="11" borderId="0" xfId="2" applyNumberFormat="1" applyFont="1" applyFill="1" applyBorder="1"/>
    <xf numFmtId="0" fontId="7" fillId="4" borderId="52" xfId="0" applyFont="1" applyFill="1" applyBorder="1"/>
    <xf numFmtId="166" fontId="7" fillId="43" borderId="41" xfId="1" applyNumberFormat="1" applyFont="1" applyFill="1" applyBorder="1"/>
    <xf numFmtId="2" fontId="0" fillId="0" borderId="0" xfId="0" applyNumberFormat="1" applyBorder="1" applyAlignment="1">
      <alignment horizontal="right" vertical="center"/>
    </xf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166" fontId="0" fillId="0" borderId="0" xfId="1" applyNumberFormat="1" applyFont="1" applyFill="1" applyBorder="1"/>
    <xf numFmtId="166" fontId="0" fillId="0" borderId="0" xfId="0" applyNumberFormat="1" applyFill="1" applyBorder="1"/>
    <xf numFmtId="169" fontId="0" fillId="0" borderId="53" xfId="0" applyNumberFormat="1" applyBorder="1"/>
    <xf numFmtId="169" fontId="0" fillId="0" borderId="45" xfId="0" applyNumberFormat="1" applyBorder="1"/>
    <xf numFmtId="0" fontId="28" fillId="0" borderId="54" xfId="0" applyFont="1" applyBorder="1"/>
    <xf numFmtId="2" fontId="0" fillId="0" borderId="0" xfId="0" applyNumberFormat="1"/>
    <xf numFmtId="10" fontId="0" fillId="0" borderId="0" xfId="0" applyNumberFormat="1"/>
    <xf numFmtId="166" fontId="0" fillId="43" borderId="0" xfId="0" applyNumberFormat="1" applyFill="1" applyBorder="1"/>
    <xf numFmtId="2" fontId="26" fillId="0" borderId="0" xfId="0" applyNumberFormat="1" applyFont="1"/>
    <xf numFmtId="0" fontId="28" fillId="0" borderId="0" xfId="0" applyFont="1"/>
    <xf numFmtId="0" fontId="0" fillId="0" borderId="47" xfId="0" applyBorder="1"/>
    <xf numFmtId="0" fontId="30" fillId="0" borderId="47" xfId="0" applyFont="1" applyBorder="1"/>
    <xf numFmtId="0" fontId="0" fillId="0" borderId="0" xfId="0"/>
    <xf numFmtId="0" fontId="0" fillId="9" borderId="0" xfId="0" applyFill="1" applyBorder="1"/>
    <xf numFmtId="169" fontId="0" fillId="0" borderId="0" xfId="0" applyNumberFormat="1" applyFill="1"/>
    <xf numFmtId="169" fontId="0" fillId="0" borderId="50" xfId="0" applyNumberFormat="1" applyFill="1" applyBorder="1"/>
    <xf numFmtId="0" fontId="28" fillId="0" borderId="8" xfId="0" applyFont="1" applyFill="1" applyBorder="1"/>
    <xf numFmtId="0" fontId="28" fillId="0" borderId="7" xfId="0" applyFont="1" applyFill="1" applyBorder="1"/>
    <xf numFmtId="3" fontId="0" fillId="43" borderId="9" xfId="0" applyNumberFormat="1" applyFill="1" applyBorder="1"/>
    <xf numFmtId="166" fontId="0" fillId="43" borderId="10" xfId="1" applyNumberFormat="1" applyFont="1" applyFill="1" applyBorder="1"/>
    <xf numFmtId="166" fontId="0" fillId="43" borderId="7" xfId="1" applyNumberFormat="1" applyFont="1" applyFill="1" applyBorder="1"/>
    <xf numFmtId="169" fontId="0" fillId="0" borderId="45" xfId="0" applyNumberFormat="1" applyFill="1" applyBorder="1"/>
    <xf numFmtId="2" fontId="0" fillId="0" borderId="0" xfId="0" applyNumberFormat="1" applyFill="1"/>
    <xf numFmtId="171" fontId="8" fillId="11" borderId="0" xfId="0" applyNumberFormat="1" applyFont="1" applyFill="1" applyBorder="1"/>
    <xf numFmtId="0" fontId="33" fillId="11" borderId="0" xfId="0" applyFont="1" applyFill="1" applyBorder="1" applyAlignment="1">
      <alignment horizontal="left" vertical="center"/>
    </xf>
    <xf numFmtId="0" fontId="33" fillId="11" borderId="8" xfId="0" applyFont="1" applyFill="1" applyBorder="1"/>
    <xf numFmtId="166" fontId="33" fillId="9" borderId="0" xfId="1" applyNumberFormat="1" applyFont="1" applyFill="1" applyBorder="1" applyAlignment="1">
      <alignment horizontal="right" vertical="center"/>
    </xf>
    <xf numFmtId="0" fontId="7" fillId="11" borderId="8" xfId="0" applyFont="1" applyFill="1" applyBorder="1"/>
    <xf numFmtId="0" fontId="0" fillId="11" borderId="33" xfId="0" applyFill="1" applyBorder="1"/>
    <xf numFmtId="166" fontId="7" fillId="9" borderId="33" xfId="1" applyNumberFormat="1" applyFont="1" applyFill="1" applyBorder="1"/>
    <xf numFmtId="0" fontId="0" fillId="0" borderId="55" xfId="0" applyBorder="1"/>
    <xf numFmtId="0" fontId="0" fillId="0" borderId="38" xfId="0" applyBorder="1"/>
    <xf numFmtId="0" fontId="0" fillId="0" borderId="56" xfId="0" applyBorder="1"/>
    <xf numFmtId="0" fontId="0" fillId="0" borderId="33" xfId="0" applyBorder="1"/>
    <xf numFmtId="0" fontId="0" fillId="0" borderId="31" xfId="0" applyBorder="1"/>
    <xf numFmtId="0" fontId="8" fillId="4" borderId="39" xfId="0" applyFont="1" applyFill="1" applyBorder="1"/>
    <xf numFmtId="3" fontId="8" fillId="11" borderId="0" xfId="0" applyNumberFormat="1" applyFont="1" applyFill="1" applyBorder="1"/>
    <xf numFmtId="0" fontId="8" fillId="9" borderId="4" xfId="0" applyFont="1" applyFill="1" applyBorder="1"/>
    <xf numFmtId="166" fontId="7" fillId="11" borderId="41" xfId="1" applyNumberFormat="1" applyFont="1" applyFill="1" applyBorder="1"/>
    <xf numFmtId="0" fontId="7" fillId="4" borderId="34" xfId="0" applyFont="1" applyFill="1" applyBorder="1"/>
    <xf numFmtId="0" fontId="5" fillId="2" borderId="44" xfId="0" applyFont="1" applyFill="1" applyBorder="1" applyAlignment="1">
      <alignment horizontal="left"/>
    </xf>
    <xf numFmtId="0" fontId="7" fillId="3" borderId="41" xfId="0" applyFont="1" applyFill="1" applyBorder="1"/>
    <xf numFmtId="0" fontId="8" fillId="11" borderId="41" xfId="0" applyFont="1" applyFill="1" applyBorder="1"/>
    <xf numFmtId="0" fontId="8" fillId="11" borderId="0" xfId="0" applyFont="1" applyFill="1" applyBorder="1"/>
    <xf numFmtId="0" fontId="8" fillId="4" borderId="0" xfId="0" applyFont="1" applyFill="1" applyBorder="1"/>
    <xf numFmtId="0" fontId="7" fillId="3" borderId="0" xfId="0" applyFont="1" applyFill="1" applyBorder="1"/>
    <xf numFmtId="0" fontId="33" fillId="11" borderId="0" xfId="0" applyFont="1" applyFill="1" applyBorder="1"/>
    <xf numFmtId="0" fontId="0" fillId="0" borderId="0" xfId="0" applyBorder="1" applyAlignment="1">
      <alignment horizontal="left"/>
    </xf>
    <xf numFmtId="0" fontId="0" fillId="0" borderId="60" xfId="0" applyBorder="1"/>
    <xf numFmtId="2" fontId="8" fillId="4" borderId="5" xfId="0" applyNumberFormat="1" applyFont="1" applyFill="1" applyBorder="1"/>
    <xf numFmtId="166" fontId="7" fillId="11" borderId="39" xfId="1" applyNumberFormat="1" applyFont="1" applyFill="1" applyBorder="1"/>
    <xf numFmtId="0" fontId="33" fillId="0" borderId="48" xfId="0" applyFont="1" applyBorder="1" applyAlignment="1">
      <alignment horizontal="center"/>
    </xf>
    <xf numFmtId="0" fontId="33" fillId="0" borderId="42" xfId="0" applyFont="1" applyBorder="1" applyAlignment="1">
      <alignment horizontal="center"/>
    </xf>
    <xf numFmtId="0" fontId="33" fillId="0" borderId="43" xfId="0" applyFont="1" applyBorder="1" applyAlignment="1">
      <alignment horizontal="center"/>
    </xf>
    <xf numFmtId="0" fontId="33" fillId="0" borderId="54" xfId="0" applyFont="1" applyBorder="1" applyAlignment="1">
      <alignment horizontal="center"/>
    </xf>
    <xf numFmtId="0" fontId="33" fillId="0" borderId="44" xfId="0" applyFont="1" applyBorder="1" applyAlignment="1">
      <alignment horizontal="center"/>
    </xf>
    <xf numFmtId="2" fontId="0" fillId="43" borderId="0" xfId="0" applyNumberFormat="1" applyFill="1" applyBorder="1"/>
    <xf numFmtId="0" fontId="33" fillId="0" borderId="50" xfId="0" applyFont="1" applyBorder="1" applyAlignment="1">
      <alignment horizontal="center" vertical="center"/>
    </xf>
    <xf numFmtId="0" fontId="33" fillId="0" borderId="57" xfId="0" applyFont="1" applyBorder="1" applyAlignment="1">
      <alignment horizontal="center" vertical="center"/>
    </xf>
    <xf numFmtId="166" fontId="0" fillId="43" borderId="0" xfId="1" applyNumberFormat="1" applyFont="1" applyFill="1"/>
    <xf numFmtId="166" fontId="0" fillId="9" borderId="0" xfId="1" applyNumberFormat="1" applyFont="1" applyFill="1" applyBorder="1"/>
    <xf numFmtId="43" fontId="8" fillId="4" borderId="0" xfId="1" applyNumberFormat="1" applyFont="1" applyFill="1" applyBorder="1"/>
    <xf numFmtId="166" fontId="7" fillId="0" borderId="0" xfId="1" applyNumberFormat="1" applyFont="1" applyFill="1" applyBorder="1"/>
    <xf numFmtId="166" fontId="7" fillId="0" borderId="33" xfId="1" applyNumberFormat="1" applyFont="1" applyFill="1" applyBorder="1"/>
    <xf numFmtId="166" fontId="34" fillId="4" borderId="0" xfId="1" applyNumberFormat="1" applyFont="1" applyFill="1" applyBorder="1"/>
    <xf numFmtId="0" fontId="33" fillId="0" borderId="8" xfId="0" applyFont="1" applyBorder="1"/>
    <xf numFmtId="166" fontId="33" fillId="0" borderId="0" xfId="1" applyNumberFormat="1" applyFont="1" applyBorder="1"/>
    <xf numFmtId="168" fontId="0" fillId="0" borderId="0" xfId="0" applyNumberFormat="1" applyBorder="1"/>
    <xf numFmtId="166" fontId="0" fillId="0" borderId="0" xfId="1" applyNumberFormat="1" applyFont="1"/>
    <xf numFmtId="166" fontId="0" fillId="0" borderId="0" xfId="0" applyNumberFormat="1"/>
    <xf numFmtId="172" fontId="0" fillId="0" borderId="0" xfId="0" applyNumberFormat="1" applyBorder="1"/>
    <xf numFmtId="0" fontId="0" fillId="44" borderId="0" xfId="0" applyFill="1"/>
    <xf numFmtId="14" fontId="0" fillId="0" borderId="0" xfId="0" applyNumberFormat="1"/>
    <xf numFmtId="43" fontId="0" fillId="0" borderId="0" xfId="1" applyFont="1"/>
    <xf numFmtId="173" fontId="0" fillId="0" borderId="0" xfId="0" applyNumberFormat="1" applyBorder="1"/>
    <xf numFmtId="0" fontId="0" fillId="0" borderId="0" xfId="0" applyAlignment="1"/>
    <xf numFmtId="173" fontId="7" fillId="11" borderId="5" xfId="1" applyNumberFormat="1" applyFont="1" applyFill="1" applyBorder="1"/>
    <xf numFmtId="0" fontId="0" fillId="0" borderId="0" xfId="0" applyFill="1"/>
    <xf numFmtId="0" fontId="35" fillId="0" borderId="62" xfId="4" applyFont="1" applyBorder="1"/>
    <xf numFmtId="0" fontId="11" fillId="0" borderId="62" xfId="4" applyBorder="1"/>
    <xf numFmtId="0" fontId="0" fillId="0" borderId="62" xfId="0" applyBorder="1"/>
    <xf numFmtId="0" fontId="11" fillId="0" borderId="62" xfId="0" applyNumberFormat="1" applyFont="1" applyFill="1" applyBorder="1" applyAlignment="1" applyProtection="1"/>
    <xf numFmtId="14" fontId="11" fillId="0" borderId="62" xfId="4" applyNumberFormat="1" applyBorder="1"/>
    <xf numFmtId="14" fontId="1" fillId="0" borderId="62" xfId="45" applyNumberFormat="1" applyBorder="1"/>
    <xf numFmtId="164" fontId="1" fillId="0" borderId="62" xfId="45" applyNumberFormat="1" applyBorder="1"/>
    <xf numFmtId="174" fontId="1" fillId="0" borderId="62" xfId="45" applyNumberFormat="1" applyBorder="1"/>
    <xf numFmtId="164" fontId="1" fillId="0" borderId="62" xfId="45" applyNumberFormat="1" applyFill="1" applyBorder="1"/>
    <xf numFmtId="14" fontId="1" fillId="0" borderId="62" xfId="45" applyNumberFormat="1" applyFill="1" applyBorder="1"/>
    <xf numFmtId="14" fontId="1" fillId="44" borderId="62" xfId="45" applyNumberFormat="1" applyFill="1" applyBorder="1"/>
    <xf numFmtId="164" fontId="1" fillId="44" borderId="62" xfId="45" applyNumberFormat="1" applyFill="1" applyBorder="1"/>
    <xf numFmtId="174" fontId="1" fillId="44" borderId="62" xfId="45" applyNumberFormat="1" applyFill="1" applyBorder="1"/>
    <xf numFmtId="0" fontId="36" fillId="0" borderId="62" xfId="45" applyFont="1" applyBorder="1"/>
    <xf numFmtId="166" fontId="0" fillId="0" borderId="7" xfId="0" applyNumberFormat="1" applyBorder="1"/>
    <xf numFmtId="166" fontId="0" fillId="0" borderId="33" xfId="0" applyNumberFormat="1" applyBorder="1"/>
    <xf numFmtId="43" fontId="7" fillId="11" borderId="5" xfId="1" applyFont="1" applyFill="1" applyBorder="1" applyAlignment="1">
      <alignment horizontal="left"/>
    </xf>
    <xf numFmtId="2" fontId="0" fillId="0" borderId="62" xfId="0" applyNumberFormat="1" applyBorder="1"/>
    <xf numFmtId="0" fontId="30" fillId="0" borderId="45" xfId="0" applyFont="1" applyFill="1" applyBorder="1"/>
    <xf numFmtId="170" fontId="0" fillId="0" borderId="0" xfId="0" applyNumberFormat="1" applyFill="1"/>
    <xf numFmtId="9" fontId="0" fillId="0" borderId="0" xfId="2" applyFont="1" applyFill="1"/>
    <xf numFmtId="0" fontId="2" fillId="0" borderId="45" xfId="0" applyFont="1" applyFill="1" applyBorder="1"/>
    <xf numFmtId="10" fontId="0" fillId="0" borderId="0" xfId="2" applyNumberFormat="1" applyFont="1" applyBorder="1"/>
    <xf numFmtId="175" fontId="0" fillId="0" borderId="0" xfId="2" applyNumberFormat="1" applyFont="1" applyFill="1" applyBorder="1"/>
    <xf numFmtId="43" fontId="7" fillId="45" borderId="0" xfId="1" applyFont="1" applyFill="1" applyBorder="1"/>
    <xf numFmtId="2" fontId="0" fillId="0" borderId="0" xfId="2" applyNumberFormat="1" applyFont="1" applyBorder="1"/>
    <xf numFmtId="166" fontId="0" fillId="0" borderId="0" xfId="0" applyNumberFormat="1" applyBorder="1"/>
    <xf numFmtId="0" fontId="30" fillId="0" borderId="45" xfId="0" applyFont="1" applyFill="1" applyBorder="1" applyAlignment="1">
      <alignment horizontal="center" vertical="center"/>
    </xf>
    <xf numFmtId="11" fontId="0" fillId="0" borderId="0" xfId="0" applyNumberFormat="1"/>
    <xf numFmtId="0" fontId="0" fillId="0" borderId="0" xfId="0" applyNumberFormat="1"/>
    <xf numFmtId="166" fontId="0" fillId="0" borderId="0" xfId="0" applyNumberFormat="1" applyFill="1"/>
    <xf numFmtId="166" fontId="0" fillId="0" borderId="0" xfId="1" applyNumberFormat="1" applyFont="1" applyBorder="1" applyAlignment="1">
      <alignment horizontal="right"/>
    </xf>
    <xf numFmtId="0" fontId="0" fillId="0" borderId="0" xfId="0" applyBorder="1" applyAlignment="1">
      <alignment horizontal="right"/>
    </xf>
    <xf numFmtId="173" fontId="0" fillId="0" borderId="0" xfId="0" applyNumberFormat="1" applyBorder="1" applyAlignment="1">
      <alignment horizontal="right"/>
    </xf>
    <xf numFmtId="9" fontId="0" fillId="46" borderId="0" xfId="2" applyFont="1" applyFill="1"/>
    <xf numFmtId="175" fontId="0" fillId="0" borderId="62" xfId="2" applyNumberFormat="1" applyFont="1" applyFill="1" applyBorder="1"/>
    <xf numFmtId="0" fontId="0" fillId="48" borderId="62" xfId="0" applyFill="1" applyBorder="1"/>
    <xf numFmtId="0" fontId="7" fillId="3" borderId="51" xfId="0" applyFont="1" applyFill="1" applyBorder="1"/>
    <xf numFmtId="0" fontId="8" fillId="3" borderId="44" xfId="0" applyFont="1" applyFill="1" applyBorder="1"/>
    <xf numFmtId="0" fontId="33" fillId="0" borderId="8" xfId="0" applyFont="1" applyFill="1" applyBorder="1"/>
    <xf numFmtId="43" fontId="0" fillId="0" borderId="0" xfId="1" applyFont="1" applyBorder="1"/>
    <xf numFmtId="0" fontId="0" fillId="49" borderId="62" xfId="0" applyFill="1" applyBorder="1"/>
    <xf numFmtId="43" fontId="0" fillId="0" borderId="0" xfId="1" applyFont="1" applyFill="1" applyBorder="1"/>
    <xf numFmtId="0" fontId="8" fillId="3" borderId="38" xfId="0" applyFont="1" applyFill="1" applyBorder="1"/>
    <xf numFmtId="0" fontId="33" fillId="0" borderId="0" xfId="0" applyFont="1" applyBorder="1" applyAlignment="1">
      <alignment horizontal="center" vertical="center" wrapText="1"/>
    </xf>
    <xf numFmtId="166" fontId="0" fillId="0" borderId="0" xfId="1" applyNumberFormat="1" applyFont="1" applyBorder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6" fontId="0" fillId="0" borderId="0" xfId="1" applyNumberFormat="1" applyFont="1" applyAlignment="1">
      <alignment horizontal="center" vertical="center" wrapText="1"/>
    </xf>
    <xf numFmtId="0" fontId="7" fillId="3" borderId="62" xfId="0" applyFont="1" applyFill="1" applyBorder="1"/>
    <xf numFmtId="0" fontId="7" fillId="3" borderId="37" xfId="0" applyFont="1" applyFill="1" applyBorder="1"/>
    <xf numFmtId="0" fontId="7" fillId="3" borderId="35" xfId="0" applyFont="1" applyFill="1" applyBorder="1"/>
    <xf numFmtId="0" fontId="8" fillId="11" borderId="34" xfId="0" applyFont="1" applyFill="1" applyBorder="1"/>
    <xf numFmtId="0" fontId="8" fillId="4" borderId="34" xfId="0" applyFont="1" applyFill="1" applyBorder="1"/>
    <xf numFmtId="0" fontId="7" fillId="4" borderId="32" xfId="0" applyFont="1" applyFill="1" applyBorder="1"/>
    <xf numFmtId="0" fontId="7" fillId="3" borderId="43" xfId="0" applyFont="1" applyFill="1" applyBorder="1"/>
    <xf numFmtId="0" fontId="8" fillId="4" borderId="36" xfId="0" applyFont="1" applyFill="1" applyBorder="1"/>
    <xf numFmtId="0" fontId="8" fillId="11" borderId="37" xfId="0" applyFont="1" applyFill="1" applyBorder="1"/>
    <xf numFmtId="0" fontId="8" fillId="11" borderId="36" xfId="0" applyFont="1" applyFill="1" applyBorder="1"/>
    <xf numFmtId="0" fontId="8" fillId="4" borderId="35" xfId="0" applyFont="1" applyFill="1" applyBorder="1"/>
    <xf numFmtId="10" fontId="8" fillId="4" borderId="36" xfId="0" applyNumberFormat="1" applyFont="1" applyFill="1" applyBorder="1"/>
    <xf numFmtId="2" fontId="8" fillId="11" borderId="36" xfId="0" applyNumberFormat="1" applyFont="1" applyFill="1" applyBorder="1"/>
    <xf numFmtId="2" fontId="8" fillId="11" borderId="37" xfId="0" applyNumberFormat="1" applyFont="1" applyFill="1" applyBorder="1"/>
    <xf numFmtId="9" fontId="8" fillId="4" borderId="36" xfId="2" applyFont="1" applyFill="1" applyBorder="1"/>
    <xf numFmtId="0" fontId="7" fillId="3" borderId="32" xfId="0" applyFont="1" applyFill="1" applyBorder="1"/>
    <xf numFmtId="0" fontId="7" fillId="4" borderId="43" xfId="0" applyFont="1" applyFill="1" applyBorder="1"/>
    <xf numFmtId="43" fontId="0" fillId="0" borderId="0" xfId="1" applyFont="1" applyBorder="1" applyAlignment="1">
      <alignment horizontal="right" vertical="center"/>
    </xf>
    <xf numFmtId="0" fontId="33" fillId="0" borderId="0" xfId="0" applyFont="1"/>
    <xf numFmtId="43" fontId="8" fillId="11" borderId="36" xfId="1" applyFont="1" applyFill="1" applyBorder="1"/>
    <xf numFmtId="43" fontId="8" fillId="4" borderId="36" xfId="1" applyFont="1" applyFill="1" applyBorder="1"/>
    <xf numFmtId="0" fontId="8" fillId="11" borderId="40" xfId="0" applyFont="1" applyFill="1" applyBorder="1"/>
    <xf numFmtId="0" fontId="8" fillId="11" borderId="32" xfId="0" applyFont="1" applyFill="1" applyBorder="1"/>
    <xf numFmtId="43" fontId="8" fillId="11" borderId="37" xfId="1" applyFont="1" applyFill="1" applyBorder="1"/>
    <xf numFmtId="166" fontId="8" fillId="11" borderId="35" xfId="1" applyNumberFormat="1" applyFont="1" applyFill="1" applyBorder="1"/>
    <xf numFmtId="10" fontId="0" fillId="0" borderId="0" xfId="2" applyNumberFormat="1" applyFont="1"/>
    <xf numFmtId="4" fontId="0" fillId="0" borderId="0" xfId="0" applyNumberFormat="1"/>
    <xf numFmtId="173" fontId="0" fillId="0" borderId="0" xfId="0" applyNumberFormat="1"/>
    <xf numFmtId="0" fontId="33" fillId="0" borderId="0" xfId="0" applyFont="1" applyFill="1" applyBorder="1"/>
    <xf numFmtId="0" fontId="33" fillId="0" borderId="0" xfId="0" applyFont="1" applyBorder="1"/>
    <xf numFmtId="166" fontId="2" fillId="0" borderId="0" xfId="1" applyNumberFormat="1" applyFont="1" applyBorder="1"/>
    <xf numFmtId="0" fontId="2" fillId="0" borderId="0" xfId="0" applyFont="1" applyFill="1" applyBorder="1"/>
    <xf numFmtId="166" fontId="7" fillId="4" borderId="35" xfId="1" applyNumberFormat="1" applyFont="1" applyFill="1" applyBorder="1"/>
    <xf numFmtId="166" fontId="7" fillId="4" borderId="62" xfId="1" applyNumberFormat="1" applyFont="1" applyFill="1" applyBorder="1"/>
    <xf numFmtId="175" fontId="0" fillId="0" borderId="42" xfId="2" applyNumberFormat="1" applyFont="1" applyFill="1" applyBorder="1"/>
    <xf numFmtId="166" fontId="0" fillId="44" borderId="62" xfId="1" applyNumberFormat="1" applyFont="1" applyFill="1" applyBorder="1" applyAlignment="1">
      <alignment horizontal="center" vertical="center" wrapText="1"/>
    </xf>
    <xf numFmtId="166" fontId="0" fillId="44" borderId="62" xfId="1" applyNumberFormat="1" applyFont="1" applyFill="1" applyBorder="1"/>
    <xf numFmtId="166" fontId="2" fillId="44" borderId="62" xfId="1" applyNumberFormat="1" applyFont="1" applyFill="1" applyBorder="1"/>
    <xf numFmtId="43" fontId="0" fillId="44" borderId="62" xfId="1" applyFont="1" applyFill="1" applyBorder="1"/>
    <xf numFmtId="11" fontId="0" fillId="44" borderId="62" xfId="1" applyNumberFormat="1" applyFont="1" applyFill="1" applyBorder="1"/>
    <xf numFmtId="11" fontId="26" fillId="44" borderId="62" xfId="1" applyNumberFormat="1" applyFont="1" applyFill="1" applyBorder="1"/>
    <xf numFmtId="0" fontId="0" fillId="0" borderId="0" xfId="0" applyAlignment="1">
      <alignment vertical="center"/>
    </xf>
    <xf numFmtId="166" fontId="0" fillId="47" borderId="42" xfId="1" applyNumberFormat="1" applyFont="1" applyFill="1" applyBorder="1"/>
    <xf numFmtId="166" fontId="0" fillId="0" borderId="63" xfId="1" applyNumberFormat="1" applyFont="1" applyBorder="1"/>
    <xf numFmtId="175" fontId="0" fillId="0" borderId="63" xfId="2" applyNumberFormat="1" applyFont="1" applyFill="1" applyBorder="1"/>
    <xf numFmtId="0" fontId="0" fillId="0" borderId="35" xfId="0" applyBorder="1"/>
    <xf numFmtId="0" fontId="0" fillId="48" borderId="35" xfId="0" applyFill="1" applyBorder="1"/>
    <xf numFmtId="2" fontId="0" fillId="0" borderId="35" xfId="0" applyNumberFormat="1" applyBorder="1"/>
    <xf numFmtId="166" fontId="0" fillId="0" borderId="65" xfId="1" applyNumberFormat="1" applyFont="1" applyBorder="1"/>
    <xf numFmtId="166" fontId="0" fillId="47" borderId="31" xfId="1" applyNumberFormat="1" applyFont="1" applyFill="1" applyBorder="1"/>
    <xf numFmtId="166" fontId="0" fillId="44" borderId="35" xfId="1" applyNumberFormat="1" applyFont="1" applyFill="1" applyBorder="1"/>
    <xf numFmtId="175" fontId="0" fillId="0" borderId="65" xfId="2" applyNumberFormat="1" applyFont="1" applyFill="1" applyBorder="1"/>
    <xf numFmtId="11" fontId="0" fillId="44" borderId="35" xfId="1" applyNumberFormat="1" applyFont="1" applyFill="1" applyBorder="1"/>
    <xf numFmtId="175" fontId="0" fillId="0" borderId="31" xfId="2" applyNumberFormat="1" applyFont="1" applyFill="1" applyBorder="1"/>
    <xf numFmtId="175" fontId="0" fillId="0" borderId="35" xfId="2" applyNumberFormat="1" applyFont="1" applyFill="1" applyBorder="1"/>
    <xf numFmtId="0" fontId="0" fillId="0" borderId="66" xfId="0" applyBorder="1"/>
    <xf numFmtId="0" fontId="0" fillId="48" borderId="66" xfId="0" applyFill="1" applyBorder="1"/>
    <xf numFmtId="2" fontId="0" fillId="0" borderId="66" xfId="0" applyNumberFormat="1" applyBorder="1"/>
    <xf numFmtId="166" fontId="0" fillId="0" borderId="67" xfId="1" applyNumberFormat="1" applyFont="1" applyBorder="1"/>
    <xf numFmtId="166" fontId="0" fillId="47" borderId="68" xfId="1" applyNumberFormat="1" applyFont="1" applyFill="1" applyBorder="1"/>
    <xf numFmtId="166" fontId="0" fillId="44" borderId="66" xfId="1" applyNumberFormat="1" applyFont="1" applyFill="1" applyBorder="1"/>
    <xf numFmtId="175" fontId="0" fillId="0" borderId="67" xfId="2" applyNumberFormat="1" applyFont="1" applyFill="1" applyBorder="1"/>
    <xf numFmtId="175" fontId="0" fillId="0" borderId="68" xfId="2" applyNumberFormat="1" applyFont="1" applyFill="1" applyBorder="1"/>
    <xf numFmtId="175" fontId="0" fillId="0" borderId="66" xfId="2" applyNumberFormat="1" applyFont="1" applyFill="1" applyBorder="1"/>
    <xf numFmtId="43" fontId="0" fillId="0" borderId="0" xfId="1" applyFont="1" applyBorder="1" applyAlignment="1">
      <alignment horizontal="right"/>
    </xf>
    <xf numFmtId="175" fontId="0" fillId="0" borderId="0" xfId="2" applyNumberFormat="1" applyFont="1" applyBorder="1"/>
    <xf numFmtId="43" fontId="7" fillId="11" borderId="41" xfId="1" applyFont="1" applyFill="1" applyBorder="1"/>
    <xf numFmtId="10" fontId="0" fillId="0" borderId="0" xfId="2" applyNumberFormat="1" applyFont="1" applyFill="1" applyBorder="1"/>
    <xf numFmtId="43" fontId="7" fillId="43" borderId="41" xfId="1" applyFont="1" applyFill="1" applyBorder="1"/>
    <xf numFmtId="176" fontId="2" fillId="43" borderId="0" xfId="1" applyNumberFormat="1" applyFont="1" applyFill="1" applyBorder="1"/>
    <xf numFmtId="177" fontId="0" fillId="0" borderId="0" xfId="1" applyNumberFormat="1" applyFont="1" applyFill="1" applyBorder="1"/>
    <xf numFmtId="43" fontId="0" fillId="45" borderId="0" xfId="1" applyFont="1" applyFill="1"/>
    <xf numFmtId="43" fontId="0" fillId="45" borderId="0" xfId="1" applyFont="1" applyFill="1" applyBorder="1"/>
    <xf numFmtId="175" fontId="0" fillId="0" borderId="0" xfId="2" applyNumberFormat="1" applyFont="1"/>
    <xf numFmtId="0" fontId="0" fillId="0" borderId="12" xfId="0" applyBorder="1" applyAlignment="1">
      <alignment horizontal="left"/>
    </xf>
    <xf numFmtId="43" fontId="0" fillId="0" borderId="13" xfId="1" applyFont="1" applyBorder="1" applyAlignment="1">
      <alignment horizontal="right"/>
    </xf>
    <xf numFmtId="43" fontId="0" fillId="0" borderId="7" xfId="1" applyFont="1" applyBorder="1" applyAlignment="1">
      <alignment horizontal="right"/>
    </xf>
    <xf numFmtId="43" fontId="0" fillId="0" borderId="7" xfId="1" applyFont="1" applyBorder="1"/>
    <xf numFmtId="43" fontId="0" fillId="0" borderId="7" xfId="1" applyFont="1" applyFill="1" applyBorder="1"/>
    <xf numFmtId="9" fontId="0" fillId="46" borderId="10" xfId="2" applyFont="1" applyFill="1" applyBorder="1"/>
    <xf numFmtId="178" fontId="0" fillId="0" borderId="0" xfId="1" applyNumberFormat="1" applyFont="1" applyBorder="1" applyAlignment="1">
      <alignment horizontal="right" vertical="center"/>
    </xf>
    <xf numFmtId="0" fontId="0" fillId="0" borderId="37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166" fontId="0" fillId="0" borderId="64" xfId="1" applyNumberFormat="1" applyFont="1" applyBorder="1" applyAlignment="1">
      <alignment horizontal="center" vertical="center" wrapText="1"/>
    </xf>
    <xf numFmtId="166" fontId="0" fillId="0" borderId="65" xfId="1" applyNumberFormat="1" applyFont="1" applyBorder="1" applyAlignment="1">
      <alignment horizontal="center" vertical="center" wrapText="1"/>
    </xf>
    <xf numFmtId="2" fontId="0" fillId="0" borderId="37" xfId="0" applyNumberFormat="1" applyBorder="1" applyAlignment="1">
      <alignment horizontal="center" vertical="center" wrapText="1"/>
    </xf>
    <xf numFmtId="2" fontId="0" fillId="0" borderId="35" xfId="0" applyNumberForma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166" fontId="0" fillId="47" borderId="39" xfId="1" applyNumberFormat="1" applyFont="1" applyFill="1" applyBorder="1" applyAlignment="1">
      <alignment horizontal="center" vertical="center" wrapText="1"/>
    </xf>
    <xf numFmtId="166" fontId="0" fillId="47" borderId="31" xfId="1" applyNumberFormat="1" applyFont="1" applyFill="1" applyBorder="1" applyAlignment="1">
      <alignment horizontal="center" vertical="center" wrapText="1"/>
    </xf>
    <xf numFmtId="166" fontId="0" fillId="44" borderId="37" xfId="1" applyNumberFormat="1" applyFont="1" applyFill="1" applyBorder="1" applyAlignment="1">
      <alignment horizontal="center" vertical="center" wrapText="1"/>
    </xf>
    <xf numFmtId="166" fontId="0" fillId="44" borderId="35" xfId="1" applyNumberFormat="1" applyFont="1" applyFill="1" applyBorder="1" applyAlignment="1">
      <alignment horizontal="center" vertical="center" wrapText="1"/>
    </xf>
    <xf numFmtId="166" fontId="0" fillId="0" borderId="64" xfId="1" applyNumberFormat="1" applyFont="1" applyFill="1" applyBorder="1" applyAlignment="1">
      <alignment horizontal="center" vertical="center" wrapText="1"/>
    </xf>
    <xf numFmtId="166" fontId="0" fillId="0" borderId="65" xfId="1" applyNumberFormat="1" applyFont="1" applyFill="1" applyBorder="1" applyAlignment="1">
      <alignment horizontal="center" vertical="center" wrapText="1"/>
    </xf>
    <xf numFmtId="166" fontId="0" fillId="0" borderId="37" xfId="1" applyNumberFormat="1" applyFont="1" applyBorder="1" applyAlignment="1">
      <alignment horizontal="center" vertical="center" wrapText="1"/>
    </xf>
    <xf numFmtId="166" fontId="0" fillId="0" borderId="35" xfId="1" applyNumberFormat="1" applyFont="1" applyBorder="1" applyAlignment="1">
      <alignment horizontal="center" vertical="center" wrapText="1"/>
    </xf>
    <xf numFmtId="0" fontId="33" fillId="0" borderId="40" xfId="0" applyFont="1" applyBorder="1" applyAlignment="1">
      <alignment horizontal="center" vertical="center"/>
    </xf>
    <xf numFmtId="0" fontId="33" fillId="0" borderId="39" xfId="0" applyFont="1" applyBorder="1" applyAlignment="1">
      <alignment horizontal="center" vertical="center"/>
    </xf>
    <xf numFmtId="3" fontId="0" fillId="0" borderId="11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33" fillId="0" borderId="38" xfId="0" applyFont="1" applyBorder="1" applyAlignment="1">
      <alignment horizontal="center"/>
    </xf>
    <xf numFmtId="0" fontId="33" fillId="0" borderId="31" xfId="0" applyFont="1" applyBorder="1" applyAlignment="1">
      <alignment horizontal="center"/>
    </xf>
    <xf numFmtId="166" fontId="0" fillId="0" borderId="62" xfId="1" applyNumberFormat="1" applyFont="1" applyBorder="1" applyAlignment="1">
      <alignment horizontal="center" vertical="center" wrapText="1"/>
    </xf>
    <xf numFmtId="0" fontId="33" fillId="0" borderId="46" xfId="0" applyFont="1" applyBorder="1" applyAlignment="1">
      <alignment horizontal="center"/>
    </xf>
    <xf numFmtId="0" fontId="33" fillId="0" borderId="0" xfId="0" applyFont="1" applyBorder="1" applyAlignment="1">
      <alignment horizontal="center"/>
    </xf>
    <xf numFmtId="0" fontId="33" fillId="0" borderId="45" xfId="0" applyFont="1" applyBorder="1" applyAlignment="1">
      <alignment horizontal="center"/>
    </xf>
    <xf numFmtId="0" fontId="33" fillId="0" borderId="61" xfId="0" applyFont="1" applyBorder="1" applyAlignment="1">
      <alignment horizontal="center" wrapText="1"/>
    </xf>
    <xf numFmtId="0" fontId="33" fillId="0" borderId="58" xfId="0" applyFont="1" applyBorder="1" applyAlignment="1">
      <alignment horizontal="center"/>
    </xf>
    <xf numFmtId="0" fontId="33" fillId="0" borderId="46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50" xfId="0" applyFont="1" applyBorder="1" applyAlignment="1">
      <alignment horizontal="center" vertical="center"/>
    </xf>
    <xf numFmtId="0" fontId="33" fillId="0" borderId="57" xfId="0" applyFont="1" applyBorder="1" applyAlignment="1">
      <alignment horizontal="center" vertical="center"/>
    </xf>
    <xf numFmtId="0" fontId="33" fillId="0" borderId="29" xfId="0" applyFont="1" applyBorder="1" applyAlignment="1">
      <alignment horizontal="center"/>
    </xf>
    <xf numFmtId="0" fontId="33" fillId="0" borderId="30" xfId="0" applyFont="1" applyBorder="1" applyAlignment="1">
      <alignment horizontal="center"/>
    </xf>
    <xf numFmtId="0" fontId="33" fillId="0" borderId="28" xfId="0" applyFont="1" applyBorder="1" applyAlignment="1">
      <alignment horizontal="center"/>
    </xf>
    <xf numFmtId="0" fontId="33" fillId="0" borderId="47" xfId="0" applyFont="1" applyBorder="1" applyAlignment="1">
      <alignment horizontal="center"/>
    </xf>
    <xf numFmtId="0" fontId="33" fillId="0" borderId="50" xfId="0" applyFont="1" applyBorder="1" applyAlignment="1">
      <alignment horizontal="center" vertical="center" wrapText="1"/>
    </xf>
    <xf numFmtId="0" fontId="33" fillId="0" borderId="57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33" fillId="0" borderId="47" xfId="0" applyFont="1" applyBorder="1" applyAlignment="1">
      <alignment horizontal="center" vertical="center"/>
    </xf>
    <xf numFmtId="0" fontId="33" fillId="0" borderId="50" xfId="0" applyFont="1" applyFill="1" applyBorder="1" applyAlignment="1">
      <alignment horizontal="center" vertical="center" wrapText="1"/>
    </xf>
    <xf numFmtId="0" fontId="33" fillId="0" borderId="50" xfId="0" applyFont="1" applyFill="1" applyBorder="1" applyAlignment="1">
      <alignment horizontal="center" vertical="center"/>
    </xf>
    <xf numFmtId="0" fontId="33" fillId="0" borderId="57" xfId="0" applyFont="1" applyFill="1" applyBorder="1" applyAlignment="1">
      <alignment horizontal="center" vertical="center"/>
    </xf>
    <xf numFmtId="173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173" fontId="0" fillId="0" borderId="11" xfId="0" applyNumberFormat="1" applyBorder="1" applyAlignment="1">
      <alignment horizontal="center" vertical="center"/>
    </xf>
    <xf numFmtId="173" fontId="0" fillId="0" borderId="8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8" fillId="11" borderId="62" xfId="0" applyFont="1" applyFill="1" applyBorder="1"/>
    <xf numFmtId="166" fontId="8" fillId="11" borderId="62" xfId="1" applyNumberFormat="1" applyFont="1" applyFill="1" applyBorder="1"/>
    <xf numFmtId="2" fontId="8" fillId="4" borderId="8" xfId="0" applyNumberFormat="1" applyFont="1" applyFill="1" applyBorder="1"/>
    <xf numFmtId="166" fontId="2" fillId="0" borderId="0" xfId="1" applyNumberFormat="1" applyFont="1" applyFill="1" applyBorder="1"/>
    <xf numFmtId="43" fontId="0" fillId="0" borderId="0" xfId="0" applyNumberFormat="1"/>
  </cellXfs>
  <cellStyles count="50">
    <cellStyle name="20% - Accent1 2" xfId="22"/>
    <cellStyle name="20% - Accent2 2" xfId="26"/>
    <cellStyle name="20% - Accent3 2" xfId="30"/>
    <cellStyle name="20% - Accent4 2" xfId="34"/>
    <cellStyle name="20% - Accent5 2" xfId="38"/>
    <cellStyle name="20% - Accent6 2" xfId="42"/>
    <cellStyle name="40% - Accent1 2" xfId="23"/>
    <cellStyle name="40% - Accent2 2" xfId="27"/>
    <cellStyle name="40% - Accent3 2" xfId="31"/>
    <cellStyle name="40% - Accent4 2" xfId="35"/>
    <cellStyle name="40% - Accent5 2" xfId="39"/>
    <cellStyle name="40% - Accent6 2" xfId="43"/>
    <cellStyle name="60% - Accent1 2" xfId="24"/>
    <cellStyle name="60% - Accent2 2" xfId="28"/>
    <cellStyle name="60% - Accent3 2" xfId="32"/>
    <cellStyle name="60% - Accent4 2" xfId="36"/>
    <cellStyle name="60% - Accent5 2" xfId="40"/>
    <cellStyle name="60% - Accent6 2" xfId="44"/>
    <cellStyle name="Accent1 2" xfId="21"/>
    <cellStyle name="Accent2 2" xfId="25"/>
    <cellStyle name="Accent3 2" xfId="29"/>
    <cellStyle name="Accent4 2" xfId="33"/>
    <cellStyle name="Accent5 2" xfId="37"/>
    <cellStyle name="Accent6 2" xfId="41"/>
    <cellStyle name="Bad 2" xfId="11"/>
    <cellStyle name="Calculation 2" xfId="15"/>
    <cellStyle name="Check Cell 2" xfId="17"/>
    <cellStyle name="Explanatory Text 2" xfId="19"/>
    <cellStyle name="Good 2" xfId="10"/>
    <cellStyle name="Heading 1 2" xfId="6"/>
    <cellStyle name="Heading 2 2" xfId="7"/>
    <cellStyle name="Heading 3 2" xfId="8"/>
    <cellStyle name="Heading 4 2" xfId="9"/>
    <cellStyle name="Input 2" xfId="13"/>
    <cellStyle name="Linked Cell 2" xfId="16"/>
    <cellStyle name="Neutral 2" xfId="12"/>
    <cellStyle name="Normal 2" xfId="4"/>
    <cellStyle name="Output 2" xfId="14"/>
    <cellStyle name="Title 2" xfId="5"/>
    <cellStyle name="Total 2" xfId="20"/>
    <cellStyle name="Warning Text 2" xfId="18"/>
    <cellStyle name="Обычный" xfId="0" builtinId="0"/>
    <cellStyle name="Обычный 2" xfId="46"/>
    <cellStyle name="Обычный 3" xfId="45"/>
    <cellStyle name="Примечание" xfId="3" builtinId="10" customBuiltin="1"/>
    <cellStyle name="Примечание 2" xfId="49"/>
    <cellStyle name="Процентный" xfId="2" builtinId="5"/>
    <cellStyle name="Процентный 2" xfId="48"/>
    <cellStyle name="Финансовый" xfId="1" builtinId="3"/>
    <cellStyle name="Финансовый 2" xfId="47"/>
  </cellStyles>
  <dxfs count="4"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image" Target="../media/image3.png"/><Relationship Id="rId1" Type="http://schemas.openxmlformats.org/officeDocument/2006/relationships/image" Target="../media/image10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4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4.png"/><Relationship Id="rId1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29.png"/><Relationship Id="rId3" Type="http://schemas.openxmlformats.org/officeDocument/2006/relationships/image" Target="../media/image22.png"/><Relationship Id="rId7" Type="http://schemas.openxmlformats.org/officeDocument/2006/relationships/image" Target="../media/image32.png"/><Relationship Id="rId12" Type="http://schemas.openxmlformats.org/officeDocument/2006/relationships/image" Target="../media/image36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1.png"/><Relationship Id="rId10" Type="http://schemas.openxmlformats.org/officeDocument/2006/relationships/image" Target="../media/image35.png"/><Relationship Id="rId4" Type="http://schemas.openxmlformats.org/officeDocument/2006/relationships/image" Target="../media/image30.png"/><Relationship Id="rId9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17.png"/><Relationship Id="rId7" Type="http://schemas.openxmlformats.org/officeDocument/2006/relationships/image" Target="../media/image38.png"/><Relationship Id="rId2" Type="http://schemas.openxmlformats.org/officeDocument/2006/relationships/image" Target="../media/image16.png"/><Relationship Id="rId1" Type="http://schemas.openxmlformats.org/officeDocument/2006/relationships/image" Target="../media/image37.png"/><Relationship Id="rId6" Type="http://schemas.openxmlformats.org/officeDocument/2006/relationships/image" Target="../media/image22.png"/><Relationship Id="rId5" Type="http://schemas.openxmlformats.org/officeDocument/2006/relationships/image" Target="../media/image20.png"/><Relationship Id="rId10" Type="http://schemas.openxmlformats.org/officeDocument/2006/relationships/image" Target="../media/image41.png"/><Relationship Id="rId4" Type="http://schemas.openxmlformats.org/officeDocument/2006/relationships/image" Target="../media/image19.png"/><Relationship Id="rId9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20.png"/><Relationship Id="rId7" Type="http://schemas.openxmlformats.org/officeDocument/2006/relationships/image" Target="../media/image44.png"/><Relationship Id="rId2" Type="http://schemas.openxmlformats.org/officeDocument/2006/relationships/image" Target="../media/image19.png"/><Relationship Id="rId1" Type="http://schemas.openxmlformats.org/officeDocument/2006/relationships/image" Target="../media/image42.png"/><Relationship Id="rId6" Type="http://schemas.openxmlformats.org/officeDocument/2006/relationships/image" Target="../media/image43.png"/><Relationship Id="rId5" Type="http://schemas.openxmlformats.org/officeDocument/2006/relationships/image" Target="../media/image31.png"/><Relationship Id="rId4" Type="http://schemas.openxmlformats.org/officeDocument/2006/relationships/image" Target="../media/image22.png"/><Relationship Id="rId9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1287780</xdr:colOff>
      <xdr:row>22</xdr:row>
      <xdr:rowOff>68580</xdr:rowOff>
    </xdr:from>
    <xdr:to>
      <xdr:col>15</xdr:col>
      <xdr:colOff>534341</xdr:colOff>
      <xdr:row>38</xdr:row>
      <xdr:rowOff>84075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7780" y="4091940"/>
          <a:ext cx="10859441" cy="2941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66675</xdr:colOff>
      <xdr:row>1</xdr:row>
      <xdr:rowOff>171449</xdr:rowOff>
    </xdr:from>
    <xdr:to>
      <xdr:col>9</xdr:col>
      <xdr:colOff>248186</xdr:colOff>
      <xdr:row>36</xdr:row>
      <xdr:rowOff>169332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5258" y="478366"/>
          <a:ext cx="3864511" cy="6665383"/>
        </a:xfrm>
        <a:prstGeom prst="rect">
          <a:avLst/>
        </a:prstGeom>
      </xdr:spPr>
    </xdr:pic>
    <xdr:clientData/>
  </xdr:twoCellAnchor>
  <xdr:twoCellAnchor editAs="oneCell">
    <xdr:from>
      <xdr:col>11</xdr:col>
      <xdr:colOff>106680</xdr:colOff>
      <xdr:row>26</xdr:row>
      <xdr:rowOff>144780</xdr:rowOff>
    </xdr:from>
    <xdr:to>
      <xdr:col>17</xdr:col>
      <xdr:colOff>387362</xdr:colOff>
      <xdr:row>38</xdr:row>
      <xdr:rowOff>15419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1080" y="4838700"/>
          <a:ext cx="7521592" cy="20651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</xdr:col>
      <xdr:colOff>0</xdr:colOff>
      <xdr:row>32</xdr:row>
      <xdr:rowOff>2680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90682"/>
          <a:ext cx="2886635" cy="19749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684969</xdr:colOff>
      <xdr:row>1</xdr:row>
      <xdr:rowOff>53597</xdr:rowOff>
    </xdr:from>
    <xdr:to>
      <xdr:col>26</xdr:col>
      <xdr:colOff>396385</xdr:colOff>
      <xdr:row>10</xdr:row>
      <xdr:rowOff>165100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65460"/>
        <a:stretch/>
      </xdr:blipFill>
      <xdr:spPr>
        <a:xfrm>
          <a:off x="12411302" y="360514"/>
          <a:ext cx="8607464" cy="182600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14</xdr:col>
      <xdr:colOff>312964</xdr:colOff>
      <xdr:row>20</xdr:row>
      <xdr:rowOff>27215</xdr:rowOff>
    </xdr:from>
    <xdr:to>
      <xdr:col>20</xdr:col>
      <xdr:colOff>4</xdr:colOff>
      <xdr:row>24</xdr:row>
      <xdr:rowOff>40822</xdr:rowOff>
    </xdr:to>
    <xdr:grpSp>
      <xdr:nvGrpSpPr>
        <xdr:cNvPr id="11" name="Group 11"/>
        <xdr:cNvGrpSpPr/>
      </xdr:nvGrpSpPr>
      <xdr:grpSpPr>
        <a:xfrm>
          <a:off x="13790840" y="3816805"/>
          <a:ext cx="4755700" cy="748393"/>
          <a:chOff x="11546541" y="3191436"/>
          <a:chExt cx="4001981" cy="640135"/>
        </a:xfrm>
      </xdr:grpSpPr>
      <xdr:pic>
        <xdr:nvPicPr>
          <xdr:cNvPr id="12" name="Picture 12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555507" y="3272116"/>
            <a:ext cx="2339543" cy="243861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pic>
        <xdr:nvPicPr>
          <xdr:cNvPr id="13" name="Picture 13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546541" y="3532094"/>
            <a:ext cx="1691787" cy="236240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pic>
        <xdr:nvPicPr>
          <xdr:cNvPr id="14" name="Picture 14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993907" y="3191436"/>
            <a:ext cx="1554615" cy="640135"/>
          </a:xfrm>
          <a:prstGeom prst="rect">
            <a:avLst/>
          </a:prstGeom>
          <a:ln>
            <a:solidFill>
              <a:schemeClr val="accent1"/>
            </a:solidFill>
          </a:ln>
        </xdr:spPr>
      </xdr:pic>
    </xdr:grpSp>
    <xdr:clientData/>
  </xdr:twoCellAnchor>
  <xdr:twoCellAnchor editAs="oneCell">
    <xdr:from>
      <xdr:col>15</xdr:col>
      <xdr:colOff>13608</xdr:colOff>
      <xdr:row>14</xdr:row>
      <xdr:rowOff>27215</xdr:rowOff>
    </xdr:from>
    <xdr:to>
      <xdr:col>15</xdr:col>
      <xdr:colOff>898073</xdr:colOff>
      <xdr:row>17</xdr:row>
      <xdr:rowOff>91424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41929" y="2803072"/>
          <a:ext cx="884465" cy="6357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2</xdr:row>
      <xdr:rowOff>0</xdr:rowOff>
    </xdr:from>
    <xdr:to>
      <xdr:col>9</xdr:col>
      <xdr:colOff>229136</xdr:colOff>
      <xdr:row>36</xdr:row>
      <xdr:rowOff>105694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0895" y="480060"/>
          <a:ext cx="4021991" cy="6323614"/>
        </a:xfrm>
        <a:prstGeom prst="rect">
          <a:avLst/>
        </a:prstGeom>
      </xdr:spPr>
    </xdr:pic>
    <xdr:clientData/>
  </xdr:twoCellAnchor>
  <xdr:twoCellAnchor editAs="oneCell">
    <xdr:from>
      <xdr:col>13</xdr:col>
      <xdr:colOff>555170</xdr:colOff>
      <xdr:row>29</xdr:row>
      <xdr:rowOff>84367</xdr:rowOff>
    </xdr:from>
    <xdr:to>
      <xdr:col>24</xdr:col>
      <xdr:colOff>325590</xdr:colOff>
      <xdr:row>40</xdr:row>
      <xdr:rowOff>151268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62063" y="5717724"/>
          <a:ext cx="7417634" cy="21624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3</xdr:col>
      <xdr:colOff>0</xdr:colOff>
      <xdr:row>35</xdr:row>
      <xdr:rowOff>109267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61114"/>
          <a:ext cx="3135086" cy="21448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68033</xdr:colOff>
      <xdr:row>24</xdr:row>
      <xdr:rowOff>95249</xdr:rowOff>
    </xdr:from>
    <xdr:to>
      <xdr:col>21</xdr:col>
      <xdr:colOff>231323</xdr:colOff>
      <xdr:row>28</xdr:row>
      <xdr:rowOff>108856</xdr:rowOff>
    </xdr:to>
    <xdr:grpSp>
      <xdr:nvGrpSpPr>
        <xdr:cNvPr id="12" name="Group 11"/>
        <xdr:cNvGrpSpPr/>
      </xdr:nvGrpSpPr>
      <xdr:grpSpPr>
        <a:xfrm>
          <a:off x="13124087" y="4619625"/>
          <a:ext cx="5667379" cy="748392"/>
          <a:chOff x="11546541" y="3191436"/>
          <a:chExt cx="4001981" cy="640135"/>
        </a:xfrm>
      </xdr:grpSpPr>
      <xdr:pic>
        <xdr:nvPicPr>
          <xdr:cNvPr id="13" name="Picture 12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555507" y="3272116"/>
            <a:ext cx="2339543" cy="243861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546541" y="3532094"/>
            <a:ext cx="1691787" cy="236240"/>
          </a:xfrm>
          <a:prstGeom prst="rect">
            <a:avLst/>
          </a:prstGeom>
          <a:ln>
            <a:solidFill>
              <a:schemeClr val="accent1"/>
            </a:solidFill>
          </a:ln>
        </xdr:spPr>
      </xdr:pic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3993907" y="3191436"/>
            <a:ext cx="1554615" cy="640135"/>
          </a:xfrm>
          <a:prstGeom prst="rect">
            <a:avLst/>
          </a:prstGeom>
          <a:ln>
            <a:solidFill>
              <a:schemeClr val="accent1"/>
            </a:solidFill>
          </a:ln>
        </xdr:spPr>
      </xdr:pic>
    </xdr:grpSp>
    <xdr:clientData/>
  </xdr:twoCellAnchor>
  <xdr:twoCellAnchor editAs="oneCell">
    <xdr:from>
      <xdr:col>14</xdr:col>
      <xdr:colOff>176893</xdr:colOff>
      <xdr:row>4</xdr:row>
      <xdr:rowOff>40820</xdr:rowOff>
    </xdr:from>
    <xdr:to>
      <xdr:col>25</xdr:col>
      <xdr:colOff>108856</xdr:colOff>
      <xdr:row>13</xdr:row>
      <xdr:rowOff>70749</xdr:rowOff>
    </xdr:to>
    <xdr:pic>
      <xdr:nvPicPr>
        <xdr:cNvPr id="10" name="Рисунок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65460"/>
        <a:stretch/>
      </xdr:blipFill>
      <xdr:spPr>
        <a:xfrm>
          <a:off x="12409714" y="911677"/>
          <a:ext cx="7565571" cy="1744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15</xdr:col>
      <xdr:colOff>-1</xdr:colOff>
      <xdr:row>19</xdr:row>
      <xdr:rowOff>36604</xdr:rowOff>
    </xdr:from>
    <xdr:to>
      <xdr:col>15</xdr:col>
      <xdr:colOff>884464</xdr:colOff>
      <xdr:row>22</xdr:row>
      <xdr:rowOff>100813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294178" y="3764961"/>
          <a:ext cx="884465" cy="6357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35858</xdr:colOff>
      <xdr:row>28</xdr:row>
      <xdr:rowOff>170330</xdr:rowOff>
    </xdr:from>
    <xdr:to>
      <xdr:col>3</xdr:col>
      <xdr:colOff>333842</xdr:colOff>
      <xdr:row>41</xdr:row>
      <xdr:rowOff>138766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58" y="5316071"/>
          <a:ext cx="3360712" cy="22992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80682</xdr:colOff>
      <xdr:row>0</xdr:row>
      <xdr:rowOff>242048</xdr:rowOff>
    </xdr:from>
    <xdr:to>
      <xdr:col>10</xdr:col>
      <xdr:colOff>998444</xdr:colOff>
      <xdr:row>25</xdr:row>
      <xdr:rowOff>165549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15553" y="242048"/>
          <a:ext cx="5997388" cy="4531360"/>
        </a:xfrm>
        <a:prstGeom prst="rect">
          <a:avLst/>
        </a:prstGeom>
      </xdr:spPr>
    </xdr:pic>
    <xdr:clientData/>
  </xdr:twoCellAnchor>
  <xdr:twoCellAnchor editAs="oneCell">
    <xdr:from>
      <xdr:col>11</xdr:col>
      <xdr:colOff>439271</xdr:colOff>
      <xdr:row>32</xdr:row>
      <xdr:rowOff>170329</xdr:rowOff>
    </xdr:from>
    <xdr:to>
      <xdr:col>12</xdr:col>
      <xdr:colOff>733517</xdr:colOff>
      <xdr:row>35</xdr:row>
      <xdr:rowOff>104928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86683" y="5853953"/>
          <a:ext cx="2347163" cy="4724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448234</xdr:colOff>
      <xdr:row>29</xdr:row>
      <xdr:rowOff>107576</xdr:rowOff>
    </xdr:from>
    <xdr:to>
      <xdr:col>12</xdr:col>
      <xdr:colOff>803446</xdr:colOff>
      <xdr:row>32</xdr:row>
      <xdr:rowOff>118381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95646" y="5253317"/>
          <a:ext cx="2408129" cy="5486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340178</xdr:colOff>
      <xdr:row>3</xdr:row>
      <xdr:rowOff>95250</xdr:rowOff>
    </xdr:from>
    <xdr:to>
      <xdr:col>22</xdr:col>
      <xdr:colOff>353786</xdr:colOff>
      <xdr:row>10</xdr:row>
      <xdr:rowOff>87659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58107" y="775607"/>
          <a:ext cx="4912179" cy="13259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44824</xdr:colOff>
      <xdr:row>0</xdr:row>
      <xdr:rowOff>152400</xdr:rowOff>
    </xdr:from>
    <xdr:to>
      <xdr:col>10</xdr:col>
      <xdr:colOff>642763</xdr:colOff>
      <xdr:row>27</xdr:row>
      <xdr:rowOff>101279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3506" y="152400"/>
          <a:ext cx="5098222" cy="4915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2</xdr:col>
      <xdr:colOff>0</xdr:colOff>
      <xdr:row>31</xdr:row>
      <xdr:rowOff>2680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11388"/>
          <a:ext cx="2886635" cy="19749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116541</xdr:colOff>
      <xdr:row>30</xdr:row>
      <xdr:rowOff>136264</xdr:rowOff>
    </xdr:from>
    <xdr:to>
      <xdr:col>12</xdr:col>
      <xdr:colOff>649696</xdr:colOff>
      <xdr:row>33</xdr:row>
      <xdr:rowOff>81620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6094" y="5461299"/>
          <a:ext cx="2344026" cy="4832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11</xdr:col>
      <xdr:colOff>125504</xdr:colOff>
      <xdr:row>27</xdr:row>
      <xdr:rowOff>62753</xdr:rowOff>
    </xdr:from>
    <xdr:to>
      <xdr:col>12</xdr:col>
      <xdr:colOff>719625</xdr:colOff>
      <xdr:row>30</xdr:row>
      <xdr:rowOff>84316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5057" y="4849906"/>
          <a:ext cx="2404992" cy="55944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272143</xdr:colOff>
      <xdr:row>1</xdr:row>
      <xdr:rowOff>182337</xdr:rowOff>
    </xdr:from>
    <xdr:to>
      <xdr:col>26</xdr:col>
      <xdr:colOff>335769</xdr:colOff>
      <xdr:row>12</xdr:row>
      <xdr:rowOff>87366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00214" y="481694"/>
          <a:ext cx="7411484" cy="2000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53340</xdr:colOff>
      <xdr:row>5</xdr:row>
      <xdr:rowOff>22859</xdr:rowOff>
    </xdr:from>
    <xdr:to>
      <xdr:col>10</xdr:col>
      <xdr:colOff>117861</xdr:colOff>
      <xdr:row>7</xdr:row>
      <xdr:rowOff>93655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9083" y="1067888"/>
          <a:ext cx="1652594" cy="440910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106680</xdr:colOff>
      <xdr:row>7</xdr:row>
      <xdr:rowOff>38100</xdr:rowOff>
    </xdr:from>
    <xdr:to>
      <xdr:col>10</xdr:col>
      <xdr:colOff>247408</xdr:colOff>
      <xdr:row>9</xdr:row>
      <xdr:rowOff>83856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83630" y="1485900"/>
          <a:ext cx="1697505" cy="426756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9</xdr:row>
      <xdr:rowOff>91440</xdr:rowOff>
    </xdr:from>
    <xdr:to>
      <xdr:col>11</xdr:col>
      <xdr:colOff>902578</xdr:colOff>
      <xdr:row>12</xdr:row>
      <xdr:rowOff>131991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5050" y="1920240"/>
          <a:ext cx="3507105" cy="612051"/>
        </a:xfrm>
        <a:prstGeom prst="rect">
          <a:avLst/>
        </a:prstGeom>
      </xdr:spPr>
    </xdr:pic>
    <xdr:clientData/>
  </xdr:twoCellAnchor>
  <xdr:twoCellAnchor editAs="oneCell">
    <xdr:from>
      <xdr:col>12</xdr:col>
      <xdr:colOff>13062</xdr:colOff>
      <xdr:row>41</xdr:row>
      <xdr:rowOff>17417</xdr:rowOff>
    </xdr:from>
    <xdr:to>
      <xdr:col>19</xdr:col>
      <xdr:colOff>440989</xdr:colOff>
      <xdr:row>56</xdr:row>
      <xdr:rowOff>40517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93976" y="7534003"/>
          <a:ext cx="8231351" cy="2798957"/>
        </a:xfrm>
        <a:prstGeom prst="rect">
          <a:avLst/>
        </a:prstGeom>
      </xdr:spPr>
    </xdr:pic>
    <xdr:clientData/>
  </xdr:twoCellAnchor>
  <xdr:twoCellAnchor editAs="oneCell">
    <xdr:from>
      <xdr:col>20</xdr:col>
      <xdr:colOff>244352</xdr:colOff>
      <xdr:row>20</xdr:row>
      <xdr:rowOff>147021</xdr:rowOff>
    </xdr:from>
    <xdr:to>
      <xdr:col>23</xdr:col>
      <xdr:colOff>577644</xdr:colOff>
      <xdr:row>34</xdr:row>
      <xdr:rowOff>23136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05811" y="3858409"/>
          <a:ext cx="2215880" cy="2386233"/>
        </a:xfrm>
        <a:prstGeom prst="rect">
          <a:avLst/>
        </a:prstGeom>
      </xdr:spPr>
    </xdr:pic>
    <xdr:clientData/>
  </xdr:twoCellAnchor>
  <xdr:twoCellAnchor editAs="oneCell">
    <xdr:from>
      <xdr:col>8</xdr:col>
      <xdr:colOff>118782</xdr:colOff>
      <xdr:row>14</xdr:row>
      <xdr:rowOff>52892</xdr:rowOff>
    </xdr:from>
    <xdr:to>
      <xdr:col>11</xdr:col>
      <xdr:colOff>30987</xdr:colOff>
      <xdr:row>26</xdr:row>
      <xdr:rowOff>159771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18194" y="2686274"/>
          <a:ext cx="2723481" cy="22584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1303020</xdr:colOff>
      <xdr:row>56</xdr:row>
      <xdr:rowOff>39188</xdr:rowOff>
    </xdr:from>
    <xdr:to>
      <xdr:col>19</xdr:col>
      <xdr:colOff>582520</xdr:colOff>
      <xdr:row>72</xdr:row>
      <xdr:rowOff>31821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44991" y="10516688"/>
          <a:ext cx="8421868" cy="2953547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1</xdr:row>
      <xdr:rowOff>30480</xdr:rowOff>
    </xdr:from>
    <xdr:to>
      <xdr:col>8</xdr:col>
      <xdr:colOff>38375</xdr:colOff>
      <xdr:row>30</xdr:row>
      <xdr:rowOff>175732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48940" y="335280"/>
          <a:ext cx="3166385" cy="5669752"/>
        </a:xfrm>
        <a:prstGeom prst="rect">
          <a:avLst/>
        </a:prstGeom>
      </xdr:spPr>
    </xdr:pic>
    <xdr:clientData/>
  </xdr:twoCellAnchor>
  <xdr:twoCellAnchor editAs="oneCell">
    <xdr:from>
      <xdr:col>18</xdr:col>
      <xdr:colOff>70756</xdr:colOff>
      <xdr:row>6</xdr:row>
      <xdr:rowOff>29392</xdr:rowOff>
    </xdr:from>
    <xdr:to>
      <xdr:col>27</xdr:col>
      <xdr:colOff>418144</xdr:colOff>
      <xdr:row>19</xdr:row>
      <xdr:rowOff>33562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10506" y="1281249"/>
          <a:ext cx="6895626" cy="24806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4123</xdr:colOff>
      <xdr:row>5</xdr:row>
      <xdr:rowOff>172769</xdr:rowOff>
    </xdr:from>
    <xdr:to>
      <xdr:col>29</xdr:col>
      <xdr:colOff>250671</xdr:colOff>
      <xdr:row>17</xdr:row>
      <xdr:rowOff>34888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571796" y="1184800"/>
          <a:ext cx="8771423" cy="20052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38901</xdr:colOff>
      <xdr:row>31</xdr:row>
      <xdr:rowOff>109818</xdr:rowOff>
    </xdr:from>
    <xdr:to>
      <xdr:col>19</xdr:col>
      <xdr:colOff>180109</xdr:colOff>
      <xdr:row>38</xdr:row>
      <xdr:rowOff>109930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82783" y="5791200"/>
          <a:ext cx="7850855" cy="12551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25</xdr:row>
      <xdr:rowOff>11206</xdr:rowOff>
    </xdr:from>
    <xdr:to>
      <xdr:col>19</xdr:col>
      <xdr:colOff>421340</xdr:colOff>
      <xdr:row>28</xdr:row>
      <xdr:rowOff>112059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632206" y="4885765"/>
          <a:ext cx="1721223" cy="672353"/>
        </a:xfrm>
        <a:prstGeom prst="rect">
          <a:avLst/>
        </a:prstGeom>
      </xdr:spPr>
    </xdr:pic>
    <xdr:clientData/>
  </xdr:twoCellAnchor>
  <xdr:twoCellAnchor editAs="oneCell">
    <xdr:from>
      <xdr:col>3</xdr:col>
      <xdr:colOff>33617</xdr:colOff>
      <xdr:row>32</xdr:row>
      <xdr:rowOff>2007</xdr:rowOff>
    </xdr:from>
    <xdr:to>
      <xdr:col>7</xdr:col>
      <xdr:colOff>352984</xdr:colOff>
      <xdr:row>54</xdr:row>
      <xdr:rowOff>61655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99279" y="5862683"/>
          <a:ext cx="2919132" cy="4004119"/>
        </a:xfrm>
        <a:prstGeom prst="rect">
          <a:avLst/>
        </a:prstGeom>
      </xdr:spPr>
    </xdr:pic>
    <xdr:clientData/>
  </xdr:twoCellAnchor>
  <xdr:twoCellAnchor editAs="oneCell">
    <xdr:from>
      <xdr:col>20</xdr:col>
      <xdr:colOff>238123</xdr:colOff>
      <xdr:row>36</xdr:row>
      <xdr:rowOff>137773</xdr:rowOff>
    </xdr:from>
    <xdr:to>
      <xdr:col>26</xdr:col>
      <xdr:colOff>408215</xdr:colOff>
      <xdr:row>49</xdr:row>
      <xdr:rowOff>12991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72463" y="6866506"/>
          <a:ext cx="4925788" cy="2263271"/>
        </a:xfrm>
        <a:prstGeom prst="rect">
          <a:avLst/>
        </a:prstGeom>
      </xdr:spPr>
    </xdr:pic>
    <xdr:clientData/>
  </xdr:twoCellAnchor>
  <xdr:twoCellAnchor>
    <xdr:from>
      <xdr:col>20</xdr:col>
      <xdr:colOff>20410</xdr:colOff>
      <xdr:row>22</xdr:row>
      <xdr:rowOff>68035</xdr:rowOff>
    </xdr:from>
    <xdr:to>
      <xdr:col>25</xdr:col>
      <xdr:colOff>932089</xdr:colOff>
      <xdr:row>45</xdr:row>
      <xdr:rowOff>170089</xdr:rowOff>
    </xdr:to>
    <xdr:cxnSp macro="">
      <xdr:nvCxnSpPr>
        <xdr:cNvPr id="16" name="Прямая со стрелкой 15"/>
        <xdr:cNvCxnSpPr/>
      </xdr:nvCxnSpPr>
      <xdr:spPr>
        <a:xfrm>
          <a:off x="18954750" y="4225018"/>
          <a:ext cx="4531179" cy="4327071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23948</xdr:colOff>
      <xdr:row>40</xdr:row>
      <xdr:rowOff>66404</xdr:rowOff>
    </xdr:from>
    <xdr:to>
      <xdr:col>19</xdr:col>
      <xdr:colOff>423175</xdr:colOff>
      <xdr:row>55</xdr:row>
      <xdr:rowOff>89503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4862" y="7212875"/>
          <a:ext cx="8231351" cy="2798957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51709</xdr:colOff>
      <xdr:row>20</xdr:row>
      <xdr:rowOff>22315</xdr:rowOff>
    </xdr:from>
    <xdr:to>
      <xdr:col>24</xdr:col>
      <xdr:colOff>392012</xdr:colOff>
      <xdr:row>33</xdr:row>
      <xdr:rowOff>81310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40745" y="3941172"/>
          <a:ext cx="2160459" cy="2535495"/>
        </a:xfrm>
        <a:prstGeom prst="rect">
          <a:avLst/>
        </a:prstGeom>
      </xdr:spPr>
    </xdr:pic>
    <xdr:clientData/>
  </xdr:twoCellAnchor>
  <xdr:twoCellAnchor editAs="oneCell">
    <xdr:from>
      <xdr:col>11</xdr:col>
      <xdr:colOff>1335677</xdr:colOff>
      <xdr:row>55</xdr:row>
      <xdr:rowOff>17417</xdr:rowOff>
    </xdr:from>
    <xdr:to>
      <xdr:col>19</xdr:col>
      <xdr:colOff>561245</xdr:colOff>
      <xdr:row>71</xdr:row>
      <xdr:rowOff>10050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7648" y="10309860"/>
          <a:ext cx="8421868" cy="2953547"/>
        </a:xfrm>
        <a:prstGeom prst="rect">
          <a:avLst/>
        </a:prstGeom>
      </xdr:spPr>
    </xdr:pic>
    <xdr:clientData/>
  </xdr:twoCellAnchor>
  <xdr:twoCellAnchor editAs="oneCell">
    <xdr:from>
      <xdr:col>3</xdr:col>
      <xdr:colOff>450669</xdr:colOff>
      <xdr:row>24</xdr:row>
      <xdr:rowOff>59872</xdr:rowOff>
    </xdr:from>
    <xdr:to>
      <xdr:col>7</xdr:col>
      <xdr:colOff>401894</xdr:colOff>
      <xdr:row>36</xdr:row>
      <xdr:rowOff>60062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1069" y="4615543"/>
          <a:ext cx="2585568" cy="2220876"/>
        </a:xfrm>
        <a:prstGeom prst="rect">
          <a:avLst/>
        </a:prstGeom>
      </xdr:spPr>
    </xdr:pic>
    <xdr:clientData/>
  </xdr:twoCellAnchor>
  <xdr:twoCellAnchor editAs="oneCell">
    <xdr:from>
      <xdr:col>8</xdr:col>
      <xdr:colOff>105591</xdr:colOff>
      <xdr:row>2</xdr:row>
      <xdr:rowOff>104503</xdr:rowOff>
    </xdr:from>
    <xdr:to>
      <xdr:col>11</xdr:col>
      <xdr:colOff>565534</xdr:colOff>
      <xdr:row>4</xdr:row>
      <xdr:rowOff>49013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86005" y="588917"/>
          <a:ext cx="3340014" cy="314625"/>
        </a:xfrm>
        <a:prstGeom prst="rect">
          <a:avLst/>
        </a:prstGeom>
      </xdr:spPr>
    </xdr:pic>
    <xdr:clientData/>
  </xdr:twoCellAnchor>
  <xdr:twoCellAnchor editAs="oneCell">
    <xdr:from>
      <xdr:col>7</xdr:col>
      <xdr:colOff>639808</xdr:colOff>
      <xdr:row>5</xdr:row>
      <xdr:rowOff>155121</xdr:rowOff>
    </xdr:from>
    <xdr:to>
      <xdr:col>11</xdr:col>
      <xdr:colOff>559834</xdr:colOff>
      <xdr:row>18</xdr:row>
      <xdr:rowOff>52720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92883" y="1183821"/>
          <a:ext cx="3377040" cy="2250274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54429</xdr:colOff>
      <xdr:row>6</xdr:row>
      <xdr:rowOff>76201</xdr:rowOff>
    </xdr:from>
    <xdr:to>
      <xdr:col>28</xdr:col>
      <xdr:colOff>219080</xdr:colOff>
      <xdr:row>18</xdr:row>
      <xdr:rowOff>99252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68400" y="1300844"/>
          <a:ext cx="7650023" cy="224373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0</xdr:row>
      <xdr:rowOff>66676</xdr:rowOff>
    </xdr:from>
    <xdr:to>
      <xdr:col>7</xdr:col>
      <xdr:colOff>540809</xdr:colOff>
      <xdr:row>20</xdr:row>
      <xdr:rowOff>168089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50243" y="66676"/>
          <a:ext cx="3255993" cy="38105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60512</xdr:colOff>
      <xdr:row>5</xdr:row>
      <xdr:rowOff>25913</xdr:rowOff>
    </xdr:from>
    <xdr:to>
      <xdr:col>29</xdr:col>
      <xdr:colOff>63310</xdr:colOff>
      <xdr:row>17</xdr:row>
      <xdr:rowOff>82053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59091" y="1037944"/>
          <a:ext cx="8075237" cy="219926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71718</xdr:colOff>
      <xdr:row>32</xdr:row>
      <xdr:rowOff>53789</xdr:rowOff>
    </xdr:from>
    <xdr:to>
      <xdr:col>15</xdr:col>
      <xdr:colOff>701884</xdr:colOff>
      <xdr:row>37</xdr:row>
      <xdr:rowOff>94660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744636" y="5916707"/>
          <a:ext cx="4534293" cy="9373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22412</xdr:colOff>
      <xdr:row>26</xdr:row>
      <xdr:rowOff>22413</xdr:rowOff>
    </xdr:from>
    <xdr:to>
      <xdr:col>17</xdr:col>
      <xdr:colOff>813628</xdr:colOff>
      <xdr:row>28</xdr:row>
      <xdr:rowOff>176393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26971" y="4807325"/>
          <a:ext cx="790014" cy="51256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179293</xdr:rowOff>
    </xdr:from>
    <xdr:to>
      <xdr:col>7</xdr:col>
      <xdr:colOff>521073</xdr:colOff>
      <xdr:row>46</xdr:row>
      <xdr:rowOff>163933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65662" y="4247028"/>
          <a:ext cx="3120838" cy="4287699"/>
        </a:xfrm>
        <a:prstGeom prst="rect">
          <a:avLst/>
        </a:prstGeom>
      </xdr:spPr>
    </xdr:pic>
    <xdr:clientData/>
  </xdr:twoCellAnchor>
  <xdr:twoCellAnchor editAs="oneCell">
    <xdr:from>
      <xdr:col>20</xdr:col>
      <xdr:colOff>340178</xdr:colOff>
      <xdr:row>44</xdr:row>
      <xdr:rowOff>68038</xdr:rowOff>
    </xdr:from>
    <xdr:to>
      <xdr:col>26</xdr:col>
      <xdr:colOff>467746</xdr:colOff>
      <xdr:row>57</xdr:row>
      <xdr:rowOff>9590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49999" y="8266342"/>
          <a:ext cx="4924087" cy="2329605"/>
        </a:xfrm>
        <a:prstGeom prst="rect">
          <a:avLst/>
        </a:prstGeom>
      </xdr:spPr>
    </xdr:pic>
    <xdr:clientData/>
  </xdr:twoCellAnchor>
  <xdr:twoCellAnchor>
    <xdr:from>
      <xdr:col>19</xdr:col>
      <xdr:colOff>329972</xdr:colOff>
      <xdr:row>21</xdr:row>
      <xdr:rowOff>55279</xdr:rowOff>
    </xdr:from>
    <xdr:to>
      <xdr:col>25</xdr:col>
      <xdr:colOff>517071</xdr:colOff>
      <xdr:row>54</xdr:row>
      <xdr:rowOff>108856</xdr:rowOff>
    </xdr:to>
    <xdr:cxnSp macro="">
      <xdr:nvCxnSpPr>
        <xdr:cNvPr id="15" name="Прямая со стрелкой 14"/>
        <xdr:cNvCxnSpPr/>
      </xdr:nvCxnSpPr>
      <xdr:spPr>
        <a:xfrm>
          <a:off x="18386651" y="4028565"/>
          <a:ext cx="4983617" cy="611556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243840</xdr:colOff>
      <xdr:row>0</xdr:row>
      <xdr:rowOff>45720</xdr:rowOff>
    </xdr:from>
    <xdr:to>
      <xdr:col>10</xdr:col>
      <xdr:colOff>594625</xdr:colOff>
      <xdr:row>30</xdr:row>
      <xdr:rowOff>482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5390" y="45720"/>
          <a:ext cx="3008260" cy="5784062"/>
        </a:xfrm>
        <a:prstGeom prst="rect">
          <a:avLst/>
        </a:prstGeom>
      </xdr:spPr>
    </xdr:pic>
    <xdr:clientData/>
  </xdr:twoCellAnchor>
  <xdr:twoCellAnchor editAs="oneCell">
    <xdr:from>
      <xdr:col>10</xdr:col>
      <xdr:colOff>640080</xdr:colOff>
      <xdr:row>2</xdr:row>
      <xdr:rowOff>144780</xdr:rowOff>
    </xdr:from>
    <xdr:to>
      <xdr:col>11</xdr:col>
      <xdr:colOff>702129</xdr:colOff>
      <xdr:row>4</xdr:row>
      <xdr:rowOff>176607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00951" y="629194"/>
          <a:ext cx="1629592" cy="401942"/>
        </a:xfrm>
        <a:prstGeom prst="rect">
          <a:avLst/>
        </a:prstGeom>
      </xdr:spPr>
    </xdr:pic>
    <xdr:clientData/>
  </xdr:twoCellAnchor>
  <xdr:twoCellAnchor editAs="oneCell">
    <xdr:from>
      <xdr:col>10</xdr:col>
      <xdr:colOff>628106</xdr:colOff>
      <xdr:row>5</xdr:row>
      <xdr:rowOff>105592</xdr:rowOff>
    </xdr:from>
    <xdr:to>
      <xdr:col>11</xdr:col>
      <xdr:colOff>750094</xdr:colOff>
      <xdr:row>7</xdr:row>
      <xdr:rowOff>134171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45700" y="1177155"/>
          <a:ext cx="1574550" cy="409579"/>
        </a:xfrm>
        <a:prstGeom prst="rect">
          <a:avLst/>
        </a:prstGeom>
      </xdr:spPr>
    </xdr:pic>
    <xdr:clientData/>
  </xdr:twoCellAnchor>
  <xdr:twoCellAnchor editAs="oneCell">
    <xdr:from>
      <xdr:col>12</xdr:col>
      <xdr:colOff>83820</xdr:colOff>
      <xdr:row>35</xdr:row>
      <xdr:rowOff>66403</xdr:rowOff>
    </xdr:from>
    <xdr:to>
      <xdr:col>19</xdr:col>
      <xdr:colOff>587974</xdr:colOff>
      <xdr:row>50</xdr:row>
      <xdr:rowOff>89503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72206" y="6657703"/>
          <a:ext cx="8231350" cy="2798957"/>
        </a:xfrm>
        <a:prstGeom prst="rect">
          <a:avLst/>
        </a:prstGeom>
      </xdr:spPr>
    </xdr:pic>
    <xdr:clientData/>
  </xdr:twoCellAnchor>
  <xdr:twoCellAnchor editAs="oneCell">
    <xdr:from>
      <xdr:col>20</xdr:col>
      <xdr:colOff>496865</xdr:colOff>
      <xdr:row>12</xdr:row>
      <xdr:rowOff>77763</xdr:rowOff>
    </xdr:from>
    <xdr:to>
      <xdr:col>23</xdr:col>
      <xdr:colOff>278047</xdr:colOff>
      <xdr:row>25</xdr:row>
      <xdr:rowOff>133493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58836" y="2418192"/>
          <a:ext cx="2181482" cy="2461472"/>
        </a:xfrm>
        <a:prstGeom prst="rect">
          <a:avLst/>
        </a:prstGeom>
      </xdr:spPr>
    </xdr:pic>
    <xdr:clientData/>
  </xdr:twoCellAnchor>
  <xdr:twoCellAnchor editAs="oneCell">
    <xdr:from>
      <xdr:col>12</xdr:col>
      <xdr:colOff>56606</xdr:colOff>
      <xdr:row>53</xdr:row>
      <xdr:rowOff>126273</xdr:rowOff>
    </xdr:from>
    <xdr:to>
      <xdr:col>20</xdr:col>
      <xdr:colOff>83450</xdr:colOff>
      <xdr:row>69</xdr:row>
      <xdr:rowOff>118906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44992" y="10048602"/>
          <a:ext cx="8421867" cy="2953547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</xdr:colOff>
      <xdr:row>0</xdr:row>
      <xdr:rowOff>45720</xdr:rowOff>
    </xdr:from>
    <xdr:to>
      <xdr:col>7</xdr:col>
      <xdr:colOff>594626</xdr:colOff>
      <xdr:row>30</xdr:row>
      <xdr:rowOff>30965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20365" y="45720"/>
          <a:ext cx="3065411" cy="5814545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30</xdr:row>
      <xdr:rowOff>114300</xdr:rowOff>
    </xdr:from>
    <xdr:to>
      <xdr:col>7</xdr:col>
      <xdr:colOff>442175</xdr:colOff>
      <xdr:row>46</xdr:row>
      <xdr:rowOff>30727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48990" y="5943600"/>
          <a:ext cx="2484335" cy="2973952"/>
        </a:xfrm>
        <a:prstGeom prst="rect">
          <a:avLst/>
        </a:prstGeom>
      </xdr:spPr>
    </xdr:pic>
    <xdr:clientData/>
  </xdr:twoCellAnchor>
  <xdr:twoCellAnchor editAs="oneCell">
    <xdr:from>
      <xdr:col>14</xdr:col>
      <xdr:colOff>80682</xdr:colOff>
      <xdr:row>28</xdr:row>
      <xdr:rowOff>89647</xdr:rowOff>
    </xdr:from>
    <xdr:to>
      <xdr:col>17</xdr:col>
      <xdr:colOff>610591</xdr:colOff>
      <xdr:row>33</xdr:row>
      <xdr:rowOff>115276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45035" y="5235388"/>
          <a:ext cx="3673158" cy="9221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80683</xdr:colOff>
      <xdr:row>1</xdr:row>
      <xdr:rowOff>152400</xdr:rowOff>
    </xdr:from>
    <xdr:to>
      <xdr:col>28</xdr:col>
      <xdr:colOff>483889</xdr:colOff>
      <xdr:row>12</xdr:row>
      <xdr:rowOff>146295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724095" y="457200"/>
          <a:ext cx="7224386" cy="1966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236220</xdr:colOff>
      <xdr:row>4</xdr:row>
      <xdr:rowOff>83820</xdr:rowOff>
    </xdr:from>
    <xdr:ext cx="2943485" cy="566213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93820" y="845820"/>
          <a:ext cx="2943485" cy="5662131"/>
        </a:xfrm>
        <a:prstGeom prst="rect">
          <a:avLst/>
        </a:prstGeom>
      </xdr:spPr>
    </xdr:pic>
    <xdr:clientData/>
  </xdr:oneCellAnchor>
  <xdr:oneCellAnchor>
    <xdr:from>
      <xdr:col>12</xdr:col>
      <xdr:colOff>7620</xdr:colOff>
      <xdr:row>39</xdr:row>
      <xdr:rowOff>88176</xdr:rowOff>
    </xdr:from>
    <xdr:ext cx="7643522" cy="289012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86506" y="7419705"/>
          <a:ext cx="7643522" cy="2890125"/>
        </a:xfrm>
        <a:prstGeom prst="rect">
          <a:avLst/>
        </a:prstGeom>
      </xdr:spPr>
    </xdr:pic>
    <xdr:clientData/>
  </xdr:oneCellAnchor>
  <xdr:oneCellAnchor>
    <xdr:from>
      <xdr:col>20</xdr:col>
      <xdr:colOff>277330</xdr:colOff>
      <xdr:row>13</xdr:row>
      <xdr:rowOff>30802</xdr:rowOff>
    </xdr:from>
    <xdr:ext cx="2099498" cy="2547197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86271" y="2619361"/>
          <a:ext cx="2099498" cy="2547197"/>
        </a:xfrm>
        <a:prstGeom prst="rect">
          <a:avLst/>
        </a:prstGeom>
      </xdr:spPr>
    </xdr:pic>
    <xdr:clientData/>
  </xdr:oneCellAnchor>
  <xdr:oneCellAnchor>
    <xdr:from>
      <xdr:col>12</xdr:col>
      <xdr:colOff>45719</xdr:colOff>
      <xdr:row>57</xdr:row>
      <xdr:rowOff>82731</xdr:rowOff>
    </xdr:from>
    <xdr:ext cx="7834039" cy="3040633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4605" y="10745288"/>
          <a:ext cx="7834039" cy="3040633"/>
        </a:xfrm>
        <a:prstGeom prst="rect">
          <a:avLst/>
        </a:prstGeom>
      </xdr:spPr>
    </xdr:pic>
    <xdr:clientData/>
  </xdr:oneCellAnchor>
  <xdr:oneCellAnchor>
    <xdr:from>
      <xdr:col>5</xdr:col>
      <xdr:colOff>79466</xdr:colOff>
      <xdr:row>1</xdr:row>
      <xdr:rowOff>30480</xdr:rowOff>
    </xdr:from>
    <xdr:ext cx="3149242" cy="327688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24895" y="329837"/>
          <a:ext cx="3149242" cy="327688"/>
        </a:xfrm>
        <a:prstGeom prst="rect">
          <a:avLst/>
        </a:prstGeom>
      </xdr:spPr>
    </xdr:pic>
    <xdr:clientData/>
  </xdr:oneCellAnchor>
  <xdr:oneCellAnchor>
    <xdr:from>
      <xdr:col>2</xdr:col>
      <xdr:colOff>106680</xdr:colOff>
      <xdr:row>4</xdr:row>
      <xdr:rowOff>99060</xdr:rowOff>
    </xdr:from>
    <xdr:ext cx="3004446" cy="5631648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1009" y="953589"/>
          <a:ext cx="3004446" cy="5631648"/>
        </a:xfrm>
        <a:prstGeom prst="rect">
          <a:avLst/>
        </a:prstGeom>
      </xdr:spPr>
    </xdr:pic>
    <xdr:clientData/>
  </xdr:oneCellAnchor>
  <xdr:oneCellAnchor>
    <xdr:from>
      <xdr:col>4</xdr:col>
      <xdr:colOff>4354</xdr:colOff>
      <xdr:row>35</xdr:row>
      <xdr:rowOff>114300</xdr:rowOff>
    </xdr:from>
    <xdr:ext cx="2272865" cy="2470991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63340" y="6705600"/>
          <a:ext cx="2272865" cy="2470991"/>
        </a:xfrm>
        <a:prstGeom prst="rect">
          <a:avLst/>
        </a:prstGeom>
      </xdr:spPr>
    </xdr:pic>
    <xdr:clientData/>
  </xdr:oneCellAnchor>
  <xdr:twoCellAnchor editAs="oneCell">
    <xdr:from>
      <xdr:col>18</xdr:col>
      <xdr:colOff>471609</xdr:colOff>
      <xdr:row>1</xdr:row>
      <xdr:rowOff>153041</xdr:rowOff>
    </xdr:from>
    <xdr:to>
      <xdr:col>30</xdr:col>
      <xdr:colOff>120469</xdr:colOff>
      <xdr:row>18</xdr:row>
      <xdr:rowOff>78195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85785" y="455600"/>
          <a:ext cx="8860096" cy="3163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53788</xdr:colOff>
      <xdr:row>28</xdr:row>
      <xdr:rowOff>152400</xdr:rowOff>
    </xdr:from>
    <xdr:to>
      <xdr:col>17</xdr:col>
      <xdr:colOff>591524</xdr:colOff>
      <xdr:row>34</xdr:row>
      <xdr:rowOff>29218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77482" y="5298141"/>
          <a:ext cx="3482642" cy="952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16</xdr:row>
      <xdr:rowOff>47625</xdr:rowOff>
    </xdr:from>
    <xdr:to>
      <xdr:col>5</xdr:col>
      <xdr:colOff>257176</xdr:colOff>
      <xdr:row>18</xdr:row>
      <xdr:rowOff>86269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3114675"/>
          <a:ext cx="4895850" cy="4196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4"/>
  <sheetViews>
    <sheetView workbookViewId="0">
      <selection activeCell="K53" sqref="K53"/>
    </sheetView>
  </sheetViews>
  <sheetFormatPr defaultColWidth="9.1328125" defaultRowHeight="12.75" x14ac:dyDescent="0.35"/>
  <cols>
    <col min="1" max="1" width="30" style="55" bestFit="1" customWidth="1"/>
    <col min="2" max="3" width="9.1328125" style="55"/>
    <col min="4" max="4" width="22.59765625" style="55" bestFit="1" customWidth="1"/>
    <col min="5" max="6" width="9.1328125" style="55"/>
    <col min="7" max="7" width="41.265625" style="55" bestFit="1" customWidth="1"/>
    <col min="8" max="9" width="10.3984375" style="55" bestFit="1" customWidth="1"/>
    <col min="10" max="15" width="9.1328125" style="55"/>
    <col min="16" max="16" width="10.3984375" style="55" bestFit="1" customWidth="1"/>
    <col min="17" max="17" width="13.1328125" style="55" bestFit="1" customWidth="1"/>
    <col min="18" max="18" width="9.1328125" style="55"/>
    <col min="19" max="19" width="10.3984375" style="55" bestFit="1" customWidth="1"/>
    <col min="20" max="16384" width="9.1328125" style="55"/>
  </cols>
  <sheetData>
    <row r="1" spans="1:71" x14ac:dyDescent="0.35">
      <c r="A1" s="81" t="s">
        <v>16</v>
      </c>
      <c r="B1" s="74" t="s">
        <v>95</v>
      </c>
      <c r="D1" s="84" t="e">
        <f ca="1">_xll.nxLibData(D2:E2,D3:E24,"RUB:_XCCY_CURVE.DATA")</f>
        <v>#NAME?</v>
      </c>
      <c r="E1" s="83"/>
      <c r="G1" s="84" t="e">
        <f ca="1">_xll.nxLibData(G2:I2,G3:I7,"GAZP_RUB_DIVIDEND_CURVE.RATEORDIVIDEND")</f>
        <v>#NAME?</v>
      </c>
      <c r="H1" s="85"/>
      <c r="I1" s="83"/>
      <c r="P1" s="84" t="e">
        <f ca="1">_xll.nxLibData(P2:Q2,P3:Q20,"RUB:_IRS_CURVE_CURVE.DATA")</f>
        <v>#NAME?</v>
      </c>
      <c r="Q1" s="83"/>
      <c r="S1" s="82" t="e">
        <f ca="1">_xll.nxLibMatrix(T1:AX1,S2:S6,T2:AX6,"EQUITYVOLSURFACE.GAZPRUB.MATRIX")</f>
        <v>#NAME?</v>
      </c>
      <c r="T1" s="79">
        <v>90</v>
      </c>
      <c r="U1" s="80">
        <v>100</v>
      </c>
      <c r="V1" s="80">
        <v>110</v>
      </c>
      <c r="W1" s="80">
        <v>120</v>
      </c>
      <c r="X1" s="80">
        <v>130</v>
      </c>
      <c r="Y1" s="80">
        <v>140</v>
      </c>
      <c r="Z1" s="80">
        <v>150</v>
      </c>
      <c r="AA1" s="80">
        <v>160</v>
      </c>
      <c r="AB1" s="80">
        <v>170</v>
      </c>
      <c r="AC1" s="80">
        <v>180</v>
      </c>
      <c r="AD1" s="80">
        <v>190</v>
      </c>
      <c r="AE1" s="80">
        <v>200</v>
      </c>
      <c r="AF1" s="80">
        <v>210</v>
      </c>
      <c r="AG1" s="80">
        <v>220</v>
      </c>
      <c r="AH1" s="80">
        <v>230</v>
      </c>
      <c r="AI1" s="80">
        <v>240</v>
      </c>
      <c r="AJ1" s="80">
        <v>250</v>
      </c>
      <c r="AK1" s="80">
        <v>260</v>
      </c>
      <c r="AL1" s="80">
        <v>270</v>
      </c>
      <c r="AM1" s="80">
        <v>280</v>
      </c>
      <c r="AN1" s="80">
        <v>290</v>
      </c>
      <c r="AO1" s="80">
        <v>300</v>
      </c>
      <c r="AP1" s="80">
        <v>310</v>
      </c>
      <c r="AQ1" s="80">
        <v>320</v>
      </c>
      <c r="AR1" s="80">
        <v>330</v>
      </c>
      <c r="AS1" s="80">
        <v>340</v>
      </c>
      <c r="AT1" s="80">
        <v>350</v>
      </c>
      <c r="AU1" s="80">
        <v>360</v>
      </c>
      <c r="AV1" s="80">
        <v>370</v>
      </c>
      <c r="AW1" s="80">
        <v>380</v>
      </c>
      <c r="AX1" s="78">
        <v>390</v>
      </c>
      <c r="AZ1" s="81" t="s">
        <v>16</v>
      </c>
      <c r="BA1" s="74" t="s">
        <v>17</v>
      </c>
      <c r="BC1" s="81" t="s">
        <v>16</v>
      </c>
      <c r="BD1" s="74" t="s">
        <v>87</v>
      </c>
      <c r="BF1" s="81" t="s">
        <v>16</v>
      </c>
      <c r="BG1" s="74" t="s">
        <v>18</v>
      </c>
      <c r="BI1" s="81" t="s">
        <v>16</v>
      </c>
      <c r="BJ1" s="74" t="s">
        <v>92</v>
      </c>
      <c r="BL1" s="81" t="s">
        <v>16</v>
      </c>
      <c r="BM1" s="74" t="s">
        <v>19</v>
      </c>
      <c r="BO1" s="81" t="s">
        <v>16</v>
      </c>
      <c r="BP1" s="74" t="s">
        <v>94</v>
      </c>
      <c r="BR1" s="81" t="s">
        <v>16</v>
      </c>
      <c r="BS1" s="74" t="s">
        <v>91</v>
      </c>
    </row>
    <row r="2" spans="1:71" x14ac:dyDescent="0.35">
      <c r="A2" s="70" t="s">
        <v>20</v>
      </c>
      <c r="B2" s="61" t="s">
        <v>21</v>
      </c>
      <c r="D2" s="79" t="s">
        <v>22</v>
      </c>
      <c r="E2" s="78" t="s">
        <v>23</v>
      </c>
      <c r="G2" s="79" t="s">
        <v>24</v>
      </c>
      <c r="H2" s="80" t="s">
        <v>25</v>
      </c>
      <c r="I2" s="78" t="s">
        <v>26</v>
      </c>
      <c r="J2" s="7" t="s">
        <v>86</v>
      </c>
      <c r="L2" s="7" t="s">
        <v>89</v>
      </c>
      <c r="P2" s="79" t="s">
        <v>22</v>
      </c>
      <c r="Q2" s="78" t="s">
        <v>23</v>
      </c>
      <c r="S2" s="95">
        <v>43880</v>
      </c>
      <c r="T2" s="75">
        <v>0.30709999999999998</v>
      </c>
      <c r="U2" s="76">
        <v>0.30709999999999998</v>
      </c>
      <c r="V2" s="76">
        <v>0.30709999999999998</v>
      </c>
      <c r="W2" s="76">
        <v>0.30709999999999998</v>
      </c>
      <c r="X2" s="76">
        <v>0.30709999999999998</v>
      </c>
      <c r="Y2" s="76">
        <v>0.30709999999999998</v>
      </c>
      <c r="Z2" s="76">
        <v>0.30709999999999998</v>
      </c>
      <c r="AA2" s="76">
        <v>0.30709999999999998</v>
      </c>
      <c r="AB2" s="76">
        <v>0.30709999999999998</v>
      </c>
      <c r="AC2" s="76">
        <v>0.30709999999999998</v>
      </c>
      <c r="AD2" s="76">
        <v>0.30709999999999998</v>
      </c>
      <c r="AE2" s="76">
        <v>0.30709999999999998</v>
      </c>
      <c r="AF2" s="76">
        <v>0.30709999999999998</v>
      </c>
      <c r="AG2" s="76">
        <v>0.30270000000000002</v>
      </c>
      <c r="AH2" s="76">
        <v>0.28570000000000001</v>
      </c>
      <c r="AI2" s="76">
        <v>0.2712</v>
      </c>
      <c r="AJ2" s="76">
        <v>0.25929999999999997</v>
      </c>
      <c r="AK2" s="76">
        <v>0.24979999999999999</v>
      </c>
      <c r="AL2" s="76">
        <v>0.24279999999999999</v>
      </c>
      <c r="AM2" s="76">
        <v>0.23780000000000001</v>
      </c>
      <c r="AN2" s="76">
        <v>0.23480000000000001</v>
      </c>
      <c r="AO2" s="76">
        <v>0.23350000000000001</v>
      </c>
      <c r="AP2" s="76">
        <v>0.23380000000000001</v>
      </c>
      <c r="AQ2" s="76">
        <v>0.23549999999999999</v>
      </c>
      <c r="AR2" s="76">
        <v>0.23849999999999999</v>
      </c>
      <c r="AS2" s="76">
        <v>0.2427</v>
      </c>
      <c r="AT2" s="76">
        <v>0.248</v>
      </c>
      <c r="AU2" s="76">
        <v>0.25419999999999998</v>
      </c>
      <c r="AV2" s="76">
        <v>0.26129999999999998</v>
      </c>
      <c r="AW2" s="76">
        <v>0.26919999999999999</v>
      </c>
      <c r="AX2" s="74">
        <v>0.27789999999999998</v>
      </c>
      <c r="AZ2" s="70" t="s">
        <v>20</v>
      </c>
      <c r="BA2" s="61" t="s">
        <v>27</v>
      </c>
      <c r="BC2" s="70" t="s">
        <v>20</v>
      </c>
      <c r="BD2" s="61" t="s">
        <v>28</v>
      </c>
      <c r="BF2" s="70" t="s">
        <v>20</v>
      </c>
      <c r="BG2" s="61" t="s">
        <v>28</v>
      </c>
      <c r="BI2" s="70" t="s">
        <v>20</v>
      </c>
      <c r="BJ2" s="61" t="s">
        <v>28</v>
      </c>
      <c r="BL2" s="70" t="s">
        <v>20</v>
      </c>
      <c r="BM2" s="61" t="s">
        <v>28</v>
      </c>
      <c r="BO2" s="70" t="s">
        <v>20</v>
      </c>
      <c r="BP2" s="61" t="s">
        <v>29</v>
      </c>
      <c r="BR2" s="70" t="s">
        <v>20</v>
      </c>
      <c r="BS2" s="61" t="s">
        <v>30</v>
      </c>
    </row>
    <row r="3" spans="1:71" x14ac:dyDescent="0.35">
      <c r="A3" s="70" t="s">
        <v>31</v>
      </c>
      <c r="B3" s="61" t="s">
        <v>32</v>
      </c>
      <c r="D3" s="86">
        <v>43847</v>
      </c>
      <c r="E3" s="74">
        <v>1</v>
      </c>
      <c r="G3" s="75">
        <v>16.600000000000001</v>
      </c>
      <c r="H3" s="90">
        <v>44027</v>
      </c>
      <c r="I3" s="92">
        <v>44027</v>
      </c>
      <c r="J3" s="55">
        <v>0.97094296964007198</v>
      </c>
      <c r="L3" s="51">
        <f>$G3*J3</f>
        <v>16.117653296025196</v>
      </c>
      <c r="P3" s="86">
        <v>43847</v>
      </c>
      <c r="Q3" s="74">
        <v>1</v>
      </c>
      <c r="S3" s="96">
        <v>43908</v>
      </c>
      <c r="T3" s="62">
        <v>0.31859999999999999</v>
      </c>
      <c r="U3" s="56">
        <v>0.31859999999999999</v>
      </c>
      <c r="V3" s="56">
        <v>0.31859999999999999</v>
      </c>
      <c r="W3" s="56">
        <v>0.31859999999999999</v>
      </c>
      <c r="X3" s="56">
        <v>0.31859999999999999</v>
      </c>
      <c r="Y3" s="56">
        <v>0.31859999999999999</v>
      </c>
      <c r="Z3" s="56">
        <v>0.31859999999999999</v>
      </c>
      <c r="AA3" s="56">
        <v>0.31859999999999999</v>
      </c>
      <c r="AB3" s="56">
        <v>0.31859999999999999</v>
      </c>
      <c r="AC3" s="56">
        <v>0.31859999999999999</v>
      </c>
      <c r="AD3" s="56">
        <v>0.31859999999999999</v>
      </c>
      <c r="AE3" s="56">
        <v>0.31859999999999999</v>
      </c>
      <c r="AF3" s="56">
        <v>0.31859999999999999</v>
      </c>
      <c r="AG3" s="56">
        <v>0.30790000000000001</v>
      </c>
      <c r="AH3" s="56">
        <v>0.29330000000000001</v>
      </c>
      <c r="AI3" s="56">
        <v>0.28070000000000001</v>
      </c>
      <c r="AJ3" s="56">
        <v>0.27</v>
      </c>
      <c r="AK3" s="56">
        <v>0.26140000000000002</v>
      </c>
      <c r="AL3" s="56">
        <v>0.2545</v>
      </c>
      <c r="AM3" s="56">
        <v>0.24940000000000001</v>
      </c>
      <c r="AN3" s="56">
        <v>0.2457</v>
      </c>
      <c r="AO3" s="56">
        <v>0.24340000000000001</v>
      </c>
      <c r="AP3" s="56">
        <v>0.2424</v>
      </c>
      <c r="AQ3" s="56">
        <v>0.2424</v>
      </c>
      <c r="AR3" s="56">
        <v>0.24349999999999999</v>
      </c>
      <c r="AS3" s="56">
        <v>0.2455</v>
      </c>
      <c r="AT3" s="56">
        <v>0.24829999999999999</v>
      </c>
      <c r="AU3" s="56">
        <v>0.252</v>
      </c>
      <c r="AV3" s="56">
        <v>0.25629999999999997</v>
      </c>
      <c r="AW3" s="56">
        <v>0.26119999999999999</v>
      </c>
      <c r="AX3" s="61">
        <v>0.26679999999999998</v>
      </c>
      <c r="AZ3" s="70" t="s">
        <v>31</v>
      </c>
      <c r="BA3" s="61" t="s">
        <v>33</v>
      </c>
      <c r="BC3" s="70" t="s">
        <v>31</v>
      </c>
      <c r="BD3" s="61" t="s">
        <v>34</v>
      </c>
      <c r="BF3" s="70" t="s">
        <v>31</v>
      </c>
      <c r="BG3" s="61" t="s">
        <v>35</v>
      </c>
      <c r="BI3" s="70" t="s">
        <v>31</v>
      </c>
      <c r="BJ3" s="61" t="s">
        <v>34</v>
      </c>
      <c r="BL3" s="70" t="s">
        <v>31</v>
      </c>
      <c r="BM3" s="61" t="s">
        <v>36</v>
      </c>
      <c r="BO3" s="70" t="s">
        <v>31</v>
      </c>
      <c r="BP3" s="61" t="s">
        <v>37</v>
      </c>
      <c r="BR3" s="70" t="s">
        <v>31</v>
      </c>
      <c r="BS3" s="61" t="s">
        <v>38</v>
      </c>
    </row>
    <row r="4" spans="1:71" x14ac:dyDescent="0.35">
      <c r="A4" s="70" t="s">
        <v>17</v>
      </c>
      <c r="B4" s="61" t="s">
        <v>17</v>
      </c>
      <c r="D4" s="87">
        <v>43851</v>
      </c>
      <c r="E4" s="61">
        <v>0.99934432017138897</v>
      </c>
      <c r="G4" s="62">
        <v>10</v>
      </c>
      <c r="H4" s="58">
        <v>44392</v>
      </c>
      <c r="I4" s="93">
        <v>44392</v>
      </c>
      <c r="J4" s="55">
        <v>0.92226108063619905</v>
      </c>
      <c r="L4" s="51">
        <f>$G4*J4</f>
        <v>9.22261080636199</v>
      </c>
      <c r="P4" s="87">
        <v>43941</v>
      </c>
      <c r="Q4" s="61">
        <v>0.98370015693899004</v>
      </c>
      <c r="S4" s="96">
        <v>43999</v>
      </c>
      <c r="T4" s="62">
        <v>0.32100000000000001</v>
      </c>
      <c r="U4" s="56">
        <v>0.32100000000000001</v>
      </c>
      <c r="V4" s="56">
        <v>0.32100000000000001</v>
      </c>
      <c r="W4" s="56">
        <v>0.32100000000000001</v>
      </c>
      <c r="X4" s="56">
        <v>0.32100000000000001</v>
      </c>
      <c r="Y4" s="56">
        <v>0.32100000000000001</v>
      </c>
      <c r="Z4" s="56">
        <v>0.32100000000000001</v>
      </c>
      <c r="AA4" s="56">
        <v>0.32100000000000001</v>
      </c>
      <c r="AB4" s="56">
        <v>0.32100000000000001</v>
      </c>
      <c r="AC4" s="56">
        <v>0.32100000000000001</v>
      </c>
      <c r="AD4" s="56">
        <v>0.32100000000000001</v>
      </c>
      <c r="AE4" s="56">
        <v>0.32100000000000001</v>
      </c>
      <c r="AF4" s="56">
        <v>0.31109999999999999</v>
      </c>
      <c r="AG4" s="56">
        <v>0.2994</v>
      </c>
      <c r="AH4" s="56">
        <v>0.2888</v>
      </c>
      <c r="AI4" s="56">
        <v>0.27939999999999998</v>
      </c>
      <c r="AJ4" s="56">
        <v>0.2712</v>
      </c>
      <c r="AK4" s="56">
        <v>0.2641</v>
      </c>
      <c r="AL4" s="56">
        <v>0.2581</v>
      </c>
      <c r="AM4" s="56">
        <v>0.253</v>
      </c>
      <c r="AN4" s="56">
        <v>0.24890000000000001</v>
      </c>
      <c r="AO4" s="56">
        <v>0.2455</v>
      </c>
      <c r="AP4" s="56">
        <v>0.2429</v>
      </c>
      <c r="AQ4" s="56">
        <v>0.24099999999999999</v>
      </c>
      <c r="AR4" s="56">
        <v>0.23960000000000001</v>
      </c>
      <c r="AS4" s="56">
        <v>0.23880000000000001</v>
      </c>
      <c r="AT4" s="56">
        <v>0.23860000000000001</v>
      </c>
      <c r="AU4" s="56">
        <v>0.2387</v>
      </c>
      <c r="AV4" s="56">
        <v>0.2394</v>
      </c>
      <c r="AW4" s="56">
        <v>0.2404</v>
      </c>
      <c r="AX4" s="61">
        <v>0.2417</v>
      </c>
      <c r="AZ4" s="69" t="s">
        <v>39</v>
      </c>
      <c r="BA4" s="59">
        <v>43847</v>
      </c>
      <c r="BC4" s="70" t="s">
        <v>40</v>
      </c>
      <c r="BD4" s="61" t="s">
        <v>41</v>
      </c>
      <c r="BF4" s="70" t="s">
        <v>40</v>
      </c>
      <c r="BG4" s="61" t="s">
        <v>41</v>
      </c>
      <c r="BI4" s="70" t="s">
        <v>40</v>
      </c>
      <c r="BJ4" s="61" t="s">
        <v>41</v>
      </c>
      <c r="BL4" s="70" t="s">
        <v>17</v>
      </c>
      <c r="BM4" s="61" t="s">
        <v>17</v>
      </c>
      <c r="BO4" s="70" t="s">
        <v>42</v>
      </c>
      <c r="BP4" s="61" t="s">
        <v>43</v>
      </c>
      <c r="BR4" s="70" t="s">
        <v>40</v>
      </c>
      <c r="BS4" s="61" t="s">
        <v>41</v>
      </c>
    </row>
    <row r="5" spans="1:71" x14ac:dyDescent="0.35">
      <c r="A5" s="70" t="s">
        <v>21</v>
      </c>
      <c r="B5" s="61" t="s">
        <v>44</v>
      </c>
      <c r="D5" s="87">
        <v>43852</v>
      </c>
      <c r="E5" s="61">
        <v>0.99918135664935503</v>
      </c>
      <c r="G5" s="62">
        <v>10</v>
      </c>
      <c r="H5" s="58">
        <v>44757</v>
      </c>
      <c r="I5" s="93">
        <v>44757</v>
      </c>
      <c r="J5" s="55">
        <v>0.88039959799915302</v>
      </c>
      <c r="L5" s="51">
        <f>$G5*J5</f>
        <v>8.8039959799915302</v>
      </c>
      <c r="P5" s="87">
        <v>43971</v>
      </c>
      <c r="Q5" s="61">
        <v>0.97867132574943105</v>
      </c>
      <c r="S5" s="96">
        <v>44183</v>
      </c>
      <c r="T5" s="62">
        <v>0.32250000000000001</v>
      </c>
      <c r="U5" s="56">
        <v>0.32250000000000001</v>
      </c>
      <c r="V5" s="56">
        <v>0.32250000000000001</v>
      </c>
      <c r="W5" s="56">
        <v>0.32250000000000001</v>
      </c>
      <c r="X5" s="56">
        <v>0.32250000000000001</v>
      </c>
      <c r="Y5" s="56">
        <v>0.32250000000000001</v>
      </c>
      <c r="Z5" s="56">
        <v>0.32250000000000001</v>
      </c>
      <c r="AA5" s="56">
        <v>0.32250000000000001</v>
      </c>
      <c r="AB5" s="56">
        <v>0.32250000000000001</v>
      </c>
      <c r="AC5" s="56">
        <v>0.32250000000000001</v>
      </c>
      <c r="AD5" s="56">
        <v>0.31769999999999998</v>
      </c>
      <c r="AE5" s="56">
        <v>0.30840000000000001</v>
      </c>
      <c r="AF5" s="56">
        <v>0.29980000000000001</v>
      </c>
      <c r="AG5" s="56">
        <v>0.2918</v>
      </c>
      <c r="AH5" s="56">
        <v>0.28439999999999999</v>
      </c>
      <c r="AI5" s="56">
        <v>0.2777</v>
      </c>
      <c r="AJ5" s="56">
        <v>0.27160000000000001</v>
      </c>
      <c r="AK5" s="56">
        <v>0.2661</v>
      </c>
      <c r="AL5" s="56">
        <v>0.26119999999999999</v>
      </c>
      <c r="AM5" s="56">
        <v>0.25679999999999997</v>
      </c>
      <c r="AN5" s="56">
        <v>0.25290000000000001</v>
      </c>
      <c r="AO5" s="56">
        <v>0.2495</v>
      </c>
      <c r="AP5" s="56">
        <v>0.2465</v>
      </c>
      <c r="AQ5" s="56">
        <v>0.24379999999999999</v>
      </c>
      <c r="AR5" s="56">
        <v>0.24149999999999999</v>
      </c>
      <c r="AS5" s="56">
        <v>0.23949999999999999</v>
      </c>
      <c r="AT5" s="56">
        <v>0.23780000000000001</v>
      </c>
      <c r="AU5" s="56">
        <v>0.23630000000000001</v>
      </c>
      <c r="AV5" s="56">
        <v>0.2351</v>
      </c>
      <c r="AW5" s="56">
        <v>0.2341</v>
      </c>
      <c r="AX5" s="61">
        <v>0.23330000000000001</v>
      </c>
      <c r="AZ5" s="68" t="s">
        <v>45</v>
      </c>
      <c r="BA5" s="67" t="e">
        <f t="array" aca="1" ref="BA5:BA8" ca="1">_xll.nxLibCall(AZ1:AZ4,BA1:BA4,AZ5:AZ8)</f>
        <v>#NAME?</v>
      </c>
      <c r="BC5" s="70" t="s">
        <v>46</v>
      </c>
      <c r="BD5" s="61" t="s">
        <v>47</v>
      </c>
      <c r="BF5" s="69" t="s">
        <v>48</v>
      </c>
      <c r="BG5" s="59" t="s">
        <v>49</v>
      </c>
      <c r="BI5" s="70" t="s">
        <v>46</v>
      </c>
      <c r="BJ5" s="61" t="s">
        <v>47</v>
      </c>
      <c r="BL5" s="70" t="s">
        <v>40</v>
      </c>
      <c r="BM5" s="61" t="s">
        <v>41</v>
      </c>
      <c r="BO5" s="70" t="s">
        <v>40</v>
      </c>
      <c r="BP5" s="61" t="s">
        <v>41</v>
      </c>
      <c r="BR5" s="69" t="s">
        <v>29</v>
      </c>
      <c r="BS5" s="59" t="s">
        <v>94</v>
      </c>
    </row>
    <row r="6" spans="1:71" x14ac:dyDescent="0.35">
      <c r="A6" s="70" t="s">
        <v>40</v>
      </c>
      <c r="B6" s="61" t="s">
        <v>41</v>
      </c>
      <c r="D6" s="87">
        <v>43858</v>
      </c>
      <c r="E6" s="61">
        <v>0.99820491346005102</v>
      </c>
      <c r="G6" s="62">
        <v>10</v>
      </c>
      <c r="H6" s="58">
        <v>45122</v>
      </c>
      <c r="I6" s="93">
        <v>45122</v>
      </c>
      <c r="J6" s="55">
        <v>0.840972765764741</v>
      </c>
      <c r="L6" s="51"/>
      <c r="P6" s="87">
        <v>44004</v>
      </c>
      <c r="Q6" s="61">
        <v>0.97319939679439205</v>
      </c>
      <c r="S6" s="97">
        <v>44545</v>
      </c>
      <c r="T6" s="60">
        <v>0.32329999999999998</v>
      </c>
      <c r="U6" s="71">
        <v>0.32329999999999998</v>
      </c>
      <c r="V6" s="71">
        <v>0.32329999999999998</v>
      </c>
      <c r="W6" s="71">
        <v>0.32329999999999998</v>
      </c>
      <c r="X6" s="71">
        <v>0.32329999999999998</v>
      </c>
      <c r="Y6" s="71">
        <v>0.32329999999999998</v>
      </c>
      <c r="Z6" s="71">
        <v>0.32329999999999998</v>
      </c>
      <c r="AA6" s="71">
        <v>0.32329999999999998</v>
      </c>
      <c r="AB6" s="71">
        <v>0.31619999999999998</v>
      </c>
      <c r="AC6" s="71">
        <v>0.3095</v>
      </c>
      <c r="AD6" s="71">
        <v>0.30309999999999998</v>
      </c>
      <c r="AE6" s="71">
        <v>0.29699999999999999</v>
      </c>
      <c r="AF6" s="71">
        <v>0.29120000000000001</v>
      </c>
      <c r="AG6" s="71">
        <v>0.2858</v>
      </c>
      <c r="AH6" s="71">
        <v>0.28070000000000001</v>
      </c>
      <c r="AI6" s="71">
        <v>0.27589999999999998</v>
      </c>
      <c r="AJ6" s="71">
        <v>0.27150000000000002</v>
      </c>
      <c r="AK6" s="71">
        <v>0.26740000000000003</v>
      </c>
      <c r="AL6" s="71">
        <v>0.2636</v>
      </c>
      <c r="AM6" s="71">
        <v>0.2601</v>
      </c>
      <c r="AN6" s="71">
        <v>0.25679999999999997</v>
      </c>
      <c r="AO6" s="71">
        <v>0.25380000000000003</v>
      </c>
      <c r="AP6" s="71">
        <v>0.251</v>
      </c>
      <c r="AQ6" s="71">
        <v>0.24840000000000001</v>
      </c>
      <c r="AR6" s="71">
        <v>0.246</v>
      </c>
      <c r="AS6" s="71">
        <v>0.24379999999999999</v>
      </c>
      <c r="AT6" s="71">
        <v>0.2417</v>
      </c>
      <c r="AU6" s="71">
        <v>0.23980000000000001</v>
      </c>
      <c r="AV6" s="71">
        <v>0.23799999999999999</v>
      </c>
      <c r="AW6" s="71">
        <v>0.23630000000000001</v>
      </c>
      <c r="AX6" s="59">
        <v>0.23480000000000001</v>
      </c>
      <c r="AZ6" s="66" t="s">
        <v>50</v>
      </c>
      <c r="BA6" s="65" t="e">
        <f ca="1"/>
        <v>#NAME?</v>
      </c>
      <c r="BC6" s="70" t="s">
        <v>51</v>
      </c>
      <c r="BD6" s="61" t="s">
        <v>52</v>
      </c>
      <c r="BF6" s="68" t="s">
        <v>45</v>
      </c>
      <c r="BG6" s="67" t="e">
        <f t="array" aca="1" ref="BG6:BG9" ca="1">_xll.nxLibCall(BF1:BF5,BG1:BG5,BF6:BF9)</f>
        <v>#NAME?</v>
      </c>
      <c r="BI6" s="70" t="s">
        <v>51</v>
      </c>
      <c r="BJ6" s="61" t="s">
        <v>52</v>
      </c>
      <c r="BL6" s="70" t="s">
        <v>53</v>
      </c>
      <c r="BM6" s="61" t="s">
        <v>54</v>
      </c>
      <c r="BO6" s="70" t="s">
        <v>55</v>
      </c>
      <c r="BP6" s="61">
        <v>44943</v>
      </c>
      <c r="BR6" s="68" t="s">
        <v>45</v>
      </c>
      <c r="BS6" s="67" t="e">
        <f t="array" aca="1" ref="BS6:BS9" ca="1">_xll.nxLibCall(BR1:BR5,BS1:BS5,BR6:BR9)</f>
        <v>#NAME?</v>
      </c>
    </row>
    <row r="7" spans="1:71" x14ac:dyDescent="0.35">
      <c r="A7" s="70" t="s">
        <v>56</v>
      </c>
      <c r="B7" s="61" t="s">
        <v>87</v>
      </c>
      <c r="D7" s="87">
        <v>43865</v>
      </c>
      <c r="E7" s="61">
        <v>0.99706965025864902</v>
      </c>
      <c r="G7" s="60">
        <v>10</v>
      </c>
      <c r="H7" s="91">
        <v>45488</v>
      </c>
      <c r="I7" s="94">
        <v>45488</v>
      </c>
      <c r="J7" s="55">
        <v>0.80311489627562005</v>
      </c>
      <c r="L7" s="51"/>
      <c r="P7" s="87">
        <v>44032</v>
      </c>
      <c r="Q7" s="61">
        <v>0.96867145747417704</v>
      </c>
      <c r="AZ7" s="66" t="s">
        <v>57</v>
      </c>
      <c r="BA7" s="65" t="e">
        <f ca="1"/>
        <v>#NAME?</v>
      </c>
      <c r="BC7" s="70" t="s">
        <v>58</v>
      </c>
      <c r="BD7" s="61" t="s">
        <v>59</v>
      </c>
      <c r="BF7" s="66" t="s">
        <v>50</v>
      </c>
      <c r="BG7" s="65" t="e">
        <f ca="1"/>
        <v>#NAME?</v>
      </c>
      <c r="BI7" s="70" t="s">
        <v>58</v>
      </c>
      <c r="BJ7" s="61" t="s">
        <v>59</v>
      </c>
      <c r="BL7" s="70" t="s">
        <v>60</v>
      </c>
      <c r="BM7" s="61" t="s">
        <v>61</v>
      </c>
      <c r="BO7" s="70" t="s">
        <v>62</v>
      </c>
      <c r="BP7" s="61" t="s">
        <v>63</v>
      </c>
      <c r="BR7" s="66" t="s">
        <v>50</v>
      </c>
      <c r="BS7" s="65" t="e">
        <f ca="1"/>
        <v>#NAME?</v>
      </c>
    </row>
    <row r="8" spans="1:71" x14ac:dyDescent="0.35">
      <c r="A8" s="70" t="s">
        <v>64</v>
      </c>
      <c r="B8" s="61" t="s">
        <v>18</v>
      </c>
      <c r="D8" s="87">
        <v>43882</v>
      </c>
      <c r="E8" s="61">
        <v>0.99437240650854497</v>
      </c>
      <c r="P8" s="87">
        <v>44124</v>
      </c>
      <c r="Q8" s="61">
        <v>0.95401918253196805</v>
      </c>
      <c r="AZ8" s="64" t="s">
        <v>65</v>
      </c>
      <c r="BA8" s="63" t="e">
        <f ca="1"/>
        <v>#NAME?</v>
      </c>
      <c r="BC8" s="69" t="s">
        <v>60</v>
      </c>
      <c r="BD8" s="59" t="s">
        <v>88</v>
      </c>
      <c r="BF8" s="66" t="s">
        <v>57</v>
      </c>
      <c r="BG8" s="65" t="e">
        <f ca="1"/>
        <v>#NAME?</v>
      </c>
      <c r="BI8" s="69" t="s">
        <v>60</v>
      </c>
      <c r="BJ8" s="59" t="s">
        <v>93</v>
      </c>
      <c r="BL8" s="70" t="s">
        <v>64</v>
      </c>
      <c r="BM8" s="61" t="s">
        <v>18</v>
      </c>
      <c r="BO8" s="70" t="s">
        <v>66</v>
      </c>
      <c r="BP8" s="61" t="s">
        <v>19</v>
      </c>
      <c r="BR8" s="66" t="s">
        <v>57</v>
      </c>
      <c r="BS8" s="65" t="e">
        <f ca="1"/>
        <v>#NAME?</v>
      </c>
    </row>
    <row r="9" spans="1:71" x14ac:dyDescent="0.35">
      <c r="A9" s="70" t="s">
        <v>67</v>
      </c>
      <c r="B9" s="61">
        <v>255.81</v>
      </c>
      <c r="D9" s="87">
        <v>43913</v>
      </c>
      <c r="E9" s="61">
        <v>0.98953708884282598</v>
      </c>
      <c r="P9" s="87">
        <v>44216</v>
      </c>
      <c r="Q9" s="61">
        <v>0.93969688104475202</v>
      </c>
      <c r="BC9" s="68" t="s">
        <v>45</v>
      </c>
      <c r="BD9" s="67" t="e">
        <f t="array" aca="1" ref="BD9:BD12" ca="1">_xll.nxLibCall(BC1:BC8,BD1:BD8,BC9:BC12)</f>
        <v>#NAME?</v>
      </c>
      <c r="BF9" s="64" t="s">
        <v>65</v>
      </c>
      <c r="BG9" s="63" t="e">
        <f ca="1"/>
        <v>#NAME?</v>
      </c>
      <c r="BI9" s="68" t="s">
        <v>45</v>
      </c>
      <c r="BJ9" s="67" t="e">
        <f t="array" aca="1" ref="BJ9:BJ12" ca="1">_xll.nxLibCall(BI1:BI8,BJ1:BJ8,BI9:BI12)</f>
        <v>#NAME?</v>
      </c>
      <c r="BL9" s="70" t="s">
        <v>56</v>
      </c>
      <c r="BM9" s="61" t="s">
        <v>92</v>
      </c>
      <c r="BO9" s="70" t="s">
        <v>68</v>
      </c>
      <c r="BP9" s="61">
        <v>44945</v>
      </c>
      <c r="BR9" s="64" t="s">
        <v>65</v>
      </c>
      <c r="BS9" s="63" t="e">
        <f ca="1"/>
        <v>#NAME?</v>
      </c>
    </row>
    <row r="10" spans="1:71" x14ac:dyDescent="0.35">
      <c r="A10" s="70" t="s">
        <v>69</v>
      </c>
      <c r="B10" s="61" t="s">
        <v>70</v>
      </c>
      <c r="D10" s="87">
        <v>43942</v>
      </c>
      <c r="E10" s="61">
        <v>0.98513142759602101</v>
      </c>
      <c r="P10" s="87">
        <v>44581</v>
      </c>
      <c r="Q10" s="61">
        <v>0.88634438933717496</v>
      </c>
      <c r="BC10" s="66" t="s">
        <v>50</v>
      </c>
      <c r="BD10" s="65" t="e">
        <f ca="1"/>
        <v>#NAME?</v>
      </c>
      <c r="BI10" s="66" t="s">
        <v>50</v>
      </c>
      <c r="BJ10" s="65" t="e">
        <f ca="1"/>
        <v>#NAME?</v>
      </c>
      <c r="BL10" s="70" t="s">
        <v>58</v>
      </c>
      <c r="BM10" s="61" t="s">
        <v>71</v>
      </c>
      <c r="BO10" s="69" t="s">
        <v>72</v>
      </c>
      <c r="BP10" s="59">
        <v>240</v>
      </c>
    </row>
    <row r="11" spans="1:71" x14ac:dyDescent="0.35">
      <c r="A11" s="70" t="s">
        <v>73</v>
      </c>
      <c r="B11" s="61" t="s">
        <v>74</v>
      </c>
      <c r="D11" s="87">
        <v>44033</v>
      </c>
      <c r="E11" s="61">
        <v>0.97147782138884498</v>
      </c>
      <c r="P11" s="87">
        <v>44946</v>
      </c>
      <c r="Q11" s="61">
        <v>0.83426641415144098</v>
      </c>
      <c r="BC11" s="66" t="s">
        <v>57</v>
      </c>
      <c r="BD11" s="65" t="e">
        <f ca="1"/>
        <v>#NAME?</v>
      </c>
      <c r="BI11" s="66" t="s">
        <v>57</v>
      </c>
      <c r="BJ11" s="65" t="e">
        <f ca="1"/>
        <v>#NAME?</v>
      </c>
      <c r="BL11" s="70" t="s">
        <v>69</v>
      </c>
      <c r="BM11" s="61" t="s">
        <v>75</v>
      </c>
      <c r="BO11" s="68" t="s">
        <v>45</v>
      </c>
      <c r="BP11" s="67" t="e">
        <f t="array" aca="1" ref="BP11:BP14" ca="1">_xll.nxLibCall(BO1:BO10,BP1:BP10,BO11:BO14)</f>
        <v>#NAME?</v>
      </c>
    </row>
    <row r="12" spans="1:71" x14ac:dyDescent="0.35">
      <c r="A12" s="69" t="s">
        <v>76</v>
      </c>
      <c r="B12" s="59" t="s">
        <v>91</v>
      </c>
      <c r="D12" s="87">
        <v>44125</v>
      </c>
      <c r="E12" s="61">
        <v>0.95838196410486498</v>
      </c>
      <c r="P12" s="87">
        <v>45313</v>
      </c>
      <c r="Q12" s="61">
        <v>0.78353330936420995</v>
      </c>
      <c r="BC12" s="64" t="s">
        <v>65</v>
      </c>
      <c r="BD12" s="63" t="e">
        <f ca="1"/>
        <v>#NAME?</v>
      </c>
      <c r="BI12" s="64" t="s">
        <v>65</v>
      </c>
      <c r="BJ12" s="63" t="e">
        <f ca="1"/>
        <v>#NAME?</v>
      </c>
      <c r="BL12" s="70" t="s">
        <v>51</v>
      </c>
      <c r="BM12" s="61" t="s">
        <v>52</v>
      </c>
      <c r="BO12" s="66" t="s">
        <v>50</v>
      </c>
      <c r="BP12" s="65" t="e">
        <f ca="1"/>
        <v>#NAME?</v>
      </c>
    </row>
    <row r="13" spans="1:71" x14ac:dyDescent="0.35">
      <c r="A13" s="68" t="s">
        <v>45</v>
      </c>
      <c r="B13" s="67" t="e">
        <f t="array" aca="1" ref="B13:B16" ca="1">_xll.nxLibCall(A1:A12,B1:B12,A13:A16)</f>
        <v>#NAME?</v>
      </c>
      <c r="D13" s="87">
        <v>44217</v>
      </c>
      <c r="E13" s="61">
        <v>0.94401666182477895</v>
      </c>
      <c r="P13" s="87">
        <v>45677</v>
      </c>
      <c r="Q13" s="61">
        <v>0.73478231007666195</v>
      </c>
      <c r="BL13" s="69" t="s">
        <v>77</v>
      </c>
      <c r="BM13" s="59" t="s">
        <v>78</v>
      </c>
      <c r="BO13" s="66" t="s">
        <v>57</v>
      </c>
      <c r="BP13" s="65" t="e">
        <f ca="1"/>
        <v>#NAME?</v>
      </c>
    </row>
    <row r="14" spans="1:71" x14ac:dyDescent="0.35">
      <c r="A14" s="66" t="s">
        <v>50</v>
      </c>
      <c r="B14" s="65" t="e">
        <f ca="1"/>
        <v>#NAME?</v>
      </c>
      <c r="D14" s="87">
        <v>44582</v>
      </c>
      <c r="E14" s="61">
        <v>0.89784969651947699</v>
      </c>
      <c r="P14" s="87">
        <v>46042</v>
      </c>
      <c r="Q14" s="61">
        <v>0.68597868696102204</v>
      </c>
      <c r="BL14" s="68" t="s">
        <v>45</v>
      </c>
      <c r="BM14" s="67" t="e">
        <f t="array" aca="1" ref="BM14:BM17" ca="1">_xll.nxLibCall(BL1:BL13,BM1:BM13,BL14:BL17)</f>
        <v>#NAME?</v>
      </c>
      <c r="BO14" s="64" t="s">
        <v>65</v>
      </c>
      <c r="BP14" s="63" t="e">
        <f ca="1"/>
        <v>#NAME?</v>
      </c>
    </row>
    <row r="15" spans="1:71" x14ac:dyDescent="0.35">
      <c r="A15" s="66" t="s">
        <v>57</v>
      </c>
      <c r="B15" s="65" t="e">
        <f ca="1"/>
        <v>#NAME?</v>
      </c>
      <c r="D15" s="87">
        <v>44949</v>
      </c>
      <c r="E15" s="61">
        <v>0.85532660032733099</v>
      </c>
      <c r="P15" s="87">
        <v>46407</v>
      </c>
      <c r="Q15" s="61">
        <v>0.63884100695919899</v>
      </c>
      <c r="BL15" s="66" t="s">
        <v>50</v>
      </c>
      <c r="BM15" s="65" t="e">
        <f ca="1"/>
        <v>#NAME?</v>
      </c>
    </row>
    <row r="16" spans="1:71" x14ac:dyDescent="0.35">
      <c r="A16" s="64" t="s">
        <v>65</v>
      </c>
      <c r="B16" s="63" t="e">
        <f ca="1"/>
        <v>#NAME?</v>
      </c>
      <c r="D16" s="87">
        <v>45313</v>
      </c>
      <c r="E16" s="61">
        <v>0.81516738945050504</v>
      </c>
      <c r="P16" s="87">
        <v>46772</v>
      </c>
      <c r="Q16" s="61">
        <v>0.59291216643817002</v>
      </c>
      <c r="BL16" s="66" t="s">
        <v>57</v>
      </c>
      <c r="BM16" s="65" t="e">
        <f ca="1"/>
        <v>#NAME?</v>
      </c>
    </row>
    <row r="17" spans="4:65" x14ac:dyDescent="0.35">
      <c r="D17" s="87">
        <v>45678</v>
      </c>
      <c r="E17" s="61">
        <v>0.77671728191116096</v>
      </c>
      <c r="P17" s="87">
        <v>47140</v>
      </c>
      <c r="Q17" s="61">
        <v>0.549083024221246</v>
      </c>
      <c r="BL17" s="64" t="s">
        <v>65</v>
      </c>
      <c r="BM17" s="63" t="e">
        <f ca="1"/>
        <v>#NAME?</v>
      </c>
    </row>
    <row r="18" spans="4:65" x14ac:dyDescent="0.35">
      <c r="D18" s="87">
        <v>46043</v>
      </c>
      <c r="E18" s="61">
        <v>0.74030727269133501</v>
      </c>
      <c r="P18" s="87">
        <v>47504</v>
      </c>
      <c r="Q18" s="61">
        <v>0.50862702640150004</v>
      </c>
    </row>
    <row r="19" spans="4:65" x14ac:dyDescent="0.35">
      <c r="D19" s="87">
        <v>46408</v>
      </c>
      <c r="E19" s="61">
        <v>0.70513958128770304</v>
      </c>
      <c r="P19" s="87">
        <v>48233</v>
      </c>
      <c r="Q19" s="61">
        <v>0.43920080057033101</v>
      </c>
    </row>
    <row r="20" spans="4:65" x14ac:dyDescent="0.35">
      <c r="D20" s="87">
        <v>46773</v>
      </c>
      <c r="E20" s="61">
        <v>0.67012672581479205</v>
      </c>
      <c r="P20" s="88">
        <v>49331</v>
      </c>
      <c r="Q20" s="59">
        <v>0.35140326019610202</v>
      </c>
    </row>
    <row r="21" spans="4:65" x14ac:dyDescent="0.35">
      <c r="D21" s="87">
        <v>47140</v>
      </c>
      <c r="E21" s="61">
        <v>0.63660627084634502</v>
      </c>
      <c r="P21" s="89"/>
    </row>
    <row r="22" spans="4:65" x14ac:dyDescent="0.35">
      <c r="D22" s="87">
        <v>47505</v>
      </c>
      <c r="E22" s="61">
        <v>0.60397221583403604</v>
      </c>
    </row>
    <row r="23" spans="4:65" x14ac:dyDescent="0.35">
      <c r="D23" s="87">
        <v>48234</v>
      </c>
      <c r="E23" s="61">
        <v>0.54694265683019905</v>
      </c>
    </row>
    <row r="24" spans="4:65" x14ac:dyDescent="0.35">
      <c r="D24" s="88">
        <v>49331</v>
      </c>
      <c r="E24" s="59">
        <v>0.47118313407697698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zoomScale="70" zoomScaleNormal="70" workbookViewId="0">
      <selection activeCell="E2" sqref="E2"/>
    </sheetView>
  </sheetViews>
  <sheetFormatPr defaultColWidth="22.265625" defaultRowHeight="14.25" x14ac:dyDescent="0.45"/>
  <sheetData>
    <row r="1" spans="1:11" x14ac:dyDescent="0.45">
      <c r="A1" t="s">
        <v>256</v>
      </c>
      <c r="B1" t="s">
        <v>257</v>
      </c>
      <c r="C1" t="s">
        <v>258</v>
      </c>
      <c r="D1" t="s">
        <v>259</v>
      </c>
      <c r="E1" t="s">
        <v>106</v>
      </c>
      <c r="F1" t="s">
        <v>107</v>
      </c>
      <c r="G1" t="s">
        <v>260</v>
      </c>
      <c r="H1" t="s">
        <v>261</v>
      </c>
      <c r="I1" t="s">
        <v>148</v>
      </c>
    </row>
    <row r="2" spans="1:11" x14ac:dyDescent="0.45">
      <c r="A2" t="s">
        <v>262</v>
      </c>
      <c r="B2" t="s">
        <v>265</v>
      </c>
      <c r="C2">
        <v>22512342</v>
      </c>
      <c r="D2">
        <v>236058502</v>
      </c>
      <c r="E2">
        <v>4932.0460445935796</v>
      </c>
      <c r="F2" s="140">
        <v>4839.2326139454699</v>
      </c>
      <c r="G2" s="200">
        <v>43847</v>
      </c>
      <c r="H2" s="200">
        <v>44943</v>
      </c>
      <c r="I2" s="140">
        <v>16264.4601215768</v>
      </c>
      <c r="J2" s="140"/>
      <c r="K2" s="140"/>
    </row>
    <row r="3" spans="1:11" x14ac:dyDescent="0.45">
      <c r="A3" t="s">
        <v>262</v>
      </c>
      <c r="B3" t="s">
        <v>265</v>
      </c>
      <c r="C3" s="126" t="s">
        <v>266</v>
      </c>
      <c r="D3">
        <v>236058503</v>
      </c>
      <c r="E3" s="140">
        <v>3489.1694862040099</v>
      </c>
      <c r="F3" s="140">
        <v>3522.84431400618</v>
      </c>
      <c r="G3" s="200">
        <v>43847</v>
      </c>
      <c r="H3" s="200">
        <v>44943</v>
      </c>
      <c r="I3" s="140">
        <v>16129.032258064501</v>
      </c>
      <c r="J3" s="140"/>
      <c r="K3" s="140"/>
    </row>
    <row r="4" spans="1:11" x14ac:dyDescent="0.45">
      <c r="A4" t="s">
        <v>262</v>
      </c>
      <c r="B4" t="s">
        <v>263</v>
      </c>
      <c r="C4">
        <v>22512344</v>
      </c>
      <c r="D4">
        <v>236058505</v>
      </c>
      <c r="E4" s="140">
        <v>0</v>
      </c>
      <c r="F4" s="140">
        <v>182111.69334685299</v>
      </c>
      <c r="G4" s="200">
        <v>43847</v>
      </c>
      <c r="H4" s="200">
        <v>44943</v>
      </c>
      <c r="I4" s="201">
        <v>65057840.486307397</v>
      </c>
      <c r="J4" s="140"/>
      <c r="K4" s="140"/>
    </row>
    <row r="5" spans="1:11" x14ac:dyDescent="0.45">
      <c r="A5" t="s">
        <v>262</v>
      </c>
      <c r="B5" t="s">
        <v>263</v>
      </c>
      <c r="C5">
        <v>22512345</v>
      </c>
      <c r="D5">
        <v>236058506</v>
      </c>
      <c r="E5" s="140">
        <v>0</v>
      </c>
      <c r="F5" s="140">
        <v>182111.69334685299</v>
      </c>
      <c r="G5" s="200">
        <v>43847</v>
      </c>
      <c r="H5" s="200">
        <v>44943</v>
      </c>
      <c r="I5" s="201">
        <v>65057840.486307397</v>
      </c>
      <c r="J5" s="140"/>
      <c r="K5" s="140"/>
    </row>
    <row r="6" spans="1:11" x14ac:dyDescent="0.45">
      <c r="A6" t="s">
        <v>262</v>
      </c>
      <c r="B6" t="s">
        <v>263</v>
      </c>
      <c r="C6">
        <v>22512346</v>
      </c>
      <c r="D6">
        <v>236058507</v>
      </c>
      <c r="E6" s="140">
        <v>0</v>
      </c>
      <c r="F6" s="140">
        <v>182111.69334685299</v>
      </c>
      <c r="G6" s="200">
        <v>43847</v>
      </c>
      <c r="H6" s="200">
        <v>44943</v>
      </c>
      <c r="I6" s="201">
        <v>65057840.486307397</v>
      </c>
      <c r="J6" s="140"/>
      <c r="K6" s="140"/>
    </row>
    <row r="7" spans="1:11" x14ac:dyDescent="0.45">
      <c r="A7" t="s">
        <v>262</v>
      </c>
      <c r="B7" t="s">
        <v>263</v>
      </c>
      <c r="C7">
        <v>22512347</v>
      </c>
      <c r="D7">
        <v>236058508</v>
      </c>
      <c r="E7" s="140">
        <v>0</v>
      </c>
      <c r="F7" s="140">
        <v>96293.341389395995</v>
      </c>
      <c r="G7" s="200">
        <v>43847</v>
      </c>
      <c r="H7" s="200">
        <v>44943</v>
      </c>
      <c r="I7" s="201">
        <v>65057840.486307397</v>
      </c>
      <c r="J7" s="140"/>
      <c r="K7" s="140"/>
    </row>
    <row r="8" spans="1:11" x14ac:dyDescent="0.45">
      <c r="A8" t="s">
        <v>262</v>
      </c>
      <c r="B8" t="s">
        <v>263</v>
      </c>
      <c r="C8">
        <v>22512465</v>
      </c>
      <c r="D8">
        <v>236058511</v>
      </c>
      <c r="E8" s="140">
        <v>0</v>
      </c>
      <c r="F8" s="140">
        <v>202843.92951742801</v>
      </c>
      <c r="G8" s="200">
        <v>43847</v>
      </c>
      <c r="H8" s="200">
        <v>44943</v>
      </c>
      <c r="I8" s="201">
        <v>1600000</v>
      </c>
      <c r="J8" s="140"/>
      <c r="K8" s="140"/>
    </row>
    <row r="9" spans="1:11" x14ac:dyDescent="0.45">
      <c r="A9" t="s">
        <v>262</v>
      </c>
      <c r="B9" t="s">
        <v>263</v>
      </c>
      <c r="C9">
        <v>22512466</v>
      </c>
      <c r="D9">
        <v>236058512</v>
      </c>
      <c r="E9" s="140">
        <v>0</v>
      </c>
      <c r="F9" s="140">
        <v>170838.50086382101</v>
      </c>
      <c r="G9" s="200">
        <v>43847</v>
      </c>
      <c r="H9" s="200">
        <v>44943</v>
      </c>
      <c r="I9" s="201">
        <v>1600000</v>
      </c>
      <c r="J9" s="140"/>
      <c r="K9" s="140"/>
    </row>
    <row r="10" spans="1:11" x14ac:dyDescent="0.45">
      <c r="A10" t="s">
        <v>262</v>
      </c>
      <c r="B10" t="s">
        <v>263</v>
      </c>
      <c r="C10">
        <v>22512633</v>
      </c>
      <c r="D10">
        <v>236058559</v>
      </c>
      <c r="E10" s="140">
        <v>443036.474293662</v>
      </c>
      <c r="F10" s="140">
        <v>446536.75856059103</v>
      </c>
      <c r="G10" s="200">
        <v>43847</v>
      </c>
      <c r="H10" s="200">
        <v>44943</v>
      </c>
      <c r="I10" s="201">
        <v>1951735.21458922</v>
      </c>
      <c r="J10" s="140"/>
      <c r="K10" s="140"/>
    </row>
    <row r="11" spans="1:11" x14ac:dyDescent="0.45">
      <c r="A11" t="s">
        <v>262</v>
      </c>
      <c r="B11" t="s">
        <v>263</v>
      </c>
      <c r="C11">
        <v>22512635</v>
      </c>
      <c r="D11">
        <v>236058562</v>
      </c>
      <c r="E11" s="140">
        <v>443036.474293662</v>
      </c>
      <c r="F11" s="140">
        <v>446536.75856059103</v>
      </c>
      <c r="G11" s="200">
        <v>43847</v>
      </c>
      <c r="H11" s="200">
        <v>44943</v>
      </c>
      <c r="I11" s="201">
        <v>1951735.21458922</v>
      </c>
      <c r="J11" s="140"/>
      <c r="K11" s="140"/>
    </row>
    <row r="12" spans="1:11" x14ac:dyDescent="0.45">
      <c r="A12" t="s">
        <v>262</v>
      </c>
      <c r="B12" t="s">
        <v>263</v>
      </c>
      <c r="C12">
        <v>22512636</v>
      </c>
      <c r="D12">
        <v>236058563</v>
      </c>
      <c r="E12" s="140">
        <v>443036.474293662</v>
      </c>
      <c r="F12" s="140">
        <v>446536.75856059103</v>
      </c>
      <c r="G12" s="200">
        <v>43847</v>
      </c>
      <c r="H12" s="200">
        <v>44943</v>
      </c>
      <c r="I12" s="201">
        <v>1951735.21458922</v>
      </c>
      <c r="J12" s="140"/>
      <c r="K12" s="140"/>
    </row>
    <row r="13" spans="1:11" x14ac:dyDescent="0.45">
      <c r="A13" t="s">
        <v>262</v>
      </c>
      <c r="B13" t="s">
        <v>263</v>
      </c>
      <c r="C13">
        <v>22512637</v>
      </c>
      <c r="D13">
        <v>236058564</v>
      </c>
      <c r="E13" s="140">
        <v>443036.474293662</v>
      </c>
      <c r="F13" s="140">
        <v>446536.75856059103</v>
      </c>
      <c r="G13" s="200">
        <v>43847</v>
      </c>
      <c r="H13" s="200">
        <v>44943</v>
      </c>
      <c r="I13" s="201">
        <v>1951735.21458922</v>
      </c>
      <c r="J13" s="140"/>
      <c r="K13" s="140"/>
    </row>
    <row r="14" spans="1:11" x14ac:dyDescent="0.45">
      <c r="A14" t="s">
        <v>262</v>
      </c>
      <c r="B14" t="s">
        <v>263</v>
      </c>
      <c r="C14">
        <v>22512638</v>
      </c>
      <c r="D14">
        <v>236058565</v>
      </c>
      <c r="E14" s="140">
        <v>233382.100162149</v>
      </c>
      <c r="F14" s="140">
        <v>234476.388848414</v>
      </c>
      <c r="G14" s="200">
        <v>43847</v>
      </c>
      <c r="H14" s="200">
        <v>44943</v>
      </c>
      <c r="I14" s="201">
        <v>1951735.21458922</v>
      </c>
      <c r="J14" s="140"/>
      <c r="K14" s="140"/>
    </row>
    <row r="15" spans="1:11" x14ac:dyDescent="0.45">
      <c r="A15" t="s">
        <v>262</v>
      </c>
      <c r="B15" t="s">
        <v>263</v>
      </c>
      <c r="C15">
        <v>22512639</v>
      </c>
      <c r="D15">
        <v>236058566</v>
      </c>
      <c r="E15" s="140">
        <v>443036.474293662</v>
      </c>
      <c r="F15" s="140">
        <v>446536.75856059103</v>
      </c>
      <c r="G15" s="200">
        <v>43847</v>
      </c>
      <c r="H15" s="200">
        <v>44943</v>
      </c>
      <c r="I15" s="201">
        <v>1951735.21458922</v>
      </c>
      <c r="J15" s="140"/>
      <c r="K15" s="140"/>
    </row>
    <row r="16" spans="1:11" x14ac:dyDescent="0.45">
      <c r="A16" t="s">
        <v>262</v>
      </c>
      <c r="B16" t="s">
        <v>263</v>
      </c>
      <c r="C16">
        <v>22512640</v>
      </c>
      <c r="D16">
        <v>236058569</v>
      </c>
      <c r="E16" s="140">
        <v>0</v>
      </c>
      <c r="F16" s="140">
        <v>359198.313853984</v>
      </c>
      <c r="G16" s="200">
        <v>43847</v>
      </c>
      <c r="H16" s="200">
        <v>44943</v>
      </c>
      <c r="I16" s="201">
        <v>2000000</v>
      </c>
      <c r="J16" s="140"/>
      <c r="K16" s="140"/>
    </row>
    <row r="17" spans="1:11" x14ac:dyDescent="0.45">
      <c r="A17" t="s">
        <v>262</v>
      </c>
      <c r="B17" t="s">
        <v>263</v>
      </c>
      <c r="C17">
        <v>22512642</v>
      </c>
      <c r="D17">
        <v>236058571</v>
      </c>
      <c r="E17" s="140">
        <v>0</v>
      </c>
      <c r="F17" s="140">
        <v>468333.66745415801</v>
      </c>
      <c r="G17" s="200">
        <v>43847</v>
      </c>
      <c r="H17" s="200">
        <v>44943</v>
      </c>
      <c r="I17" s="201">
        <v>2000000</v>
      </c>
      <c r="J17" s="140"/>
      <c r="K17" s="140"/>
    </row>
    <row r="18" spans="1:11" x14ac:dyDescent="0.45">
      <c r="A18" t="s">
        <v>262</v>
      </c>
      <c r="B18" t="s">
        <v>263</v>
      </c>
      <c r="C18">
        <v>22512650</v>
      </c>
      <c r="D18">
        <v>236058581</v>
      </c>
      <c r="E18" s="140">
        <v>0</v>
      </c>
      <c r="F18" s="140">
        <v>468333.66745415801</v>
      </c>
      <c r="G18" s="200">
        <v>43847</v>
      </c>
      <c r="H18" s="200">
        <v>44943</v>
      </c>
      <c r="I18" s="201">
        <v>2000000</v>
      </c>
      <c r="J18" s="140"/>
      <c r="K18" s="140"/>
    </row>
    <row r="22" spans="1:11" x14ac:dyDescent="0.45">
      <c r="C22" s="235"/>
      <c r="D22" s="235"/>
      <c r="G22" s="200"/>
      <c r="H22" s="200"/>
    </row>
    <row r="23" spans="1:11" x14ac:dyDescent="0.45">
      <c r="C23" s="235"/>
      <c r="D23" s="235"/>
      <c r="G23" s="200"/>
      <c r="H23" s="200"/>
    </row>
    <row r="24" spans="1:11" x14ac:dyDescent="0.45">
      <c r="C24" s="235"/>
      <c r="D24" s="235"/>
      <c r="G24" s="200"/>
      <c r="H24" s="200"/>
    </row>
    <row r="25" spans="1:11" x14ac:dyDescent="0.45">
      <c r="C25" s="235"/>
      <c r="D25" s="235"/>
      <c r="G25" s="200"/>
      <c r="H25" s="200"/>
    </row>
    <row r="26" spans="1:11" x14ac:dyDescent="0.45">
      <c r="C26" s="235"/>
      <c r="D26" s="235"/>
      <c r="G26" s="200"/>
      <c r="H26" s="200"/>
    </row>
    <row r="27" spans="1:11" x14ac:dyDescent="0.45">
      <c r="C27" s="235"/>
      <c r="D27" s="235"/>
      <c r="G27" s="200"/>
      <c r="H27" s="200"/>
    </row>
    <row r="28" spans="1:11" x14ac:dyDescent="0.45">
      <c r="C28" s="235"/>
      <c r="D28" s="235"/>
      <c r="G28" s="200"/>
      <c r="H28" s="200"/>
    </row>
    <row r="29" spans="1:11" x14ac:dyDescent="0.45">
      <c r="C29" s="235"/>
      <c r="D29" s="235"/>
      <c r="G29" s="200"/>
      <c r="H29" s="200"/>
    </row>
    <row r="30" spans="1:11" x14ac:dyDescent="0.45">
      <c r="C30" s="235"/>
      <c r="D30" s="235"/>
      <c r="G30" s="200"/>
      <c r="H30" s="200"/>
    </row>
    <row r="31" spans="1:11" x14ac:dyDescent="0.45">
      <c r="C31" s="235"/>
      <c r="D31" s="235"/>
      <c r="G31" s="200"/>
      <c r="H31" s="200"/>
    </row>
    <row r="32" spans="1:11" x14ac:dyDescent="0.45">
      <c r="C32" s="235"/>
      <c r="D32" s="235"/>
      <c r="G32" s="200"/>
      <c r="H32" s="200"/>
    </row>
    <row r="33" spans="1:13" x14ac:dyDescent="0.45">
      <c r="C33" s="235"/>
      <c r="D33" s="235"/>
      <c r="G33" s="200"/>
      <c r="H33" s="200"/>
    </row>
    <row r="34" spans="1:13" x14ac:dyDescent="0.45">
      <c r="C34" s="235"/>
      <c r="D34" s="235"/>
      <c r="G34" s="200"/>
      <c r="H34" s="200"/>
    </row>
    <row r="35" spans="1:13" x14ac:dyDescent="0.45">
      <c r="C35" s="235"/>
      <c r="D35" s="235"/>
      <c r="G35" s="200"/>
      <c r="H35" s="200"/>
    </row>
    <row r="36" spans="1:13" x14ac:dyDescent="0.45">
      <c r="C36" s="235"/>
      <c r="D36" s="235"/>
      <c r="G36" s="200"/>
      <c r="H36" s="200"/>
    </row>
    <row r="37" spans="1:13" x14ac:dyDescent="0.45">
      <c r="C37" s="235"/>
      <c r="D37" s="235"/>
      <c r="G37" s="200"/>
      <c r="H37" s="200"/>
    </row>
    <row r="38" spans="1:13" x14ac:dyDescent="0.45">
      <c r="C38" s="235"/>
      <c r="D38" s="235"/>
      <c r="G38" s="200"/>
      <c r="H38" s="200"/>
    </row>
    <row r="39" spans="1:13" x14ac:dyDescent="0.45">
      <c r="C39" s="235"/>
      <c r="D39" s="235"/>
      <c r="F39" s="234"/>
      <c r="G39" s="200"/>
      <c r="H39" s="200"/>
    </row>
    <row r="42" spans="1:13" x14ac:dyDescent="0.45">
      <c r="A42" s="140"/>
      <c r="B42" s="140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</row>
    <row r="43" spans="1:13" x14ac:dyDescent="0.45">
      <c r="A43" s="140"/>
      <c r="B43" s="140"/>
      <c r="C43" s="140"/>
      <c r="D43" s="140"/>
      <c r="E43" s="140"/>
      <c r="F43" s="140"/>
      <c r="G43" s="140"/>
      <c r="H43" s="140"/>
      <c r="I43" s="140"/>
      <c r="J43" s="140"/>
      <c r="K43" s="140"/>
      <c r="L43" s="140"/>
      <c r="M43" s="140"/>
    </row>
    <row r="44" spans="1:13" x14ac:dyDescent="0.45">
      <c r="A44" s="140"/>
      <c r="B44" s="140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234"/>
    </row>
    <row r="45" spans="1:13" x14ac:dyDescent="0.45">
      <c r="A45" s="140"/>
      <c r="B45" s="140"/>
      <c r="C45" s="140"/>
      <c r="D45" s="140"/>
      <c r="E45" s="140"/>
      <c r="F45" s="140"/>
      <c r="G45" s="140"/>
      <c r="H45" s="140"/>
      <c r="I45" s="140"/>
      <c r="J45" s="140"/>
      <c r="K45" s="140"/>
      <c r="L45" s="234"/>
      <c r="M45" s="140"/>
    </row>
    <row r="46" spans="1:13" x14ac:dyDescent="0.45">
      <c r="A46" s="140"/>
      <c r="B46" s="140"/>
      <c r="C46" s="140"/>
      <c r="D46" s="140"/>
      <c r="E46" s="140"/>
      <c r="F46" s="140"/>
      <c r="G46" s="140"/>
      <c r="H46" s="140"/>
      <c r="I46" s="140"/>
      <c r="J46" s="140"/>
      <c r="K46" s="140"/>
      <c r="L46" s="234"/>
      <c r="M46" s="140"/>
    </row>
    <row r="47" spans="1:13" x14ac:dyDescent="0.45">
      <c r="A47" s="140"/>
      <c r="B47" s="140"/>
      <c r="C47" s="140"/>
      <c r="D47" s="140"/>
      <c r="E47" s="140"/>
      <c r="F47" s="140"/>
      <c r="G47" s="140"/>
      <c r="H47" s="140"/>
      <c r="I47" s="140"/>
      <c r="J47" s="140"/>
      <c r="K47" s="140"/>
      <c r="L47" s="234"/>
      <c r="M47" s="140"/>
    </row>
    <row r="48" spans="1:13" x14ac:dyDescent="0.45">
      <c r="A48" s="140"/>
      <c r="B48" s="140"/>
      <c r="C48" s="140"/>
      <c r="D48" s="140"/>
      <c r="E48" s="140"/>
      <c r="F48" s="140"/>
      <c r="G48" s="140"/>
      <c r="H48" s="140"/>
      <c r="I48" s="140"/>
      <c r="J48" s="140"/>
      <c r="K48" s="140"/>
      <c r="L48" s="234"/>
      <c r="M48" s="140"/>
    </row>
    <row r="49" spans="1:13" x14ac:dyDescent="0.45">
      <c r="A49" s="140"/>
      <c r="B49" s="140"/>
      <c r="C49" s="140"/>
      <c r="D49" s="140"/>
      <c r="E49" s="140"/>
      <c r="F49" s="140"/>
      <c r="G49" s="140"/>
      <c r="H49" s="140"/>
      <c r="I49" s="140"/>
      <c r="J49" s="140"/>
      <c r="K49" s="140"/>
      <c r="L49" s="140"/>
      <c r="M49" s="140"/>
    </row>
    <row r="50" spans="1:13" x14ac:dyDescent="0.45">
      <c r="A50" s="140"/>
      <c r="B50" s="140"/>
      <c r="C50" s="140"/>
      <c r="D50" s="140"/>
      <c r="E50" s="140"/>
      <c r="F50" s="140"/>
      <c r="G50" s="140"/>
      <c r="H50" s="140"/>
      <c r="I50" s="140"/>
      <c r="J50" s="140"/>
      <c r="K50" s="140"/>
      <c r="L50" s="140"/>
      <c r="M50" s="140"/>
    </row>
    <row r="51" spans="1:13" x14ac:dyDescent="0.45">
      <c r="A51" s="140"/>
      <c r="B51" s="140"/>
      <c r="C51" s="140"/>
      <c r="D51" s="140"/>
      <c r="E51" s="140"/>
      <c r="F51" s="140"/>
      <c r="G51" s="140"/>
      <c r="H51" s="140"/>
      <c r="I51" s="140"/>
      <c r="J51" s="140"/>
      <c r="K51" s="140"/>
      <c r="L51" s="140"/>
      <c r="M51" s="140"/>
    </row>
    <row r="52" spans="1:13" x14ac:dyDescent="0.45">
      <c r="A52" s="140"/>
      <c r="B52" s="140"/>
      <c r="C52" s="140"/>
      <c r="D52" s="140"/>
      <c r="E52" s="140"/>
      <c r="F52" s="140"/>
      <c r="G52" s="140"/>
      <c r="H52" s="140"/>
      <c r="I52" s="140"/>
      <c r="J52" s="140"/>
      <c r="K52" s="140"/>
      <c r="L52" s="140"/>
      <c r="M52" s="140"/>
    </row>
    <row r="53" spans="1:13" x14ac:dyDescent="0.45">
      <c r="A53" s="140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140"/>
      <c r="M53" s="140"/>
    </row>
    <row r="54" spans="1:13" x14ac:dyDescent="0.45">
      <c r="A54" s="140"/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140"/>
      <c r="M54" s="140"/>
    </row>
    <row r="55" spans="1:13" x14ac:dyDescent="0.45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</row>
    <row r="56" spans="1:13" x14ac:dyDescent="0.45">
      <c r="A56" s="140"/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</row>
    <row r="57" spans="1:13" x14ac:dyDescent="0.45">
      <c r="A57" s="140"/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</row>
    <row r="58" spans="1:13" x14ac:dyDescent="0.45">
      <c r="A58" s="140"/>
      <c r="B58" s="140"/>
      <c r="C58" s="140"/>
      <c r="D58" s="140"/>
      <c r="E58" s="140"/>
      <c r="F58" s="140"/>
      <c r="G58" s="140"/>
      <c r="H58" s="140"/>
      <c r="I58" s="140"/>
      <c r="J58" s="140"/>
      <c r="K58" s="140"/>
      <c r="L58" s="140"/>
      <c r="M58" s="140"/>
    </row>
    <row r="59" spans="1:13" x14ac:dyDescent="0.45">
      <c r="A59" s="140"/>
      <c r="B59" s="140"/>
      <c r="C59" s="140"/>
      <c r="D59" s="140"/>
      <c r="E59" s="140"/>
      <c r="F59" s="140"/>
      <c r="G59" s="140"/>
      <c r="H59" s="140"/>
      <c r="I59" s="140"/>
      <c r="J59" s="140"/>
      <c r="K59" s="140"/>
      <c r="L59" s="140"/>
      <c r="M59" s="140"/>
    </row>
    <row r="60" spans="1:13" x14ac:dyDescent="0.45">
      <c r="A60" s="140"/>
      <c r="B60" s="140"/>
      <c r="C60" s="140"/>
      <c r="D60" s="140"/>
      <c r="E60" s="140"/>
      <c r="F60" s="140"/>
      <c r="G60" s="140"/>
      <c r="H60" s="140"/>
      <c r="I60" s="140"/>
      <c r="J60" s="140"/>
      <c r="K60" s="140"/>
      <c r="L60" s="140"/>
      <c r="M60" s="140"/>
    </row>
    <row r="61" spans="1:13" x14ac:dyDescent="0.45">
      <c r="A61" s="140"/>
      <c r="B61" s="140"/>
      <c r="C61" s="140"/>
      <c r="D61" s="140"/>
      <c r="E61" s="140"/>
      <c r="F61" s="140"/>
      <c r="G61" s="140"/>
      <c r="H61" s="140"/>
      <c r="I61" s="140"/>
      <c r="J61" s="140"/>
      <c r="K61" s="140"/>
      <c r="L61" s="140"/>
      <c r="M61" s="140"/>
    </row>
    <row r="62" spans="1:13" x14ac:dyDescent="0.45">
      <c r="A62" s="140"/>
      <c r="B62" s="140"/>
      <c r="C62" s="140"/>
      <c r="D62" s="140"/>
      <c r="E62" s="140"/>
      <c r="F62" s="140"/>
      <c r="G62" s="140"/>
      <c r="H62" s="140"/>
      <c r="I62" s="140"/>
      <c r="J62" s="140"/>
      <c r="K62" s="140"/>
      <c r="L62" s="140"/>
      <c r="M62" s="140"/>
    </row>
    <row r="63" spans="1:13" x14ac:dyDescent="0.45">
      <c r="A63" s="140"/>
      <c r="B63" s="140"/>
      <c r="C63" s="140"/>
      <c r="D63" s="140"/>
      <c r="E63" s="140"/>
      <c r="F63" s="140"/>
      <c r="G63" s="140"/>
      <c r="H63" s="140"/>
      <c r="I63" s="140"/>
      <c r="J63" s="140"/>
      <c r="K63" s="140"/>
      <c r="L63" s="140"/>
      <c r="M63" s="140"/>
    </row>
    <row r="64" spans="1:13" x14ac:dyDescent="0.45">
      <c r="A64" s="140"/>
      <c r="B64" s="140"/>
      <c r="C64" s="140"/>
      <c r="D64" s="140"/>
      <c r="E64" s="140"/>
      <c r="F64" s="140"/>
      <c r="G64" s="140"/>
      <c r="H64" s="140"/>
      <c r="I64" s="140"/>
      <c r="J64" s="140"/>
      <c r="K64" s="140"/>
      <c r="L64" s="140"/>
      <c r="M64" s="140"/>
    </row>
    <row r="65" spans="1:13" x14ac:dyDescent="0.45">
      <c r="A65" s="140"/>
      <c r="B65" s="140"/>
      <c r="C65" s="140"/>
      <c r="D65" s="140"/>
      <c r="E65" s="140"/>
      <c r="F65" s="140"/>
      <c r="G65" s="140"/>
      <c r="H65" s="140"/>
      <c r="I65" s="140"/>
      <c r="J65" s="140"/>
      <c r="K65" s="140"/>
      <c r="L65" s="140"/>
      <c r="M65" s="140"/>
    </row>
    <row r="66" spans="1:13" x14ac:dyDescent="0.45">
      <c r="A66" s="140"/>
      <c r="B66" s="140"/>
      <c r="C66" s="140"/>
      <c r="D66" s="140"/>
      <c r="E66" s="140"/>
      <c r="F66" s="140"/>
      <c r="G66" s="140"/>
      <c r="H66" s="140"/>
      <c r="I66" s="140"/>
      <c r="J66" s="140"/>
      <c r="K66" s="140"/>
      <c r="L66" s="140"/>
      <c r="M66" s="140"/>
    </row>
    <row r="67" spans="1:13" x14ac:dyDescent="0.45">
      <c r="A67" s="140"/>
      <c r="B67" s="140"/>
      <c r="C67" s="140"/>
      <c r="D67" s="140"/>
      <c r="E67" s="140"/>
      <c r="F67" s="140"/>
      <c r="G67" s="140"/>
      <c r="H67" s="140"/>
      <c r="I67" s="140"/>
      <c r="J67" s="140"/>
      <c r="K67" s="140"/>
      <c r="L67" s="140"/>
      <c r="M67" s="140"/>
    </row>
    <row r="68" spans="1:13" x14ac:dyDescent="0.45">
      <c r="A68" s="140"/>
      <c r="B68" s="140"/>
      <c r="C68" s="140"/>
      <c r="D68" s="140"/>
      <c r="E68" s="140"/>
      <c r="F68" s="140"/>
      <c r="G68" s="140"/>
      <c r="H68" s="140"/>
      <c r="I68" s="140"/>
      <c r="J68" s="140"/>
      <c r="K68" s="140"/>
      <c r="L68" s="140"/>
      <c r="M68" s="140"/>
    </row>
    <row r="69" spans="1:13" x14ac:dyDescent="0.45">
      <c r="A69" s="140"/>
      <c r="B69" s="140"/>
      <c r="C69" s="140"/>
      <c r="D69" s="140"/>
      <c r="E69" s="140"/>
      <c r="F69" s="140"/>
      <c r="G69" s="140"/>
      <c r="H69" s="140"/>
      <c r="I69" s="140"/>
      <c r="J69" s="140"/>
      <c r="K69" s="140"/>
      <c r="L69" s="140"/>
      <c r="M69" s="140"/>
    </row>
    <row r="70" spans="1:13" x14ac:dyDescent="0.45">
      <c r="A70" s="140"/>
      <c r="B70" s="140"/>
      <c r="C70" s="140"/>
      <c r="D70" s="140"/>
      <c r="E70" s="140"/>
      <c r="F70" s="140"/>
      <c r="G70" s="140"/>
      <c r="H70" s="140"/>
      <c r="I70" s="140"/>
      <c r="J70" s="140"/>
      <c r="K70" s="140"/>
      <c r="L70" s="140"/>
      <c r="M70" s="140"/>
    </row>
    <row r="71" spans="1:13" x14ac:dyDescent="0.45">
      <c r="A71" s="140"/>
      <c r="B71" s="140"/>
      <c r="C71" s="140"/>
      <c r="D71" s="140"/>
      <c r="E71" s="140"/>
      <c r="F71" s="140"/>
      <c r="G71" s="140"/>
      <c r="H71" s="140"/>
      <c r="I71" s="140"/>
      <c r="J71" s="140"/>
      <c r="K71" s="140"/>
      <c r="L71" s="140"/>
      <c r="M71" s="140"/>
    </row>
    <row r="72" spans="1:13" x14ac:dyDescent="0.45">
      <c r="A72" s="140"/>
      <c r="B72" s="140"/>
      <c r="C72" s="140"/>
      <c r="D72" s="140"/>
      <c r="E72" s="140"/>
      <c r="F72" s="140"/>
      <c r="G72" s="140"/>
      <c r="H72" s="140"/>
      <c r="I72" s="140"/>
      <c r="J72" s="140"/>
      <c r="K72" s="140"/>
      <c r="L72" s="140"/>
      <c r="M72" s="140"/>
    </row>
    <row r="73" spans="1:13" x14ac:dyDescent="0.45">
      <c r="A73" s="140"/>
      <c r="B73" s="140"/>
      <c r="C73" s="140"/>
      <c r="D73" s="140"/>
      <c r="E73" s="140"/>
      <c r="F73" s="140"/>
      <c r="G73" s="140"/>
      <c r="H73" s="140"/>
      <c r="I73" s="140"/>
      <c r="J73" s="140"/>
      <c r="K73" s="140"/>
      <c r="L73" s="140"/>
      <c r="M73" s="140"/>
    </row>
    <row r="77" spans="1:13" x14ac:dyDescent="0.45">
      <c r="M77" s="234"/>
    </row>
    <row r="78" spans="1:13" x14ac:dyDescent="0.45">
      <c r="L78" s="234"/>
    </row>
    <row r="79" spans="1:13" x14ac:dyDescent="0.45">
      <c r="L79" s="234"/>
    </row>
    <row r="80" spans="1:13" x14ac:dyDescent="0.45">
      <c r="L80" s="234"/>
    </row>
    <row r="81" spans="12:12" x14ac:dyDescent="0.45">
      <c r="L81" s="234"/>
    </row>
  </sheetData>
  <autoFilter ref="A1:I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3"/>
  <sheetViews>
    <sheetView zoomScale="70" zoomScaleNormal="70" workbookViewId="0">
      <selection activeCell="E55" sqref="E55"/>
    </sheetView>
  </sheetViews>
  <sheetFormatPr defaultColWidth="9.1328125" defaultRowHeight="14.25" x14ac:dyDescent="0.45"/>
  <cols>
    <col min="1" max="1" width="30" style="55" bestFit="1" customWidth="1"/>
    <col min="2" max="2" width="25.59765625" style="55" bestFit="1" customWidth="1"/>
    <col min="3" max="3" width="9.1328125" style="55"/>
    <col min="4" max="4" width="22.59765625" style="55" bestFit="1" customWidth="1"/>
    <col min="5" max="5" width="13.1328125" style="55" bestFit="1" customWidth="1"/>
    <col min="6" max="6" width="9.1328125" style="55"/>
    <col min="7" max="7" width="15.59765625" style="55" bestFit="1" customWidth="1"/>
    <col min="8" max="9" width="13.265625" style="55" bestFit="1" customWidth="1"/>
    <col min="10" max="10" width="12" bestFit="1" customWidth="1"/>
    <col min="11" max="11" width="8.265625" bestFit="1" customWidth="1"/>
    <col min="12" max="12" width="11.86328125" bestFit="1" customWidth="1"/>
    <col min="13" max="13" width="12.59765625" bestFit="1" customWidth="1"/>
    <col min="14" max="14" width="17.1328125" bestFit="1" customWidth="1"/>
    <col min="15" max="15" width="9.1328125" style="55"/>
    <col min="16" max="16" width="27.73046875" style="55" bestFit="1" customWidth="1"/>
    <col min="17" max="17" width="13.1328125" style="55" bestFit="1" customWidth="1"/>
    <col min="18" max="18" width="9.1328125" style="55"/>
    <col min="19" max="19" width="34.265625" style="55" bestFit="1" customWidth="1"/>
    <col min="20" max="50" width="7" style="55" bestFit="1" customWidth="1"/>
    <col min="51" max="51" width="9.1328125" style="55"/>
    <col min="52" max="52" width="10.1328125" style="55" bestFit="1" customWidth="1"/>
    <col min="53" max="53" width="11.86328125" style="55" bestFit="1" customWidth="1"/>
    <col min="54" max="54" width="9.1328125" style="55"/>
    <col min="55" max="55" width="15.73046875" style="55" bestFit="1" customWidth="1"/>
    <col min="56" max="56" width="22.59765625" style="55" bestFit="1" customWidth="1"/>
    <col min="57" max="57" width="9.1328125" style="55"/>
    <col min="58" max="58" width="14.1328125" style="55" bestFit="1" customWidth="1"/>
    <col min="59" max="59" width="41.265625" style="55" bestFit="1" customWidth="1"/>
    <col min="60" max="60" width="9.1328125" style="55"/>
    <col min="61" max="61" width="15.73046875" style="55" bestFit="1" customWidth="1"/>
    <col min="62" max="62" width="27.73046875" style="55" bestFit="1" customWidth="1"/>
    <col min="63" max="63" width="9.1328125" style="55"/>
    <col min="64" max="64" width="21.59765625" style="55" bestFit="1" customWidth="1"/>
    <col min="65" max="65" width="55.1328125" style="55" bestFit="1" customWidth="1"/>
    <col min="66" max="66" width="9.1328125" style="55"/>
    <col min="67" max="67" width="17.265625" style="55" bestFit="1" customWidth="1"/>
    <col min="68" max="68" width="55.1328125" style="55" bestFit="1" customWidth="1"/>
    <col min="69" max="69" width="9.1328125" style="55"/>
    <col min="70" max="70" width="12" style="55" bestFit="1" customWidth="1"/>
    <col min="71" max="71" width="24.73046875" style="55" bestFit="1" customWidth="1"/>
    <col min="72" max="16384" width="9.1328125" style="55"/>
  </cols>
  <sheetData>
    <row r="1" spans="1:71" x14ac:dyDescent="0.45">
      <c r="A1" s="81" t="s">
        <v>16</v>
      </c>
      <c r="B1" s="74" t="s">
        <v>98</v>
      </c>
      <c r="D1" s="84" t="e">
        <f ca="1">_xll.nxLibData(D2:E2,D3:E24,"RUB:_XCCY_CURVE.DATA")</f>
        <v>#NAME?</v>
      </c>
      <c r="E1" s="83"/>
      <c r="G1" s="84" t="e">
        <f ca="1">_xll.nxLibData(G2:I2,G3:I7,"GAZP_RUB_DIVIDEND_CURVE.RATEORDIVIDEND")</f>
        <v>#NAME?</v>
      </c>
      <c r="H1" s="85"/>
      <c r="I1" s="83"/>
      <c r="P1" s="84" t="e">
        <f ca="1">_xll.nxLibData(P2:Q2,P3:Q20,"RUB:_IRS_CURVE_CURVE.DATA")</f>
        <v>#NAME?</v>
      </c>
      <c r="Q1" s="83"/>
      <c r="S1" s="82" t="e">
        <f ca="1">_xll.nxLibMatrix(T1:AX1,S2:S6,T2:AX6,"EQUITYVOLSURFACE.GAZPRUB.MATRIX")</f>
        <v>#NAME?</v>
      </c>
      <c r="T1" s="79">
        <v>90</v>
      </c>
      <c r="U1" s="80">
        <v>100</v>
      </c>
      <c r="V1" s="80">
        <v>110</v>
      </c>
      <c r="W1" s="80">
        <v>120</v>
      </c>
      <c r="X1" s="80">
        <v>130</v>
      </c>
      <c r="Y1" s="80">
        <v>140</v>
      </c>
      <c r="Z1" s="80">
        <v>150</v>
      </c>
      <c r="AA1" s="80">
        <v>160</v>
      </c>
      <c r="AB1" s="80">
        <v>170</v>
      </c>
      <c r="AC1" s="80">
        <v>180</v>
      </c>
      <c r="AD1" s="80">
        <v>190</v>
      </c>
      <c r="AE1" s="80">
        <v>200</v>
      </c>
      <c r="AF1" s="80">
        <v>210</v>
      </c>
      <c r="AG1" s="80">
        <v>220</v>
      </c>
      <c r="AH1" s="80">
        <v>230</v>
      </c>
      <c r="AI1" s="80">
        <v>240</v>
      </c>
      <c r="AJ1" s="80">
        <v>250</v>
      </c>
      <c r="AK1" s="80">
        <v>260</v>
      </c>
      <c r="AL1" s="80">
        <v>270</v>
      </c>
      <c r="AM1" s="80">
        <v>280</v>
      </c>
      <c r="AN1" s="80">
        <v>290</v>
      </c>
      <c r="AO1" s="80">
        <v>300</v>
      </c>
      <c r="AP1" s="80">
        <v>310</v>
      </c>
      <c r="AQ1" s="80">
        <v>320</v>
      </c>
      <c r="AR1" s="80">
        <v>330</v>
      </c>
      <c r="AS1" s="80">
        <v>340</v>
      </c>
      <c r="AT1" s="80">
        <v>350</v>
      </c>
      <c r="AU1" s="80">
        <v>360</v>
      </c>
      <c r="AV1" s="80">
        <v>370</v>
      </c>
      <c r="AW1" s="80">
        <v>380</v>
      </c>
      <c r="AX1" s="78">
        <v>390</v>
      </c>
      <c r="AZ1" s="81" t="s">
        <v>16</v>
      </c>
      <c r="BA1" s="74" t="s">
        <v>17</v>
      </c>
      <c r="BC1" s="81" t="s">
        <v>16</v>
      </c>
      <c r="BD1" s="74" t="s">
        <v>87</v>
      </c>
      <c r="BF1" s="81" t="s">
        <v>16</v>
      </c>
      <c r="BG1" s="74" t="s">
        <v>18</v>
      </c>
      <c r="BI1" s="81" t="s">
        <v>16</v>
      </c>
      <c r="BJ1" s="74" t="s">
        <v>92</v>
      </c>
      <c r="BL1" s="81" t="s">
        <v>16</v>
      </c>
      <c r="BM1" s="74" t="s">
        <v>19</v>
      </c>
      <c r="BO1" s="81" t="s">
        <v>16</v>
      </c>
      <c r="BP1" s="74" t="s">
        <v>97</v>
      </c>
      <c r="BR1" s="81" t="s">
        <v>16</v>
      </c>
      <c r="BS1" s="74" t="s">
        <v>96</v>
      </c>
    </row>
    <row r="2" spans="1:71" x14ac:dyDescent="0.45">
      <c r="A2" s="70" t="s">
        <v>20</v>
      </c>
      <c r="B2" s="61" t="s">
        <v>21</v>
      </c>
      <c r="D2" s="79" t="s">
        <v>22</v>
      </c>
      <c r="E2" s="78" t="s">
        <v>23</v>
      </c>
      <c r="G2" s="79" t="s">
        <v>24</v>
      </c>
      <c r="H2" s="80" t="s">
        <v>25</v>
      </c>
      <c r="I2" s="78" t="s">
        <v>26</v>
      </c>
      <c r="J2" s="7" t="s">
        <v>86</v>
      </c>
      <c r="K2" s="55"/>
      <c r="L2" s="7" t="s">
        <v>89</v>
      </c>
      <c r="P2" s="79" t="s">
        <v>22</v>
      </c>
      <c r="Q2" s="78" t="s">
        <v>23</v>
      </c>
      <c r="S2" s="77">
        <v>43880</v>
      </c>
      <c r="T2" s="75">
        <v>0.30709999999999998</v>
      </c>
      <c r="U2" s="76">
        <v>0.30709999999999998</v>
      </c>
      <c r="V2" s="76">
        <v>0.30709999999999998</v>
      </c>
      <c r="W2" s="76">
        <v>0.30709999999999998</v>
      </c>
      <c r="X2" s="76">
        <v>0.30709999999999998</v>
      </c>
      <c r="Y2" s="76">
        <v>0.30709999999999998</v>
      </c>
      <c r="Z2" s="76">
        <v>0.30709999999999998</v>
      </c>
      <c r="AA2" s="76">
        <v>0.30709999999999998</v>
      </c>
      <c r="AB2" s="76">
        <v>0.30709999999999998</v>
      </c>
      <c r="AC2" s="76">
        <v>0.30709999999999998</v>
      </c>
      <c r="AD2" s="76">
        <v>0.30709999999999998</v>
      </c>
      <c r="AE2" s="76">
        <v>0.30709999999999998</v>
      </c>
      <c r="AF2" s="76">
        <v>0.30709999999999998</v>
      </c>
      <c r="AG2" s="76">
        <v>0.30270000000000002</v>
      </c>
      <c r="AH2" s="76">
        <v>0.28570000000000001</v>
      </c>
      <c r="AI2" s="76">
        <v>0.2712</v>
      </c>
      <c r="AJ2" s="76">
        <v>0.25929999999999997</v>
      </c>
      <c r="AK2" s="76">
        <v>0.24979999999999999</v>
      </c>
      <c r="AL2" s="76">
        <v>0.24279999999999999</v>
      </c>
      <c r="AM2" s="76">
        <v>0.23780000000000001</v>
      </c>
      <c r="AN2" s="76">
        <v>0.23480000000000001</v>
      </c>
      <c r="AO2" s="76">
        <v>0.23350000000000001</v>
      </c>
      <c r="AP2" s="76">
        <v>0.23380000000000001</v>
      </c>
      <c r="AQ2" s="76">
        <v>0.23549999999999999</v>
      </c>
      <c r="AR2" s="76">
        <v>0.23849999999999999</v>
      </c>
      <c r="AS2" s="76">
        <v>0.2427</v>
      </c>
      <c r="AT2" s="76">
        <v>0.248</v>
      </c>
      <c r="AU2" s="76">
        <v>0.25419999999999998</v>
      </c>
      <c r="AV2" s="76">
        <v>0.26129999999999998</v>
      </c>
      <c r="AW2" s="76">
        <v>0.26919999999999999</v>
      </c>
      <c r="AX2" s="74">
        <v>0.27789999999999998</v>
      </c>
      <c r="AZ2" s="70" t="s">
        <v>20</v>
      </c>
      <c r="BA2" s="61" t="s">
        <v>27</v>
      </c>
      <c r="BC2" s="70" t="s">
        <v>20</v>
      </c>
      <c r="BD2" s="61" t="s">
        <v>28</v>
      </c>
      <c r="BF2" s="70" t="s">
        <v>20</v>
      </c>
      <c r="BG2" s="61" t="s">
        <v>28</v>
      </c>
      <c r="BI2" s="70" t="s">
        <v>20</v>
      </c>
      <c r="BJ2" s="61" t="s">
        <v>28</v>
      </c>
      <c r="BL2" s="70" t="s">
        <v>20</v>
      </c>
      <c r="BM2" s="61" t="s">
        <v>28</v>
      </c>
      <c r="BO2" s="70" t="s">
        <v>20</v>
      </c>
      <c r="BP2" s="61" t="s">
        <v>29</v>
      </c>
      <c r="BR2" s="70" t="s">
        <v>20</v>
      </c>
      <c r="BS2" s="61" t="s">
        <v>30</v>
      </c>
    </row>
    <row r="3" spans="1:71" x14ac:dyDescent="0.45">
      <c r="A3" s="70" t="s">
        <v>31</v>
      </c>
      <c r="B3" s="61" t="s">
        <v>32</v>
      </c>
      <c r="D3" s="86">
        <v>43847</v>
      </c>
      <c r="E3" s="74">
        <v>1</v>
      </c>
      <c r="G3" s="75">
        <v>16.600000000000001</v>
      </c>
      <c r="H3" s="90">
        <v>44027</v>
      </c>
      <c r="I3" s="92">
        <v>44027</v>
      </c>
      <c r="J3" s="55">
        <v>0.97094296964007198</v>
      </c>
      <c r="K3" s="55"/>
      <c r="L3" s="51"/>
      <c r="P3" s="75">
        <v>43847</v>
      </c>
      <c r="Q3" s="74">
        <v>1</v>
      </c>
      <c r="S3" s="73">
        <v>43908</v>
      </c>
      <c r="T3" s="62">
        <v>0.31859999999999999</v>
      </c>
      <c r="U3" s="56">
        <v>0.31859999999999999</v>
      </c>
      <c r="V3" s="56">
        <v>0.31859999999999999</v>
      </c>
      <c r="W3" s="56">
        <v>0.31859999999999999</v>
      </c>
      <c r="X3" s="56">
        <v>0.31859999999999999</v>
      </c>
      <c r="Y3" s="56">
        <v>0.31859999999999999</v>
      </c>
      <c r="Z3" s="56">
        <v>0.31859999999999999</v>
      </c>
      <c r="AA3" s="56">
        <v>0.31859999999999999</v>
      </c>
      <c r="AB3" s="56">
        <v>0.31859999999999999</v>
      </c>
      <c r="AC3" s="56">
        <v>0.31859999999999999</v>
      </c>
      <c r="AD3" s="56">
        <v>0.31859999999999999</v>
      </c>
      <c r="AE3" s="56">
        <v>0.31859999999999999</v>
      </c>
      <c r="AF3" s="56">
        <v>0.31859999999999999</v>
      </c>
      <c r="AG3" s="56">
        <v>0.30790000000000001</v>
      </c>
      <c r="AH3" s="56">
        <v>0.29330000000000001</v>
      </c>
      <c r="AI3" s="56">
        <v>0.28070000000000001</v>
      </c>
      <c r="AJ3" s="56">
        <v>0.27</v>
      </c>
      <c r="AK3" s="56">
        <v>0.26140000000000002</v>
      </c>
      <c r="AL3" s="56">
        <v>0.2545</v>
      </c>
      <c r="AM3" s="56">
        <v>0.24940000000000001</v>
      </c>
      <c r="AN3" s="56">
        <v>0.2457</v>
      </c>
      <c r="AO3" s="56">
        <v>0.24340000000000001</v>
      </c>
      <c r="AP3" s="56">
        <v>0.2424</v>
      </c>
      <c r="AQ3" s="56">
        <v>0.2424</v>
      </c>
      <c r="AR3" s="56">
        <v>0.24349999999999999</v>
      </c>
      <c r="AS3" s="56">
        <v>0.2455</v>
      </c>
      <c r="AT3" s="56">
        <v>0.24829999999999999</v>
      </c>
      <c r="AU3" s="56">
        <v>0.252</v>
      </c>
      <c r="AV3" s="56">
        <v>0.25629999999999997</v>
      </c>
      <c r="AW3" s="56">
        <v>0.26119999999999999</v>
      </c>
      <c r="AX3" s="61">
        <v>0.26679999999999998</v>
      </c>
      <c r="AZ3" s="70" t="s">
        <v>31</v>
      </c>
      <c r="BA3" s="61" t="s">
        <v>33</v>
      </c>
      <c r="BC3" s="70" t="s">
        <v>31</v>
      </c>
      <c r="BD3" s="61" t="s">
        <v>34</v>
      </c>
      <c r="BF3" s="70" t="s">
        <v>31</v>
      </c>
      <c r="BG3" s="61" t="s">
        <v>35</v>
      </c>
      <c r="BI3" s="70" t="s">
        <v>31</v>
      </c>
      <c r="BJ3" s="61" t="s">
        <v>34</v>
      </c>
      <c r="BL3" s="70" t="s">
        <v>31</v>
      </c>
      <c r="BM3" s="61" t="s">
        <v>36</v>
      </c>
      <c r="BO3" s="70" t="s">
        <v>31</v>
      </c>
      <c r="BP3" s="61" t="s">
        <v>37</v>
      </c>
      <c r="BR3" s="70" t="s">
        <v>31</v>
      </c>
      <c r="BS3" s="61" t="s">
        <v>38</v>
      </c>
    </row>
    <row r="4" spans="1:71" x14ac:dyDescent="0.45">
      <c r="A4" s="70" t="s">
        <v>17</v>
      </c>
      <c r="B4" s="61" t="s">
        <v>17</v>
      </c>
      <c r="D4" s="87">
        <v>43851</v>
      </c>
      <c r="E4" s="61">
        <v>0.99934432017138897</v>
      </c>
      <c r="G4" s="62">
        <v>10</v>
      </c>
      <c r="H4" s="58">
        <v>44392</v>
      </c>
      <c r="I4" s="93">
        <v>44392</v>
      </c>
      <c r="J4" s="55">
        <v>0.92226108063619905</v>
      </c>
      <c r="K4" s="55"/>
      <c r="L4" s="51"/>
      <c r="P4" s="62">
        <v>43941</v>
      </c>
      <c r="Q4" s="61">
        <v>0.98370015693899004</v>
      </c>
      <c r="S4" s="73">
        <v>43999</v>
      </c>
      <c r="T4" s="62">
        <v>0.32100000000000001</v>
      </c>
      <c r="U4" s="56">
        <v>0.32100000000000001</v>
      </c>
      <c r="V4" s="56">
        <v>0.32100000000000001</v>
      </c>
      <c r="W4" s="56">
        <v>0.32100000000000001</v>
      </c>
      <c r="X4" s="56">
        <v>0.32100000000000001</v>
      </c>
      <c r="Y4" s="56">
        <v>0.32100000000000001</v>
      </c>
      <c r="Z4" s="56">
        <v>0.32100000000000001</v>
      </c>
      <c r="AA4" s="56">
        <v>0.32100000000000001</v>
      </c>
      <c r="AB4" s="56">
        <v>0.32100000000000001</v>
      </c>
      <c r="AC4" s="56">
        <v>0.32100000000000001</v>
      </c>
      <c r="AD4" s="56">
        <v>0.32100000000000001</v>
      </c>
      <c r="AE4" s="56">
        <v>0.32100000000000001</v>
      </c>
      <c r="AF4" s="56">
        <v>0.31109999999999999</v>
      </c>
      <c r="AG4" s="56">
        <v>0.2994</v>
      </c>
      <c r="AH4" s="56">
        <v>0.2888</v>
      </c>
      <c r="AI4" s="56">
        <v>0.27939999999999998</v>
      </c>
      <c r="AJ4" s="56">
        <v>0.2712</v>
      </c>
      <c r="AK4" s="56">
        <v>0.2641</v>
      </c>
      <c r="AL4" s="56">
        <v>0.2581</v>
      </c>
      <c r="AM4" s="56">
        <v>0.253</v>
      </c>
      <c r="AN4" s="56">
        <v>0.24890000000000001</v>
      </c>
      <c r="AO4" s="56">
        <v>0.2455</v>
      </c>
      <c r="AP4" s="56">
        <v>0.2429</v>
      </c>
      <c r="AQ4" s="56">
        <v>0.24099999999999999</v>
      </c>
      <c r="AR4" s="56">
        <v>0.23960000000000001</v>
      </c>
      <c r="AS4" s="56">
        <v>0.23880000000000001</v>
      </c>
      <c r="AT4" s="56">
        <v>0.23860000000000001</v>
      </c>
      <c r="AU4" s="56">
        <v>0.2387</v>
      </c>
      <c r="AV4" s="56">
        <v>0.2394</v>
      </c>
      <c r="AW4" s="56">
        <v>0.2404</v>
      </c>
      <c r="AX4" s="61">
        <v>0.2417</v>
      </c>
      <c r="AZ4" s="69" t="s">
        <v>39</v>
      </c>
      <c r="BA4" s="59">
        <v>43847</v>
      </c>
      <c r="BC4" s="70" t="s">
        <v>40</v>
      </c>
      <c r="BD4" s="61" t="s">
        <v>41</v>
      </c>
      <c r="BF4" s="70" t="s">
        <v>40</v>
      </c>
      <c r="BG4" s="61" t="s">
        <v>41</v>
      </c>
      <c r="BI4" s="70" t="s">
        <v>40</v>
      </c>
      <c r="BJ4" s="61" t="s">
        <v>41</v>
      </c>
      <c r="BL4" s="70" t="s">
        <v>17</v>
      </c>
      <c r="BM4" s="61" t="s">
        <v>17</v>
      </c>
      <c r="BO4" s="70" t="s">
        <v>42</v>
      </c>
      <c r="BP4" s="61" t="s">
        <v>43</v>
      </c>
      <c r="BR4" s="70" t="s">
        <v>40</v>
      </c>
      <c r="BS4" s="61" t="s">
        <v>41</v>
      </c>
    </row>
    <row r="5" spans="1:71" x14ac:dyDescent="0.45">
      <c r="A5" s="70" t="s">
        <v>21</v>
      </c>
      <c r="B5" s="61" t="s">
        <v>44</v>
      </c>
      <c r="D5" s="87">
        <v>43852</v>
      </c>
      <c r="E5" s="61">
        <v>0.99918135664935503</v>
      </c>
      <c r="G5" s="62">
        <v>10</v>
      </c>
      <c r="H5" s="58">
        <v>44757</v>
      </c>
      <c r="I5" s="93">
        <v>44757</v>
      </c>
      <c r="J5" s="55">
        <v>0.88039959799915302</v>
      </c>
      <c r="K5" s="55"/>
      <c r="L5" s="51"/>
      <c r="P5" s="62">
        <v>43971</v>
      </c>
      <c r="Q5" s="61">
        <v>0.97867132574943105</v>
      </c>
      <c r="S5" s="73">
        <v>44183</v>
      </c>
      <c r="T5" s="62">
        <v>0.32250000000000001</v>
      </c>
      <c r="U5" s="56">
        <v>0.32250000000000001</v>
      </c>
      <c r="V5" s="56">
        <v>0.32250000000000001</v>
      </c>
      <c r="W5" s="56">
        <v>0.32250000000000001</v>
      </c>
      <c r="X5" s="56">
        <v>0.32250000000000001</v>
      </c>
      <c r="Y5" s="56">
        <v>0.32250000000000001</v>
      </c>
      <c r="Z5" s="56">
        <v>0.32250000000000001</v>
      </c>
      <c r="AA5" s="56">
        <v>0.32250000000000001</v>
      </c>
      <c r="AB5" s="56">
        <v>0.32250000000000001</v>
      </c>
      <c r="AC5" s="56">
        <v>0.32250000000000001</v>
      </c>
      <c r="AD5" s="56">
        <v>0.31769999999999998</v>
      </c>
      <c r="AE5" s="56">
        <v>0.30840000000000001</v>
      </c>
      <c r="AF5" s="56">
        <v>0.29980000000000001</v>
      </c>
      <c r="AG5" s="56">
        <v>0.2918</v>
      </c>
      <c r="AH5" s="56">
        <v>0.28439999999999999</v>
      </c>
      <c r="AI5" s="56">
        <v>0.2777</v>
      </c>
      <c r="AJ5" s="56">
        <v>0.27160000000000001</v>
      </c>
      <c r="AK5" s="56">
        <v>0.2661</v>
      </c>
      <c r="AL5" s="56">
        <v>0.26119999999999999</v>
      </c>
      <c r="AM5" s="56">
        <v>0.25679999999999997</v>
      </c>
      <c r="AN5" s="56">
        <v>0.25290000000000001</v>
      </c>
      <c r="AO5" s="56">
        <v>0.2495</v>
      </c>
      <c r="AP5" s="56">
        <v>0.2465</v>
      </c>
      <c r="AQ5" s="56">
        <v>0.24379999999999999</v>
      </c>
      <c r="AR5" s="56">
        <v>0.24149999999999999</v>
      </c>
      <c r="AS5" s="56">
        <v>0.23949999999999999</v>
      </c>
      <c r="AT5" s="56">
        <v>0.23780000000000001</v>
      </c>
      <c r="AU5" s="56">
        <v>0.23630000000000001</v>
      </c>
      <c r="AV5" s="56">
        <v>0.2351</v>
      </c>
      <c r="AW5" s="56">
        <v>0.2341</v>
      </c>
      <c r="AX5" s="61">
        <v>0.23330000000000001</v>
      </c>
      <c r="AZ5" s="68" t="s">
        <v>45</v>
      </c>
      <c r="BA5" s="67" t="e">
        <f t="array" aca="1" ref="BA5:BA8" ca="1">_xll.nxLibCall(AZ1:AZ4,BA1:BA4,AZ5:AZ8)</f>
        <v>#NAME?</v>
      </c>
      <c r="BC5" s="70" t="s">
        <v>46</v>
      </c>
      <c r="BD5" s="61" t="s">
        <v>47</v>
      </c>
      <c r="BF5" s="69" t="s">
        <v>48</v>
      </c>
      <c r="BG5" s="59" t="s">
        <v>49</v>
      </c>
      <c r="BI5" s="70" t="s">
        <v>46</v>
      </c>
      <c r="BJ5" s="61" t="s">
        <v>47</v>
      </c>
      <c r="BL5" s="70" t="s">
        <v>40</v>
      </c>
      <c r="BM5" s="61" t="s">
        <v>41</v>
      </c>
      <c r="BO5" s="70" t="s">
        <v>40</v>
      </c>
      <c r="BP5" s="61" t="s">
        <v>41</v>
      </c>
      <c r="BR5" s="69" t="s">
        <v>29</v>
      </c>
      <c r="BS5" s="59" t="s">
        <v>97</v>
      </c>
    </row>
    <row r="6" spans="1:71" x14ac:dyDescent="0.45">
      <c r="A6" s="70" t="s">
        <v>40</v>
      </c>
      <c r="B6" s="61" t="s">
        <v>41</v>
      </c>
      <c r="D6" s="87">
        <v>43858</v>
      </c>
      <c r="E6" s="61">
        <v>0.99820491346005102</v>
      </c>
      <c r="G6" s="62">
        <v>10</v>
      </c>
      <c r="H6" s="58">
        <v>45122</v>
      </c>
      <c r="I6" s="93">
        <v>45122</v>
      </c>
      <c r="P6" s="62">
        <v>44004</v>
      </c>
      <c r="Q6" s="61">
        <v>0.97319939679439205</v>
      </c>
      <c r="S6" s="72">
        <v>44545</v>
      </c>
      <c r="T6" s="60">
        <v>0.32329999999999998</v>
      </c>
      <c r="U6" s="71">
        <v>0.32329999999999998</v>
      </c>
      <c r="V6" s="71">
        <v>0.32329999999999998</v>
      </c>
      <c r="W6" s="71">
        <v>0.32329999999999998</v>
      </c>
      <c r="X6" s="71">
        <v>0.32329999999999998</v>
      </c>
      <c r="Y6" s="71">
        <v>0.32329999999999998</v>
      </c>
      <c r="Z6" s="71">
        <v>0.32329999999999998</v>
      </c>
      <c r="AA6" s="71">
        <v>0.32329999999999998</v>
      </c>
      <c r="AB6" s="71">
        <v>0.31619999999999998</v>
      </c>
      <c r="AC6" s="71">
        <v>0.3095</v>
      </c>
      <c r="AD6" s="71">
        <v>0.30309999999999998</v>
      </c>
      <c r="AE6" s="71">
        <v>0.29699999999999999</v>
      </c>
      <c r="AF6" s="71">
        <v>0.29120000000000001</v>
      </c>
      <c r="AG6" s="71">
        <v>0.2858</v>
      </c>
      <c r="AH6" s="71">
        <v>0.28070000000000001</v>
      </c>
      <c r="AI6" s="71">
        <v>0.27589999999999998</v>
      </c>
      <c r="AJ6" s="71">
        <v>0.27150000000000002</v>
      </c>
      <c r="AK6" s="71">
        <v>0.26740000000000003</v>
      </c>
      <c r="AL6" s="71">
        <v>0.2636</v>
      </c>
      <c r="AM6" s="71">
        <v>0.2601</v>
      </c>
      <c r="AN6" s="71">
        <v>0.25679999999999997</v>
      </c>
      <c r="AO6" s="71">
        <v>0.25380000000000003</v>
      </c>
      <c r="AP6" s="71">
        <v>0.251</v>
      </c>
      <c r="AQ6" s="71">
        <v>0.24840000000000001</v>
      </c>
      <c r="AR6" s="71">
        <v>0.246</v>
      </c>
      <c r="AS6" s="71">
        <v>0.24379999999999999</v>
      </c>
      <c r="AT6" s="71">
        <v>0.2417</v>
      </c>
      <c r="AU6" s="71">
        <v>0.23980000000000001</v>
      </c>
      <c r="AV6" s="71">
        <v>0.23799999999999999</v>
      </c>
      <c r="AW6" s="71">
        <v>0.23630000000000001</v>
      </c>
      <c r="AX6" s="59">
        <v>0.23480000000000001</v>
      </c>
      <c r="AZ6" s="66" t="s">
        <v>50</v>
      </c>
      <c r="BA6" s="65" t="e">
        <f ca="1"/>
        <v>#NAME?</v>
      </c>
      <c r="BC6" s="70" t="s">
        <v>51</v>
      </c>
      <c r="BD6" s="61" t="s">
        <v>52</v>
      </c>
      <c r="BF6" s="68" t="s">
        <v>45</v>
      </c>
      <c r="BG6" s="67" t="e">
        <f t="array" aca="1" ref="BG6:BG9" ca="1">_xll.nxLibCall(BF1:BF5,BG1:BG5,BF6:BF9)</f>
        <v>#NAME?</v>
      </c>
      <c r="BI6" s="70" t="s">
        <v>51</v>
      </c>
      <c r="BJ6" s="61" t="s">
        <v>52</v>
      </c>
      <c r="BL6" s="70" t="s">
        <v>53</v>
      </c>
      <c r="BM6" s="61" t="s">
        <v>54</v>
      </c>
      <c r="BO6" s="70" t="s">
        <v>55</v>
      </c>
      <c r="BP6" s="61">
        <v>44943</v>
      </c>
      <c r="BR6" s="68" t="s">
        <v>45</v>
      </c>
      <c r="BS6" s="67" t="e">
        <f t="array" aca="1" ref="BS6:BS9" ca="1">_xll.nxLibCall(BR1:BR5,BS1:BS5,BR6:BR9)</f>
        <v>#NAME?</v>
      </c>
    </row>
    <row r="7" spans="1:71" x14ac:dyDescent="0.45">
      <c r="A7" s="70" t="s">
        <v>56</v>
      </c>
      <c r="B7" s="61" t="s">
        <v>87</v>
      </c>
      <c r="D7" s="87">
        <v>43865</v>
      </c>
      <c r="E7" s="61">
        <v>0.99706965025864902</v>
      </c>
      <c r="G7" s="60">
        <v>10</v>
      </c>
      <c r="H7" s="91">
        <v>45488</v>
      </c>
      <c r="I7" s="94">
        <v>45488</v>
      </c>
      <c r="P7" s="62">
        <v>44032</v>
      </c>
      <c r="Q7" s="61">
        <v>0.96867145747417704</v>
      </c>
      <c r="AZ7" s="66" t="s">
        <v>57</v>
      </c>
      <c r="BA7" s="65" t="e">
        <f ca="1"/>
        <v>#NAME?</v>
      </c>
      <c r="BC7" s="70" t="s">
        <v>58</v>
      </c>
      <c r="BD7" s="61" t="s">
        <v>59</v>
      </c>
      <c r="BF7" s="66" t="s">
        <v>50</v>
      </c>
      <c r="BG7" s="65" t="e">
        <f ca="1"/>
        <v>#NAME?</v>
      </c>
      <c r="BI7" s="70" t="s">
        <v>58</v>
      </c>
      <c r="BJ7" s="61" t="s">
        <v>59</v>
      </c>
      <c r="BL7" s="70" t="s">
        <v>60</v>
      </c>
      <c r="BM7" s="61" t="s">
        <v>61</v>
      </c>
      <c r="BO7" s="70" t="s">
        <v>62</v>
      </c>
      <c r="BP7" s="61" t="s">
        <v>63</v>
      </c>
      <c r="BR7" s="66" t="s">
        <v>50</v>
      </c>
      <c r="BS7" s="65" t="e">
        <f ca="1"/>
        <v>#NAME?</v>
      </c>
    </row>
    <row r="8" spans="1:71" x14ac:dyDescent="0.45">
      <c r="A8" s="70" t="s">
        <v>64</v>
      </c>
      <c r="B8" s="61" t="s">
        <v>18</v>
      </c>
      <c r="D8" s="87">
        <v>43882</v>
      </c>
      <c r="E8" s="61">
        <v>0.99437240650854497</v>
      </c>
      <c r="P8" s="62">
        <v>44124</v>
      </c>
      <c r="Q8" s="61">
        <v>0.95401918253196805</v>
      </c>
      <c r="AZ8" s="64" t="s">
        <v>65</v>
      </c>
      <c r="BA8" s="63" t="e">
        <f ca="1"/>
        <v>#NAME?</v>
      </c>
      <c r="BC8" s="69" t="s">
        <v>60</v>
      </c>
      <c r="BD8" s="59" t="s">
        <v>88</v>
      </c>
      <c r="BF8" s="66" t="s">
        <v>57</v>
      </c>
      <c r="BG8" s="65" t="e">
        <f ca="1"/>
        <v>#NAME?</v>
      </c>
      <c r="BI8" s="69" t="s">
        <v>60</v>
      </c>
      <c r="BJ8" s="59" t="s">
        <v>93</v>
      </c>
      <c r="BL8" s="70" t="s">
        <v>64</v>
      </c>
      <c r="BM8" s="61" t="s">
        <v>18</v>
      </c>
      <c r="BO8" s="70" t="s">
        <v>66</v>
      </c>
      <c r="BP8" s="61" t="s">
        <v>19</v>
      </c>
      <c r="BR8" s="66" t="s">
        <v>57</v>
      </c>
      <c r="BS8" s="65" t="e">
        <f ca="1"/>
        <v>#NAME?</v>
      </c>
    </row>
    <row r="9" spans="1:71" x14ac:dyDescent="0.45">
      <c r="A9" s="70" t="s">
        <v>67</v>
      </c>
      <c r="B9" s="61">
        <v>255.81</v>
      </c>
      <c r="D9" s="87">
        <v>43913</v>
      </c>
      <c r="E9" s="61">
        <v>0.98953708884282598</v>
      </c>
      <c r="G9" s="206" t="s">
        <v>35</v>
      </c>
      <c r="H9" s="207"/>
      <c r="I9" s="207"/>
      <c r="J9" s="208"/>
      <c r="K9" s="208"/>
      <c r="L9" s="208"/>
      <c r="M9" s="208"/>
      <c r="N9" s="208"/>
      <c r="P9" s="62">
        <v>44216</v>
      </c>
      <c r="Q9" s="61">
        <v>0.93969688104475202</v>
      </c>
      <c r="BC9" s="68" t="s">
        <v>45</v>
      </c>
      <c r="BD9" s="67" t="e">
        <f t="array" aca="1" ref="BD9:BD12" ca="1">_xll.nxLibCall(BC1:BC8,BD1:BD8,BC9:BC12)</f>
        <v>#NAME?</v>
      </c>
      <c r="BF9" s="64" t="s">
        <v>65</v>
      </c>
      <c r="BG9" s="63" t="e">
        <f ca="1"/>
        <v>#NAME?</v>
      </c>
      <c r="BI9" s="68" t="s">
        <v>45</v>
      </c>
      <c r="BJ9" s="67" t="e">
        <f t="array" aca="1" ref="BJ9:BJ12" ca="1">_xll.nxLibCall(BI1:BI8,BJ1:BJ8,BI9:BI12)</f>
        <v>#NAME?</v>
      </c>
      <c r="BL9" s="70" t="s">
        <v>56</v>
      </c>
      <c r="BM9" s="61" t="s">
        <v>92</v>
      </c>
      <c r="BO9" s="70" t="s">
        <v>68</v>
      </c>
      <c r="BP9" s="61">
        <v>44945</v>
      </c>
      <c r="BR9" s="64" t="s">
        <v>65</v>
      </c>
      <c r="BS9" s="63" t="e">
        <f ca="1"/>
        <v>#NAME?</v>
      </c>
    </row>
    <row r="10" spans="1:71" x14ac:dyDescent="0.45">
      <c r="A10" s="70" t="s">
        <v>69</v>
      </c>
      <c r="B10" s="61" t="s">
        <v>70</v>
      </c>
      <c r="D10" s="87">
        <v>43942</v>
      </c>
      <c r="E10" s="61">
        <v>0.98513142759602101</v>
      </c>
      <c r="G10" s="207" t="s">
        <v>270</v>
      </c>
      <c r="H10" s="207" t="s">
        <v>271</v>
      </c>
      <c r="I10" s="207" t="s">
        <v>272</v>
      </c>
      <c r="J10" s="208" t="s">
        <v>273</v>
      </c>
      <c r="K10" s="208" t="s">
        <v>274</v>
      </c>
      <c r="L10" s="208" t="s">
        <v>275</v>
      </c>
      <c r="M10" s="209" t="s">
        <v>268</v>
      </c>
      <c r="N10" s="209" t="s">
        <v>269</v>
      </c>
      <c r="P10" s="62">
        <v>44581</v>
      </c>
      <c r="Q10" s="61">
        <v>0.88634438933717496</v>
      </c>
      <c r="BC10" s="66" t="s">
        <v>50</v>
      </c>
      <c r="BD10" s="65" t="e">
        <f ca="1"/>
        <v>#NAME?</v>
      </c>
      <c r="BI10" s="66" t="s">
        <v>50</v>
      </c>
      <c r="BJ10" s="65" t="e">
        <f ca="1"/>
        <v>#NAME?</v>
      </c>
      <c r="BL10" s="70" t="s">
        <v>58</v>
      </c>
      <c r="BM10" s="61" t="s">
        <v>71</v>
      </c>
      <c r="BO10" s="69" t="s">
        <v>72</v>
      </c>
      <c r="BP10" s="59">
        <v>240</v>
      </c>
    </row>
    <row r="11" spans="1:71" x14ac:dyDescent="0.45">
      <c r="A11" s="70" t="s">
        <v>73</v>
      </c>
      <c r="B11" s="61" t="s">
        <v>74</v>
      </c>
      <c r="D11" s="87">
        <v>44033</v>
      </c>
      <c r="E11" s="61">
        <v>0.97147782138884498</v>
      </c>
      <c r="G11" s="210">
        <v>44027</v>
      </c>
      <c r="H11" s="210">
        <v>44027</v>
      </c>
      <c r="I11" s="207">
        <v>16.600000000000001</v>
      </c>
      <c r="J11" s="208">
        <v>-0.13</v>
      </c>
      <c r="K11" s="208">
        <v>1</v>
      </c>
      <c r="L11" s="208">
        <v>14.442</v>
      </c>
      <c r="M11" s="207">
        <v>0.96762403817297338</v>
      </c>
      <c r="N11" s="208">
        <f>L11*M11</f>
        <v>13.974426359294082</v>
      </c>
      <c r="P11" s="62">
        <v>44946</v>
      </c>
      <c r="Q11" s="61">
        <v>0.83426641415144098</v>
      </c>
      <c r="BC11" s="66" t="s">
        <v>57</v>
      </c>
      <c r="BD11" s="65" t="e">
        <f ca="1"/>
        <v>#NAME?</v>
      </c>
      <c r="BI11" s="66" t="s">
        <v>57</v>
      </c>
      <c r="BJ11" s="65" t="e">
        <f ca="1"/>
        <v>#NAME?</v>
      </c>
      <c r="BL11" s="70" t="s">
        <v>69</v>
      </c>
      <c r="BM11" s="61" t="s">
        <v>75</v>
      </c>
      <c r="BO11" s="68" t="s">
        <v>45</v>
      </c>
      <c r="BP11" s="67" t="e">
        <f t="array" aca="1" ref="BP11:BP14" ca="1">_xll.nxLibCall(BO1:BO10,BP1:BP10,BO11:BO14)</f>
        <v>#NAME?</v>
      </c>
    </row>
    <row r="12" spans="1:71" x14ac:dyDescent="0.45">
      <c r="A12" s="69" t="s">
        <v>76</v>
      </c>
      <c r="B12" s="59" t="s">
        <v>96</v>
      </c>
      <c r="D12" s="87">
        <v>44125</v>
      </c>
      <c r="E12" s="61">
        <v>0.95838196410486498</v>
      </c>
      <c r="G12" s="210">
        <v>44392</v>
      </c>
      <c r="H12" s="210">
        <v>44392</v>
      </c>
      <c r="I12" s="207">
        <v>10</v>
      </c>
      <c r="J12" s="208">
        <v>-0.13</v>
      </c>
      <c r="K12" s="208">
        <v>1</v>
      </c>
      <c r="L12" s="208">
        <v>8.6999999999999993</v>
      </c>
      <c r="M12" s="207">
        <v>0.90288914889674843</v>
      </c>
      <c r="N12" s="208">
        <f>L12*M12</f>
        <v>7.8551355954017108</v>
      </c>
      <c r="P12" s="62">
        <v>45313</v>
      </c>
      <c r="Q12" s="61">
        <v>0.78353330936420995</v>
      </c>
      <c r="BC12" s="64" t="s">
        <v>65</v>
      </c>
      <c r="BD12" s="63" t="e">
        <f ca="1"/>
        <v>#NAME?</v>
      </c>
      <c r="BI12" s="64" t="s">
        <v>65</v>
      </c>
      <c r="BJ12" s="63" t="e">
        <f ca="1"/>
        <v>#NAME?</v>
      </c>
      <c r="BL12" s="70" t="s">
        <v>51</v>
      </c>
      <c r="BM12" s="61" t="s">
        <v>52</v>
      </c>
      <c r="BO12" s="66" t="s">
        <v>50</v>
      </c>
      <c r="BP12" s="65" t="e">
        <f ca="1"/>
        <v>#NAME?</v>
      </c>
    </row>
    <row r="13" spans="1:71" x14ac:dyDescent="0.45">
      <c r="A13" s="68" t="s">
        <v>45</v>
      </c>
      <c r="B13" s="67" t="e">
        <f t="array" aca="1" ref="B13:B16" ca="1">_xll.nxLibCall(A1:A12,B1:B12,A13:A16)</f>
        <v>#NAME?</v>
      </c>
      <c r="D13" s="87">
        <v>44217</v>
      </c>
      <c r="E13" s="61">
        <v>0.94401666182477895</v>
      </c>
      <c r="G13" s="210">
        <v>44757</v>
      </c>
      <c r="H13" s="210">
        <v>44757</v>
      </c>
      <c r="I13" s="207">
        <v>10</v>
      </c>
      <c r="J13" s="208">
        <v>-0.13</v>
      </c>
      <c r="K13" s="208">
        <v>1</v>
      </c>
      <c r="L13" s="208">
        <v>8.6999999999999993</v>
      </c>
      <c r="M13" s="207">
        <v>0.84877941416334757</v>
      </c>
      <c r="N13" s="208">
        <f>L13*M13</f>
        <v>7.3843809032211229</v>
      </c>
      <c r="P13" s="62">
        <v>45677</v>
      </c>
      <c r="Q13" s="61">
        <v>0.73478231007666195</v>
      </c>
      <c r="BL13" s="69" t="s">
        <v>77</v>
      </c>
      <c r="BM13" s="59" t="s">
        <v>78</v>
      </c>
      <c r="BO13" s="66" t="s">
        <v>57</v>
      </c>
      <c r="BP13" s="65" t="e">
        <f ca="1"/>
        <v>#NAME?</v>
      </c>
    </row>
    <row r="14" spans="1:71" x14ac:dyDescent="0.45">
      <c r="A14" s="66" t="s">
        <v>50</v>
      </c>
      <c r="B14" s="65" t="e">
        <f ca="1"/>
        <v>#NAME?</v>
      </c>
      <c r="D14" s="87">
        <v>44582</v>
      </c>
      <c r="E14" s="61">
        <v>0.89784969651947699</v>
      </c>
      <c r="G14" s="210">
        <v>45122</v>
      </c>
      <c r="H14" s="210">
        <v>45122</v>
      </c>
      <c r="I14" s="207">
        <v>10</v>
      </c>
      <c r="J14" s="208">
        <v>-0.13</v>
      </c>
      <c r="K14" s="208">
        <v>1</v>
      </c>
      <c r="L14" s="208">
        <v>8.6999999999999993</v>
      </c>
      <c r="M14" s="208"/>
      <c r="N14" s="208"/>
      <c r="P14" s="62">
        <v>46042</v>
      </c>
      <c r="Q14" s="61">
        <v>0.68597868696102204</v>
      </c>
      <c r="BL14" s="68" t="s">
        <v>45</v>
      </c>
      <c r="BM14" s="67" t="e">
        <f t="array" aca="1" ref="BM14:BM17" ca="1">_xll.nxLibCall(BL1:BL13,BM1:BM13,BL14:BL17)</f>
        <v>#NAME?</v>
      </c>
      <c r="BO14" s="64" t="s">
        <v>65</v>
      </c>
      <c r="BP14" s="63" t="e">
        <f ca="1"/>
        <v>#NAME?</v>
      </c>
    </row>
    <row r="15" spans="1:71" x14ac:dyDescent="0.45">
      <c r="A15" s="66" t="s">
        <v>57</v>
      </c>
      <c r="B15" s="65" t="e">
        <f ca="1"/>
        <v>#NAME?</v>
      </c>
      <c r="D15" s="87">
        <v>44949</v>
      </c>
      <c r="E15" s="61">
        <v>0.85532660032733099</v>
      </c>
      <c r="G15" s="210">
        <v>45488</v>
      </c>
      <c r="H15" s="210">
        <v>45488</v>
      </c>
      <c r="I15" s="207">
        <v>10</v>
      </c>
      <c r="J15" s="208">
        <v>-0.13</v>
      </c>
      <c r="K15" s="208">
        <v>1</v>
      </c>
      <c r="L15" s="208">
        <v>8.6999999999999993</v>
      </c>
      <c r="M15" s="208"/>
      <c r="N15" s="208"/>
      <c r="P15" s="62">
        <v>46407</v>
      </c>
      <c r="Q15" s="61">
        <v>0.63884100695919899</v>
      </c>
      <c r="BL15" s="66" t="s">
        <v>50</v>
      </c>
      <c r="BM15" s="65" t="e">
        <f ca="1"/>
        <v>#NAME?</v>
      </c>
    </row>
    <row r="16" spans="1:71" x14ac:dyDescent="0.45">
      <c r="A16" s="64" t="s">
        <v>65</v>
      </c>
      <c r="B16" s="63" t="e">
        <f ca="1"/>
        <v>#NAME?</v>
      </c>
      <c r="D16" s="87">
        <v>45313</v>
      </c>
      <c r="E16" s="61">
        <v>0.81516738945050504</v>
      </c>
      <c r="P16" s="62">
        <v>46772</v>
      </c>
      <c r="Q16" s="61">
        <v>0.59291216643817002</v>
      </c>
      <c r="BL16" s="66" t="s">
        <v>57</v>
      </c>
      <c r="BM16" s="65" t="e">
        <f ca="1"/>
        <v>#NAME?</v>
      </c>
    </row>
    <row r="17" spans="4:65" ht="15.4" x14ac:dyDescent="0.45">
      <c r="D17" s="87">
        <v>45678</v>
      </c>
      <c r="E17" s="61">
        <v>0.77671728191116096</v>
      </c>
      <c r="G17" s="219" t="s">
        <v>281</v>
      </c>
      <c r="H17" s="219" t="s">
        <v>280</v>
      </c>
      <c r="I17" s="219" t="s">
        <v>282</v>
      </c>
      <c r="J17" s="219" t="s">
        <v>277</v>
      </c>
      <c r="P17" s="62">
        <v>47140</v>
      </c>
      <c r="Q17" s="61">
        <v>0.549083024221246</v>
      </c>
      <c r="BL17" s="64" t="s">
        <v>65</v>
      </c>
      <c r="BM17" s="63" t="e">
        <f ca="1"/>
        <v>#NAME?</v>
      </c>
    </row>
    <row r="18" spans="4:65" ht="15.4" x14ac:dyDescent="0.45">
      <c r="D18" s="87">
        <v>46043</v>
      </c>
      <c r="E18" s="61">
        <v>0.74030727269133501</v>
      </c>
      <c r="G18" s="211">
        <v>43847</v>
      </c>
      <c r="H18" s="212">
        <v>0</v>
      </c>
      <c r="I18" s="213">
        <v>0</v>
      </c>
      <c r="J18" s="214">
        <v>1</v>
      </c>
      <c r="K18">
        <f>(G18-$G$18)/360</f>
        <v>0</v>
      </c>
      <c r="L18" s="140"/>
      <c r="P18" s="62">
        <v>47504</v>
      </c>
      <c r="Q18" s="61">
        <v>0.50862702640150004</v>
      </c>
    </row>
    <row r="19" spans="4:65" ht="15.4" x14ac:dyDescent="0.45">
      <c r="D19" s="87">
        <v>46408</v>
      </c>
      <c r="E19" s="61">
        <v>0.70513958128770304</v>
      </c>
      <c r="G19" s="215">
        <v>43877</v>
      </c>
      <c r="H19" s="212">
        <v>8.3333333333333329E-2</v>
      </c>
      <c r="I19" s="213">
        <v>6.5697333377999998</v>
      </c>
      <c r="J19" s="214">
        <v>0.99454018150234313</v>
      </c>
      <c r="K19" s="140">
        <f t="shared" ref="K19:K33" si="0">(G19-$G$18)/360</f>
        <v>8.3333333333333329E-2</v>
      </c>
      <c r="L19" s="140"/>
      <c r="P19" s="62">
        <v>48233</v>
      </c>
      <c r="Q19" s="61">
        <v>0.43920080057033101</v>
      </c>
    </row>
    <row r="20" spans="4:65" ht="15.4" x14ac:dyDescent="0.45">
      <c r="D20" s="87">
        <v>46773</v>
      </c>
      <c r="E20" s="61">
        <v>0.67012672581479205</v>
      </c>
      <c r="G20" s="215">
        <v>43937</v>
      </c>
      <c r="H20" s="212">
        <v>0.25</v>
      </c>
      <c r="I20" s="213">
        <v>6.4360599622999999</v>
      </c>
      <c r="J20" s="214">
        <v>0.98403860506902008</v>
      </c>
      <c r="K20" s="140">
        <f t="shared" si="0"/>
        <v>0.25</v>
      </c>
      <c r="L20" s="140"/>
      <c r="P20" s="60">
        <v>49331</v>
      </c>
      <c r="Q20" s="59">
        <v>0.35140326019610202</v>
      </c>
    </row>
    <row r="21" spans="4:65" ht="15.4" x14ac:dyDescent="0.45">
      <c r="D21" s="87">
        <v>47140</v>
      </c>
      <c r="E21" s="61">
        <v>0.63660627084634502</v>
      </c>
      <c r="G21" s="216">
        <v>44027</v>
      </c>
      <c r="H21" s="217">
        <v>0.5</v>
      </c>
      <c r="I21" s="218">
        <v>6.5823314931580699</v>
      </c>
      <c r="J21" s="217">
        <v>0.96762403817297338</v>
      </c>
      <c r="K21" s="140">
        <f t="shared" si="0"/>
        <v>0.5</v>
      </c>
    </row>
    <row r="22" spans="4:65" ht="15.4" x14ac:dyDescent="0.45">
      <c r="D22" s="87">
        <v>47505</v>
      </c>
      <c r="E22" s="61">
        <v>0.60397221583403604</v>
      </c>
      <c r="G22" s="215">
        <v>44029</v>
      </c>
      <c r="H22" s="212">
        <v>0.50555555555555554</v>
      </c>
      <c r="I22" s="213">
        <v>6.6042371962499997</v>
      </c>
      <c r="J22" s="214">
        <v>0.96716314229055367</v>
      </c>
      <c r="K22" s="140">
        <f t="shared" si="0"/>
        <v>0.50555555555555554</v>
      </c>
    </row>
    <row r="23" spans="4:65" ht="15.4" x14ac:dyDescent="0.45">
      <c r="D23" s="87">
        <v>48234</v>
      </c>
      <c r="E23" s="61">
        <v>0.54694265683019905</v>
      </c>
      <c r="G23" s="215">
        <v>44117</v>
      </c>
      <c r="H23" s="212">
        <v>0.75</v>
      </c>
      <c r="I23" s="213">
        <v>6.5127789675500001</v>
      </c>
      <c r="J23" s="214">
        <v>0.9523279271074313</v>
      </c>
      <c r="K23" s="140">
        <f t="shared" si="0"/>
        <v>0.75</v>
      </c>
    </row>
    <row r="24" spans="4:65" ht="15.4" x14ac:dyDescent="0.45">
      <c r="D24" s="88">
        <v>49331</v>
      </c>
      <c r="E24" s="59">
        <v>0.47118313407697698</v>
      </c>
      <c r="G24" s="215">
        <v>44212</v>
      </c>
      <c r="H24" s="212">
        <v>1.0138888888888888</v>
      </c>
      <c r="I24" s="213">
        <v>6.4219626983999998</v>
      </c>
      <c r="J24" s="214">
        <v>0.93696292410833937</v>
      </c>
      <c r="K24" s="140">
        <f t="shared" si="0"/>
        <v>1.0138888888888888</v>
      </c>
    </row>
    <row r="25" spans="4:65" ht="15.4" x14ac:dyDescent="0.45">
      <c r="G25" s="215">
        <v>44307</v>
      </c>
      <c r="H25" s="212">
        <v>1.2777777777777777</v>
      </c>
      <c r="I25" s="213">
        <v>6.8330123681000003</v>
      </c>
      <c r="J25" s="214">
        <v>0.91639231584447423</v>
      </c>
      <c r="K25" s="140">
        <f t="shared" si="0"/>
        <v>1.2777777777777777</v>
      </c>
    </row>
    <row r="26" spans="4:65" ht="15.4" x14ac:dyDescent="0.45">
      <c r="G26" s="215">
        <v>44352</v>
      </c>
      <c r="H26" s="212">
        <v>1.4027777777777777</v>
      </c>
      <c r="I26" s="213">
        <v>6.7869514315000004</v>
      </c>
      <c r="J26" s="214">
        <v>0.9091857625250761</v>
      </c>
      <c r="K26" s="140">
        <f t="shared" si="0"/>
        <v>1.4027777777777777</v>
      </c>
    </row>
    <row r="27" spans="4:65" ht="15.4" x14ac:dyDescent="0.45">
      <c r="G27" s="216">
        <v>44392</v>
      </c>
      <c r="H27" s="217">
        <v>1.5138888888888888</v>
      </c>
      <c r="I27" s="218">
        <v>6.7478856967131398</v>
      </c>
      <c r="J27" s="217">
        <v>0.90288914889674843</v>
      </c>
      <c r="K27" s="140">
        <f t="shared" si="0"/>
        <v>1.5138888888888888</v>
      </c>
    </row>
    <row r="28" spans="4:65" ht="15.4" x14ac:dyDescent="0.45">
      <c r="G28" s="215">
        <v>44397</v>
      </c>
      <c r="H28" s="212">
        <v>1.5277777777777777</v>
      </c>
      <c r="I28" s="213">
        <v>6.7451682908999997</v>
      </c>
      <c r="J28" s="214">
        <v>0.90208080180000705</v>
      </c>
      <c r="K28" s="140">
        <f t="shared" si="0"/>
        <v>1.5277777777777777</v>
      </c>
    </row>
    <row r="29" spans="4:65" ht="15.4" x14ac:dyDescent="0.45">
      <c r="G29" s="216">
        <v>44757</v>
      </c>
      <c r="H29" s="217">
        <v>2.5277777777777777</v>
      </c>
      <c r="I29" s="218">
        <v>6.4861692467013103</v>
      </c>
      <c r="J29" s="217">
        <v>0.84877941416334757</v>
      </c>
      <c r="K29" s="140">
        <f t="shared" si="0"/>
        <v>2.5277777777777777</v>
      </c>
    </row>
    <row r="30" spans="4:65" ht="15.4" x14ac:dyDescent="0.45">
      <c r="G30" s="215">
        <v>44759</v>
      </c>
      <c r="H30" s="212">
        <v>2.5333333333333332</v>
      </c>
      <c r="I30" s="213">
        <v>6.4811596260000002</v>
      </c>
      <c r="J30" s="214">
        <v>0.84858130471793347</v>
      </c>
      <c r="K30" s="140">
        <f t="shared" si="0"/>
        <v>2.5333333333333332</v>
      </c>
    </row>
    <row r="31" spans="4:65" ht="15.4" x14ac:dyDescent="0.45">
      <c r="G31" s="215">
        <v>44942</v>
      </c>
      <c r="H31" s="212">
        <v>3.0416666666666665</v>
      </c>
      <c r="I31" s="213">
        <v>5.9042319603999998</v>
      </c>
      <c r="J31" s="214">
        <v>0.83561520290896407</v>
      </c>
      <c r="K31" s="140">
        <f t="shared" si="0"/>
        <v>3.0416666666666665</v>
      </c>
    </row>
    <row r="32" spans="4:65" ht="15.4" x14ac:dyDescent="0.45">
      <c r="G32" s="216">
        <v>44943</v>
      </c>
      <c r="H32" s="217">
        <v>3.0444444444444443</v>
      </c>
      <c r="I32" s="218">
        <v>5.9014553875198397</v>
      </c>
      <c r="J32" s="217">
        <v>0.83554879484200972</v>
      </c>
      <c r="K32" s="140">
        <f t="shared" si="0"/>
        <v>3.0444444444444443</v>
      </c>
    </row>
    <row r="33" spans="7:11" ht="15.4" x14ac:dyDescent="0.45">
      <c r="G33" s="215">
        <v>45124</v>
      </c>
      <c r="H33" s="212">
        <v>3.5472222222222221</v>
      </c>
      <c r="I33" s="213">
        <v>5.8485419919500004</v>
      </c>
      <c r="J33" s="214">
        <v>0.81264511210251666</v>
      </c>
      <c r="K33" s="140">
        <f t="shared" si="0"/>
        <v>3.5472222222222221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topLeftCell="A4" workbookViewId="0">
      <selection activeCell="Q44" sqref="Q44"/>
    </sheetView>
  </sheetViews>
  <sheetFormatPr defaultRowHeight="14.25" x14ac:dyDescent="0.45"/>
  <cols>
    <col min="1" max="1" width="21.1328125" customWidth="1"/>
    <col min="2" max="2" width="18.73046875" bestFit="1" customWidth="1"/>
    <col min="3" max="3" width="15.1328125" style="133" customWidth="1"/>
    <col min="4" max="4" width="12.59765625" style="196" bestFit="1" customWidth="1"/>
    <col min="5" max="5" width="10" style="133" bestFit="1" customWidth="1"/>
    <col min="6" max="6" width="10" style="133" customWidth="1"/>
    <col min="7" max="7" width="10" bestFit="1" customWidth="1"/>
    <col min="9" max="9" width="10.59765625" style="196" bestFit="1" customWidth="1"/>
    <col min="10" max="10" width="11.59765625" style="196" bestFit="1" customWidth="1"/>
    <col min="11" max="11" width="8.86328125" style="196" bestFit="1" customWidth="1"/>
    <col min="12" max="12" width="7.86328125" style="196" bestFit="1" customWidth="1"/>
    <col min="13" max="13" width="7" style="196" bestFit="1" customWidth="1"/>
    <col min="14" max="14" width="8.86328125" style="196" bestFit="1" customWidth="1"/>
    <col min="15" max="15" width="7.86328125" style="196" bestFit="1" customWidth="1"/>
  </cols>
  <sheetData>
    <row r="1" spans="1:15" x14ac:dyDescent="0.45">
      <c r="A1" t="s">
        <v>237</v>
      </c>
    </row>
    <row r="2" spans="1:15" x14ac:dyDescent="0.45">
      <c r="A2" t="s">
        <v>238</v>
      </c>
    </row>
    <row r="3" spans="1:15" x14ac:dyDescent="0.45">
      <c r="A3" t="s">
        <v>255</v>
      </c>
    </row>
    <row r="5" spans="1:15" x14ac:dyDescent="0.45">
      <c r="A5" s="140" t="s">
        <v>254</v>
      </c>
      <c r="B5" s="140" t="s">
        <v>239</v>
      </c>
      <c r="C5" s="133" t="s">
        <v>240</v>
      </c>
      <c r="D5" s="196" t="s">
        <v>241</v>
      </c>
      <c r="E5" s="133" t="s">
        <v>242</v>
      </c>
      <c r="F5" s="133" t="s">
        <v>243</v>
      </c>
      <c r="G5" s="140" t="s">
        <v>244</v>
      </c>
      <c r="H5" s="140" t="s">
        <v>245</v>
      </c>
      <c r="I5" s="196" t="s">
        <v>246</v>
      </c>
      <c r="J5" s="196" t="s">
        <v>247</v>
      </c>
      <c r="K5" s="196" t="s">
        <v>248</v>
      </c>
      <c r="L5" s="196" t="s">
        <v>249</v>
      </c>
      <c r="M5" s="196" t="s">
        <v>250</v>
      </c>
      <c r="N5" s="196" t="s">
        <v>251</v>
      </c>
      <c r="O5" s="196" t="s">
        <v>252</v>
      </c>
    </row>
    <row r="6" spans="1:15" x14ac:dyDescent="0.45">
      <c r="A6" s="140" t="s">
        <v>253</v>
      </c>
      <c r="B6" s="140"/>
      <c r="C6" s="133">
        <v>0</v>
      </c>
      <c r="D6" s="196">
        <v>325800000</v>
      </c>
      <c r="E6" s="133">
        <v>0</v>
      </c>
      <c r="F6" s="133">
        <v>0</v>
      </c>
      <c r="G6" s="140" t="s">
        <v>41</v>
      </c>
      <c r="H6" s="140"/>
      <c r="I6" s="196">
        <v>4848081.1480460297</v>
      </c>
      <c r="J6" s="196">
        <v>12125937.593632299</v>
      </c>
      <c r="K6" s="196">
        <v>145583.97943114</v>
      </c>
      <c r="L6" s="196">
        <v>95041.439694865199</v>
      </c>
      <c r="M6" s="196">
        <v>-3994.5883095863201</v>
      </c>
      <c r="N6" s="196">
        <v>195912.51648272501</v>
      </c>
      <c r="O6" s="196">
        <v>-13461.8154773397</v>
      </c>
    </row>
    <row r="7" spans="1:15" x14ac:dyDescent="0.45">
      <c r="A7" s="140">
        <v>235332915</v>
      </c>
      <c r="B7" s="199">
        <v>236058505</v>
      </c>
      <c r="C7" s="133">
        <v>29.7</v>
      </c>
      <c r="D7" s="196">
        <v>20000000</v>
      </c>
      <c r="E7" s="133">
        <v>5.6790495997340003</v>
      </c>
      <c r="F7" s="133">
        <v>5.6790495997340003</v>
      </c>
      <c r="G7" s="140" t="s">
        <v>41</v>
      </c>
      <c r="H7" s="140" t="s">
        <v>41</v>
      </c>
      <c r="I7" s="196">
        <v>194397.15212348901</v>
      </c>
      <c r="J7" s="196">
        <v>211686.11012272301</v>
      </c>
      <c r="K7" s="196">
        <v>-4965.6356116484203</v>
      </c>
      <c r="L7" s="196">
        <v>-2753.3129264791601</v>
      </c>
      <c r="M7" s="196">
        <v>141.08644621901399</v>
      </c>
      <c r="N7" s="196">
        <v>182.928070732127</v>
      </c>
      <c r="O7" s="196">
        <v>-241.76980057315899</v>
      </c>
    </row>
    <row r="8" spans="1:15" x14ac:dyDescent="0.45">
      <c r="A8" s="140">
        <v>235332916</v>
      </c>
      <c r="B8" s="199">
        <v>236058506</v>
      </c>
      <c r="C8" s="133">
        <v>29.7</v>
      </c>
      <c r="D8" s="196">
        <v>20000000</v>
      </c>
      <c r="E8" s="133">
        <v>4.9719721891099997</v>
      </c>
      <c r="F8" s="133">
        <v>4.9719721891099997</v>
      </c>
      <c r="G8" s="140" t="s">
        <v>41</v>
      </c>
      <c r="H8" s="140" t="s">
        <v>41</v>
      </c>
      <c r="I8" s="196">
        <v>198568.66042193401</v>
      </c>
      <c r="J8" s="196">
        <v>216228.617328847</v>
      </c>
      <c r="K8" s="196">
        <v>-5072.5404179626103</v>
      </c>
      <c r="L8" s="196">
        <v>-2812.3954112250899</v>
      </c>
      <c r="M8" s="196">
        <v>142.566526857561</v>
      </c>
      <c r="N8" s="196">
        <v>186.85347026606999</v>
      </c>
      <c r="O8" s="196">
        <v>-246.95786397429501</v>
      </c>
    </row>
    <row r="9" spans="1:15" x14ac:dyDescent="0.45">
      <c r="A9" s="140">
        <v>235332917</v>
      </c>
      <c r="B9" s="199">
        <v>236058507</v>
      </c>
      <c r="C9" s="133">
        <v>29.7</v>
      </c>
      <c r="D9" s="196">
        <v>20000000</v>
      </c>
      <c r="E9" s="133">
        <v>5.6790495997340003</v>
      </c>
      <c r="F9" s="133">
        <v>5.6790495997340003</v>
      </c>
      <c r="G9" s="140" t="s">
        <v>41</v>
      </c>
      <c r="H9" s="140" t="s">
        <v>41</v>
      </c>
      <c r="I9" s="196">
        <v>204901.60866321699</v>
      </c>
      <c r="J9" s="196">
        <v>218318.264488713</v>
      </c>
      <c r="K9" s="196">
        <v>-5423.6212036080497</v>
      </c>
      <c r="L9" s="196">
        <v>-4675.9386034481804</v>
      </c>
      <c r="M9" s="196">
        <v>582.09670942268804</v>
      </c>
      <c r="N9" s="196">
        <v>787.94831426478197</v>
      </c>
      <c r="O9" s="196">
        <v>-91.094914233560999</v>
      </c>
    </row>
    <row r="10" spans="1:15" x14ac:dyDescent="0.45">
      <c r="A10" s="140">
        <v>235332918</v>
      </c>
      <c r="B10" s="199">
        <v>236058508</v>
      </c>
      <c r="C10" s="133">
        <v>29.7</v>
      </c>
      <c r="D10" s="196">
        <v>20000000</v>
      </c>
      <c r="E10" s="133">
        <v>5.6790495997340003</v>
      </c>
      <c r="F10" s="133">
        <v>5.6790495997340003</v>
      </c>
      <c r="G10" s="140" t="s">
        <v>41</v>
      </c>
      <c r="H10" s="140" t="s">
        <v>41</v>
      </c>
      <c r="I10" s="196">
        <v>80026.300322060604</v>
      </c>
      <c r="J10" s="196">
        <v>-211686.11035412201</v>
      </c>
      <c r="K10" s="196">
        <v>4965.5199146518999</v>
      </c>
      <c r="L10" s="196">
        <v>2753.3129235886099</v>
      </c>
      <c r="M10" s="196">
        <v>-3.9204293120120002</v>
      </c>
      <c r="N10" s="196">
        <v>-8410.7908456483492</v>
      </c>
      <c r="O10" s="196">
        <v>241.769800498563</v>
      </c>
    </row>
    <row r="11" spans="1:15" x14ac:dyDescent="0.45">
      <c r="A11" s="140">
        <v>235332921</v>
      </c>
      <c r="B11" s="199">
        <v>236058511</v>
      </c>
      <c r="C11" s="133">
        <v>27.238</v>
      </c>
      <c r="D11" s="196">
        <v>400000</v>
      </c>
      <c r="E11" s="133">
        <v>2.1286191936719998</v>
      </c>
      <c r="F11" s="133">
        <v>2.1286191936719998</v>
      </c>
      <c r="G11" s="140" t="s">
        <v>41</v>
      </c>
      <c r="H11" s="140" t="s">
        <v>113</v>
      </c>
      <c r="I11" s="196">
        <v>208582.47505430301</v>
      </c>
      <c r="J11" s="196">
        <v>361258.321926267</v>
      </c>
      <c r="K11" s="196">
        <v>-5276.1326933447399</v>
      </c>
      <c r="L11" s="196">
        <v>-2351.4341465267398</v>
      </c>
      <c r="M11" s="196">
        <v>11.209391952224999</v>
      </c>
      <c r="N11" s="196">
        <v>4002.0579013495399</v>
      </c>
      <c r="O11" s="196">
        <v>-412.59658281022303</v>
      </c>
    </row>
    <row r="12" spans="1:15" x14ac:dyDescent="0.45">
      <c r="A12" s="140">
        <v>235332922</v>
      </c>
      <c r="B12" s="199">
        <v>236058512</v>
      </c>
      <c r="C12" s="133">
        <v>27.328859999999999</v>
      </c>
      <c r="D12" s="196">
        <v>400000</v>
      </c>
      <c r="E12" s="133">
        <v>2.1286191936719998</v>
      </c>
      <c r="F12" s="133">
        <v>2.1286191936719998</v>
      </c>
      <c r="G12" s="140" t="s">
        <v>41</v>
      </c>
      <c r="H12" s="140" t="s">
        <v>113</v>
      </c>
      <c r="I12" s="196">
        <v>172244.939133087</v>
      </c>
      <c r="J12" s="196">
        <v>333817.76744069799</v>
      </c>
      <c r="K12" s="196">
        <v>-2976.3483818236</v>
      </c>
      <c r="L12" s="196">
        <v>-998.16704381575198</v>
      </c>
      <c r="M12" s="196">
        <v>-23.013504289806001</v>
      </c>
      <c r="N12" s="196">
        <v>4312.7972230072601</v>
      </c>
      <c r="O12" s="196">
        <v>-381.25537862589903</v>
      </c>
    </row>
    <row r="13" spans="1:15" x14ac:dyDescent="0.45">
      <c r="A13" s="140">
        <v>235332969</v>
      </c>
      <c r="B13" s="199">
        <v>236058559</v>
      </c>
      <c r="C13" s="133">
        <v>27.59</v>
      </c>
      <c r="D13" s="196">
        <v>500000</v>
      </c>
      <c r="E13" s="133">
        <v>5.6790495997340003</v>
      </c>
      <c r="F13" s="133">
        <v>5.6790495997340003</v>
      </c>
      <c r="G13" s="140" t="s">
        <v>41</v>
      </c>
      <c r="H13" s="140" t="s">
        <v>41</v>
      </c>
      <c r="I13" s="196">
        <v>448236.77606302098</v>
      </c>
      <c r="J13" s="196">
        <v>1448064.7857902399</v>
      </c>
      <c r="K13" s="196">
        <v>17522.9354310747</v>
      </c>
      <c r="L13" s="196">
        <v>11381.222397052999</v>
      </c>
      <c r="M13" s="196">
        <v>-472.44818118980203</v>
      </c>
      <c r="N13" s="196">
        <v>27681.8832712355</v>
      </c>
      <c r="O13" s="196">
        <v>-1653.8265507696001</v>
      </c>
    </row>
    <row r="14" spans="1:15" x14ac:dyDescent="0.45">
      <c r="A14" s="140">
        <v>235332972</v>
      </c>
      <c r="B14" s="199">
        <v>236058562</v>
      </c>
      <c r="C14" s="133">
        <v>27.59</v>
      </c>
      <c r="D14" s="196">
        <v>500000</v>
      </c>
      <c r="E14" s="133">
        <v>5.6792005329439998</v>
      </c>
      <c r="F14" s="133">
        <v>5.6792005329439998</v>
      </c>
      <c r="G14" s="140" t="s">
        <v>41</v>
      </c>
      <c r="H14" s="140" t="s">
        <v>41</v>
      </c>
      <c r="I14" s="196">
        <v>448095.28054715501</v>
      </c>
      <c r="J14" s="196">
        <v>1447607.6732256999</v>
      </c>
      <c r="K14" s="196">
        <v>17517.370365020499</v>
      </c>
      <c r="L14" s="196">
        <v>11377.629671000701</v>
      </c>
      <c r="M14" s="196">
        <v>-472.299042826402</v>
      </c>
      <c r="N14" s="196">
        <v>27648.665410511301</v>
      </c>
      <c r="O14" s="196">
        <v>-1653.3044850819799</v>
      </c>
    </row>
    <row r="15" spans="1:15" x14ac:dyDescent="0.45">
      <c r="A15" s="140">
        <v>235332973</v>
      </c>
      <c r="B15" s="199">
        <v>236058563</v>
      </c>
      <c r="C15" s="133">
        <v>27.59</v>
      </c>
      <c r="D15" s="196">
        <v>120000000</v>
      </c>
      <c r="E15" s="133">
        <v>5.6792005329439998</v>
      </c>
      <c r="F15" s="133">
        <v>5.6792005329439998</v>
      </c>
      <c r="G15" s="140" t="s">
        <v>41</v>
      </c>
      <c r="H15" s="140" t="s">
        <v>41</v>
      </c>
      <c r="I15" s="196">
        <v>448095.28054715501</v>
      </c>
      <c r="J15" s="196">
        <v>1447607.6732256999</v>
      </c>
      <c r="K15" s="196">
        <v>17517.370365020499</v>
      </c>
      <c r="L15" s="196">
        <v>11377.629671000701</v>
      </c>
      <c r="M15" s="196">
        <v>-472.29904282637301</v>
      </c>
      <c r="N15" s="196">
        <v>27648.665410511301</v>
      </c>
      <c r="O15" s="196">
        <v>-1653.3044850819799</v>
      </c>
    </row>
    <row r="16" spans="1:15" x14ac:dyDescent="0.45">
      <c r="A16" s="140">
        <v>235332974</v>
      </c>
      <c r="B16" s="199">
        <v>236058564</v>
      </c>
      <c r="C16" s="133">
        <v>27.59</v>
      </c>
      <c r="D16" s="196">
        <v>500000</v>
      </c>
      <c r="E16" s="133">
        <v>5.6790495997340003</v>
      </c>
      <c r="F16" s="133">
        <v>5.6790495997340003</v>
      </c>
      <c r="G16" s="140" t="s">
        <v>41</v>
      </c>
      <c r="H16" s="140" t="s">
        <v>41</v>
      </c>
      <c r="I16" s="196">
        <v>463279.09639403399</v>
      </c>
      <c r="J16" s="196">
        <v>1496347.50555305</v>
      </c>
      <c r="K16" s="196">
        <v>17875.865408042799</v>
      </c>
      <c r="L16" s="196">
        <v>11204.2794224881</v>
      </c>
      <c r="M16" s="196">
        <v>-651.17830453689805</v>
      </c>
      <c r="N16" s="196">
        <v>24869.675012134601</v>
      </c>
      <c r="O16" s="196">
        <v>-1480.0703460222501</v>
      </c>
    </row>
    <row r="17" spans="1:15" x14ac:dyDescent="0.45">
      <c r="A17" s="140">
        <v>235332975</v>
      </c>
      <c r="B17" s="199">
        <v>236058565</v>
      </c>
      <c r="C17" s="133">
        <v>27.59</v>
      </c>
      <c r="D17" s="196">
        <v>500000</v>
      </c>
      <c r="E17" s="133">
        <v>5.6790495997340003</v>
      </c>
      <c r="F17" s="133">
        <v>5.6790495997340003</v>
      </c>
      <c r="G17" s="140" t="s">
        <v>41</v>
      </c>
      <c r="H17" s="140" t="s">
        <v>41</v>
      </c>
      <c r="I17" s="196">
        <v>235108.73753237701</v>
      </c>
      <c r="J17" s="196">
        <v>-652937.25081512798</v>
      </c>
      <c r="K17" s="196">
        <v>17522.900721686699</v>
      </c>
      <c r="L17" s="196">
        <v>11381.222397052999</v>
      </c>
      <c r="M17" s="196">
        <v>-192.66242533410099</v>
      </c>
      <c r="N17" s="196">
        <v>-25591.108086338099</v>
      </c>
      <c r="O17" s="196">
        <v>745.73043697458399</v>
      </c>
    </row>
    <row r="18" spans="1:15" x14ac:dyDescent="0.45">
      <c r="A18" s="140">
        <v>235332976</v>
      </c>
      <c r="B18" s="199">
        <v>236058566</v>
      </c>
      <c r="C18" s="133">
        <v>27.59</v>
      </c>
      <c r="D18" s="196">
        <v>120000000</v>
      </c>
      <c r="E18" s="133">
        <v>5.6790495997340003</v>
      </c>
      <c r="F18" s="133">
        <v>5.6790495997340003</v>
      </c>
      <c r="G18" s="140" t="s">
        <v>41</v>
      </c>
      <c r="H18" s="140" t="s">
        <v>41</v>
      </c>
      <c r="I18" s="196">
        <v>448236.77606302098</v>
      </c>
      <c r="J18" s="196">
        <v>1448064.7857902399</v>
      </c>
      <c r="K18" s="196">
        <v>17522.9354310747</v>
      </c>
      <c r="L18" s="196">
        <v>11381.222397052999</v>
      </c>
      <c r="M18" s="196">
        <v>-472.44818118979902</v>
      </c>
      <c r="N18" s="196">
        <v>27681.8832712355</v>
      </c>
      <c r="O18" s="196">
        <v>-1653.8265507696001</v>
      </c>
    </row>
    <row r="19" spans="1:15" x14ac:dyDescent="0.45">
      <c r="A19" s="140">
        <v>235332979</v>
      </c>
      <c r="B19" s="199">
        <v>236058569</v>
      </c>
      <c r="C19" s="133">
        <v>27.328859999999999</v>
      </c>
      <c r="D19" s="196">
        <v>500000</v>
      </c>
      <c r="E19" s="133">
        <v>2.1286191936719998</v>
      </c>
      <c r="F19" s="133">
        <v>2.1286191936719998</v>
      </c>
      <c r="G19" s="140" t="s">
        <v>41</v>
      </c>
      <c r="H19" s="140" t="s">
        <v>113</v>
      </c>
      <c r="I19" s="196">
        <v>368622.724201267</v>
      </c>
      <c r="J19" s="196">
        <v>1248611.57354161</v>
      </c>
      <c r="K19" s="196">
        <v>17991.435757761301</v>
      </c>
      <c r="L19" s="196">
        <v>11574.809224842</v>
      </c>
      <c r="M19" s="196">
        <v>-684.59419699397495</v>
      </c>
      <c r="N19" s="196">
        <v>24399.574388942099</v>
      </c>
      <c r="O19" s="196">
        <v>-1426.0305264276701</v>
      </c>
    </row>
    <row r="20" spans="1:15" x14ac:dyDescent="0.45">
      <c r="A20" s="140">
        <v>235332981</v>
      </c>
      <c r="B20" s="199">
        <v>236058571</v>
      </c>
      <c r="C20" s="133">
        <v>27.238</v>
      </c>
      <c r="D20" s="196">
        <v>2000000</v>
      </c>
      <c r="E20" s="133">
        <v>1.4215493211720001</v>
      </c>
      <c r="F20" s="133">
        <v>1.4215493211720001</v>
      </c>
      <c r="G20" s="140" t="s">
        <v>41</v>
      </c>
      <c r="H20" s="140" t="s">
        <v>113</v>
      </c>
      <c r="I20" s="196">
        <v>469777.131260978</v>
      </c>
      <c r="J20" s="196">
        <v>1572996.43081551</v>
      </c>
      <c r="K20" s="196">
        <v>20647.808347506601</v>
      </c>
      <c r="L20" s="196">
        <v>13239.747969633099</v>
      </c>
      <c r="M20" s="196">
        <v>-722.72225688789797</v>
      </c>
      <c r="N20" s="196">
        <v>30576.916677160501</v>
      </c>
      <c r="O20" s="196">
        <v>-1796.5093503281601</v>
      </c>
    </row>
    <row r="21" spans="1:15" x14ac:dyDescent="0.45">
      <c r="A21" s="140">
        <v>235332991</v>
      </c>
      <c r="B21" s="199">
        <v>236058581</v>
      </c>
      <c r="C21" s="133">
        <v>27.238</v>
      </c>
      <c r="D21" s="196">
        <v>500000</v>
      </c>
      <c r="E21" s="133">
        <v>2.1286191936719998</v>
      </c>
      <c r="F21" s="133">
        <v>2.1286191936719998</v>
      </c>
      <c r="G21" s="140" t="s">
        <v>41</v>
      </c>
      <c r="H21" s="140" t="s">
        <v>113</v>
      </c>
      <c r="I21" s="196">
        <v>459908.20971892902</v>
      </c>
      <c r="J21" s="196">
        <v>1539951.4455522599</v>
      </c>
      <c r="K21" s="196">
        <v>20214.115997688299</v>
      </c>
      <c r="L21" s="196">
        <v>12961.611752647501</v>
      </c>
      <c r="M21" s="196">
        <v>-703.96181865074095</v>
      </c>
      <c r="N21" s="196">
        <v>29934.566993361201</v>
      </c>
      <c r="O21" s="196">
        <v>-1758.76888011453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4"/>
  <sheetViews>
    <sheetView zoomScaleNormal="100" workbookViewId="0">
      <selection activeCell="P26" sqref="P26"/>
    </sheetView>
  </sheetViews>
  <sheetFormatPr defaultRowHeight="14.25" x14ac:dyDescent="0.45"/>
  <cols>
    <col min="1" max="1" width="11" bestFit="1" customWidth="1"/>
    <col min="2" max="2" width="10.3984375" bestFit="1" customWidth="1"/>
    <col min="3" max="3" width="6.265625" bestFit="1" customWidth="1"/>
    <col min="4" max="4" width="7" bestFit="1" customWidth="1"/>
    <col min="5" max="5" width="19" bestFit="1" customWidth="1"/>
    <col min="6" max="6" width="6.73046875" bestFit="1" customWidth="1"/>
    <col min="7" max="7" width="5.265625" bestFit="1" customWidth="1"/>
    <col min="8" max="8" width="6.1328125" bestFit="1" customWidth="1"/>
    <col min="9" max="9" width="17" bestFit="1" customWidth="1"/>
    <col min="10" max="10" width="12.1328125" bestFit="1" customWidth="1"/>
    <col min="11" max="11" width="10.59765625" bestFit="1" customWidth="1"/>
    <col min="12" max="12" width="12.73046875" bestFit="1" customWidth="1"/>
    <col min="13" max="13" width="18.73046875" bestFit="1" customWidth="1"/>
    <col min="14" max="14" width="18.265625" bestFit="1" customWidth="1"/>
  </cols>
  <sheetData>
    <row r="1" spans="1:14" x14ac:dyDescent="0.45">
      <c r="A1" s="140" t="s">
        <v>286</v>
      </c>
      <c r="B1" s="140" t="s">
        <v>287</v>
      </c>
      <c r="C1" s="140" t="s">
        <v>288</v>
      </c>
      <c r="D1" s="140" t="s">
        <v>289</v>
      </c>
      <c r="E1" s="140" t="s">
        <v>31</v>
      </c>
      <c r="F1" s="140" t="s">
        <v>290</v>
      </c>
      <c r="G1" s="140" t="s">
        <v>291</v>
      </c>
      <c r="H1" s="140" t="s">
        <v>292</v>
      </c>
      <c r="I1" s="140" t="s">
        <v>293</v>
      </c>
      <c r="J1" s="140" t="s">
        <v>294</v>
      </c>
      <c r="K1" s="140" t="s">
        <v>295</v>
      </c>
      <c r="L1" s="140" t="s">
        <v>296</v>
      </c>
      <c r="M1" s="140" t="s">
        <v>297</v>
      </c>
      <c r="N1" t="s">
        <v>298</v>
      </c>
    </row>
    <row r="2" spans="1:14" x14ac:dyDescent="0.45">
      <c r="A2" s="140">
        <v>22512342</v>
      </c>
      <c r="B2" s="140" t="s">
        <v>107</v>
      </c>
      <c r="C2" s="140"/>
      <c r="D2" s="140"/>
      <c r="E2" s="140" t="s">
        <v>265</v>
      </c>
      <c r="F2" s="140"/>
      <c r="G2" s="140"/>
      <c r="H2" s="140" t="s">
        <v>262</v>
      </c>
      <c r="I2" s="140" t="s">
        <v>238</v>
      </c>
      <c r="J2" s="140" t="s">
        <v>299</v>
      </c>
      <c r="K2" s="140"/>
      <c r="L2" s="140">
        <v>4839.2326139454699</v>
      </c>
      <c r="M2" s="201">
        <v>20805.646108283301</v>
      </c>
      <c r="N2" s="201">
        <v>0</v>
      </c>
    </row>
    <row r="3" spans="1:14" x14ac:dyDescent="0.45">
      <c r="A3" s="140" t="s">
        <v>266</v>
      </c>
      <c r="B3" s="140" t="s">
        <v>107</v>
      </c>
      <c r="C3" s="140"/>
      <c r="D3" s="140"/>
      <c r="E3" s="140" t="s">
        <v>265</v>
      </c>
      <c r="F3" s="140"/>
      <c r="G3" s="140"/>
      <c r="H3" s="140" t="s">
        <v>262</v>
      </c>
      <c r="I3" s="140" t="s">
        <v>238</v>
      </c>
      <c r="J3" s="140" t="s">
        <v>299</v>
      </c>
      <c r="K3" s="140"/>
      <c r="L3" s="140">
        <v>3522.84431400618</v>
      </c>
      <c r="M3" s="201">
        <v>21322.8268025705</v>
      </c>
      <c r="N3" s="201">
        <v>-1.70985003933311E-10</v>
      </c>
    </row>
    <row r="4" spans="1:14" x14ac:dyDescent="0.45">
      <c r="A4" s="140">
        <v>22512344</v>
      </c>
      <c r="B4" s="140" t="s">
        <v>107</v>
      </c>
      <c r="C4" s="140"/>
      <c r="D4" s="140"/>
      <c r="E4" s="140" t="s">
        <v>263</v>
      </c>
      <c r="F4" s="140"/>
      <c r="G4" s="140"/>
      <c r="H4" s="140" t="s">
        <v>262</v>
      </c>
      <c r="I4" s="140" t="s">
        <v>238</v>
      </c>
      <c r="J4" s="140" t="s">
        <v>299</v>
      </c>
      <c r="K4" s="140"/>
      <c r="L4" s="234">
        <v>182111.69334685299</v>
      </c>
      <c r="M4" s="234">
        <v>-3.4924596548080402E-6</v>
      </c>
      <c r="N4">
        <v>-2227.24027789093</v>
      </c>
    </row>
    <row r="5" spans="1:14" x14ac:dyDescent="0.45">
      <c r="A5" s="140">
        <v>22512345</v>
      </c>
      <c r="B5" s="140" t="s">
        <v>107</v>
      </c>
      <c r="C5" s="140"/>
      <c r="D5" s="140"/>
      <c r="E5" s="140" t="s">
        <v>263</v>
      </c>
      <c r="F5" s="140"/>
      <c r="G5" s="140"/>
      <c r="H5" s="140" t="s">
        <v>262</v>
      </c>
      <c r="I5" s="140" t="s">
        <v>238</v>
      </c>
      <c r="J5" s="140" t="s">
        <v>299</v>
      </c>
      <c r="K5" s="140"/>
      <c r="L5" s="234">
        <v>182111.69334685299</v>
      </c>
      <c r="M5" s="234">
        <v>-3.4924596548080402E-6</v>
      </c>
      <c r="N5">
        <v>-2227.24027789093</v>
      </c>
    </row>
    <row r="6" spans="1:14" x14ac:dyDescent="0.45">
      <c r="A6" s="140">
        <v>22512346</v>
      </c>
      <c r="B6" s="140" t="s">
        <v>107</v>
      </c>
      <c r="C6" s="140"/>
      <c r="D6" s="140"/>
      <c r="E6" s="140" t="s">
        <v>263</v>
      </c>
      <c r="F6" s="140"/>
      <c r="G6" s="140"/>
      <c r="H6" s="140" t="s">
        <v>262</v>
      </c>
      <c r="I6" s="140" t="s">
        <v>238</v>
      </c>
      <c r="J6" s="140" t="s">
        <v>299</v>
      </c>
      <c r="K6" s="140"/>
      <c r="L6" s="234">
        <v>182111.69334685299</v>
      </c>
      <c r="M6" s="234">
        <v>-3.4924596548080402E-6</v>
      </c>
      <c r="N6">
        <v>-2227.24027789093</v>
      </c>
    </row>
    <row r="7" spans="1:14" x14ac:dyDescent="0.45">
      <c r="A7" s="140">
        <v>22512347</v>
      </c>
      <c r="B7" s="140" t="s">
        <v>107</v>
      </c>
      <c r="C7" s="140"/>
      <c r="D7" s="140"/>
      <c r="E7" s="140" t="s">
        <v>263</v>
      </c>
      <c r="F7" s="140"/>
      <c r="G7" s="140"/>
      <c r="H7" s="140" t="s">
        <v>262</v>
      </c>
      <c r="I7" s="140" t="s">
        <v>238</v>
      </c>
      <c r="J7" s="140" t="s">
        <v>299</v>
      </c>
      <c r="K7" s="140"/>
      <c r="L7" s="234">
        <v>96293.341389395995</v>
      </c>
      <c r="M7" s="234">
        <v>5.8207660913467399E-6</v>
      </c>
      <c r="N7">
        <v>2227.2402778906999</v>
      </c>
    </row>
    <row r="8" spans="1:14" x14ac:dyDescent="0.45">
      <c r="A8" s="140">
        <v>22512465</v>
      </c>
      <c r="B8" s="140" t="s">
        <v>107</v>
      </c>
      <c r="C8" s="140"/>
      <c r="D8" s="140"/>
      <c r="E8" s="140" t="s">
        <v>263</v>
      </c>
      <c r="F8" s="140"/>
      <c r="G8" s="140"/>
      <c r="H8" s="140" t="s">
        <v>262</v>
      </c>
      <c r="I8" s="140" t="s">
        <v>238</v>
      </c>
      <c r="J8" s="140" t="s">
        <v>299</v>
      </c>
      <c r="K8" s="140"/>
      <c r="L8" s="140">
        <v>202843.92951742801</v>
      </c>
      <c r="M8" s="140">
        <v>476271.25972299802</v>
      </c>
      <c r="N8">
        <v>-1619.3222830694599</v>
      </c>
    </row>
    <row r="9" spans="1:14" x14ac:dyDescent="0.45">
      <c r="A9" s="140">
        <v>22512466</v>
      </c>
      <c r="B9" s="140" t="s">
        <v>107</v>
      </c>
      <c r="C9" s="140"/>
      <c r="D9" s="140"/>
      <c r="E9" s="140" t="s">
        <v>263</v>
      </c>
      <c r="F9" s="140"/>
      <c r="G9" s="140"/>
      <c r="H9" s="140" t="s">
        <v>262</v>
      </c>
      <c r="I9" s="140" t="s">
        <v>238</v>
      </c>
      <c r="J9" s="140" t="s">
        <v>299</v>
      </c>
      <c r="K9" s="140"/>
      <c r="L9" s="140">
        <v>170838.50086382101</v>
      </c>
      <c r="M9" s="140">
        <v>476271.25972911</v>
      </c>
      <c r="N9">
        <v>-1238.3052752881499</v>
      </c>
    </row>
    <row r="10" spans="1:14" x14ac:dyDescent="0.45">
      <c r="A10" s="140">
        <v>22512499</v>
      </c>
      <c r="B10" s="140" t="s">
        <v>107</v>
      </c>
      <c r="C10" s="140"/>
      <c r="D10" s="140"/>
      <c r="E10" s="140" t="s">
        <v>264</v>
      </c>
      <c r="F10" s="140"/>
      <c r="G10" s="140"/>
      <c r="H10" s="140" t="s">
        <v>262</v>
      </c>
      <c r="I10" s="140" t="s">
        <v>238</v>
      </c>
      <c r="J10" s="140" t="s">
        <v>299</v>
      </c>
      <c r="K10" s="140"/>
      <c r="L10" s="140">
        <v>394028.81178422802</v>
      </c>
      <c r="M10" s="140">
        <v>1253359.72435889</v>
      </c>
      <c r="N10">
        <v>13889.824687767699</v>
      </c>
    </row>
    <row r="11" spans="1:14" x14ac:dyDescent="0.45">
      <c r="A11" s="140">
        <v>22512500</v>
      </c>
      <c r="B11" s="140" t="s">
        <v>107</v>
      </c>
      <c r="C11" s="140"/>
      <c r="D11" s="140"/>
      <c r="E11" s="140" t="s">
        <v>264</v>
      </c>
      <c r="F11" s="140"/>
      <c r="G11" s="140"/>
      <c r="H11" s="140" t="s">
        <v>262</v>
      </c>
      <c r="I11" s="140" t="s">
        <v>238</v>
      </c>
      <c r="J11" s="140" t="s">
        <v>299</v>
      </c>
      <c r="K11" s="140"/>
      <c r="L11" s="140">
        <v>287372.029106014</v>
      </c>
      <c r="M11" s="140">
        <v>629305.17229542602</v>
      </c>
      <c r="N11">
        <v>12899.2994919541</v>
      </c>
    </row>
    <row r="12" spans="1:14" x14ac:dyDescent="0.45">
      <c r="A12" s="140">
        <v>22512502</v>
      </c>
      <c r="B12" s="140" t="s">
        <v>107</v>
      </c>
      <c r="C12" s="140"/>
      <c r="D12" s="140"/>
      <c r="E12" s="140" t="s">
        <v>264</v>
      </c>
      <c r="F12" s="140"/>
      <c r="G12" s="140"/>
      <c r="H12" s="140" t="s">
        <v>262</v>
      </c>
      <c r="I12" s="140" t="s">
        <v>238</v>
      </c>
      <c r="J12" s="140" t="s">
        <v>299</v>
      </c>
      <c r="K12" s="140"/>
      <c r="L12" s="140">
        <v>394028.81178422802</v>
      </c>
      <c r="M12" s="140">
        <v>1253359.72435889</v>
      </c>
      <c r="N12">
        <v>13889.824687767699</v>
      </c>
    </row>
    <row r="13" spans="1:14" x14ac:dyDescent="0.45">
      <c r="A13" s="140">
        <v>22512503</v>
      </c>
      <c r="B13" s="140" t="s">
        <v>107</v>
      </c>
      <c r="C13" s="140"/>
      <c r="D13" s="140"/>
      <c r="E13" s="140" t="s">
        <v>264</v>
      </c>
      <c r="F13" s="140"/>
      <c r="G13" s="140"/>
      <c r="H13" s="140" t="s">
        <v>262</v>
      </c>
      <c r="I13" s="140" t="s">
        <v>238</v>
      </c>
      <c r="J13" s="140" t="s">
        <v>299</v>
      </c>
      <c r="K13" s="140"/>
      <c r="L13" s="140">
        <v>363718.539466538</v>
      </c>
      <c r="M13" s="140">
        <v>1156946.2809222799</v>
      </c>
      <c r="N13">
        <v>12821.363813485799</v>
      </c>
    </row>
    <row r="14" spans="1:14" x14ac:dyDescent="0.45">
      <c r="A14" s="140">
        <v>22512507</v>
      </c>
      <c r="B14" s="140" t="s">
        <v>107</v>
      </c>
      <c r="C14" s="140"/>
      <c r="D14" s="140"/>
      <c r="E14" s="140" t="s">
        <v>264</v>
      </c>
      <c r="F14" s="140"/>
      <c r="G14" s="140"/>
      <c r="H14" s="140" t="s">
        <v>262</v>
      </c>
      <c r="I14" s="140" t="s">
        <v>238</v>
      </c>
      <c r="J14" s="140" t="s">
        <v>299</v>
      </c>
      <c r="K14" s="140"/>
      <c r="L14" s="140">
        <v>394028.81178422802</v>
      </c>
      <c r="M14" s="140">
        <v>1253359.72435889</v>
      </c>
      <c r="N14">
        <v>13889.824687767699</v>
      </c>
    </row>
    <row r="15" spans="1:14" x14ac:dyDescent="0.45">
      <c r="A15" s="140">
        <v>22512508</v>
      </c>
      <c r="B15" s="140" t="s">
        <v>107</v>
      </c>
      <c r="C15" s="140"/>
      <c r="D15" s="140"/>
      <c r="E15" s="140" t="s">
        <v>264</v>
      </c>
      <c r="F15" s="140"/>
      <c r="G15" s="140"/>
      <c r="H15" s="140" t="s">
        <v>262</v>
      </c>
      <c r="I15" s="140" t="s">
        <v>238</v>
      </c>
      <c r="J15" s="140" t="s">
        <v>299</v>
      </c>
      <c r="K15" s="140"/>
      <c r="L15" s="140">
        <v>361247.51859644102</v>
      </c>
      <c r="M15" s="140">
        <v>1191312.17486982</v>
      </c>
      <c r="N15">
        <v>14112.9397952618</v>
      </c>
    </row>
    <row r="16" spans="1:14" x14ac:dyDescent="0.45">
      <c r="A16" s="140">
        <v>22512510</v>
      </c>
      <c r="B16" s="140" t="s">
        <v>107</v>
      </c>
      <c r="C16" s="140"/>
      <c r="D16" s="140"/>
      <c r="E16" s="140" t="s">
        <v>264</v>
      </c>
      <c r="F16" s="140"/>
      <c r="G16" s="140"/>
      <c r="H16" s="140" t="s">
        <v>262</v>
      </c>
      <c r="I16" s="140" t="s">
        <v>238</v>
      </c>
      <c r="J16" s="140" t="s">
        <v>299</v>
      </c>
      <c r="K16" s="140"/>
      <c r="L16" s="140">
        <v>0</v>
      </c>
      <c r="M16" s="140">
        <v>0</v>
      </c>
      <c r="N16">
        <v>0</v>
      </c>
    </row>
    <row r="17" spans="1:14" x14ac:dyDescent="0.45">
      <c r="A17" s="140">
        <v>22512512</v>
      </c>
      <c r="B17" s="140" t="s">
        <v>107</v>
      </c>
      <c r="C17" s="140"/>
      <c r="D17" s="140"/>
      <c r="E17" s="140" t="s">
        <v>264</v>
      </c>
      <c r="F17" s="140"/>
      <c r="G17" s="140"/>
      <c r="H17" s="140" t="s">
        <v>262</v>
      </c>
      <c r="I17" s="140" t="s">
        <v>238</v>
      </c>
      <c r="J17" s="140" t="s">
        <v>299</v>
      </c>
      <c r="K17" s="140"/>
      <c r="L17" s="140">
        <v>336784.24278391799</v>
      </c>
      <c r="M17" s="140">
        <v>-1224798.33035322</v>
      </c>
      <c r="N17">
        <v>14327.932138918901</v>
      </c>
    </row>
    <row r="18" spans="1:14" x14ac:dyDescent="0.45">
      <c r="A18" s="140">
        <v>22512513</v>
      </c>
      <c r="B18" s="140" t="s">
        <v>107</v>
      </c>
      <c r="C18" s="140"/>
      <c r="D18" s="140"/>
      <c r="E18" s="140" t="s">
        <v>264</v>
      </c>
      <c r="F18" s="140"/>
      <c r="G18" s="140"/>
      <c r="H18" s="140" t="s">
        <v>262</v>
      </c>
      <c r="I18" s="140" t="s">
        <v>238</v>
      </c>
      <c r="J18" s="140" t="s">
        <v>299</v>
      </c>
      <c r="K18" s="140"/>
      <c r="L18" s="140">
        <v>229544.54943654701</v>
      </c>
      <c r="M18" s="140">
        <v>-881006.98150636198</v>
      </c>
      <c r="N18">
        <v>13567.4965615579</v>
      </c>
    </row>
    <row r="19" spans="1:14" x14ac:dyDescent="0.45">
      <c r="A19" s="140">
        <v>22512515</v>
      </c>
      <c r="B19" s="140" t="s">
        <v>107</v>
      </c>
      <c r="C19" s="140"/>
      <c r="D19" s="140"/>
      <c r="E19" s="140" t="s">
        <v>264</v>
      </c>
      <c r="F19" s="140"/>
      <c r="G19" s="140"/>
      <c r="H19" s="140" t="s">
        <v>262</v>
      </c>
      <c r="I19" s="140" t="s">
        <v>238</v>
      </c>
      <c r="J19" s="140" t="s">
        <v>299</v>
      </c>
      <c r="K19" s="140"/>
      <c r="L19" s="140">
        <v>169613.82036009099</v>
      </c>
      <c r="M19" s="140">
        <v>2656952.8129644501</v>
      </c>
      <c r="N19">
        <v>-1633.55510763644</v>
      </c>
    </row>
    <row r="20" spans="1:14" x14ac:dyDescent="0.45">
      <c r="A20" s="140">
        <v>22512516</v>
      </c>
      <c r="B20" s="140" t="s">
        <v>107</v>
      </c>
      <c r="C20" s="140"/>
      <c r="D20" s="140"/>
      <c r="E20" s="140" t="s">
        <v>264</v>
      </c>
      <c r="F20" s="140"/>
      <c r="G20" s="140"/>
      <c r="H20" s="140" t="s">
        <v>262</v>
      </c>
      <c r="I20" s="140" t="s">
        <v>238</v>
      </c>
      <c r="J20" s="140" t="s">
        <v>299</v>
      </c>
      <c r="K20" s="140"/>
      <c r="L20" s="140">
        <v>237096.65016313599</v>
      </c>
      <c r="M20" s="140">
        <v>2259083.62186572</v>
      </c>
      <c r="N20">
        <v>-436.34169092171902</v>
      </c>
    </row>
    <row r="21" spans="1:14" x14ac:dyDescent="0.45">
      <c r="A21" s="140">
        <v>22512517</v>
      </c>
      <c r="B21" s="140" t="s">
        <v>107</v>
      </c>
      <c r="C21" s="140"/>
      <c r="D21" s="140"/>
      <c r="E21" s="140" t="s">
        <v>264</v>
      </c>
      <c r="F21" s="140"/>
      <c r="G21" s="140"/>
      <c r="H21" s="140" t="s">
        <v>262</v>
      </c>
      <c r="I21" s="140" t="s">
        <v>238</v>
      </c>
      <c r="J21" s="140" t="s">
        <v>299</v>
      </c>
      <c r="K21" s="140"/>
      <c r="L21" s="140">
        <v>394269.617781026</v>
      </c>
      <c r="M21" s="140">
        <v>1204784.8449868599</v>
      </c>
      <c r="N21">
        <v>13892.509631267199</v>
      </c>
    </row>
    <row r="22" spans="1:14" x14ac:dyDescent="0.45">
      <c r="A22" s="140">
        <v>22512518</v>
      </c>
      <c r="B22" s="140" t="s">
        <v>107</v>
      </c>
      <c r="C22" s="140"/>
      <c r="D22" s="140"/>
      <c r="E22" s="140" t="s">
        <v>264</v>
      </c>
      <c r="F22" s="140"/>
      <c r="G22" s="140"/>
      <c r="H22" s="140" t="s">
        <v>262</v>
      </c>
      <c r="I22" s="140" t="s">
        <v>238</v>
      </c>
      <c r="J22" s="140" t="s">
        <v>299</v>
      </c>
      <c r="K22" s="140"/>
      <c r="L22" s="140">
        <v>0</v>
      </c>
      <c r="M22" s="140">
        <v>0</v>
      </c>
      <c r="N22">
        <v>0</v>
      </c>
    </row>
    <row r="23" spans="1:14" x14ac:dyDescent="0.45">
      <c r="A23" s="140">
        <v>22512633</v>
      </c>
      <c r="B23" s="140" t="s">
        <v>107</v>
      </c>
      <c r="C23" s="140"/>
      <c r="D23" s="140"/>
      <c r="E23" s="140" t="s">
        <v>263</v>
      </c>
      <c r="F23" s="140"/>
      <c r="G23" s="140"/>
      <c r="H23" s="140" t="s">
        <v>262</v>
      </c>
      <c r="I23" s="140" t="s">
        <v>238</v>
      </c>
      <c r="J23" s="140" t="s">
        <v>299</v>
      </c>
      <c r="K23" s="140"/>
      <c r="L23" s="140">
        <v>446536.75856059103</v>
      </c>
      <c r="M23" s="140">
        <v>1437996.7223276601</v>
      </c>
      <c r="N23">
        <v>11307.084575098601</v>
      </c>
    </row>
    <row r="24" spans="1:14" x14ac:dyDescent="0.45">
      <c r="A24" s="140">
        <v>22512635</v>
      </c>
      <c r="B24" s="140" t="s">
        <v>107</v>
      </c>
      <c r="C24" s="140"/>
      <c r="D24" s="140"/>
      <c r="E24" s="140" t="s">
        <v>263</v>
      </c>
      <c r="F24" s="140"/>
      <c r="G24" s="140"/>
      <c r="H24" s="140" t="s">
        <v>262</v>
      </c>
      <c r="I24" s="140" t="s">
        <v>238</v>
      </c>
      <c r="J24" s="140" t="s">
        <v>299</v>
      </c>
      <c r="K24" s="140"/>
      <c r="L24" s="140">
        <v>446536.75856059103</v>
      </c>
      <c r="M24" s="140">
        <v>1437996.7223276601</v>
      </c>
      <c r="N24">
        <v>11307.084575098601</v>
      </c>
    </row>
    <row r="25" spans="1:14" x14ac:dyDescent="0.45">
      <c r="A25" s="140">
        <v>22512636</v>
      </c>
      <c r="B25" s="140" t="s">
        <v>107</v>
      </c>
      <c r="C25" s="140"/>
      <c r="D25" s="140"/>
      <c r="E25" s="140" t="s">
        <v>263</v>
      </c>
      <c r="F25" s="140"/>
      <c r="G25" s="140"/>
      <c r="H25" s="140" t="s">
        <v>262</v>
      </c>
      <c r="I25" s="140" t="s">
        <v>238</v>
      </c>
      <c r="J25" s="140" t="s">
        <v>299</v>
      </c>
      <c r="K25" s="140"/>
      <c r="L25" s="140">
        <v>446536.75856059103</v>
      </c>
      <c r="M25" s="140">
        <v>1437996.7223276601</v>
      </c>
      <c r="N25">
        <v>11307.084575098601</v>
      </c>
    </row>
    <row r="26" spans="1:14" x14ac:dyDescent="0.45">
      <c r="A26" s="140">
        <v>22512637</v>
      </c>
      <c r="B26" s="140" t="s">
        <v>107</v>
      </c>
      <c r="C26" s="140"/>
      <c r="D26" s="140"/>
      <c r="E26" s="140" t="s">
        <v>263</v>
      </c>
      <c r="F26" s="140"/>
      <c r="G26" s="140"/>
      <c r="H26" s="140" t="s">
        <v>262</v>
      </c>
      <c r="I26" s="140" t="s">
        <v>238</v>
      </c>
      <c r="J26" s="140" t="s">
        <v>299</v>
      </c>
      <c r="K26" s="140"/>
      <c r="L26" s="140">
        <v>446536.75856059103</v>
      </c>
      <c r="M26" s="140">
        <v>1437996.7223276601</v>
      </c>
      <c r="N26">
        <v>11307.084575098601</v>
      </c>
    </row>
    <row r="27" spans="1:14" x14ac:dyDescent="0.45">
      <c r="A27" s="140">
        <v>22512638</v>
      </c>
      <c r="B27" s="140" t="s">
        <v>107</v>
      </c>
      <c r="C27" s="140"/>
      <c r="D27" s="140"/>
      <c r="E27" s="140" t="s">
        <v>263</v>
      </c>
      <c r="F27" s="140"/>
      <c r="G27" s="140"/>
      <c r="H27" s="140" t="s">
        <v>262</v>
      </c>
      <c r="I27" s="140" t="s">
        <v>238</v>
      </c>
      <c r="J27" s="140" t="s">
        <v>299</v>
      </c>
      <c r="K27" s="140"/>
      <c r="L27" s="140">
        <v>234476.388848414</v>
      </c>
      <c r="M27" s="140">
        <v>-642037.24097489601</v>
      </c>
      <c r="N27">
        <v>11307.0845750961</v>
      </c>
    </row>
    <row r="28" spans="1:14" x14ac:dyDescent="0.45">
      <c r="A28" s="140">
        <v>22512639</v>
      </c>
      <c r="B28" s="140" t="s">
        <v>107</v>
      </c>
      <c r="C28" s="140"/>
      <c r="D28" s="140"/>
      <c r="E28" s="140" t="s">
        <v>263</v>
      </c>
      <c r="F28" s="140"/>
      <c r="G28" s="140"/>
      <c r="H28" s="140" t="s">
        <v>262</v>
      </c>
      <c r="I28" s="140" t="s">
        <v>238</v>
      </c>
      <c r="J28" s="140" t="s">
        <v>299</v>
      </c>
      <c r="K28" s="140"/>
      <c r="L28" s="140">
        <v>446536.75856059103</v>
      </c>
      <c r="M28" s="140">
        <v>1437996.7223276601</v>
      </c>
      <c r="N28">
        <v>11307.084575098601</v>
      </c>
    </row>
    <row r="29" spans="1:14" x14ac:dyDescent="0.45">
      <c r="A29" s="140">
        <v>22512640</v>
      </c>
      <c r="B29" s="140" t="s">
        <v>107</v>
      </c>
      <c r="C29" s="140"/>
      <c r="D29" s="140"/>
      <c r="E29" s="140" t="s">
        <v>263</v>
      </c>
      <c r="F29" s="140"/>
      <c r="G29" s="140"/>
      <c r="H29" s="140" t="s">
        <v>262</v>
      </c>
      <c r="I29" s="140" t="s">
        <v>238</v>
      </c>
      <c r="J29" s="140" t="s">
        <v>299</v>
      </c>
      <c r="K29" s="140"/>
      <c r="L29" s="140">
        <v>359198.313853984</v>
      </c>
      <c r="M29" s="140">
        <v>1260631.718082</v>
      </c>
      <c r="N29">
        <v>11584.3951062224</v>
      </c>
    </row>
    <row r="30" spans="1:14" x14ac:dyDescent="0.45">
      <c r="A30" s="140">
        <v>22512642</v>
      </c>
      <c r="B30" s="140" t="s">
        <v>107</v>
      </c>
      <c r="C30" s="140"/>
      <c r="D30" s="140"/>
      <c r="E30" s="140" t="s">
        <v>263</v>
      </c>
      <c r="F30" s="140"/>
      <c r="G30" s="140"/>
      <c r="H30" s="140" t="s">
        <v>262</v>
      </c>
      <c r="I30" s="140" t="s">
        <v>238</v>
      </c>
      <c r="J30" s="140" t="s">
        <v>299</v>
      </c>
      <c r="K30" s="140"/>
      <c r="L30" s="140">
        <v>468333.66745415801</v>
      </c>
      <c r="M30" s="140">
        <v>1576635.8229640201</v>
      </c>
      <c r="N30">
        <v>13091.674065659499</v>
      </c>
    </row>
    <row r="31" spans="1:14" x14ac:dyDescent="0.45">
      <c r="A31" s="140">
        <v>22512650</v>
      </c>
      <c r="B31" s="140" t="s">
        <v>107</v>
      </c>
      <c r="C31" s="140"/>
      <c r="D31" s="140"/>
      <c r="E31" s="140" t="s">
        <v>263</v>
      </c>
      <c r="F31" s="140"/>
      <c r="G31" s="140"/>
      <c r="H31" s="140" t="s">
        <v>262</v>
      </c>
      <c r="I31" s="140" t="s">
        <v>238</v>
      </c>
      <c r="J31" s="140" t="s">
        <v>299</v>
      </c>
      <c r="K31" s="140"/>
      <c r="L31" s="140">
        <v>468333.66745415801</v>
      </c>
      <c r="M31" s="140">
        <v>1576635.8229640201</v>
      </c>
      <c r="N31">
        <v>13091.674065659499</v>
      </c>
    </row>
    <row r="35" spans="12:12" x14ac:dyDescent="0.45">
      <c r="L35" s="234"/>
    </row>
    <row r="51" spans="12:12" x14ac:dyDescent="0.45">
      <c r="L51" s="234"/>
    </row>
    <row r="67" spans="12:12" x14ac:dyDescent="0.45">
      <c r="L67" s="234"/>
    </row>
    <row r="83" spans="12:12" x14ac:dyDescent="0.45">
      <c r="L83" s="234"/>
    </row>
    <row r="492" spans="11:11" x14ac:dyDescent="0.45">
      <c r="K492" s="234"/>
    </row>
    <row r="495" spans="11:11" x14ac:dyDescent="0.45">
      <c r="K495" s="234"/>
    </row>
    <row r="498" spans="11:11" x14ac:dyDescent="0.45">
      <c r="K498" s="234"/>
    </row>
    <row r="504" spans="11:11" x14ac:dyDescent="0.45">
      <c r="K504" s="2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B45"/>
  <sheetViews>
    <sheetView zoomScale="70" zoomScaleNormal="70" workbookViewId="0">
      <selection activeCell="M44" sqref="M44"/>
    </sheetView>
  </sheetViews>
  <sheetFormatPr defaultRowHeight="14.25" x14ac:dyDescent="0.45"/>
  <cols>
    <col min="1" max="1" width="29" bestFit="1" customWidth="1"/>
    <col min="2" max="2" width="13.1328125" customWidth="1"/>
    <col min="3" max="3" width="3.59765625" bestFit="1" customWidth="1"/>
    <col min="10" max="10" width="9.1328125" customWidth="1"/>
    <col min="11" max="11" width="16.265625" customWidth="1"/>
    <col min="12" max="12" width="29.3984375" customWidth="1"/>
    <col min="13" max="13" width="18" bestFit="1" customWidth="1"/>
    <col min="14" max="14" width="15.6640625" style="140" customWidth="1"/>
    <col min="15" max="15" width="19.59765625" customWidth="1"/>
    <col min="16" max="16" width="15.1328125" bestFit="1" customWidth="1"/>
    <col min="22" max="22" width="15.86328125" bestFit="1" customWidth="1"/>
  </cols>
  <sheetData>
    <row r="1" spans="1:28" s="10" customFormat="1" ht="23.65" thickBot="1" x14ac:dyDescent="0.75">
      <c r="A1" s="10" t="s">
        <v>99</v>
      </c>
      <c r="L1" s="10" t="s">
        <v>81</v>
      </c>
    </row>
    <row r="2" spans="1:28" x14ac:dyDescent="0.45">
      <c r="A2" s="11"/>
      <c r="B2" s="12"/>
      <c r="C2" s="12"/>
      <c r="D2" s="12"/>
      <c r="E2" s="12"/>
      <c r="F2" s="12"/>
      <c r="G2" s="12"/>
      <c r="H2" s="12"/>
      <c r="I2" s="12"/>
      <c r="J2" s="12"/>
      <c r="K2" s="13"/>
      <c r="L2" s="11"/>
      <c r="M2" s="36" t="s">
        <v>82</v>
      </c>
      <c r="N2" s="36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3"/>
    </row>
    <row r="3" spans="1:28" x14ac:dyDescent="0.45">
      <c r="A3" s="14" t="s">
        <v>79</v>
      </c>
      <c r="B3" s="15" t="s">
        <v>13</v>
      </c>
      <c r="C3" s="16"/>
      <c r="D3" s="17"/>
      <c r="E3" s="17"/>
      <c r="F3" s="17"/>
      <c r="G3" s="17"/>
      <c r="H3" s="17"/>
      <c r="I3" s="17"/>
      <c r="J3" s="17"/>
      <c r="K3" s="18"/>
      <c r="L3" s="14" t="s">
        <v>80</v>
      </c>
      <c r="M3" s="35"/>
      <c r="N3" s="35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8"/>
    </row>
    <row r="4" spans="1:28" x14ac:dyDescent="0.45">
      <c r="A4" s="19" t="s">
        <v>0</v>
      </c>
      <c r="B4" s="20"/>
      <c r="C4" s="21"/>
      <c r="D4" s="17"/>
      <c r="E4" s="17"/>
      <c r="F4" s="17"/>
      <c r="G4" s="17"/>
      <c r="H4" s="17"/>
      <c r="I4" s="17"/>
      <c r="J4" s="17"/>
      <c r="K4" s="18"/>
      <c r="L4" s="19" t="s">
        <v>0</v>
      </c>
      <c r="M4" s="4" t="s">
        <v>83</v>
      </c>
      <c r="N4" s="4" t="s">
        <v>307</v>
      </c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8"/>
    </row>
    <row r="5" spans="1:28" x14ac:dyDescent="0.45">
      <c r="A5" s="49" t="s">
        <v>1</v>
      </c>
      <c r="B5" s="177">
        <v>271.06557207575901</v>
      </c>
      <c r="C5" s="23"/>
      <c r="D5" s="17"/>
      <c r="E5" s="17"/>
      <c r="F5" s="17"/>
      <c r="G5" s="17"/>
      <c r="H5" s="17"/>
      <c r="I5" s="17"/>
      <c r="J5" s="17"/>
      <c r="K5" s="18"/>
      <c r="L5" s="118" t="s">
        <v>174</v>
      </c>
      <c r="M5" s="48">
        <f>M24-M25</f>
        <v>226.59105714208309</v>
      </c>
      <c r="N5" s="41">
        <f>M24-M25</f>
        <v>226.59105714208309</v>
      </c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8"/>
    </row>
    <row r="6" spans="1:28" x14ac:dyDescent="0.45">
      <c r="A6" s="24" t="s">
        <v>2</v>
      </c>
      <c r="B6" s="1">
        <v>240</v>
      </c>
      <c r="C6" s="25"/>
      <c r="D6" s="17"/>
      <c r="E6" s="17"/>
      <c r="F6" s="17"/>
      <c r="G6" s="17"/>
      <c r="H6" s="17"/>
      <c r="I6" s="17"/>
      <c r="J6" s="17"/>
      <c r="K6" s="18"/>
      <c r="L6" s="40" t="s">
        <v>2</v>
      </c>
      <c r="M6" s="41">
        <f>B6</f>
        <v>240</v>
      </c>
      <c r="N6" s="41">
        <f>M6</f>
        <v>240</v>
      </c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8"/>
    </row>
    <row r="7" spans="1:28" x14ac:dyDescent="0.45">
      <c r="A7" s="24" t="s">
        <v>3</v>
      </c>
      <c r="B7" s="2">
        <v>0.27589999999999998</v>
      </c>
      <c r="C7" s="25"/>
      <c r="D7" s="17"/>
      <c r="E7" s="17"/>
      <c r="F7" s="17"/>
      <c r="G7" s="17"/>
      <c r="H7" s="17"/>
      <c r="I7" s="17"/>
      <c r="J7" s="17"/>
      <c r="K7" s="18"/>
      <c r="L7" s="24" t="s">
        <v>3</v>
      </c>
      <c r="M7" s="42">
        <v>0.27589999999999998</v>
      </c>
      <c r="N7" s="42">
        <f>M7+0.01</f>
        <v>0.28589999999999999</v>
      </c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8"/>
    </row>
    <row r="8" spans="1:28" x14ac:dyDescent="0.45">
      <c r="A8" s="24" t="s">
        <v>4</v>
      </c>
      <c r="B8" s="122">
        <v>5.6790495997339999E-2</v>
      </c>
      <c r="C8" s="25"/>
      <c r="D8" s="17"/>
      <c r="E8" s="17"/>
      <c r="F8" s="17"/>
      <c r="G8" s="17"/>
      <c r="H8" s="17"/>
      <c r="I8" s="17"/>
      <c r="J8" s="17"/>
      <c r="K8" s="18"/>
      <c r="L8" s="24" t="s">
        <v>4</v>
      </c>
      <c r="M8" s="122">
        <v>5.1796223314661598E-2</v>
      </c>
      <c r="N8" s="122">
        <f>M8</f>
        <v>5.1796223314661598E-2</v>
      </c>
      <c r="O8" s="17" t="s">
        <v>276</v>
      </c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8"/>
    </row>
    <row r="9" spans="1:28" x14ac:dyDescent="0.45">
      <c r="A9" s="24" t="s">
        <v>5</v>
      </c>
      <c r="B9" s="6">
        <f>(DATE(2023,1,17)-DATE(2020,1,17))/365</f>
        <v>3.0027397260273974</v>
      </c>
      <c r="C9" s="25" t="s">
        <v>6</v>
      </c>
      <c r="D9" s="17"/>
      <c r="E9" s="17"/>
      <c r="F9" s="17"/>
      <c r="G9" s="17"/>
      <c r="H9" s="17"/>
      <c r="I9" s="17"/>
      <c r="J9" s="17"/>
      <c r="K9" s="18"/>
      <c r="L9" s="24" t="s">
        <v>243</v>
      </c>
      <c r="M9" s="122">
        <f>'NxCVA Input 236058559'!I32*0.01</f>
        <v>5.9014553875198397E-2</v>
      </c>
      <c r="N9" s="122">
        <f>M9</f>
        <v>5.9014553875198397E-2</v>
      </c>
      <c r="O9" s="17" t="s">
        <v>13</v>
      </c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8"/>
    </row>
    <row r="10" spans="1:28" x14ac:dyDescent="0.45">
      <c r="A10" s="24" t="s">
        <v>14</v>
      </c>
      <c r="B10" s="3">
        <v>500000</v>
      </c>
      <c r="C10" s="25"/>
      <c r="D10" s="17"/>
      <c r="E10" s="17"/>
      <c r="F10" s="17"/>
      <c r="G10" s="17"/>
      <c r="H10" s="17"/>
      <c r="I10" s="17"/>
      <c r="J10" s="17"/>
      <c r="K10" s="18"/>
      <c r="L10" s="24" t="s">
        <v>5</v>
      </c>
      <c r="M10" s="44">
        <f>B9</f>
        <v>3.0027397260273974</v>
      </c>
      <c r="N10" s="44">
        <f>M10</f>
        <v>3.0027397260273974</v>
      </c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8"/>
    </row>
    <row r="11" spans="1:28" x14ac:dyDescent="0.45">
      <c r="A11" s="26" t="s">
        <v>7</v>
      </c>
      <c r="B11" s="4"/>
      <c r="C11" s="27"/>
      <c r="D11" s="17"/>
      <c r="E11" s="17"/>
      <c r="F11" s="17"/>
      <c r="G11" s="17"/>
      <c r="H11" s="17"/>
      <c r="I11" s="17"/>
      <c r="J11" s="17"/>
      <c r="K11" s="18"/>
      <c r="L11" s="24" t="s">
        <v>14</v>
      </c>
      <c r="M11" s="53">
        <f>B10</f>
        <v>500000</v>
      </c>
      <c r="N11" s="53">
        <f>M11</f>
        <v>500000</v>
      </c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8"/>
    </row>
    <row r="12" spans="1:28" x14ac:dyDescent="0.45">
      <c r="A12" s="28"/>
      <c r="B12" s="29"/>
      <c r="C12" s="23"/>
      <c r="D12" s="17"/>
      <c r="E12" s="17"/>
      <c r="F12" s="17"/>
      <c r="G12" s="17"/>
      <c r="H12" s="17"/>
      <c r="I12" s="17"/>
      <c r="J12" s="17"/>
      <c r="K12" s="18"/>
      <c r="L12" s="26" t="s">
        <v>7</v>
      </c>
      <c r="M12" s="4"/>
      <c r="N12" s="4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8"/>
    </row>
    <row r="13" spans="1:28" x14ac:dyDescent="0.45">
      <c r="A13" s="24" t="s">
        <v>8</v>
      </c>
      <c r="B13" s="5">
        <f>(LN((B5/B6)+((B7)^2)/2*B9)) / ((B7)*SQRT(B9))</f>
        <v>0.45621277285290368</v>
      </c>
      <c r="C13" s="25"/>
      <c r="D13" s="17"/>
      <c r="E13" s="17"/>
      <c r="F13" s="17"/>
      <c r="G13" s="17"/>
      <c r="H13" s="17"/>
      <c r="I13" s="17"/>
      <c r="J13" s="17"/>
      <c r="K13" s="18"/>
      <c r="L13" s="24" t="s">
        <v>8</v>
      </c>
      <c r="M13" s="45">
        <f>(LN(M5/M6)+(M9+M7^2/2)*M10)/(M7*SQRT(M10))</f>
        <v>0.48944407412485719</v>
      </c>
      <c r="N13" s="45">
        <f>(LN(N5/N6)+(N9+N7^2/2)*N10)/(N7*SQRT(N10))</f>
        <v>0.48935002404590189</v>
      </c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8"/>
    </row>
    <row r="14" spans="1:28" x14ac:dyDescent="0.45">
      <c r="A14" s="24" t="s">
        <v>9</v>
      </c>
      <c r="B14" s="5">
        <f>B13-B7*SQRT(B9)</f>
        <v>-2.1878201925311036E-2</v>
      </c>
      <c r="C14" s="25"/>
      <c r="D14" s="17"/>
      <c r="E14" s="17"/>
      <c r="F14" s="17"/>
      <c r="G14" s="17"/>
      <c r="H14" s="17"/>
      <c r="I14" s="17"/>
      <c r="J14" s="17"/>
      <c r="K14" s="18"/>
      <c r="L14" s="24" t="s">
        <v>9</v>
      </c>
      <c r="M14" s="45">
        <f>M13-M7*SQRT(M10)</f>
        <v>1.135309934664247E-2</v>
      </c>
      <c r="N14" s="45">
        <f>N13-N7*SQRT(N10)</f>
        <v>-6.0693659109360976E-3</v>
      </c>
      <c r="O14" s="17"/>
      <c r="P14" s="140" t="s">
        <v>337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8"/>
    </row>
    <row r="15" spans="1:28" x14ac:dyDescent="0.45">
      <c r="A15" s="24" t="s">
        <v>10</v>
      </c>
      <c r="B15" s="5">
        <f>NORMSDIST(B13)</f>
        <v>0.6758815093152436</v>
      </c>
      <c r="C15" s="25"/>
      <c r="D15" s="17"/>
      <c r="E15" s="17"/>
      <c r="F15" s="17"/>
      <c r="G15" s="17"/>
      <c r="H15" s="17"/>
      <c r="I15" s="17"/>
      <c r="J15" s="17"/>
      <c r="K15" s="18"/>
      <c r="L15" s="24" t="s">
        <v>10</v>
      </c>
      <c r="M15" s="45">
        <f>NORMSDIST(M13)</f>
        <v>0.68773633034859505</v>
      </c>
      <c r="N15" s="45">
        <f>NORMSDIST(N13)</f>
        <v>0.68770304444053831</v>
      </c>
      <c r="P15" s="202"/>
      <c r="Q15" s="17"/>
      <c r="R15" s="17"/>
      <c r="S15" s="8"/>
      <c r="T15" s="8"/>
      <c r="U15" s="8"/>
      <c r="V15" s="17"/>
      <c r="W15" s="17"/>
      <c r="X15" s="17"/>
      <c r="Y15" s="17"/>
      <c r="Z15" s="17"/>
      <c r="AA15" s="17"/>
      <c r="AB15" s="18"/>
    </row>
    <row r="16" spans="1:28" x14ac:dyDescent="0.45">
      <c r="A16" s="24" t="s">
        <v>11</v>
      </c>
      <c r="B16" s="5">
        <f>NORMSDIST(B14)</f>
        <v>0.49127255647851337</v>
      </c>
      <c r="C16" s="25"/>
      <c r="D16" s="17"/>
      <c r="E16" s="17"/>
      <c r="F16" s="17"/>
      <c r="G16" s="17"/>
      <c r="H16" s="17"/>
      <c r="I16" s="17"/>
      <c r="J16" s="17"/>
      <c r="K16" s="18"/>
      <c r="L16" s="24" t="s">
        <v>11</v>
      </c>
      <c r="M16" s="45">
        <f>NORMSDIST(M14)</f>
        <v>0.50452913404725419</v>
      </c>
      <c r="N16" s="45">
        <f>NORMSDIST(N14)</f>
        <v>0.49757868818863515</v>
      </c>
      <c r="P16" s="17"/>
      <c r="Q16" s="17"/>
      <c r="R16" s="17"/>
      <c r="S16" s="8"/>
      <c r="T16" s="8"/>
      <c r="U16" s="8"/>
      <c r="V16" s="17"/>
      <c r="W16" s="17"/>
      <c r="X16" s="17"/>
      <c r="Y16" s="17"/>
      <c r="Z16" s="17"/>
      <c r="AA16" s="17"/>
      <c r="AB16" s="18"/>
    </row>
    <row r="17" spans="1:28" x14ac:dyDescent="0.45">
      <c r="A17" s="28" t="s">
        <v>12</v>
      </c>
      <c r="B17" s="30">
        <f>EXP(-B8*B9)*(B5*B15-B6*B16)*B10</f>
        <v>27532319.524332181</v>
      </c>
      <c r="C17" s="163"/>
      <c r="D17" s="17"/>
      <c r="E17" s="17"/>
      <c r="F17" s="17"/>
      <c r="G17" s="17"/>
      <c r="H17" s="17"/>
      <c r="I17" s="17"/>
      <c r="J17" s="54"/>
      <c r="K17" s="17"/>
      <c r="L17" s="28" t="s">
        <v>12</v>
      </c>
      <c r="M17" s="204">
        <f>EXP(-M8*M10)*(M5*EXP(M9*M10)*M15-M6*M16)*M11</f>
        <v>27801863.7166568</v>
      </c>
      <c r="N17" s="204">
        <f>EXP(-N8*N10)*(N5*EXP(N9*N10)*N15-N6*N16)*N11</f>
        <v>28511927.131154008</v>
      </c>
      <c r="Q17" s="17"/>
      <c r="R17" s="17"/>
      <c r="S17" s="8"/>
      <c r="T17" s="8"/>
      <c r="U17" s="8"/>
      <c r="V17" s="17"/>
      <c r="W17" s="17"/>
      <c r="X17" s="17"/>
      <c r="Y17" s="17"/>
      <c r="Z17" s="17"/>
      <c r="AA17" s="17"/>
      <c r="AB17" s="18"/>
    </row>
    <row r="18" spans="1:28" x14ac:dyDescent="0.45">
      <c r="A18" s="155" t="s">
        <v>85</v>
      </c>
      <c r="B18" s="39">
        <f>B17/M23</f>
        <v>447798.31295801216</v>
      </c>
      <c r="C18" s="157"/>
      <c r="D18" s="17"/>
      <c r="E18" s="17"/>
      <c r="F18" s="17"/>
      <c r="G18" s="17"/>
      <c r="H18" s="17"/>
      <c r="I18" s="17"/>
      <c r="K18" s="18"/>
      <c r="L18" s="167" t="s">
        <v>85</v>
      </c>
      <c r="M18" s="154">
        <f>M17/$M$23</f>
        <v>452182.30372507859</v>
      </c>
      <c r="N18" s="154">
        <f>N17/$M$23</f>
        <v>463731.10181395907</v>
      </c>
      <c r="P18" s="17"/>
      <c r="Q18" s="17"/>
      <c r="R18" s="17"/>
      <c r="S18" s="8"/>
      <c r="T18" s="8"/>
      <c r="U18" s="8"/>
      <c r="V18" s="17"/>
      <c r="W18" s="17"/>
      <c r="X18" s="17"/>
      <c r="Y18" s="17"/>
      <c r="Z18" s="17"/>
      <c r="AA18" s="17"/>
      <c r="AB18" s="18"/>
    </row>
    <row r="19" spans="1:28" x14ac:dyDescent="0.45">
      <c r="A19" s="31"/>
      <c r="B19" s="17"/>
      <c r="C19" s="17"/>
      <c r="D19" s="17"/>
      <c r="E19" s="17"/>
      <c r="F19" s="17"/>
      <c r="G19" s="17"/>
      <c r="H19" s="17"/>
      <c r="I19" s="17"/>
      <c r="J19" s="17"/>
      <c r="K19" s="220"/>
      <c r="O19" s="17"/>
      <c r="P19" s="17"/>
      <c r="Q19" s="17"/>
      <c r="R19" s="17"/>
      <c r="S19" s="8"/>
      <c r="T19" s="8"/>
      <c r="U19" s="8"/>
      <c r="V19" s="17"/>
      <c r="W19" s="17"/>
      <c r="X19" s="17"/>
      <c r="Y19" s="17"/>
      <c r="Z19" s="17"/>
      <c r="AA19" s="17"/>
      <c r="AB19" s="18"/>
    </row>
    <row r="20" spans="1:28" x14ac:dyDescent="0.45">
      <c r="A20" s="31"/>
      <c r="B20" s="17"/>
      <c r="C20" s="17"/>
      <c r="D20" s="17"/>
      <c r="E20" s="17"/>
      <c r="F20" s="17"/>
      <c r="G20" s="17"/>
      <c r="H20" s="17"/>
      <c r="I20" s="17"/>
      <c r="J20" s="17"/>
      <c r="K20" s="18"/>
      <c r="L20" s="193" t="s">
        <v>236</v>
      </c>
      <c r="M20" s="194">
        <f>((EXP(-M8*M10)*EXP(M9*M10)*M15)*M11)/M23*M24</f>
        <v>1462021.9213689535</v>
      </c>
      <c r="N20" s="194"/>
      <c r="O20" s="203" t="s">
        <v>235</v>
      </c>
      <c r="P20" s="17"/>
      <c r="Q20" s="17"/>
      <c r="R20" s="17"/>
      <c r="S20" s="8"/>
      <c r="T20" s="8"/>
      <c r="U20" s="8"/>
      <c r="V20" s="17"/>
      <c r="W20" s="17"/>
      <c r="X20" s="17"/>
      <c r="Y20" s="17"/>
      <c r="Z20" s="17"/>
      <c r="AA20" s="17"/>
      <c r="AB20" s="18"/>
    </row>
    <row r="21" spans="1:28" x14ac:dyDescent="0.45">
      <c r="A21" s="31"/>
      <c r="B21" s="50"/>
      <c r="C21" s="17"/>
      <c r="D21" s="17"/>
      <c r="E21" s="17"/>
      <c r="F21" s="17"/>
      <c r="G21" s="17"/>
      <c r="H21" s="17"/>
      <c r="I21" s="17"/>
      <c r="J21" s="17"/>
      <c r="K21" s="18"/>
      <c r="L21" s="193" t="s">
        <v>234</v>
      </c>
      <c r="M21" s="194">
        <f>EXP(-M8*M10)*M26*SQRT(M10)*_xlfn.NORM.DIST(M13,0,1,FALSE)*M11*0.01/M23</f>
        <v>11548.238603084081</v>
      </c>
      <c r="N21" s="194">
        <f>(N18-M18)</f>
        <v>11548.798088880489</v>
      </c>
      <c r="O21" s="17"/>
      <c r="P21" s="17"/>
      <c r="Q21" s="17"/>
      <c r="R21" s="17"/>
      <c r="S21" s="8"/>
      <c r="T21" s="8"/>
      <c r="U21" s="8"/>
      <c r="V21" s="17"/>
      <c r="W21" s="17"/>
      <c r="X21" s="17"/>
      <c r="Y21" s="17"/>
      <c r="Z21" s="17"/>
      <c r="AA21" s="17"/>
      <c r="AB21" s="18"/>
    </row>
    <row r="22" spans="1:28" x14ac:dyDescent="0.45">
      <c r="A22" s="31"/>
      <c r="B22" s="50"/>
      <c r="C22" s="17"/>
      <c r="D22" s="17"/>
      <c r="E22" s="17"/>
      <c r="F22" s="17"/>
      <c r="G22" s="17"/>
      <c r="H22" s="17"/>
      <c r="I22" s="17"/>
      <c r="J22" s="17"/>
      <c r="K22" s="18"/>
      <c r="O22" s="17"/>
      <c r="P22" s="17"/>
      <c r="Q22" s="17"/>
      <c r="R22" s="17"/>
      <c r="S22" s="8"/>
      <c r="T22" s="8"/>
      <c r="U22" s="8"/>
      <c r="V22" s="202"/>
      <c r="W22" s="17"/>
      <c r="X22" s="17"/>
      <c r="Y22" s="17"/>
      <c r="Z22" s="17"/>
      <c r="AA22" s="17"/>
      <c r="AB22" s="18"/>
    </row>
    <row r="23" spans="1:28" x14ac:dyDescent="0.45">
      <c r="A23" s="31"/>
      <c r="B23" s="50"/>
      <c r="C23" s="17"/>
      <c r="D23" s="17"/>
      <c r="E23" s="17"/>
      <c r="F23" s="17"/>
      <c r="G23" s="17"/>
      <c r="H23" s="17"/>
      <c r="I23" s="17"/>
      <c r="J23" s="17"/>
      <c r="K23" s="18"/>
      <c r="L23" s="38" t="s">
        <v>15</v>
      </c>
      <c r="M23" s="57">
        <v>61.483750000000001</v>
      </c>
      <c r="N23" s="57"/>
      <c r="O23" s="17"/>
      <c r="P23" s="8"/>
      <c r="Q23" s="8"/>
      <c r="R23" s="8"/>
      <c r="S23" s="17"/>
      <c r="T23" s="17"/>
      <c r="U23" s="17"/>
      <c r="V23" s="17"/>
      <c r="W23" s="17"/>
      <c r="X23" s="17"/>
      <c r="Y23" s="17"/>
      <c r="Z23" s="17"/>
      <c r="AA23" s="17"/>
      <c r="AB23" s="18"/>
    </row>
    <row r="24" spans="1:28" x14ac:dyDescent="0.45">
      <c r="A24" s="31"/>
      <c r="B24" s="17"/>
      <c r="C24" s="17"/>
      <c r="D24" s="17"/>
      <c r="E24" s="17"/>
      <c r="F24" s="17"/>
      <c r="G24" s="17"/>
      <c r="H24" s="17"/>
      <c r="I24" s="17"/>
      <c r="J24" s="17"/>
      <c r="K24" s="18"/>
      <c r="L24" s="37" t="s">
        <v>83</v>
      </c>
      <c r="M24" s="8">
        <v>255.80500000000001</v>
      </c>
      <c r="N24" s="8"/>
      <c r="P24" s="8"/>
      <c r="Q24" s="9"/>
      <c r="R24" s="8"/>
      <c r="S24" s="17"/>
      <c r="T24" s="17"/>
      <c r="U24" s="17"/>
      <c r="V24" s="17"/>
      <c r="W24" s="17"/>
      <c r="X24" s="17"/>
      <c r="Y24" s="17"/>
      <c r="Z24" s="17"/>
      <c r="AA24" s="17"/>
      <c r="AB24" s="18"/>
    </row>
    <row r="25" spans="1:28" x14ac:dyDescent="0.45">
      <c r="A25" s="31"/>
      <c r="B25" s="17"/>
      <c r="C25" s="17"/>
      <c r="D25" s="17"/>
      <c r="E25" s="17"/>
      <c r="F25" s="17"/>
      <c r="G25" s="17"/>
      <c r="H25" s="17"/>
      <c r="I25" s="17"/>
      <c r="J25" s="17"/>
      <c r="K25" s="18"/>
      <c r="L25" s="37" t="s">
        <v>84</v>
      </c>
      <c r="M25" s="52">
        <f>SUM('NxCVA Input 236058559'!N11:N13)</f>
        <v>29.213942857916912</v>
      </c>
      <c r="N25" s="52"/>
      <c r="O25" s="17" t="s">
        <v>267</v>
      </c>
      <c r="P25" s="8"/>
      <c r="Q25" s="8"/>
      <c r="R25" s="8"/>
      <c r="S25" s="17"/>
      <c r="T25" s="17"/>
      <c r="U25" s="17"/>
      <c r="V25" s="17"/>
      <c r="W25" s="17"/>
      <c r="X25" s="17"/>
      <c r="Y25" s="17"/>
      <c r="Z25" s="17"/>
      <c r="AA25" s="17"/>
      <c r="AB25" s="18"/>
    </row>
    <row r="26" spans="1:28" x14ac:dyDescent="0.45">
      <c r="A26" s="31"/>
      <c r="B26" s="17"/>
      <c r="C26" s="17"/>
      <c r="D26" s="17"/>
      <c r="E26" s="17"/>
      <c r="F26" s="17"/>
      <c r="G26" s="17"/>
      <c r="H26" s="17"/>
      <c r="I26" s="17"/>
      <c r="J26" s="17"/>
      <c r="K26" s="18"/>
      <c r="L26" s="8" t="s">
        <v>283</v>
      </c>
      <c r="M26" s="50">
        <f>M5*EXP(M9*M10)</f>
        <v>270.52167589034275</v>
      </c>
      <c r="N26" s="17"/>
      <c r="O26" s="17"/>
      <c r="P26" s="8"/>
      <c r="Q26" s="8"/>
      <c r="R26" s="8"/>
      <c r="S26" s="17"/>
      <c r="T26" s="17"/>
      <c r="U26" s="17"/>
      <c r="V26" s="17"/>
      <c r="W26" s="17"/>
      <c r="X26" s="17"/>
      <c r="Y26" s="17"/>
      <c r="Z26" s="17"/>
      <c r="AA26" s="17"/>
      <c r="AB26" s="18"/>
    </row>
    <row r="27" spans="1:28" x14ac:dyDescent="0.45">
      <c r="A27" s="31"/>
      <c r="B27" s="17"/>
      <c r="C27" s="17"/>
      <c r="D27" s="17"/>
      <c r="E27" s="17"/>
      <c r="F27" s="17"/>
      <c r="G27" s="17"/>
      <c r="H27" s="17"/>
      <c r="I27" s="17"/>
      <c r="J27" s="17"/>
      <c r="K27" s="18"/>
      <c r="L27" s="31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8"/>
    </row>
    <row r="28" spans="1:28" x14ac:dyDescent="0.45">
      <c r="A28" s="31"/>
      <c r="B28" s="17"/>
      <c r="C28" s="17"/>
      <c r="D28" s="17"/>
      <c r="E28" s="17"/>
      <c r="F28" s="17"/>
      <c r="G28" s="17"/>
      <c r="H28" s="17"/>
      <c r="I28" s="17"/>
      <c r="J28" s="17"/>
      <c r="K28" s="18"/>
      <c r="L28" s="31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8"/>
    </row>
    <row r="29" spans="1:28" x14ac:dyDescent="0.45">
      <c r="A29" s="31"/>
      <c r="B29" s="17"/>
      <c r="C29" s="17"/>
      <c r="D29" s="17"/>
      <c r="E29" s="17"/>
      <c r="F29" s="17"/>
      <c r="G29" s="17"/>
      <c r="H29" s="17"/>
      <c r="I29" s="17"/>
      <c r="J29" s="17"/>
      <c r="K29" s="18"/>
      <c r="L29" s="31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8"/>
    </row>
    <row r="30" spans="1:28" x14ac:dyDescent="0.45">
      <c r="A30" s="31"/>
      <c r="B30" s="17"/>
      <c r="C30" s="17"/>
      <c r="D30" s="17"/>
      <c r="E30" s="17"/>
      <c r="F30" s="17"/>
      <c r="G30" s="17"/>
      <c r="H30" s="17"/>
      <c r="I30" s="17"/>
      <c r="J30" s="17"/>
      <c r="K30" s="18"/>
      <c r="L30" s="31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8"/>
    </row>
    <row r="31" spans="1:28" x14ac:dyDescent="0.45">
      <c r="A31" s="31"/>
      <c r="B31" s="17"/>
      <c r="C31" s="17"/>
      <c r="D31" s="17"/>
      <c r="E31" s="17"/>
      <c r="F31" s="17"/>
      <c r="G31" s="17"/>
      <c r="H31" s="17"/>
      <c r="I31" s="17"/>
      <c r="J31" s="17"/>
      <c r="K31" s="18"/>
      <c r="L31" s="31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8"/>
    </row>
    <row r="32" spans="1:28" x14ac:dyDescent="0.45">
      <c r="A32" s="31"/>
      <c r="B32" s="17"/>
      <c r="C32" s="17"/>
      <c r="D32" s="17"/>
      <c r="E32" s="17"/>
      <c r="F32" s="17"/>
      <c r="G32" s="17"/>
      <c r="H32" s="17"/>
      <c r="I32" s="17"/>
      <c r="J32" s="17"/>
      <c r="K32" s="18"/>
      <c r="L32" s="31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8"/>
    </row>
    <row r="33" spans="1:28" x14ac:dyDescent="0.45">
      <c r="A33" s="17" t="s">
        <v>226</v>
      </c>
      <c r="B33" s="17"/>
      <c r="C33" s="17"/>
      <c r="D33" s="17"/>
      <c r="E33" s="17"/>
      <c r="F33" s="17"/>
      <c r="G33" s="17"/>
      <c r="H33" s="17"/>
      <c r="I33" s="17"/>
      <c r="J33" s="17"/>
      <c r="K33" s="18"/>
      <c r="L33" s="31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8"/>
    </row>
    <row r="34" spans="1:28" x14ac:dyDescent="0.45">
      <c r="A34" s="31"/>
      <c r="B34" s="17"/>
      <c r="C34" s="17"/>
      <c r="D34" s="17"/>
      <c r="E34" s="17"/>
      <c r="F34" s="17"/>
      <c r="G34" s="17"/>
      <c r="H34" s="17"/>
      <c r="I34" s="17"/>
      <c r="J34" s="17"/>
      <c r="K34" s="18"/>
      <c r="L34" s="31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8"/>
    </row>
    <row r="35" spans="1:28" x14ac:dyDescent="0.45">
      <c r="A35" s="31"/>
      <c r="B35" s="17"/>
      <c r="C35" s="17"/>
      <c r="D35" s="17"/>
      <c r="E35" s="17"/>
      <c r="F35" s="17"/>
      <c r="G35" s="17"/>
      <c r="H35" s="17"/>
      <c r="I35" s="17"/>
      <c r="J35" s="17"/>
      <c r="K35" s="18"/>
      <c r="L35" s="31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8"/>
    </row>
    <row r="36" spans="1:28" x14ac:dyDescent="0.45">
      <c r="A36" s="31"/>
      <c r="B36" s="17"/>
      <c r="C36" s="17"/>
      <c r="D36" s="17"/>
      <c r="E36" s="17"/>
      <c r="F36" s="17"/>
      <c r="G36" s="17"/>
      <c r="H36" s="17"/>
      <c r="I36" s="17"/>
      <c r="J36" s="17"/>
      <c r="K36" s="18"/>
      <c r="L36" s="31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8"/>
    </row>
    <row r="37" spans="1:28" x14ac:dyDescent="0.45">
      <c r="A37" s="31"/>
      <c r="B37" s="17"/>
      <c r="C37" s="17"/>
      <c r="D37" s="17"/>
      <c r="E37" s="17"/>
      <c r="F37" s="17"/>
      <c r="G37" s="17"/>
      <c r="H37" s="17"/>
      <c r="I37" s="17"/>
      <c r="J37" s="17"/>
      <c r="K37" s="18"/>
      <c r="L37" s="31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8"/>
    </row>
    <row r="38" spans="1:28" x14ac:dyDescent="0.45">
      <c r="A38" s="31"/>
      <c r="B38" s="17"/>
      <c r="C38" s="17"/>
      <c r="D38" s="17"/>
      <c r="E38" s="17"/>
      <c r="F38" s="17"/>
      <c r="G38" s="17"/>
      <c r="H38" s="17"/>
      <c r="I38" s="17"/>
      <c r="J38" s="17"/>
      <c r="K38" s="18"/>
      <c r="L38" s="31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8"/>
    </row>
    <row r="39" spans="1:28" x14ac:dyDescent="0.45">
      <c r="A39" s="31"/>
      <c r="B39" s="17"/>
      <c r="C39" s="17"/>
      <c r="D39" s="17"/>
      <c r="E39" s="17"/>
      <c r="F39" s="17"/>
      <c r="G39" s="17"/>
      <c r="H39" s="17"/>
      <c r="I39" s="17"/>
      <c r="J39" s="17"/>
      <c r="K39" s="18"/>
      <c r="L39" s="31"/>
      <c r="M39" s="17"/>
      <c r="N39" s="17"/>
      <c r="O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8"/>
    </row>
    <row r="40" spans="1:28" x14ac:dyDescent="0.45">
      <c r="A40" s="31"/>
      <c r="B40" s="17"/>
      <c r="C40" s="17"/>
      <c r="D40" s="17"/>
      <c r="E40" s="17"/>
      <c r="F40" s="17"/>
      <c r="G40" s="17"/>
      <c r="H40" s="17"/>
      <c r="I40" s="17"/>
      <c r="J40" s="17"/>
      <c r="K40" s="18"/>
      <c r="L40" s="31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8"/>
    </row>
    <row r="41" spans="1:28" x14ac:dyDescent="0.45">
      <c r="A41" s="31"/>
      <c r="B41" s="17"/>
      <c r="C41" s="17"/>
      <c r="D41" s="17"/>
      <c r="E41" s="17"/>
      <c r="F41" s="17"/>
      <c r="G41" s="17"/>
      <c r="H41" s="17"/>
      <c r="I41" s="17"/>
      <c r="J41" s="17"/>
      <c r="K41" s="18"/>
      <c r="L41" s="31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8"/>
    </row>
    <row r="42" spans="1:28" x14ac:dyDescent="0.45">
      <c r="A42" s="31"/>
      <c r="B42" s="17"/>
      <c r="C42" s="17"/>
      <c r="D42" s="17"/>
      <c r="E42" s="17"/>
      <c r="F42" s="17"/>
      <c r="G42" s="17"/>
      <c r="H42" s="17"/>
      <c r="I42" s="17"/>
      <c r="J42" s="17"/>
      <c r="K42" s="18"/>
      <c r="L42" s="31"/>
      <c r="M42" s="17"/>
      <c r="N42" s="17"/>
      <c r="O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8"/>
    </row>
    <row r="43" spans="1:28" x14ac:dyDescent="0.45">
      <c r="A43" s="31"/>
      <c r="B43" s="17"/>
      <c r="C43" s="17"/>
      <c r="D43" s="17"/>
      <c r="E43" s="17"/>
      <c r="F43" s="17"/>
      <c r="G43" s="17"/>
      <c r="H43" s="17"/>
      <c r="I43" s="17"/>
      <c r="J43" s="17"/>
      <c r="K43" s="18"/>
      <c r="L43" s="31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8"/>
    </row>
    <row r="44" spans="1:28" x14ac:dyDescent="0.45">
      <c r="A44" s="31"/>
      <c r="B44" s="17"/>
      <c r="C44" s="17"/>
      <c r="D44" s="17"/>
      <c r="E44" s="17"/>
      <c r="F44" s="17"/>
      <c r="G44" s="17"/>
      <c r="H44" s="17"/>
      <c r="I44" s="17"/>
      <c r="J44" s="17"/>
      <c r="K44" s="18"/>
      <c r="L44" s="31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8"/>
    </row>
    <row r="45" spans="1:28" ht="14.65" thickBot="1" x14ac:dyDescent="0.5">
      <c r="A45" s="32"/>
      <c r="B45" s="33"/>
      <c r="C45" s="33"/>
      <c r="D45" s="33"/>
      <c r="E45" s="33"/>
      <c r="F45" s="33"/>
      <c r="G45" s="33"/>
      <c r="H45" s="33"/>
      <c r="I45" s="33"/>
      <c r="J45" s="33"/>
      <c r="K45" s="34"/>
      <c r="L45" s="32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4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48"/>
  <sheetViews>
    <sheetView zoomScale="70" zoomScaleNormal="70" workbookViewId="0">
      <selection activeCell="L41" sqref="L41"/>
    </sheetView>
  </sheetViews>
  <sheetFormatPr defaultRowHeight="14.25" x14ac:dyDescent="0.45"/>
  <cols>
    <col min="1" max="1" width="29" bestFit="1" customWidth="1"/>
    <col min="2" max="2" width="13.1328125" bestFit="1" customWidth="1"/>
    <col min="3" max="3" width="3.59765625" bestFit="1" customWidth="1"/>
    <col min="10" max="10" width="9.1328125" customWidth="1"/>
    <col min="11" max="11" width="16.265625" customWidth="1"/>
    <col min="12" max="12" width="27.86328125" customWidth="1"/>
    <col min="13" max="13" width="19.86328125" bestFit="1" customWidth="1"/>
    <col min="14" max="14" width="9.3984375" bestFit="1" customWidth="1"/>
    <col min="15" max="16" width="15.86328125" bestFit="1" customWidth="1"/>
  </cols>
  <sheetData>
    <row r="1" spans="1:27" s="10" customFormat="1" ht="23.65" thickBot="1" x14ac:dyDescent="0.75">
      <c r="A1" s="10" t="s">
        <v>100</v>
      </c>
      <c r="L1" s="10" t="s">
        <v>81</v>
      </c>
    </row>
    <row r="2" spans="1:27" x14ac:dyDescent="0.45">
      <c r="A2" s="11"/>
      <c r="B2" s="12"/>
      <c r="C2" s="12"/>
      <c r="D2" s="12"/>
      <c r="E2" s="12"/>
      <c r="F2" s="12"/>
      <c r="G2" s="12"/>
      <c r="H2" s="12"/>
      <c r="I2" s="12"/>
      <c r="J2" s="12"/>
      <c r="K2" s="176"/>
      <c r="L2" s="12"/>
      <c r="M2" s="36" t="s">
        <v>82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3"/>
    </row>
    <row r="3" spans="1:27" x14ac:dyDescent="0.45">
      <c r="A3" s="14" t="s">
        <v>79</v>
      </c>
      <c r="B3" s="15" t="s">
        <v>13</v>
      </c>
      <c r="C3" s="16"/>
      <c r="D3" s="17"/>
      <c r="E3" s="17"/>
      <c r="F3" s="17"/>
      <c r="G3" s="17"/>
      <c r="H3" s="17"/>
      <c r="I3" s="17"/>
      <c r="J3" s="17"/>
      <c r="K3" s="161"/>
      <c r="L3" s="168" t="s">
        <v>80</v>
      </c>
      <c r="M3" s="35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8"/>
    </row>
    <row r="4" spans="1:27" x14ac:dyDescent="0.45">
      <c r="A4" s="19" t="s">
        <v>0</v>
      </c>
      <c r="B4" s="20"/>
      <c r="C4" s="21"/>
      <c r="D4" s="17"/>
      <c r="E4" s="17"/>
      <c r="F4" s="17"/>
      <c r="G4" s="17"/>
      <c r="H4" s="17"/>
      <c r="I4" s="17"/>
      <c r="J4" s="17"/>
      <c r="K4" s="161"/>
      <c r="L4" s="169" t="s">
        <v>0</v>
      </c>
      <c r="M4" s="4" t="s">
        <v>83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8"/>
    </row>
    <row r="5" spans="1:27" x14ac:dyDescent="0.45">
      <c r="A5" s="49" t="s">
        <v>1</v>
      </c>
      <c r="B5" s="177">
        <v>270.99901</v>
      </c>
      <c r="C5" s="23"/>
      <c r="D5" s="17"/>
      <c r="E5" s="17"/>
      <c r="F5" s="17"/>
      <c r="G5" s="17"/>
      <c r="H5" s="17"/>
      <c r="I5" s="17"/>
      <c r="J5" s="17"/>
      <c r="K5" s="161"/>
      <c r="L5" s="170" t="s">
        <v>174</v>
      </c>
      <c r="M5" s="48">
        <f>M28-M29</f>
        <v>226.59105714208309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8"/>
    </row>
    <row r="6" spans="1:27" x14ac:dyDescent="0.45">
      <c r="A6" s="24" t="s">
        <v>2</v>
      </c>
      <c r="B6" s="1">
        <v>240</v>
      </c>
      <c r="C6" s="25"/>
      <c r="D6" s="17"/>
      <c r="E6" s="17"/>
      <c r="F6" s="17"/>
      <c r="G6" s="17"/>
      <c r="H6" s="17"/>
      <c r="I6" s="17"/>
      <c r="J6" s="17"/>
      <c r="K6" s="161"/>
      <c r="L6" s="171" t="s">
        <v>2</v>
      </c>
      <c r="M6" s="41">
        <f>B6</f>
        <v>240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8"/>
    </row>
    <row r="7" spans="1:27" x14ac:dyDescent="0.45">
      <c r="A7" s="24" t="s">
        <v>3</v>
      </c>
      <c r="B7" s="2">
        <v>0.27589999999999998</v>
      </c>
      <c r="C7" s="25"/>
      <c r="D7" s="17"/>
      <c r="E7" s="17"/>
      <c r="F7" s="17"/>
      <c r="G7" s="17"/>
      <c r="H7" s="17"/>
      <c r="I7" s="17"/>
      <c r="J7" s="17"/>
      <c r="K7" s="161"/>
      <c r="L7" s="172" t="s">
        <v>3</v>
      </c>
      <c r="M7" s="42">
        <f>B7</f>
        <v>0.27589999999999998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8"/>
    </row>
    <row r="8" spans="1:27" x14ac:dyDescent="0.45">
      <c r="A8" s="24" t="s">
        <v>4</v>
      </c>
      <c r="B8" s="122">
        <v>5.6790495997339999E-2</v>
      </c>
      <c r="C8" s="25"/>
      <c r="D8" s="17"/>
      <c r="E8" s="17"/>
      <c r="F8" s="17"/>
      <c r="G8" s="17"/>
      <c r="H8" s="17"/>
      <c r="I8" s="17"/>
      <c r="J8" s="17"/>
      <c r="K8" s="161"/>
      <c r="L8" s="24" t="s">
        <v>4</v>
      </c>
      <c r="M8" s="122">
        <v>5.1796223314661598E-2</v>
      </c>
      <c r="N8" s="17" t="s">
        <v>276</v>
      </c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8"/>
    </row>
    <row r="9" spans="1:27" x14ac:dyDescent="0.45">
      <c r="A9" s="24" t="s">
        <v>5</v>
      </c>
      <c r="B9" s="6">
        <f>(DATE(2023,1,17)-DATE(2020,1,17))/365</f>
        <v>3.0027397260273974</v>
      </c>
      <c r="C9" s="25" t="s">
        <v>6</v>
      </c>
      <c r="D9" s="17"/>
      <c r="E9" s="17"/>
      <c r="F9" s="17"/>
      <c r="G9" s="17"/>
      <c r="H9" s="17"/>
      <c r="I9" s="17"/>
      <c r="J9" s="17"/>
      <c r="K9" s="161"/>
      <c r="L9" s="24" t="s">
        <v>243</v>
      </c>
      <c r="M9" s="122">
        <f>'NxCVA Input 236058559'!I32*0.01</f>
        <v>5.9014553875198397E-2</v>
      </c>
      <c r="N9" s="17" t="s">
        <v>13</v>
      </c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/>
    </row>
    <row r="10" spans="1:27" x14ac:dyDescent="0.45">
      <c r="A10" s="24" t="s">
        <v>14</v>
      </c>
      <c r="B10" s="3">
        <v>500000</v>
      </c>
      <c r="C10" s="25"/>
      <c r="D10" s="17"/>
      <c r="E10" s="17"/>
      <c r="F10" s="17"/>
      <c r="G10" s="17"/>
      <c r="H10" s="17"/>
      <c r="I10" s="17"/>
      <c r="J10" s="17"/>
      <c r="K10" s="161"/>
      <c r="L10" s="172" t="s">
        <v>5</v>
      </c>
      <c r="M10" s="44">
        <f>B9</f>
        <v>3.0027397260273974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8"/>
    </row>
    <row r="11" spans="1:27" x14ac:dyDescent="0.45">
      <c r="A11" s="26" t="s">
        <v>7</v>
      </c>
      <c r="B11" s="4"/>
      <c r="C11" s="27"/>
      <c r="D11" s="17"/>
      <c r="E11" s="17"/>
      <c r="F11" s="17"/>
      <c r="G11" s="17"/>
      <c r="H11" s="17"/>
      <c r="I11" s="17"/>
      <c r="J11" s="17"/>
      <c r="K11" s="161"/>
      <c r="L11" s="172" t="s">
        <v>14</v>
      </c>
      <c r="M11" s="53">
        <f>B10</f>
        <v>500000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8"/>
    </row>
    <row r="12" spans="1:27" x14ac:dyDescent="0.45">
      <c r="A12" s="28"/>
      <c r="B12" s="29"/>
      <c r="C12" s="23"/>
      <c r="D12" s="17"/>
      <c r="E12" s="17"/>
      <c r="F12" s="17"/>
      <c r="G12" s="17"/>
      <c r="H12" s="17"/>
      <c r="I12" s="17"/>
      <c r="J12" s="17"/>
      <c r="K12" s="161"/>
      <c r="L12" s="173" t="s">
        <v>7</v>
      </c>
      <c r="M12" s="4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8"/>
    </row>
    <row r="13" spans="1:27" x14ac:dyDescent="0.45">
      <c r="A13" s="24" t="s">
        <v>8</v>
      </c>
      <c r="B13" s="5">
        <f>(LN((B5/B6)+((B7)^2)/2*B9)) / ((B7)*SQRT(B9))</f>
        <v>0.45574629717743986</v>
      </c>
      <c r="C13" s="25"/>
      <c r="D13" s="17"/>
      <c r="E13" s="17"/>
      <c r="F13" s="17"/>
      <c r="G13" s="17"/>
      <c r="H13" s="17"/>
      <c r="I13" s="17"/>
      <c r="J13" s="17"/>
      <c r="K13" s="161"/>
      <c r="L13" s="172" t="s">
        <v>8</v>
      </c>
      <c r="M13" s="45">
        <f>(LN(M5/M6)+(M9+(M7^2)/2)*M10)/(M7*SQRT(M10))</f>
        <v>0.48944407412485719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8"/>
    </row>
    <row r="14" spans="1:27" x14ac:dyDescent="0.45">
      <c r="A14" s="24" t="s">
        <v>9</v>
      </c>
      <c r="B14" s="5">
        <f>B13-B7*SQRT(B9)</f>
        <v>-2.2344677600774854E-2</v>
      </c>
      <c r="C14" s="25"/>
      <c r="D14" s="17"/>
      <c r="E14" s="17"/>
      <c r="F14" s="17"/>
      <c r="G14" s="17"/>
      <c r="H14" s="17"/>
      <c r="I14" s="17"/>
      <c r="J14" s="17"/>
      <c r="K14" s="161"/>
      <c r="L14" s="172" t="s">
        <v>9</v>
      </c>
      <c r="M14" s="45">
        <f>M13-M7*SQRT(M10)</f>
        <v>1.135309934664247E-2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8"/>
    </row>
    <row r="15" spans="1:27" x14ac:dyDescent="0.45">
      <c r="A15" s="24" t="s">
        <v>10</v>
      </c>
      <c r="B15" s="5">
        <f>NORMSDIST(B13)</f>
        <v>0.67571378717756569</v>
      </c>
      <c r="C15" s="25"/>
      <c r="D15" s="17"/>
      <c r="E15" s="17"/>
      <c r="F15" s="17"/>
      <c r="G15" s="17"/>
      <c r="H15" s="17"/>
      <c r="I15" s="17"/>
      <c r="J15" s="17"/>
      <c r="K15" s="161"/>
      <c r="L15" s="172" t="s">
        <v>10</v>
      </c>
      <c r="M15" s="45">
        <f>NORMSDIST(M13)</f>
        <v>0.68773633034859505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8"/>
    </row>
    <row r="16" spans="1:27" x14ac:dyDescent="0.45">
      <c r="A16" s="24" t="s">
        <v>11</v>
      </c>
      <c r="B16" s="5">
        <f>NORMSDIST(B14)</f>
        <v>0.49108650509776502</v>
      </c>
      <c r="C16" s="25"/>
      <c r="D16" s="17"/>
      <c r="E16" s="17"/>
      <c r="F16" s="17"/>
      <c r="G16" s="17"/>
      <c r="H16" s="17"/>
      <c r="I16" s="17"/>
      <c r="J16" s="17"/>
      <c r="K16" s="161"/>
      <c r="L16" s="172" t="s">
        <v>11</v>
      </c>
      <c r="M16" s="45">
        <f>NORMSDIST(M14)</f>
        <v>0.50452913404725419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8"/>
    </row>
    <row r="17" spans="1:27" x14ac:dyDescent="0.45">
      <c r="A17" s="24" t="s">
        <v>102</v>
      </c>
      <c r="B17" s="5">
        <f>NORMSDIST(-B13)</f>
        <v>0.32428621282243431</v>
      </c>
      <c r="C17" s="25"/>
      <c r="D17" s="17"/>
      <c r="E17" s="17"/>
      <c r="F17" s="17"/>
      <c r="G17" s="17"/>
      <c r="H17" s="17"/>
      <c r="I17" s="17"/>
      <c r="J17" s="54"/>
      <c r="K17" s="161"/>
      <c r="L17" s="172" t="s">
        <v>102</v>
      </c>
      <c r="M17" s="45">
        <f>NORMSDIST(-M13)</f>
        <v>0.31226366965140495</v>
      </c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8"/>
    </row>
    <row r="18" spans="1:27" x14ac:dyDescent="0.45">
      <c r="A18" s="24" t="s">
        <v>103</v>
      </c>
      <c r="B18" s="5">
        <f>NORMSDIST(-B14)</f>
        <v>0.50891349490223492</v>
      </c>
      <c r="C18" s="25"/>
      <c r="D18" s="17"/>
      <c r="E18" s="17"/>
      <c r="F18" s="17"/>
      <c r="G18" s="17"/>
      <c r="H18" s="17"/>
      <c r="I18" s="17"/>
      <c r="K18" s="161"/>
      <c r="L18" s="172" t="s">
        <v>103</v>
      </c>
      <c r="M18" s="45">
        <f>NORMSDIST(-M14)</f>
        <v>0.49547086595274581</v>
      </c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8"/>
    </row>
    <row r="19" spans="1:27" x14ac:dyDescent="0.45">
      <c r="A19" s="28" t="s">
        <v>12</v>
      </c>
      <c r="B19" s="30">
        <f>EXP(-B8*B9)*(B5*B15-B6*B16)*B10</f>
        <v>27513014.722529702</v>
      </c>
      <c r="C19" s="23"/>
      <c r="D19" s="17"/>
      <c r="E19" s="17"/>
      <c r="F19" s="17"/>
      <c r="G19" s="17"/>
      <c r="H19" s="17"/>
      <c r="I19" s="17"/>
      <c r="J19" s="17"/>
      <c r="K19" s="161"/>
      <c r="L19" s="108" t="s">
        <v>12</v>
      </c>
      <c r="M19" s="222">
        <f>EXP(-M8*M10)*(M5*EXP(M9*M10)*M15-M6*M16)*M11</f>
        <v>27801863.7166568</v>
      </c>
      <c r="N19" s="17"/>
      <c r="O19" s="17"/>
      <c r="P19" s="140" t="s">
        <v>337</v>
      </c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8"/>
    </row>
    <row r="20" spans="1:27" x14ac:dyDescent="0.45">
      <c r="A20" s="98" t="s">
        <v>101</v>
      </c>
      <c r="B20" s="47">
        <f>EXP(-B8*B9)*(B6*B18-B5*B17)*B10</f>
        <v>14443518.144358894</v>
      </c>
      <c r="C20" s="156"/>
      <c r="D20" s="17"/>
      <c r="E20" s="17"/>
      <c r="F20" s="17"/>
      <c r="G20" s="17"/>
      <c r="H20" s="17"/>
      <c r="I20" s="17"/>
      <c r="J20" s="17"/>
      <c r="K20" s="161"/>
      <c r="L20" s="98" t="s">
        <v>101</v>
      </c>
      <c r="M20" s="230">
        <f>EXP(-M8*M10)*(M6*M18 - M5*EXP(M9*M10)*M17)*M11</f>
        <v>14739183.081467932</v>
      </c>
      <c r="N20" s="17"/>
      <c r="O20" s="17"/>
      <c r="P20" s="202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8"/>
    </row>
    <row r="21" spans="1:27" x14ac:dyDescent="0.45">
      <c r="A21" s="98" t="s">
        <v>85</v>
      </c>
      <c r="B21" s="39">
        <f>B19/M27</f>
        <v>447484.33077894081</v>
      </c>
      <c r="C21" s="157"/>
      <c r="D21" s="17"/>
      <c r="E21" s="17"/>
      <c r="F21" s="17"/>
      <c r="G21" s="17"/>
      <c r="H21" s="17"/>
      <c r="I21" s="17"/>
      <c r="J21" s="17"/>
      <c r="K21" s="161"/>
      <c r="L21" s="152" t="s">
        <v>104</v>
      </c>
      <c r="M21" s="154">
        <f>M19/$M$27</f>
        <v>452182.30372507859</v>
      </c>
      <c r="O21" s="202"/>
      <c r="P21" s="232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8"/>
    </row>
    <row r="22" spans="1:27" x14ac:dyDescent="0.45">
      <c r="A22" s="98" t="s">
        <v>116</v>
      </c>
      <c r="B22" s="39">
        <f>B20/M27</f>
        <v>234916.02487419674</v>
      </c>
      <c r="C22" s="157"/>
      <c r="D22" s="17"/>
      <c r="E22" s="17"/>
      <c r="F22" s="17"/>
      <c r="G22" s="17"/>
      <c r="H22" s="17"/>
      <c r="I22" s="17"/>
      <c r="J22" s="17"/>
      <c r="K22" s="161"/>
      <c r="L22" s="174" t="s">
        <v>105</v>
      </c>
      <c r="M22" s="154">
        <f>M20/$M$27</f>
        <v>239724.85545315521</v>
      </c>
      <c r="N22" s="17"/>
      <c r="O22" s="8"/>
      <c r="P22" s="8"/>
      <c r="Q22" s="8"/>
      <c r="R22" s="17"/>
      <c r="S22" s="17"/>
      <c r="T22" s="17"/>
      <c r="U22" s="17"/>
      <c r="V22" s="17"/>
      <c r="W22" s="17"/>
      <c r="X22" s="17"/>
      <c r="Y22" s="17"/>
      <c r="Z22" s="17"/>
      <c r="AA22" s="18"/>
    </row>
    <row r="23" spans="1:27" x14ac:dyDescent="0.45">
      <c r="A23" s="31"/>
      <c r="B23" s="50"/>
      <c r="C23" s="17"/>
      <c r="D23" s="17"/>
      <c r="E23" s="17"/>
      <c r="F23" s="17"/>
      <c r="G23" s="17"/>
      <c r="H23" s="17"/>
      <c r="I23" s="17"/>
      <c r="J23" s="17"/>
      <c r="K23" s="221"/>
      <c r="L23" s="17"/>
      <c r="M23" s="17"/>
      <c r="O23" s="8"/>
      <c r="P23" s="9"/>
      <c r="Q23" s="8"/>
      <c r="R23" s="17"/>
      <c r="S23" s="17"/>
      <c r="T23" s="17"/>
      <c r="U23" s="17"/>
      <c r="V23" s="17"/>
      <c r="W23" s="17"/>
      <c r="X23" s="17"/>
      <c r="Y23" s="17"/>
      <c r="Z23" s="17"/>
      <c r="AA23" s="18"/>
    </row>
    <row r="24" spans="1:27" x14ac:dyDescent="0.45">
      <c r="A24" s="31"/>
      <c r="B24" s="50"/>
      <c r="C24" s="17"/>
      <c r="D24" s="17"/>
      <c r="E24" s="17"/>
      <c r="F24" s="17"/>
      <c r="G24" s="17"/>
      <c r="H24" s="17"/>
      <c r="I24" s="17"/>
      <c r="J24" s="17"/>
      <c r="K24" s="161"/>
      <c r="L24" s="193" t="s">
        <v>236</v>
      </c>
      <c r="M24" s="194">
        <f>(-(EXP(-M8*M10)*EXP(M9*M10)*M17)*M11)/M27*M28</f>
        <v>-663824.65216874797</v>
      </c>
      <c r="N24" s="140" t="s">
        <v>235</v>
      </c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8"/>
    </row>
    <row r="25" spans="1:27" x14ac:dyDescent="0.45">
      <c r="A25" s="31"/>
      <c r="B25" s="50"/>
      <c r="C25" s="17"/>
      <c r="D25" s="17"/>
      <c r="E25" s="17"/>
      <c r="F25" s="17"/>
      <c r="G25" s="17"/>
      <c r="H25" s="17"/>
      <c r="I25" s="17"/>
      <c r="J25" s="17"/>
      <c r="K25" s="161"/>
      <c r="L25" s="193" t="s">
        <v>234</v>
      </c>
      <c r="M25" s="194">
        <f>EXP(-M10*M8)*M30*SQRT(M10)*NORMDIST(M13,0,1,0)*M11*0.01/M27</f>
        <v>11548.238603084081</v>
      </c>
      <c r="O25" s="8"/>
      <c r="P25" s="8"/>
      <c r="Q25" s="8"/>
      <c r="R25" s="17"/>
      <c r="S25" s="17"/>
      <c r="T25" s="17"/>
      <c r="U25" s="17"/>
      <c r="V25" s="17"/>
      <c r="W25" s="17"/>
      <c r="X25" s="17"/>
      <c r="Y25" s="17"/>
      <c r="Z25" s="17"/>
      <c r="AA25" s="18"/>
    </row>
    <row r="26" spans="1:27" x14ac:dyDescent="0.45">
      <c r="A26" s="31"/>
      <c r="B26" s="17"/>
      <c r="C26" s="17"/>
      <c r="D26" s="17"/>
      <c r="E26" s="17"/>
      <c r="F26" s="17"/>
      <c r="G26" s="17"/>
      <c r="H26" s="17"/>
      <c r="I26" s="17"/>
      <c r="J26" s="17"/>
      <c r="K26" s="161"/>
      <c r="N26" s="17"/>
      <c r="O26" s="8"/>
      <c r="P26" s="8"/>
      <c r="Q26" s="8"/>
      <c r="R26" s="17"/>
      <c r="S26" s="17"/>
      <c r="T26" s="17"/>
      <c r="U26" s="17"/>
      <c r="V26" s="17"/>
      <c r="W26" s="17"/>
      <c r="X26" s="17"/>
      <c r="Y26" s="17"/>
      <c r="Z26" s="17"/>
      <c r="AA26" s="18"/>
    </row>
    <row r="27" spans="1:27" x14ac:dyDescent="0.45">
      <c r="A27" s="31"/>
      <c r="B27" s="17"/>
      <c r="C27" s="17"/>
      <c r="D27" s="17"/>
      <c r="E27" s="17"/>
      <c r="F27" s="17"/>
      <c r="G27" s="17"/>
      <c r="H27" s="17"/>
      <c r="I27" s="17"/>
      <c r="J27" s="17"/>
      <c r="K27" s="161"/>
      <c r="L27" s="175" t="s">
        <v>15</v>
      </c>
      <c r="M27" s="57">
        <v>61.483750000000001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8"/>
    </row>
    <row r="28" spans="1:27" x14ac:dyDescent="0.45">
      <c r="A28" s="31"/>
      <c r="B28" s="17"/>
      <c r="C28" s="17"/>
      <c r="D28" s="17"/>
      <c r="E28" s="17"/>
      <c r="F28" s="17"/>
      <c r="G28" s="17"/>
      <c r="H28" s="17"/>
      <c r="I28" s="17"/>
      <c r="J28" s="17"/>
      <c r="K28" s="161"/>
      <c r="L28" s="8" t="s">
        <v>83</v>
      </c>
      <c r="M28" s="8">
        <v>255.80500000000001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8"/>
    </row>
    <row r="29" spans="1:27" x14ac:dyDescent="0.45">
      <c r="A29" s="31"/>
      <c r="B29" s="17"/>
      <c r="C29" s="17"/>
      <c r="D29" s="17"/>
      <c r="E29" s="17"/>
      <c r="F29" s="17"/>
      <c r="G29" s="17"/>
      <c r="H29" s="17"/>
      <c r="I29" s="17"/>
      <c r="J29" s="17"/>
      <c r="K29" s="161"/>
      <c r="L29" s="8" t="s">
        <v>84</v>
      </c>
      <c r="M29" s="52">
        <f>SUM('NxCVA Input 236058559'!N11:N13)</f>
        <v>29.213942857916912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8"/>
    </row>
    <row r="30" spans="1:27" x14ac:dyDescent="0.45">
      <c r="A30" s="31"/>
      <c r="B30" s="17"/>
      <c r="C30" s="17"/>
      <c r="D30" s="17"/>
      <c r="E30" s="17"/>
      <c r="F30" s="17"/>
      <c r="G30" s="17"/>
      <c r="H30" s="17"/>
      <c r="I30" s="17"/>
      <c r="J30" s="17"/>
      <c r="K30" s="161"/>
      <c r="L30" s="8" t="s">
        <v>283</v>
      </c>
      <c r="M30" s="17">
        <f>M5*EXP(M10*M9)</f>
        <v>270.52167589034275</v>
      </c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8"/>
    </row>
    <row r="31" spans="1:27" x14ac:dyDescent="0.45">
      <c r="A31" s="31"/>
      <c r="B31" s="17"/>
      <c r="C31" s="17"/>
      <c r="D31" s="17"/>
      <c r="E31" s="17"/>
      <c r="F31" s="17"/>
      <c r="G31" s="17"/>
      <c r="H31" s="17"/>
      <c r="I31" s="17"/>
      <c r="J31" s="17"/>
      <c r="K31" s="161"/>
      <c r="L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8"/>
    </row>
    <row r="32" spans="1:27" x14ac:dyDescent="0.45">
      <c r="A32" s="31"/>
      <c r="B32" s="17"/>
      <c r="C32" s="17"/>
      <c r="D32" s="17"/>
      <c r="E32" s="17"/>
      <c r="F32" s="17"/>
      <c r="G32" s="17"/>
      <c r="H32" s="17"/>
      <c r="I32" s="17"/>
      <c r="J32" s="17"/>
      <c r="K32" s="16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8"/>
    </row>
    <row r="33" spans="1:27" x14ac:dyDescent="0.45">
      <c r="A33" s="31"/>
      <c r="B33" s="17"/>
      <c r="C33" s="17"/>
      <c r="D33" s="17"/>
      <c r="E33" s="17"/>
      <c r="F33" s="17"/>
      <c r="G33" s="17"/>
      <c r="H33" s="17"/>
      <c r="I33" s="17"/>
      <c r="J33" s="17"/>
      <c r="K33" s="16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8"/>
    </row>
    <row r="34" spans="1:27" x14ac:dyDescent="0.45">
      <c r="A34" s="31"/>
      <c r="B34" s="17"/>
      <c r="C34" s="17"/>
      <c r="D34" s="17"/>
      <c r="E34" s="17"/>
      <c r="F34" s="17"/>
      <c r="G34" s="17"/>
      <c r="H34" s="17"/>
      <c r="I34" s="17"/>
      <c r="J34" s="17"/>
      <c r="K34" s="16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8"/>
    </row>
    <row r="35" spans="1:27" x14ac:dyDescent="0.45">
      <c r="A35" s="31"/>
      <c r="B35" s="17"/>
      <c r="C35" s="17"/>
      <c r="D35" s="17"/>
      <c r="E35" s="17"/>
      <c r="F35" s="17"/>
      <c r="G35" s="17"/>
      <c r="H35" s="17"/>
      <c r="I35" s="17"/>
      <c r="J35" s="17"/>
      <c r="K35" s="16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8"/>
    </row>
    <row r="36" spans="1:27" x14ac:dyDescent="0.45">
      <c r="A36" s="31"/>
      <c r="B36" s="17"/>
      <c r="C36" s="17"/>
      <c r="D36" s="17"/>
      <c r="E36" s="17"/>
      <c r="F36" s="17"/>
      <c r="G36" s="17"/>
      <c r="H36" s="17"/>
      <c r="I36" s="17"/>
      <c r="J36" s="17"/>
      <c r="K36" s="16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8"/>
    </row>
    <row r="37" spans="1:27" x14ac:dyDescent="0.45">
      <c r="A37" s="17" t="s">
        <v>226</v>
      </c>
      <c r="B37" s="17"/>
      <c r="C37" s="17"/>
      <c r="D37" s="17"/>
      <c r="E37" s="17"/>
      <c r="F37" s="17"/>
      <c r="G37" s="17"/>
      <c r="H37" s="17"/>
      <c r="I37" s="17"/>
      <c r="J37" s="17"/>
      <c r="K37" s="16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8"/>
    </row>
    <row r="38" spans="1:27" x14ac:dyDescent="0.45">
      <c r="A38" s="31"/>
      <c r="B38" s="17"/>
      <c r="C38" s="17"/>
      <c r="D38" s="17"/>
      <c r="E38" s="17"/>
      <c r="F38" s="17"/>
      <c r="G38" s="17"/>
      <c r="H38" s="17"/>
      <c r="I38" s="17"/>
      <c r="J38" s="17"/>
      <c r="K38" s="16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8"/>
    </row>
    <row r="39" spans="1:27" x14ac:dyDescent="0.45">
      <c r="A39" s="31"/>
      <c r="B39" s="17"/>
      <c r="C39" s="17"/>
      <c r="D39" s="17"/>
      <c r="E39" s="17"/>
      <c r="F39" s="17"/>
      <c r="G39" s="17"/>
      <c r="H39" s="17"/>
      <c r="I39" s="17"/>
      <c r="J39" s="17"/>
      <c r="K39" s="161"/>
      <c r="L39" s="17"/>
      <c r="M39" s="17"/>
      <c r="N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8"/>
    </row>
    <row r="40" spans="1:27" x14ac:dyDescent="0.45">
      <c r="A40" s="31"/>
      <c r="B40" s="17"/>
      <c r="C40" s="17"/>
      <c r="D40" s="17"/>
      <c r="E40" s="17"/>
      <c r="F40" s="17"/>
      <c r="G40" s="17"/>
      <c r="H40" s="17"/>
      <c r="I40" s="17"/>
      <c r="J40" s="17"/>
      <c r="K40" s="16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8"/>
    </row>
    <row r="41" spans="1:27" x14ac:dyDescent="0.45">
      <c r="A41" s="31"/>
      <c r="B41" s="17"/>
      <c r="C41" s="17"/>
      <c r="D41" s="17"/>
      <c r="E41" s="17"/>
      <c r="F41" s="17"/>
      <c r="G41" s="17"/>
      <c r="H41" s="17"/>
      <c r="I41" s="17"/>
      <c r="J41" s="17"/>
      <c r="K41" s="16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8"/>
    </row>
    <row r="42" spans="1:27" s="159" customFormat="1" x14ac:dyDescent="0.45">
      <c r="A42" s="158"/>
      <c r="K42" s="162"/>
      <c r="AA42" s="160"/>
    </row>
    <row r="43" spans="1:27" x14ac:dyDescent="0.45">
      <c r="A43" s="31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8"/>
    </row>
    <row r="44" spans="1:27" s="17" customFormat="1" x14ac:dyDescent="0.45"/>
    <row r="45" spans="1:27" s="17" customFormat="1" x14ac:dyDescent="0.45"/>
    <row r="46" spans="1:27" s="17" customFormat="1" x14ac:dyDescent="0.45"/>
    <row r="47" spans="1:27" s="17" customFormat="1" x14ac:dyDescent="0.45"/>
    <row r="48" spans="1:27" s="17" customFormat="1" x14ac:dyDescent="0.45"/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A54"/>
  <sheetViews>
    <sheetView zoomScale="80" zoomScaleNormal="80" workbookViewId="0">
      <selection activeCell="J30" sqref="J30"/>
    </sheetView>
  </sheetViews>
  <sheetFormatPr defaultRowHeight="14.25" x14ac:dyDescent="0.45"/>
  <cols>
    <col min="1" max="1" width="29" bestFit="1" customWidth="1"/>
    <col min="2" max="2" width="12" bestFit="1" customWidth="1"/>
    <col min="3" max="3" width="3.59765625" bestFit="1" customWidth="1"/>
    <col min="7" max="7" width="13" bestFit="1" customWidth="1"/>
    <col min="10" max="10" width="13" bestFit="1" customWidth="1"/>
    <col min="11" max="11" width="17.86328125" customWidth="1"/>
    <col min="12" max="12" width="29.86328125" customWidth="1"/>
    <col min="13" max="13" width="19.86328125" bestFit="1" customWidth="1"/>
    <col min="14" max="14" width="9.3984375" bestFit="1" customWidth="1"/>
  </cols>
  <sheetData>
    <row r="1" spans="1:27" s="10" customFormat="1" ht="23.65" thickBot="1" x14ac:dyDescent="0.75">
      <c r="A1" s="10" t="s">
        <v>109</v>
      </c>
      <c r="L1" s="10" t="s">
        <v>81</v>
      </c>
    </row>
    <row r="2" spans="1:27" x14ac:dyDescent="0.45">
      <c r="A2" s="11"/>
      <c r="B2" s="12"/>
      <c r="C2" s="12"/>
      <c r="D2" s="12"/>
      <c r="E2" s="12"/>
      <c r="F2" s="12"/>
      <c r="G2" s="12"/>
      <c r="H2" s="12"/>
      <c r="I2" s="12"/>
      <c r="J2" s="12"/>
      <c r="K2" s="13"/>
      <c r="L2" s="11"/>
      <c r="M2" s="36" t="s">
        <v>82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3"/>
    </row>
    <row r="3" spans="1:27" x14ac:dyDescent="0.45">
      <c r="A3" s="14" t="s">
        <v>140</v>
      </c>
      <c r="B3" s="15" t="s">
        <v>13</v>
      </c>
      <c r="C3" s="16"/>
      <c r="D3" s="17"/>
      <c r="E3" s="17"/>
      <c r="F3" s="17"/>
      <c r="G3" s="17"/>
      <c r="H3" s="17"/>
      <c r="I3" s="17"/>
      <c r="J3" s="17"/>
      <c r="K3" s="18"/>
      <c r="L3" s="14" t="s">
        <v>141</v>
      </c>
      <c r="M3" s="35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8"/>
    </row>
    <row r="4" spans="1:27" x14ac:dyDescent="0.45">
      <c r="A4" s="19" t="s">
        <v>0</v>
      </c>
      <c r="B4" s="20"/>
      <c r="C4" s="21"/>
      <c r="D4" s="17"/>
      <c r="E4" s="17"/>
      <c r="F4" s="17"/>
      <c r="G4" s="17"/>
      <c r="H4" s="17"/>
      <c r="I4" s="17"/>
      <c r="J4" s="17"/>
      <c r="K4" s="18"/>
      <c r="L4" s="19" t="s">
        <v>0</v>
      </c>
      <c r="M4" s="4" t="s">
        <v>83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8"/>
    </row>
    <row r="5" spans="1:27" x14ac:dyDescent="0.45">
      <c r="A5" s="49" t="s">
        <v>1</v>
      </c>
      <c r="B5" s="177">
        <v>271.065</v>
      </c>
      <c r="C5" s="23"/>
      <c r="D5" s="17"/>
      <c r="E5" s="17"/>
      <c r="F5" s="17"/>
      <c r="G5" s="17"/>
      <c r="H5" s="17"/>
      <c r="I5" s="17"/>
      <c r="J5" s="17"/>
      <c r="K5" s="18"/>
      <c r="L5" s="118" t="s">
        <v>174</v>
      </c>
      <c r="M5" s="48">
        <f>M26-M27</f>
        <v>226.59105714208309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8"/>
    </row>
    <row r="6" spans="1:27" x14ac:dyDescent="0.45">
      <c r="A6" s="24" t="s">
        <v>139</v>
      </c>
      <c r="B6" s="1">
        <v>200</v>
      </c>
      <c r="C6" s="25"/>
      <c r="D6" s="17"/>
      <c r="E6" s="17"/>
      <c r="F6" s="17"/>
      <c r="G6" s="17"/>
      <c r="H6" s="17"/>
      <c r="I6" s="17"/>
      <c r="J6" s="17"/>
      <c r="K6" s="18"/>
      <c r="L6" s="40" t="s">
        <v>2</v>
      </c>
      <c r="M6" s="41">
        <f>B6</f>
        <v>200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8"/>
    </row>
    <row r="7" spans="1:27" x14ac:dyDescent="0.45">
      <c r="A7" s="24" t="s">
        <v>142</v>
      </c>
      <c r="B7" s="1">
        <f>B6*1.01</f>
        <v>202</v>
      </c>
      <c r="C7" s="25"/>
      <c r="D7" s="17"/>
      <c r="E7" s="17"/>
      <c r="F7" s="17"/>
      <c r="G7" s="17"/>
      <c r="H7" s="17"/>
      <c r="I7" s="17"/>
      <c r="J7" s="17"/>
      <c r="K7" s="18"/>
      <c r="L7" s="24" t="s">
        <v>3</v>
      </c>
      <c r="M7" s="42">
        <f>B8</f>
        <v>0.29699999999999999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8"/>
    </row>
    <row r="8" spans="1:27" x14ac:dyDescent="0.45">
      <c r="A8" s="24" t="s">
        <v>136</v>
      </c>
      <c r="B8" s="42">
        <v>0.29699999999999999</v>
      </c>
      <c r="C8" s="25"/>
      <c r="D8" s="17"/>
      <c r="E8" s="17"/>
      <c r="F8" s="17"/>
      <c r="G8" s="17"/>
      <c r="H8" s="17"/>
      <c r="I8" s="17"/>
      <c r="J8" s="17"/>
      <c r="K8" s="18"/>
      <c r="L8" s="24" t="s">
        <v>4</v>
      </c>
      <c r="M8" s="122">
        <v>5.1796223314661598E-2</v>
      </c>
      <c r="N8" s="17" t="s">
        <v>276</v>
      </c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8"/>
    </row>
    <row r="9" spans="1:27" x14ac:dyDescent="0.45">
      <c r="A9" s="24" t="s">
        <v>143</v>
      </c>
      <c r="B9" s="42">
        <v>0.29583999999999999</v>
      </c>
      <c r="C9" s="25"/>
      <c r="D9" s="17"/>
      <c r="E9" s="17"/>
      <c r="F9" s="17"/>
      <c r="G9" s="17"/>
      <c r="H9" s="17"/>
      <c r="I9" s="17"/>
      <c r="J9" s="17"/>
      <c r="K9" s="18"/>
      <c r="L9" s="24" t="s">
        <v>243</v>
      </c>
      <c r="M9" s="122">
        <f>'NxCVA Input 236058559'!I32*0.01</f>
        <v>5.9014553875198397E-2</v>
      </c>
      <c r="N9" s="17" t="s">
        <v>13</v>
      </c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/>
    </row>
    <row r="10" spans="1:27" x14ac:dyDescent="0.45">
      <c r="A10" s="24" t="s">
        <v>4</v>
      </c>
      <c r="B10" s="43">
        <v>5.6790495997339999E-2</v>
      </c>
      <c r="C10" s="25"/>
      <c r="D10" s="17"/>
      <c r="E10" s="17"/>
      <c r="F10" s="17"/>
      <c r="G10" s="17"/>
      <c r="H10" s="17"/>
      <c r="I10" s="17"/>
      <c r="J10" s="17"/>
      <c r="K10" s="18"/>
      <c r="L10" s="24" t="s">
        <v>5</v>
      </c>
      <c r="M10" s="44">
        <f>B11</f>
        <v>3.0027397260273974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8"/>
    </row>
    <row r="11" spans="1:27" x14ac:dyDescent="0.45">
      <c r="A11" s="24" t="s">
        <v>5</v>
      </c>
      <c r="B11" s="6">
        <f>(DATE(2023,1,17)-DATE(2020,1,17))/365</f>
        <v>3.0027397260273974</v>
      </c>
      <c r="C11" s="25" t="s">
        <v>6</v>
      </c>
      <c r="D11" s="17"/>
      <c r="E11" s="17"/>
      <c r="F11" s="17"/>
      <c r="G11" s="17"/>
      <c r="H11" s="17"/>
      <c r="I11" s="17"/>
      <c r="J11" s="17"/>
      <c r="K11" s="18"/>
      <c r="L11" s="24" t="s">
        <v>14</v>
      </c>
      <c r="M11" s="53">
        <f>B12</f>
        <v>20000000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8"/>
    </row>
    <row r="12" spans="1:27" x14ac:dyDescent="0.45">
      <c r="A12" s="24" t="s">
        <v>14</v>
      </c>
      <c r="B12" s="164">
        <v>20000000</v>
      </c>
      <c r="C12" s="25"/>
      <c r="D12" s="17"/>
      <c r="E12" s="17"/>
      <c r="F12" s="17"/>
      <c r="G12" s="17"/>
      <c r="H12" s="17"/>
      <c r="I12" s="17"/>
      <c r="J12" s="17"/>
      <c r="K12" s="18"/>
      <c r="L12" s="26" t="s">
        <v>7</v>
      </c>
      <c r="M12" s="4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8"/>
    </row>
    <row r="13" spans="1:27" x14ac:dyDescent="0.45">
      <c r="A13" s="26" t="s">
        <v>7</v>
      </c>
      <c r="B13" s="4"/>
      <c r="C13" s="27"/>
      <c r="D13" s="17"/>
      <c r="E13" s="17"/>
      <c r="F13" s="17"/>
      <c r="G13" s="17"/>
      <c r="H13" s="17"/>
      <c r="I13" s="17"/>
      <c r="J13" s="17"/>
      <c r="K13" s="18"/>
      <c r="L13" s="24" t="s">
        <v>8</v>
      </c>
      <c r="M13" s="45">
        <f>(LN(M5/M6)+(M9+(M7^2)/2)*M10)/(M7*SQRT(M10))</f>
        <v>0.84419678826982025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8"/>
    </row>
    <row r="14" spans="1:27" x14ac:dyDescent="0.45">
      <c r="A14" s="28"/>
      <c r="B14" s="29"/>
      <c r="C14" s="23"/>
      <c r="D14" s="17"/>
      <c r="E14" s="17"/>
      <c r="F14" s="17"/>
      <c r="G14" s="17"/>
      <c r="H14" s="17"/>
      <c r="I14" s="17"/>
      <c r="J14" s="17"/>
      <c r="K14" s="18"/>
      <c r="L14" s="24" t="s">
        <v>9</v>
      </c>
      <c r="M14" s="45">
        <f>(LN(M5/M6)+(M9-(M7^2)/2)*M10)/(M7*SQRT(M10))</f>
        <v>0.32954285746471051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8"/>
    </row>
    <row r="15" spans="1:27" x14ac:dyDescent="0.45">
      <c r="A15" s="24" t="s">
        <v>134</v>
      </c>
      <c r="B15" s="5">
        <f>(LN((B5/B6)+((B8)^2)/2*B11)) / ((B8)*SQRT(B11))</f>
        <v>0.77191907379575531</v>
      </c>
      <c r="C15" s="25"/>
      <c r="D15" s="17"/>
      <c r="E15" s="17"/>
      <c r="F15" s="17"/>
      <c r="G15" s="17"/>
      <c r="H15" s="17"/>
      <c r="I15" s="17"/>
      <c r="J15" s="17"/>
      <c r="K15" s="18"/>
      <c r="L15" s="24" t="s">
        <v>10</v>
      </c>
      <c r="M15" s="45">
        <f>NORMSDIST(M13)</f>
        <v>0.80072027551072733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8"/>
    </row>
    <row r="16" spans="1:27" x14ac:dyDescent="0.45">
      <c r="A16" s="24" t="s">
        <v>135</v>
      </c>
      <c r="B16" s="5">
        <f>B15-B8*SQRT(B11)</f>
        <v>0.25726514299064551</v>
      </c>
      <c r="C16" s="25"/>
      <c r="D16" s="17"/>
      <c r="E16" s="17"/>
      <c r="F16" s="17"/>
      <c r="G16" s="17"/>
      <c r="H16" s="17"/>
      <c r="I16" s="17"/>
      <c r="J16" s="17"/>
      <c r="K16" s="18"/>
      <c r="L16" s="24" t="s">
        <v>11</v>
      </c>
      <c r="M16" s="45">
        <f>NORMSDIST(M14)</f>
        <v>0.62912729715974536</v>
      </c>
      <c r="N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8"/>
    </row>
    <row r="17" spans="1:27" x14ac:dyDescent="0.45">
      <c r="A17" s="24" t="s">
        <v>144</v>
      </c>
      <c r="B17" s="5">
        <f>(LN((B5/B7)+((B9)^2)/2*B11)) / ((B9)*SQRT(B11))</f>
        <v>0.75590506466547658</v>
      </c>
      <c r="C17" s="25"/>
      <c r="D17" s="17"/>
      <c r="E17" s="17"/>
      <c r="F17" s="17"/>
      <c r="G17" s="17"/>
      <c r="H17" s="17"/>
      <c r="I17" s="17"/>
      <c r="J17" s="54"/>
      <c r="K17" s="17"/>
      <c r="L17" s="24" t="s">
        <v>102</v>
      </c>
      <c r="M17" s="45">
        <f>NORMSDIST(-M13)</f>
        <v>0.19927972448927264</v>
      </c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8"/>
    </row>
    <row r="18" spans="1:27" x14ac:dyDescent="0.45">
      <c r="A18" s="24" t="s">
        <v>145</v>
      </c>
      <c r="B18" s="5">
        <f>B17-B9*SQRT(B11)</f>
        <v>0.24326123002108713</v>
      </c>
      <c r="C18" s="25"/>
      <c r="D18" s="17"/>
      <c r="E18" s="17"/>
      <c r="F18" s="17"/>
      <c r="G18" s="17"/>
      <c r="H18" s="17"/>
      <c r="I18" s="17"/>
      <c r="K18" s="18"/>
      <c r="L18" s="24" t="s">
        <v>103</v>
      </c>
      <c r="M18" s="45">
        <f>NORMSDIST(-M14)</f>
        <v>0.37087270284025464</v>
      </c>
      <c r="O18" s="198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8"/>
    </row>
    <row r="19" spans="1:27" x14ac:dyDescent="0.45">
      <c r="A19" s="24" t="s">
        <v>137</v>
      </c>
      <c r="B19" s="5">
        <f>NORMSDIST(B15)</f>
        <v>0.77991882019747005</v>
      </c>
      <c r="C19" s="25"/>
      <c r="D19" s="17"/>
      <c r="E19" s="17"/>
      <c r="F19" s="17"/>
      <c r="G19" s="17"/>
      <c r="H19" s="17"/>
      <c r="I19" s="17"/>
      <c r="J19" s="17"/>
      <c r="K19" s="18"/>
      <c r="L19" s="28" t="s">
        <v>12</v>
      </c>
      <c r="M19" s="99">
        <f>EXP(-M8*M10)*M16*M11</f>
        <v>10770167.393432772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8"/>
    </row>
    <row r="20" spans="1:27" x14ac:dyDescent="0.45">
      <c r="A20" s="24" t="s">
        <v>138</v>
      </c>
      <c r="B20" s="5">
        <f>NORMSDIST(B16)</f>
        <v>0.60151295055223186</v>
      </c>
      <c r="C20" s="25"/>
      <c r="D20" s="17"/>
      <c r="E20" s="17"/>
      <c r="F20" s="17"/>
      <c r="G20" s="17"/>
      <c r="H20" s="17"/>
      <c r="I20" s="17"/>
      <c r="J20" s="17"/>
      <c r="K20" s="18"/>
      <c r="L20" s="152" t="s">
        <v>85</v>
      </c>
      <c r="M20" s="154">
        <f>M19/$M$25</f>
        <v>175170.95807319449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8"/>
    </row>
    <row r="21" spans="1:27" x14ac:dyDescent="0.45">
      <c r="A21" s="24" t="s">
        <v>146</v>
      </c>
      <c r="B21" s="5">
        <f>NORMSDIST(B17)</f>
        <v>0.77514694141528184</v>
      </c>
      <c r="C21" s="25"/>
      <c r="D21" s="17"/>
      <c r="E21" s="17"/>
      <c r="F21" s="17"/>
      <c r="G21" s="17"/>
      <c r="H21" s="17"/>
      <c r="I21" s="17"/>
      <c r="J21" s="17"/>
      <c r="K21" s="18"/>
      <c r="L21" s="31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8"/>
    </row>
    <row r="22" spans="1:27" x14ac:dyDescent="0.45">
      <c r="A22" s="24" t="s">
        <v>147</v>
      </c>
      <c r="B22" s="5">
        <f>NORMSDIST(B18)</f>
        <v>0.59609848182409331</v>
      </c>
      <c r="C22" s="109"/>
      <c r="D22" s="17"/>
      <c r="E22" s="17"/>
      <c r="F22" s="17"/>
      <c r="G22" s="17"/>
      <c r="H22" s="17"/>
      <c r="I22" s="17"/>
      <c r="J22" s="17"/>
      <c r="K22" s="18"/>
      <c r="L22" s="193" t="s">
        <v>236</v>
      </c>
      <c r="M22" s="196">
        <f>EXP(-M8*M10)*_xlfn.NORM.DIST(M14,0,1,0)/(M5*M7*SQRT(M10))*M11*M5/M25</f>
        <v>204426.16632687475</v>
      </c>
      <c r="N22" s="140" t="s">
        <v>235</v>
      </c>
      <c r="O22" s="8"/>
      <c r="P22" s="8"/>
      <c r="Q22" s="8"/>
      <c r="R22" s="17"/>
      <c r="S22" s="17"/>
      <c r="T22" s="17"/>
      <c r="U22" s="17"/>
      <c r="V22" s="17"/>
      <c r="W22" s="17"/>
      <c r="X22" s="17"/>
      <c r="Y22" s="17"/>
      <c r="Z22" s="17"/>
      <c r="AA22" s="18"/>
    </row>
    <row r="23" spans="1:27" x14ac:dyDescent="0.45">
      <c r="A23" s="108" t="s">
        <v>218</v>
      </c>
      <c r="B23" s="46">
        <f>EXP(-B10*B11)*B12*B20</f>
        <v>10144158.086297365</v>
      </c>
      <c r="C23" s="178"/>
      <c r="D23" s="17"/>
      <c r="E23" s="17"/>
      <c r="F23" s="17"/>
      <c r="G23" s="17"/>
      <c r="H23" s="17"/>
      <c r="I23" s="17"/>
      <c r="J23" s="17"/>
      <c r="K23" s="18"/>
      <c r="L23" s="193" t="s">
        <v>234</v>
      </c>
      <c r="M23" s="236">
        <f>(-EXP(-M8*M10)*_xlfn.NORM.DIST(M14,0,1,0)*M13/M7)*M11/M25*0.01</f>
        <v>-2990.4670711856766</v>
      </c>
      <c r="N23" s="17"/>
      <c r="O23" s="8"/>
      <c r="P23" s="9"/>
      <c r="Q23" s="8"/>
      <c r="R23" s="17"/>
      <c r="S23" s="17"/>
      <c r="T23" s="17"/>
      <c r="U23" s="17"/>
      <c r="V23" s="17"/>
      <c r="W23" s="17"/>
      <c r="X23" s="17"/>
      <c r="Y23" s="17"/>
      <c r="Z23" s="17"/>
      <c r="AA23" s="18"/>
    </row>
    <row r="24" spans="1:27" x14ac:dyDescent="0.45">
      <c r="A24" s="155" t="s">
        <v>221</v>
      </c>
      <c r="B24" s="39">
        <f>B23/M25</f>
        <v>164989.2546615547</v>
      </c>
      <c r="D24" s="17"/>
      <c r="E24" s="17"/>
      <c r="F24" s="17"/>
      <c r="G24" s="17"/>
      <c r="H24" s="17"/>
      <c r="I24" s="17"/>
      <c r="J24" s="17"/>
      <c r="K24" s="18"/>
      <c r="N24" s="17"/>
      <c r="O24" s="8"/>
      <c r="P24" s="8"/>
      <c r="Q24" s="8"/>
      <c r="R24" s="17"/>
      <c r="S24" s="17"/>
      <c r="T24" s="17"/>
      <c r="U24" s="17"/>
      <c r="V24" s="17"/>
      <c r="W24" s="17"/>
      <c r="X24" s="17"/>
      <c r="Y24" s="17"/>
      <c r="Z24" s="17"/>
      <c r="AA24" s="18"/>
    </row>
    <row r="25" spans="1:27" x14ac:dyDescent="0.45">
      <c r="A25" s="107" t="s">
        <v>219</v>
      </c>
      <c r="B25" s="189">
        <f>EXP(-B10*B11)*(B5*B19-B6*B20)</f>
        <v>76.822513110130004</v>
      </c>
      <c r="D25" s="17"/>
      <c r="E25" s="17"/>
      <c r="F25" s="17"/>
      <c r="G25" s="17"/>
      <c r="H25" s="17"/>
      <c r="I25" s="17"/>
      <c r="J25" s="17"/>
      <c r="K25" s="18"/>
      <c r="L25" s="38" t="s">
        <v>15</v>
      </c>
      <c r="M25" s="57">
        <v>61.483750000000001</v>
      </c>
      <c r="N25" s="17"/>
      <c r="O25" s="8"/>
      <c r="P25" s="8"/>
      <c r="Q25" s="8"/>
      <c r="R25" s="17"/>
      <c r="S25" s="17"/>
      <c r="T25" s="17"/>
      <c r="U25" s="17"/>
      <c r="V25" s="17"/>
      <c r="W25" s="17"/>
      <c r="X25" s="17"/>
      <c r="Y25" s="17"/>
      <c r="Z25" s="17"/>
      <c r="AA25" s="18"/>
    </row>
    <row r="26" spans="1:27" x14ac:dyDescent="0.45">
      <c r="A26" s="107" t="s">
        <v>220</v>
      </c>
      <c r="B26" s="189">
        <f>EXP(-B10*B11)*(B5*B21-B7*B22)</f>
        <v>75.639650024960019</v>
      </c>
      <c r="C26" s="140"/>
      <c r="D26" s="17"/>
      <c r="E26" s="17"/>
      <c r="F26" s="17"/>
      <c r="G26" s="17"/>
      <c r="H26" s="17"/>
      <c r="I26" s="17"/>
      <c r="J26" s="17"/>
      <c r="K26" s="18"/>
      <c r="L26" s="37" t="s">
        <v>83</v>
      </c>
      <c r="M26" s="8">
        <v>255.80500000000001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8"/>
    </row>
    <row r="27" spans="1:27" x14ac:dyDescent="0.45">
      <c r="A27" s="107" t="s">
        <v>132</v>
      </c>
      <c r="B27" s="192">
        <f>(B25-B26)*(B12/(B7-B6))</f>
        <v>11828630.851699842</v>
      </c>
      <c r="C27" s="140"/>
      <c r="D27" s="17"/>
      <c r="E27" s="17"/>
      <c r="F27" s="17"/>
      <c r="G27" s="17"/>
      <c r="H27" s="17"/>
      <c r="I27" s="17"/>
      <c r="J27" s="17"/>
      <c r="K27" s="18"/>
      <c r="L27" s="37" t="s">
        <v>84</v>
      </c>
      <c r="M27" s="52">
        <f>SUM('NxCVA Input 236058559'!N11:N13)</f>
        <v>29.213942857916912</v>
      </c>
      <c r="N27" s="17" t="s">
        <v>267</v>
      </c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8"/>
    </row>
    <row r="28" spans="1:27" x14ac:dyDescent="0.45">
      <c r="A28" s="107" t="s">
        <v>133</v>
      </c>
      <c r="B28" s="192">
        <f>B27/M25</f>
        <v>192386.29478032555</v>
      </c>
      <c r="C28" s="140"/>
      <c r="D28" s="17"/>
      <c r="E28" s="17"/>
      <c r="F28" s="17"/>
      <c r="G28" s="17"/>
      <c r="H28" s="17"/>
      <c r="I28" s="17"/>
      <c r="J28" s="17"/>
      <c r="K28" s="18"/>
      <c r="L28" s="8" t="s">
        <v>283</v>
      </c>
      <c r="M28" s="17">
        <f>M3*EXP(M8*M7)</f>
        <v>0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8"/>
    </row>
    <row r="29" spans="1:27" x14ac:dyDescent="0.45">
      <c r="B29" s="190"/>
      <c r="C29" s="191"/>
      <c r="D29" s="17"/>
      <c r="E29" s="17" t="s">
        <v>217</v>
      </c>
      <c r="F29" s="17"/>
      <c r="G29" s="237">
        <f>0.5973*B12</f>
        <v>11946000.000000002</v>
      </c>
      <c r="H29" s="238"/>
      <c r="I29" s="238"/>
      <c r="J29" s="237">
        <f>0.5317*B12</f>
        <v>10633999.999999998</v>
      </c>
      <c r="K29" s="18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8"/>
    </row>
    <row r="30" spans="1:27" x14ac:dyDescent="0.45">
      <c r="D30" s="17"/>
      <c r="E30" s="17"/>
      <c r="F30" s="17"/>
      <c r="G30" s="239">
        <f>G29/M25</f>
        <v>194295.24061235695</v>
      </c>
      <c r="H30" s="238"/>
      <c r="I30" s="238"/>
      <c r="J30" s="239">
        <f>J29/M25</f>
        <v>172956.26893284809</v>
      </c>
      <c r="K30" s="18"/>
      <c r="L30" s="31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8"/>
    </row>
    <row r="31" spans="1:27" x14ac:dyDescent="0.45">
      <c r="A31" s="31"/>
      <c r="B31" s="17"/>
      <c r="C31" s="17"/>
      <c r="D31" s="17"/>
      <c r="E31" s="17"/>
      <c r="F31" s="17"/>
      <c r="G31" s="17"/>
      <c r="H31" s="17"/>
      <c r="I31" s="17"/>
      <c r="J31" s="17"/>
      <c r="K31" s="18"/>
      <c r="L31" s="31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8"/>
    </row>
    <row r="32" spans="1:27" x14ac:dyDescent="0.45">
      <c r="A32" s="31"/>
      <c r="B32" s="17"/>
      <c r="C32" s="17"/>
      <c r="D32" s="17"/>
      <c r="E32" s="17"/>
      <c r="F32" s="17"/>
      <c r="G32" s="17"/>
      <c r="H32" s="17"/>
      <c r="I32" s="17"/>
      <c r="J32" s="17"/>
      <c r="K32" s="18"/>
      <c r="L32" s="31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8"/>
    </row>
    <row r="33" spans="1:27" x14ac:dyDescent="0.45">
      <c r="A33" s="31"/>
      <c r="B33" s="17"/>
      <c r="C33" s="17"/>
      <c r="D33" s="17"/>
      <c r="E33" s="17"/>
      <c r="F33" s="17"/>
      <c r="G33" s="17"/>
      <c r="H33" s="17"/>
      <c r="I33" s="17"/>
      <c r="J33" s="17"/>
      <c r="K33" s="18"/>
      <c r="L33" s="31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8"/>
    </row>
    <row r="34" spans="1:27" x14ac:dyDescent="0.45">
      <c r="A34" s="31"/>
      <c r="B34" s="17"/>
      <c r="C34" s="17"/>
      <c r="D34" s="17"/>
      <c r="E34" s="17"/>
      <c r="F34" s="17"/>
      <c r="G34" s="17"/>
      <c r="H34" s="17"/>
      <c r="I34" s="17"/>
      <c r="J34" s="17"/>
      <c r="K34" s="18"/>
      <c r="L34" s="31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8"/>
    </row>
    <row r="35" spans="1:27" x14ac:dyDescent="0.45">
      <c r="A35" s="31"/>
      <c r="B35" s="17"/>
      <c r="C35" s="17"/>
      <c r="D35" s="17"/>
      <c r="E35" s="17"/>
      <c r="F35" s="17"/>
      <c r="G35" s="17"/>
      <c r="H35" s="17"/>
      <c r="I35" s="17"/>
      <c r="J35" s="17"/>
      <c r="K35" s="18"/>
      <c r="L35" s="31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8"/>
    </row>
    <row r="36" spans="1:27" x14ac:dyDescent="0.45">
      <c r="A36" s="31"/>
      <c r="B36" s="17"/>
      <c r="C36" s="17"/>
      <c r="D36" s="17"/>
      <c r="E36" s="17"/>
      <c r="F36" s="17"/>
      <c r="G36" s="17"/>
      <c r="H36" s="17"/>
      <c r="I36" s="17"/>
      <c r="J36" s="17"/>
      <c r="K36" s="18"/>
      <c r="L36" s="31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8"/>
    </row>
    <row r="37" spans="1:27" x14ac:dyDescent="0.45">
      <c r="A37" s="31"/>
      <c r="B37" s="17"/>
      <c r="C37" s="17"/>
      <c r="D37" s="17"/>
      <c r="E37" s="17"/>
      <c r="F37" s="17"/>
      <c r="G37" s="17"/>
      <c r="H37" s="17"/>
      <c r="I37" s="17"/>
      <c r="J37" s="17"/>
      <c r="K37" s="18"/>
      <c r="L37" s="31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8"/>
    </row>
    <row r="38" spans="1:27" x14ac:dyDescent="0.45">
      <c r="A38" s="31"/>
      <c r="B38" s="17"/>
      <c r="C38" s="17"/>
      <c r="D38" s="17"/>
      <c r="E38" s="17"/>
      <c r="F38" s="17"/>
      <c r="G38" s="17"/>
      <c r="H38" s="17"/>
      <c r="I38" s="17"/>
      <c r="J38" s="17"/>
      <c r="K38" s="18"/>
      <c r="L38" s="31"/>
      <c r="M38" s="17"/>
      <c r="N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8"/>
    </row>
    <row r="39" spans="1:27" x14ac:dyDescent="0.45">
      <c r="A39" s="31"/>
      <c r="B39" s="17"/>
      <c r="C39" s="17"/>
      <c r="D39" s="17"/>
      <c r="E39" s="17"/>
      <c r="F39" s="17"/>
      <c r="G39" s="17"/>
      <c r="H39" s="17"/>
      <c r="I39" s="17"/>
      <c r="J39" s="17"/>
      <c r="K39" s="18"/>
      <c r="L39" s="31"/>
      <c r="M39" s="17"/>
      <c r="N39" s="17"/>
      <c r="O39" s="140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8"/>
    </row>
    <row r="40" spans="1:27" x14ac:dyDescent="0.45">
      <c r="A40" s="31"/>
      <c r="B40" s="17"/>
      <c r="C40" s="17"/>
      <c r="D40" s="17"/>
      <c r="E40" s="17"/>
      <c r="F40" s="17"/>
      <c r="G40" s="17"/>
      <c r="H40" s="17"/>
      <c r="I40" s="17"/>
      <c r="J40" s="17"/>
      <c r="K40" s="18"/>
      <c r="L40" s="31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8"/>
    </row>
    <row r="41" spans="1:27" x14ac:dyDescent="0.45">
      <c r="A41" s="31"/>
      <c r="B41" s="17"/>
      <c r="C41" s="17"/>
      <c r="D41" s="17"/>
      <c r="E41" s="17"/>
      <c r="F41" s="17"/>
      <c r="G41" s="17"/>
      <c r="H41" s="17"/>
      <c r="I41" s="17"/>
      <c r="J41" s="17"/>
      <c r="K41" s="18"/>
      <c r="L41" s="31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8"/>
    </row>
    <row r="42" spans="1:27" x14ac:dyDescent="0.45">
      <c r="A42" s="31"/>
      <c r="B42" s="17"/>
      <c r="C42" s="17"/>
      <c r="D42" s="17"/>
      <c r="E42" s="17"/>
      <c r="F42" s="17"/>
      <c r="G42" s="17"/>
      <c r="H42" s="17"/>
      <c r="I42" s="17"/>
      <c r="J42" s="17"/>
      <c r="K42" s="18"/>
      <c r="L42" s="31"/>
      <c r="M42" s="17"/>
      <c r="N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8"/>
    </row>
    <row r="43" spans="1:27" s="159" customFormat="1" x14ac:dyDescent="0.45">
      <c r="A43" s="17" t="s">
        <v>226</v>
      </c>
      <c r="K43" s="160"/>
      <c r="L43" s="158"/>
      <c r="AA43" s="160"/>
    </row>
    <row r="44" spans="1:27" s="17" customFormat="1" x14ac:dyDescent="0.45"/>
    <row r="45" spans="1:27" s="17" customFormat="1" x14ac:dyDescent="0.45"/>
    <row r="46" spans="1:27" s="17" customFormat="1" x14ac:dyDescent="0.45"/>
    <row r="47" spans="1:27" s="17" customFormat="1" x14ac:dyDescent="0.45"/>
    <row r="48" spans="1:27" s="17" customFormat="1" x14ac:dyDescent="0.45"/>
    <row r="49" s="17" customFormat="1" x14ac:dyDescent="0.45"/>
    <row r="50" s="17" customFormat="1" x14ac:dyDescent="0.45"/>
    <row r="51" s="17" customFormat="1" x14ac:dyDescent="0.45"/>
    <row r="52" s="17" customFormat="1" x14ac:dyDescent="0.45"/>
    <row r="53" s="17" customFormat="1" x14ac:dyDescent="0.45"/>
    <row r="54" s="17" customFormat="1" x14ac:dyDescent="0.45"/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AA45"/>
  <sheetViews>
    <sheetView zoomScale="70" zoomScaleNormal="70" workbookViewId="0">
      <selection activeCell="O30" sqref="O30"/>
    </sheetView>
  </sheetViews>
  <sheetFormatPr defaultRowHeight="14.25" x14ac:dyDescent="0.45"/>
  <cols>
    <col min="1" max="1" width="29" bestFit="1" customWidth="1"/>
    <col min="2" max="2" width="13.1328125" bestFit="1" customWidth="1"/>
    <col min="3" max="3" width="3.59765625" bestFit="1" customWidth="1"/>
    <col min="6" max="6" width="10.59765625" bestFit="1" customWidth="1"/>
    <col min="10" max="10" width="10.59765625" bestFit="1" customWidth="1"/>
    <col min="11" max="11" width="16.265625" customWidth="1"/>
    <col min="12" max="12" width="26.3984375" customWidth="1"/>
    <col min="13" max="13" width="19.86328125" bestFit="1" customWidth="1"/>
    <col min="14" max="14" width="9.3984375" bestFit="1" customWidth="1"/>
  </cols>
  <sheetData>
    <row r="1" spans="1:27" s="10" customFormat="1" ht="23.65" thickBot="1" x14ac:dyDescent="0.75">
      <c r="A1" s="10" t="s">
        <v>223</v>
      </c>
      <c r="L1" s="10" t="s">
        <v>81</v>
      </c>
    </row>
    <row r="2" spans="1:27" x14ac:dyDescent="0.45">
      <c r="A2" s="11"/>
      <c r="B2" s="12"/>
      <c r="C2" s="12"/>
      <c r="D2" s="12"/>
      <c r="E2" s="12"/>
      <c r="F2" s="12"/>
      <c r="G2" s="12"/>
      <c r="H2" s="12"/>
      <c r="I2" s="12"/>
      <c r="J2" s="12"/>
      <c r="K2" s="13"/>
      <c r="L2" s="11"/>
      <c r="M2" s="36" t="s">
        <v>82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3"/>
    </row>
    <row r="3" spans="1:27" x14ac:dyDescent="0.45">
      <c r="A3" s="14" t="s">
        <v>79</v>
      </c>
      <c r="B3" s="15" t="s">
        <v>13</v>
      </c>
      <c r="C3" s="16"/>
      <c r="D3" s="17"/>
      <c r="E3" s="17"/>
      <c r="F3" s="17"/>
      <c r="G3" s="17"/>
      <c r="H3" s="17"/>
      <c r="I3" s="17"/>
      <c r="J3" s="17"/>
      <c r="K3" s="18"/>
      <c r="L3" s="14" t="s">
        <v>80</v>
      </c>
      <c r="M3" s="35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8"/>
    </row>
    <row r="4" spans="1:27" x14ac:dyDescent="0.45">
      <c r="A4" s="19" t="s">
        <v>0</v>
      </c>
      <c r="B4" s="20"/>
      <c r="C4" s="21"/>
      <c r="D4" s="17"/>
      <c r="E4" s="17"/>
      <c r="F4" s="17"/>
      <c r="G4" s="17"/>
      <c r="H4" s="17"/>
      <c r="I4" s="17"/>
      <c r="J4" s="17"/>
      <c r="K4" s="18"/>
      <c r="L4" s="19" t="s">
        <v>0</v>
      </c>
      <c r="M4" s="4" t="s">
        <v>83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8"/>
    </row>
    <row r="5" spans="1:27" x14ac:dyDescent="0.45">
      <c r="A5" s="49" t="s">
        <v>1</v>
      </c>
      <c r="B5" s="22">
        <v>271.06557199999997</v>
      </c>
      <c r="C5" s="23"/>
      <c r="D5" s="17"/>
      <c r="E5" s="17"/>
      <c r="F5" s="17"/>
      <c r="G5" s="17"/>
      <c r="H5" s="17"/>
      <c r="I5" s="17"/>
      <c r="J5" s="17"/>
      <c r="K5" s="18"/>
      <c r="L5" s="118" t="s">
        <v>174</v>
      </c>
      <c r="M5" s="48">
        <f>M26-M27</f>
        <v>226.59105714208309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8"/>
    </row>
    <row r="6" spans="1:27" x14ac:dyDescent="0.45">
      <c r="A6" s="24" t="s">
        <v>2</v>
      </c>
      <c r="B6" s="1">
        <v>200</v>
      </c>
      <c r="C6" s="25"/>
      <c r="D6" s="17"/>
      <c r="E6" s="17"/>
      <c r="F6" s="17"/>
      <c r="G6" s="17"/>
      <c r="H6" s="17"/>
      <c r="I6" s="17"/>
      <c r="J6" s="17"/>
      <c r="K6" s="18"/>
      <c r="L6" s="40" t="s">
        <v>2</v>
      </c>
      <c r="M6" s="41">
        <f>B6</f>
        <v>200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8"/>
    </row>
    <row r="7" spans="1:27" x14ac:dyDescent="0.45">
      <c r="A7" s="24" t="s">
        <v>3</v>
      </c>
      <c r="B7" s="42">
        <v>0.29699999999999999</v>
      </c>
      <c r="C7" s="25"/>
      <c r="D7" s="17"/>
      <c r="E7" s="17"/>
      <c r="F7" s="17"/>
      <c r="G7" s="17"/>
      <c r="H7" s="17"/>
      <c r="I7" s="17"/>
      <c r="J7" s="17"/>
      <c r="K7" s="18"/>
      <c r="L7" s="24" t="s">
        <v>3</v>
      </c>
      <c r="M7" s="42">
        <f>B7</f>
        <v>0.29699999999999999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8"/>
    </row>
    <row r="8" spans="1:27" x14ac:dyDescent="0.45">
      <c r="A8" s="24" t="s">
        <v>4</v>
      </c>
      <c r="B8" s="122">
        <v>5.6790495997339999E-2</v>
      </c>
      <c r="C8" s="25"/>
      <c r="D8" s="17"/>
      <c r="E8" s="17"/>
      <c r="F8" s="17"/>
      <c r="G8" s="17"/>
      <c r="H8" s="17"/>
      <c r="I8" s="17"/>
      <c r="J8" s="17"/>
      <c r="K8" s="18"/>
      <c r="L8" s="24" t="s">
        <v>4</v>
      </c>
      <c r="M8" s="122">
        <v>5.1796223314661598E-2</v>
      </c>
      <c r="N8" s="17" t="s">
        <v>276</v>
      </c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8"/>
    </row>
    <row r="9" spans="1:27" x14ac:dyDescent="0.45">
      <c r="A9" s="24" t="s">
        <v>5</v>
      </c>
      <c r="B9" s="6">
        <f>(DATE(2023,1,17)-DATE(2020,1,17))/365</f>
        <v>3.0027397260273974</v>
      </c>
      <c r="C9" s="25" t="s">
        <v>6</v>
      </c>
      <c r="D9" s="17"/>
      <c r="E9" s="17"/>
      <c r="F9" s="17"/>
      <c r="G9" s="17"/>
      <c r="H9" s="17"/>
      <c r="I9" s="17"/>
      <c r="J9" s="17"/>
      <c r="K9" s="18"/>
      <c r="L9" s="24" t="s">
        <v>243</v>
      </c>
      <c r="M9" s="122">
        <f>'NxCVA Input 236058559'!I32*0.01</f>
        <v>5.9014553875198397E-2</v>
      </c>
      <c r="N9" s="17" t="s">
        <v>13</v>
      </c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8"/>
    </row>
    <row r="10" spans="1:27" x14ac:dyDescent="0.45">
      <c r="A10" s="24" t="s">
        <v>14</v>
      </c>
      <c r="B10" s="3">
        <v>20000000</v>
      </c>
      <c r="C10" s="25"/>
      <c r="D10" s="17"/>
      <c r="E10" s="17"/>
      <c r="F10" s="17"/>
      <c r="G10" s="17"/>
      <c r="H10" s="17"/>
      <c r="I10" s="17"/>
      <c r="J10" s="17"/>
      <c r="K10" s="18"/>
      <c r="L10" s="24" t="s">
        <v>5</v>
      </c>
      <c r="M10" s="44">
        <f>B9</f>
        <v>3.0027397260273974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8"/>
    </row>
    <row r="11" spans="1:27" x14ac:dyDescent="0.45">
      <c r="A11" s="26" t="s">
        <v>7</v>
      </c>
      <c r="B11" s="4"/>
      <c r="C11" s="27"/>
      <c r="D11" s="17"/>
      <c r="E11" s="17"/>
      <c r="F11" s="17"/>
      <c r="G11" s="17"/>
      <c r="H11" s="17"/>
      <c r="I11" s="17"/>
      <c r="J11" s="17"/>
      <c r="K11" s="18"/>
      <c r="L11" s="24" t="s">
        <v>14</v>
      </c>
      <c r="M11" s="53">
        <f>B10</f>
        <v>20000000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8"/>
    </row>
    <row r="12" spans="1:27" x14ac:dyDescent="0.45">
      <c r="A12" s="28"/>
      <c r="B12" s="29"/>
      <c r="C12" s="23"/>
      <c r="D12" s="17"/>
      <c r="E12" s="17"/>
      <c r="F12" s="17"/>
      <c r="G12" s="17"/>
      <c r="H12" s="17"/>
      <c r="I12" s="17"/>
      <c r="J12" s="17"/>
      <c r="K12" s="18"/>
      <c r="L12" s="26" t="s">
        <v>7</v>
      </c>
      <c r="M12" s="4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8"/>
    </row>
    <row r="13" spans="1:27" x14ac:dyDescent="0.45">
      <c r="A13" s="24" t="s">
        <v>8</v>
      </c>
      <c r="B13" s="5">
        <f>(LN((B5/B6)+((B7)^2)/2*B9)) / ((B7)*SQRT(B9))</f>
        <v>0.77192280902823884</v>
      </c>
      <c r="C13" s="25"/>
      <c r="D13" s="17"/>
      <c r="E13" s="17"/>
      <c r="F13" s="17"/>
      <c r="G13" s="17"/>
      <c r="H13" s="17"/>
      <c r="I13" s="17"/>
      <c r="J13" s="17"/>
      <c r="K13" s="18"/>
      <c r="L13" s="24" t="s">
        <v>8</v>
      </c>
      <c r="M13" s="45">
        <f>(LN(M5/M6)+(M9+M7^2/2)*M10)/(M7*SQRT(M10))</f>
        <v>0.84419678826982025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8"/>
    </row>
    <row r="14" spans="1:27" x14ac:dyDescent="0.45">
      <c r="A14" s="24" t="s">
        <v>9</v>
      </c>
      <c r="B14" s="5">
        <f>B13-B7*SQRT(B9)</f>
        <v>0.25726887822312905</v>
      </c>
      <c r="C14" s="25"/>
      <c r="D14" s="17"/>
      <c r="E14" s="17"/>
      <c r="F14" s="17"/>
      <c r="G14" s="17"/>
      <c r="H14" s="17"/>
      <c r="I14" s="17"/>
      <c r="J14" s="17"/>
      <c r="K14" s="18"/>
      <c r="L14" s="24" t="s">
        <v>9</v>
      </c>
      <c r="M14" s="45">
        <f>M13-M7*SQRT(M10)</f>
        <v>0.32954285746471046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8"/>
    </row>
    <row r="15" spans="1:27" x14ac:dyDescent="0.45">
      <c r="A15" s="24" t="s">
        <v>10</v>
      </c>
      <c r="B15" s="5">
        <f>NORMSDIST(B13)</f>
        <v>0.77991992640835472</v>
      </c>
      <c r="C15" s="25"/>
      <c r="D15" s="17"/>
      <c r="E15" s="17"/>
      <c r="F15" s="17"/>
      <c r="G15" s="17"/>
      <c r="H15" s="17"/>
      <c r="I15" s="17"/>
      <c r="J15" s="17"/>
      <c r="K15" s="18"/>
      <c r="L15" s="24" t="s">
        <v>10</v>
      </c>
      <c r="M15" s="45">
        <f>NORMSDIST(M13)</f>
        <v>0.80072027551072733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8"/>
    </row>
    <row r="16" spans="1:27" x14ac:dyDescent="0.45">
      <c r="A16" s="24" t="s">
        <v>11</v>
      </c>
      <c r="B16" s="5">
        <f>NORMSDIST(B14)</f>
        <v>0.60151439218793035</v>
      </c>
      <c r="C16" s="25"/>
      <c r="D16" s="17"/>
      <c r="E16" s="17"/>
      <c r="F16" s="17"/>
      <c r="G16" s="17"/>
      <c r="H16" s="17"/>
      <c r="I16" s="17"/>
      <c r="J16" s="17"/>
      <c r="K16" s="18"/>
      <c r="L16" s="24" t="s">
        <v>11</v>
      </c>
      <c r="M16" s="45">
        <f>NORMSDIST(M14)</f>
        <v>0.62912729715974525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8"/>
    </row>
    <row r="17" spans="1:27" x14ac:dyDescent="0.45">
      <c r="A17" s="28" t="s">
        <v>101</v>
      </c>
      <c r="B17" s="46">
        <f>EXP(-B8*B9)*B10*(1-B16)</f>
        <v>6720222.7267905138</v>
      </c>
      <c r="C17" s="23"/>
      <c r="D17" s="17"/>
      <c r="E17" s="17"/>
      <c r="F17" s="17"/>
      <c r="G17" s="17"/>
      <c r="H17" s="17"/>
      <c r="I17" s="17"/>
      <c r="J17" s="54"/>
      <c r="K17" s="17"/>
      <c r="L17" s="24" t="s">
        <v>102</v>
      </c>
      <c r="M17" s="45">
        <f>NORMSDIST(-M13)</f>
        <v>0.19927972448927264</v>
      </c>
      <c r="N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8"/>
    </row>
    <row r="18" spans="1:27" x14ac:dyDescent="0.45">
      <c r="A18" s="155" t="s">
        <v>116</v>
      </c>
      <c r="B18" s="39">
        <f>B17/M25</f>
        <v>109300.79454799868</v>
      </c>
      <c r="C18" s="165"/>
      <c r="D18" s="17"/>
      <c r="E18" s="17"/>
      <c r="F18" s="17"/>
      <c r="G18" s="17"/>
      <c r="H18" s="17"/>
      <c r="I18" s="17"/>
      <c r="K18" s="18"/>
      <c r="L18" s="24" t="s">
        <v>103</v>
      </c>
      <c r="M18" s="45">
        <f>NORMSDIST(-M14)</f>
        <v>0.37087270284025475</v>
      </c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8"/>
    </row>
    <row r="19" spans="1:27" x14ac:dyDescent="0.45">
      <c r="A19" s="17" t="s">
        <v>226</v>
      </c>
      <c r="B19" s="50"/>
      <c r="C19" s="17"/>
      <c r="D19" s="17"/>
      <c r="E19" s="17"/>
      <c r="F19" s="17"/>
      <c r="G19" s="17"/>
      <c r="H19" s="17"/>
      <c r="I19" s="17"/>
      <c r="J19" s="17"/>
      <c r="K19" s="18"/>
      <c r="L19" s="28" t="s">
        <v>101</v>
      </c>
      <c r="M19" s="99">
        <f>EXP(-M8*M10)*M11*M18</f>
        <v>6349050.6758764312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8"/>
    </row>
    <row r="20" spans="1:27" x14ac:dyDescent="0.45">
      <c r="A20" s="31"/>
      <c r="B20" s="50"/>
      <c r="C20" s="17"/>
      <c r="D20" s="17"/>
      <c r="E20" s="17"/>
      <c r="F20" s="17"/>
      <c r="G20" s="17"/>
      <c r="H20" s="17"/>
      <c r="I20" s="17"/>
      <c r="J20" s="17"/>
      <c r="K20" s="18"/>
      <c r="L20" s="153" t="s">
        <v>116</v>
      </c>
      <c r="M20" s="154">
        <f>M19/$M$25</f>
        <v>103263.8815276627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8"/>
    </row>
    <row r="21" spans="1:27" x14ac:dyDescent="0.45">
      <c r="A21" s="31"/>
      <c r="B21" s="50"/>
      <c r="C21" s="17"/>
      <c r="D21" s="17"/>
      <c r="E21" s="17"/>
      <c r="F21" s="17"/>
      <c r="G21" s="17"/>
      <c r="H21" s="17"/>
      <c r="I21" s="17"/>
      <c r="J21" s="17"/>
      <c r="K21" s="18"/>
      <c r="L21" s="31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8"/>
    </row>
    <row r="22" spans="1:27" x14ac:dyDescent="0.45">
      <c r="A22" s="31"/>
      <c r="B22" s="17"/>
      <c r="C22" s="17"/>
      <c r="D22" s="17"/>
      <c r="E22" s="17"/>
      <c r="F22" s="17"/>
      <c r="G22" s="17"/>
      <c r="H22" s="17"/>
      <c r="I22" s="17"/>
      <c r="J22" s="17"/>
      <c r="K22" s="18"/>
      <c r="L22" s="193" t="s">
        <v>236</v>
      </c>
      <c r="M22" s="196">
        <f>-EXP(-M8*M10)*_xlfn.NORM.DIST(-M14,0,1,0)/(M5*M7*SQRT(M10))*M11*M5/M25</f>
        <v>-204426.16632687475</v>
      </c>
      <c r="N22" s="140" t="s">
        <v>235</v>
      </c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8"/>
    </row>
    <row r="23" spans="1:27" x14ac:dyDescent="0.45">
      <c r="A23" s="31"/>
      <c r="B23" s="17"/>
      <c r="C23" s="17"/>
      <c r="D23" s="17"/>
      <c r="E23" s="17"/>
      <c r="F23" s="17"/>
      <c r="G23" s="17"/>
      <c r="H23" s="17"/>
      <c r="I23" s="17"/>
      <c r="J23" s="17"/>
      <c r="K23" s="18"/>
      <c r="L23" s="193" t="s">
        <v>234</v>
      </c>
      <c r="M23" s="197">
        <f>(EXP(-M8*M10)*_xlfn.NORM.DIST(-M14,0,1,0)*M13/M7)*M11/M25*0.01</f>
        <v>2990.4670711856766</v>
      </c>
      <c r="O23" s="8"/>
      <c r="P23" s="8"/>
      <c r="Q23" s="8"/>
      <c r="R23" s="17"/>
      <c r="S23" s="17"/>
      <c r="T23" s="17"/>
      <c r="U23" s="17"/>
      <c r="V23" s="17"/>
      <c r="W23" s="17"/>
      <c r="X23" s="17"/>
      <c r="Y23" s="17"/>
      <c r="Z23" s="17"/>
      <c r="AA23" s="18"/>
    </row>
    <row r="24" spans="1:27" x14ac:dyDescent="0.45">
      <c r="A24" s="31"/>
      <c r="B24" s="17"/>
      <c r="C24" s="17"/>
      <c r="D24" s="17"/>
      <c r="E24" s="17"/>
      <c r="F24" s="17"/>
      <c r="G24" s="17"/>
      <c r="H24" s="17"/>
      <c r="I24" s="17"/>
      <c r="J24" s="17"/>
      <c r="K24" s="18"/>
      <c r="O24" s="8"/>
      <c r="P24" s="9"/>
      <c r="Q24" s="8"/>
      <c r="R24" s="17"/>
      <c r="S24" s="17"/>
      <c r="T24" s="17"/>
      <c r="U24" s="17"/>
      <c r="V24" s="17"/>
      <c r="W24" s="17"/>
      <c r="X24" s="17"/>
      <c r="Y24" s="17"/>
      <c r="Z24" s="17"/>
      <c r="AA24" s="18"/>
    </row>
    <row r="25" spans="1:27" x14ac:dyDescent="0.45">
      <c r="A25" s="31"/>
      <c r="B25" s="17"/>
      <c r="C25" s="17"/>
      <c r="D25" s="17"/>
      <c r="E25" s="17"/>
      <c r="F25" s="17"/>
      <c r="G25" s="17"/>
      <c r="H25" s="17"/>
      <c r="I25" s="17"/>
      <c r="J25" s="17"/>
      <c r="K25" s="18"/>
      <c r="L25" s="38" t="s">
        <v>15</v>
      </c>
      <c r="M25" s="57">
        <v>61.483750000000001</v>
      </c>
      <c r="N25" s="17"/>
      <c r="O25" s="8"/>
      <c r="P25" s="8"/>
      <c r="Q25" s="8"/>
      <c r="R25" s="17"/>
      <c r="S25" s="17"/>
      <c r="T25" s="17"/>
      <c r="U25" s="17"/>
      <c r="V25" s="17"/>
      <c r="W25" s="17"/>
      <c r="X25" s="17"/>
      <c r="Y25" s="17"/>
      <c r="Z25" s="17"/>
      <c r="AA25" s="18"/>
    </row>
    <row r="26" spans="1:27" x14ac:dyDescent="0.45">
      <c r="A26" s="31"/>
      <c r="B26" s="17"/>
      <c r="C26" s="17"/>
      <c r="D26" s="17"/>
      <c r="E26" s="17"/>
      <c r="F26" s="17"/>
      <c r="G26" s="17"/>
      <c r="H26" s="17"/>
      <c r="I26" s="17"/>
      <c r="J26" s="17"/>
      <c r="K26" s="18"/>
      <c r="L26" s="37" t="s">
        <v>83</v>
      </c>
      <c r="M26" s="8">
        <v>255.80500000000001</v>
      </c>
      <c r="N26" s="17"/>
      <c r="O26" s="8"/>
      <c r="P26" s="8"/>
      <c r="Q26" s="8"/>
      <c r="R26" s="17"/>
      <c r="S26" s="17"/>
      <c r="T26" s="17"/>
      <c r="U26" s="17"/>
      <c r="V26" s="17"/>
      <c r="W26" s="17"/>
      <c r="X26" s="17"/>
      <c r="Y26" s="17"/>
      <c r="Z26" s="17"/>
      <c r="AA26" s="18"/>
    </row>
    <row r="27" spans="1:27" x14ac:dyDescent="0.45">
      <c r="A27" s="31"/>
      <c r="B27" s="17"/>
      <c r="C27" s="17"/>
      <c r="D27" s="17"/>
      <c r="E27" s="17"/>
      <c r="F27" s="17"/>
      <c r="G27" s="17"/>
      <c r="H27" s="17"/>
      <c r="I27" s="17"/>
      <c r="J27" s="17"/>
      <c r="K27" s="18"/>
      <c r="L27" s="37" t="s">
        <v>84</v>
      </c>
      <c r="M27" s="52">
        <f>SUM('NxCVA Input 236058559'!N11:N13)</f>
        <v>29.213942857916912</v>
      </c>
      <c r="N27" s="17" t="s">
        <v>267</v>
      </c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8"/>
    </row>
    <row r="28" spans="1:27" x14ac:dyDescent="0.45">
      <c r="A28" s="31"/>
      <c r="B28" s="17"/>
      <c r="C28" s="17"/>
      <c r="D28" s="17"/>
      <c r="E28" s="17"/>
      <c r="F28" s="17"/>
      <c r="G28" s="17"/>
      <c r="H28" s="17"/>
      <c r="I28" s="17"/>
      <c r="J28" s="17"/>
      <c r="K28" s="18"/>
      <c r="L28" s="31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8"/>
    </row>
    <row r="29" spans="1:27" x14ac:dyDescent="0.45">
      <c r="A29" s="31"/>
      <c r="B29" s="17"/>
      <c r="C29" s="17"/>
      <c r="D29" s="17" t="s">
        <v>222</v>
      </c>
      <c r="E29" s="17"/>
      <c r="F29" s="54">
        <f>0.24589661*20000000</f>
        <v>4917932.2</v>
      </c>
      <c r="G29" s="54"/>
      <c r="H29" s="54"/>
      <c r="I29" s="54"/>
      <c r="J29" s="54">
        <f>0.3115*20000000</f>
        <v>6230000</v>
      </c>
      <c r="K29" s="18"/>
      <c r="L29" s="31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8"/>
    </row>
    <row r="30" spans="1:27" x14ac:dyDescent="0.45">
      <c r="A30" s="31"/>
      <c r="B30" s="17"/>
      <c r="C30" s="17"/>
      <c r="D30" s="17"/>
      <c r="E30" s="17"/>
      <c r="F30" s="17"/>
      <c r="G30" s="17"/>
      <c r="H30" s="17"/>
      <c r="I30" s="17"/>
      <c r="J30" s="17"/>
      <c r="K30" s="18"/>
      <c r="L30" s="31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8"/>
    </row>
    <row r="31" spans="1:27" x14ac:dyDescent="0.45">
      <c r="A31" s="31"/>
      <c r="B31" s="17"/>
      <c r="C31" s="17"/>
      <c r="D31" s="17"/>
      <c r="E31" s="17"/>
      <c r="F31" s="17"/>
      <c r="G31" s="17"/>
      <c r="H31" s="17"/>
      <c r="I31" s="17"/>
      <c r="J31" s="17"/>
      <c r="K31" s="18"/>
      <c r="L31" s="31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8"/>
    </row>
    <row r="32" spans="1:27" x14ac:dyDescent="0.45">
      <c r="A32" s="31"/>
      <c r="B32" s="17"/>
      <c r="C32" s="17"/>
      <c r="D32" s="17"/>
      <c r="E32" s="17"/>
      <c r="F32" s="17"/>
      <c r="G32" s="17"/>
      <c r="H32" s="17"/>
      <c r="I32" s="17"/>
      <c r="J32" s="17"/>
      <c r="K32" s="18"/>
      <c r="L32" s="31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8"/>
    </row>
    <row r="33" spans="1:27" x14ac:dyDescent="0.45">
      <c r="A33" s="31"/>
      <c r="B33" s="17"/>
      <c r="C33" s="17"/>
      <c r="D33" s="17"/>
      <c r="E33" s="17"/>
      <c r="F33" s="17"/>
      <c r="G33" s="17"/>
      <c r="H33" s="17"/>
      <c r="I33" s="17"/>
      <c r="J33" s="17"/>
      <c r="K33" s="18"/>
      <c r="L33" s="31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8"/>
    </row>
    <row r="34" spans="1:27" x14ac:dyDescent="0.45">
      <c r="A34" s="31"/>
      <c r="B34" s="17"/>
      <c r="C34" s="17"/>
      <c r="D34" s="17"/>
      <c r="E34" s="17"/>
      <c r="F34" s="17"/>
      <c r="G34" s="17"/>
      <c r="H34" s="17"/>
      <c r="I34" s="17"/>
      <c r="J34" s="17"/>
      <c r="K34" s="18"/>
      <c r="L34" s="31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8"/>
    </row>
    <row r="35" spans="1:27" x14ac:dyDescent="0.45">
      <c r="A35" s="31"/>
      <c r="B35" s="17"/>
      <c r="C35" s="17"/>
      <c r="D35" s="17"/>
      <c r="E35" s="17"/>
      <c r="F35" s="17"/>
      <c r="G35" s="17"/>
      <c r="H35" s="17"/>
      <c r="I35" s="17"/>
      <c r="J35" s="17"/>
      <c r="K35" s="18"/>
      <c r="L35" s="31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8"/>
    </row>
    <row r="36" spans="1:27" x14ac:dyDescent="0.45">
      <c r="A36" s="31"/>
      <c r="B36" s="17"/>
      <c r="C36" s="17"/>
      <c r="D36" s="17"/>
      <c r="E36" s="17"/>
      <c r="F36" s="17"/>
      <c r="G36" s="17"/>
      <c r="H36" s="17"/>
      <c r="I36" s="17"/>
      <c r="J36" s="17"/>
      <c r="K36" s="18"/>
      <c r="L36" s="31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8"/>
    </row>
    <row r="37" spans="1:27" x14ac:dyDescent="0.45">
      <c r="A37" s="31"/>
      <c r="B37" s="17"/>
      <c r="C37" s="17"/>
      <c r="D37" s="17"/>
      <c r="E37" s="17"/>
      <c r="F37" s="17"/>
      <c r="G37" s="17"/>
      <c r="H37" s="17"/>
      <c r="I37" s="17"/>
      <c r="J37" s="17"/>
      <c r="K37" s="18"/>
      <c r="L37" s="31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8"/>
    </row>
    <row r="38" spans="1:27" x14ac:dyDescent="0.45">
      <c r="A38" s="31"/>
      <c r="B38" s="17"/>
      <c r="C38" s="17"/>
      <c r="D38" s="17"/>
      <c r="E38" s="17"/>
      <c r="F38" s="17"/>
      <c r="G38" s="17"/>
      <c r="H38" s="17"/>
      <c r="I38" s="17"/>
      <c r="J38" s="17"/>
      <c r="K38" s="18"/>
      <c r="L38" s="31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8"/>
    </row>
    <row r="39" spans="1:27" x14ac:dyDescent="0.45">
      <c r="A39" s="31"/>
      <c r="B39" s="17"/>
      <c r="C39" s="17"/>
      <c r="D39" s="17"/>
      <c r="E39" s="17"/>
      <c r="F39" s="17"/>
      <c r="G39" s="17"/>
      <c r="H39" s="17"/>
      <c r="I39" s="17"/>
      <c r="J39" s="17"/>
      <c r="K39" s="18"/>
      <c r="L39" s="31"/>
      <c r="M39" s="17"/>
      <c r="N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8"/>
    </row>
    <row r="40" spans="1:27" x14ac:dyDescent="0.45">
      <c r="A40" s="31"/>
      <c r="B40" s="17"/>
      <c r="C40" s="17"/>
      <c r="D40" s="17"/>
      <c r="E40" s="17"/>
      <c r="F40" s="17"/>
      <c r="G40" s="17"/>
      <c r="H40" s="17"/>
      <c r="I40" s="17"/>
      <c r="J40" s="17"/>
      <c r="K40" s="18"/>
      <c r="L40" s="31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8"/>
    </row>
    <row r="41" spans="1:27" x14ac:dyDescent="0.45">
      <c r="A41" s="31"/>
      <c r="B41" s="17"/>
      <c r="C41" s="17"/>
      <c r="D41" s="17"/>
      <c r="E41" s="17"/>
      <c r="F41" s="17"/>
      <c r="G41" s="17"/>
      <c r="H41" s="17"/>
      <c r="I41" s="17"/>
      <c r="J41" s="17"/>
      <c r="K41" s="18"/>
      <c r="L41" s="31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8"/>
    </row>
    <row r="42" spans="1:27" x14ac:dyDescent="0.45">
      <c r="A42" s="31"/>
      <c r="B42" s="17"/>
      <c r="C42" s="17"/>
      <c r="D42" s="17"/>
      <c r="E42" s="17"/>
      <c r="F42" s="17"/>
      <c r="G42" s="17"/>
      <c r="H42" s="17"/>
      <c r="I42" s="17"/>
      <c r="J42" s="17"/>
      <c r="K42" s="18"/>
      <c r="L42" s="31"/>
      <c r="M42" s="17"/>
      <c r="N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8"/>
    </row>
    <row r="43" spans="1:27" ht="14.65" thickBot="1" x14ac:dyDescent="0.5">
      <c r="A43" s="32"/>
      <c r="B43" s="33"/>
      <c r="C43" s="17"/>
      <c r="D43" s="17"/>
      <c r="E43" s="17"/>
      <c r="F43" s="17"/>
      <c r="G43" s="17"/>
      <c r="H43" s="17"/>
      <c r="I43" s="17"/>
      <c r="J43" s="17"/>
      <c r="K43" s="18"/>
      <c r="L43" s="31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8"/>
    </row>
    <row r="44" spans="1:27" x14ac:dyDescent="0.45">
      <c r="C44" s="17"/>
      <c r="D44" s="17"/>
      <c r="E44" s="17"/>
      <c r="F44" s="17"/>
      <c r="G44" s="17"/>
      <c r="H44" s="17"/>
      <c r="I44" s="17"/>
      <c r="J44" s="17"/>
      <c r="K44" s="18"/>
      <c r="L44" s="31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8"/>
    </row>
    <row r="45" spans="1:27" ht="14.65" thickBot="1" x14ac:dyDescent="0.5">
      <c r="C45" s="33"/>
      <c r="D45" s="33"/>
      <c r="E45" s="33"/>
      <c r="F45" s="33"/>
      <c r="G45" s="33"/>
      <c r="H45" s="33"/>
      <c r="I45" s="33"/>
      <c r="J45" s="33"/>
      <c r="K45" s="34"/>
      <c r="L45" s="32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4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AE36"/>
  <sheetViews>
    <sheetView tabSelected="1" zoomScale="70" zoomScaleNormal="70" workbookViewId="0">
      <selection activeCell="K38" sqref="K38"/>
    </sheetView>
  </sheetViews>
  <sheetFormatPr defaultColWidth="9.1328125" defaultRowHeight="14.25" x14ac:dyDescent="0.45"/>
  <cols>
    <col min="1" max="1" width="9.265625" style="114" bestFit="1" customWidth="1"/>
    <col min="2" max="2" width="5.59765625" style="114" bestFit="1" customWidth="1"/>
    <col min="3" max="3" width="30.86328125" style="114" bestFit="1" customWidth="1"/>
    <col min="4" max="4" width="10.86328125" style="140" bestFit="1" customWidth="1"/>
    <col min="5" max="5" width="12.265625" style="114" bestFit="1" customWidth="1"/>
    <col min="6" max="6" width="6.3984375" style="140" bestFit="1" customWidth="1"/>
    <col min="7" max="7" width="13.3984375" style="114" bestFit="1" customWidth="1"/>
    <col min="8" max="8" width="12.73046875" style="114" bestFit="1" customWidth="1"/>
    <col min="9" max="9" width="13.59765625" style="114" bestFit="1" customWidth="1"/>
    <col min="10" max="10" width="14.59765625" style="114" bestFit="1" customWidth="1"/>
    <col min="11" max="11" width="11.265625" style="114" bestFit="1" customWidth="1"/>
    <col min="12" max="12" width="15.1328125" style="114" customWidth="1"/>
    <col min="13" max="13" width="11.3984375" style="114" bestFit="1" customWidth="1"/>
    <col min="14" max="14" width="13.59765625" style="114" bestFit="1" customWidth="1"/>
    <col min="15" max="15" width="14.59765625" style="140" customWidth="1"/>
    <col min="16" max="16" width="12.1328125" style="114" customWidth="1"/>
    <col min="17" max="17" width="16.3984375" style="114" customWidth="1"/>
    <col min="18" max="18" width="13.3984375" style="114" bestFit="1" customWidth="1"/>
    <col min="19" max="19" width="11.1328125" style="114" customWidth="1"/>
    <col min="20" max="20" width="14.59765625" style="114" customWidth="1"/>
    <col min="21" max="21" width="20.265625" style="140" bestFit="1" customWidth="1"/>
    <col min="22" max="22" width="40.59765625" style="114" bestFit="1" customWidth="1"/>
    <col min="23" max="23" width="7.73046875" style="114" bestFit="1" customWidth="1"/>
    <col min="24" max="24" width="23.3984375" style="114" bestFit="1" customWidth="1"/>
    <col min="25" max="16384" width="9.1328125" style="114"/>
  </cols>
  <sheetData>
    <row r="1" spans="1:23" x14ac:dyDescent="0.45">
      <c r="A1" s="376" t="s">
        <v>111</v>
      </c>
      <c r="B1" s="368" t="s">
        <v>31</v>
      </c>
      <c r="C1" s="368" t="s">
        <v>118</v>
      </c>
      <c r="D1" s="368" t="s">
        <v>108</v>
      </c>
      <c r="E1" s="368" t="s">
        <v>117</v>
      </c>
      <c r="F1" s="185"/>
      <c r="G1" s="378" t="s">
        <v>204</v>
      </c>
      <c r="H1" s="362" t="s">
        <v>90</v>
      </c>
      <c r="I1" s="362"/>
      <c r="J1" s="362"/>
      <c r="K1" s="363"/>
      <c r="L1" s="361" t="s">
        <v>302</v>
      </c>
      <c r="M1" s="362"/>
      <c r="N1" s="363"/>
      <c r="O1" s="374" t="s">
        <v>285</v>
      </c>
      <c r="P1" s="366" t="s">
        <v>227</v>
      </c>
      <c r="Q1" s="366" t="s">
        <v>228</v>
      </c>
      <c r="R1" s="250"/>
      <c r="S1" s="250"/>
      <c r="U1" s="114"/>
    </row>
    <row r="2" spans="1:23" x14ac:dyDescent="0.45">
      <c r="A2" s="376"/>
      <c r="B2" s="368"/>
      <c r="C2" s="368"/>
      <c r="D2" s="368"/>
      <c r="E2" s="368"/>
      <c r="F2" s="185" t="s">
        <v>224</v>
      </c>
      <c r="G2" s="379"/>
      <c r="H2" s="370" t="s">
        <v>114</v>
      </c>
      <c r="I2" s="371"/>
      <c r="J2" s="372" t="s">
        <v>112</v>
      </c>
      <c r="K2" s="373"/>
      <c r="L2" s="358" t="s">
        <v>110</v>
      </c>
      <c r="M2" s="359"/>
      <c r="N2" s="364" t="s">
        <v>205</v>
      </c>
      <c r="O2" s="374"/>
      <c r="P2" s="366"/>
      <c r="Q2" s="366"/>
      <c r="R2" s="250"/>
      <c r="S2" s="250"/>
      <c r="U2" s="114"/>
    </row>
    <row r="3" spans="1:23" ht="14.65" thickBot="1" x14ac:dyDescent="0.5">
      <c r="A3" s="377"/>
      <c r="B3" s="369"/>
      <c r="C3" s="369"/>
      <c r="D3" s="369"/>
      <c r="E3" s="369"/>
      <c r="F3" s="186"/>
      <c r="G3" s="380"/>
      <c r="H3" s="179" t="s">
        <v>41</v>
      </c>
      <c r="I3" s="180" t="s">
        <v>113</v>
      </c>
      <c r="J3" s="181" t="s">
        <v>41</v>
      </c>
      <c r="K3" s="182" t="s">
        <v>113</v>
      </c>
      <c r="L3" s="183" t="s">
        <v>106</v>
      </c>
      <c r="M3" s="180" t="s">
        <v>107</v>
      </c>
      <c r="N3" s="365"/>
      <c r="O3" s="375"/>
      <c r="P3" s="367"/>
      <c r="Q3" s="367"/>
      <c r="R3" s="250"/>
      <c r="S3" s="250"/>
      <c r="U3" s="114"/>
    </row>
    <row r="4" spans="1:23" x14ac:dyDescent="0.45">
      <c r="A4" s="224" t="s">
        <v>130</v>
      </c>
      <c r="B4" s="224" t="s">
        <v>43</v>
      </c>
      <c r="C4" s="224" t="s">
        <v>119</v>
      </c>
      <c r="D4" s="224">
        <v>236058559</v>
      </c>
      <c r="E4" s="224">
        <v>22512633</v>
      </c>
      <c r="F4" s="233">
        <v>240</v>
      </c>
      <c r="G4" s="143">
        <v>1951735.21458922</v>
      </c>
      <c r="H4" s="142">
        <v>27545920</v>
      </c>
      <c r="I4" s="142">
        <f>H4/61.48375</f>
        <v>448019.51735214586</v>
      </c>
      <c r="J4" s="142">
        <f>'Vanilla call 236058559'!B17</f>
        <v>27532319.524332181</v>
      </c>
      <c r="K4" s="149">
        <f>'Vanilla call 236058559'!B18</f>
        <v>447798.31295801216</v>
      </c>
      <c r="L4" s="225">
        <f>VLOOKUP($D4,'NmxCVA MTM'!D:F,2,0)</f>
        <v>443036.474293662</v>
      </c>
      <c r="M4" s="225">
        <f>VLOOKUP($D4,'NmxCVA MTM'!D:F,3,0)</f>
        <v>446536.75856059103</v>
      </c>
      <c r="N4" s="149">
        <f>'Vanilla call 236058559'!M18</f>
        <v>452182.30372507859</v>
      </c>
      <c r="O4" s="229">
        <f>(N4-K4)/N4</f>
        <v>9.6951842895024905E-3</v>
      </c>
      <c r="P4" s="150">
        <f>(N4-M4)*100/N4</f>
        <v>1.2485108590007938</v>
      </c>
      <c r="Q4" s="226">
        <f t="shared" ref="Q4:Q18" si="0">(M4/I4-1)</f>
        <v>-3.3095852616380483E-3</v>
      </c>
      <c r="R4" s="226"/>
      <c r="S4" s="226"/>
      <c r="U4" s="356" t="s">
        <v>193</v>
      </c>
      <c r="V4" s="357"/>
    </row>
    <row r="5" spans="1:23" x14ac:dyDescent="0.45">
      <c r="A5" s="224" t="s">
        <v>130</v>
      </c>
      <c r="B5" s="224" t="s">
        <v>129</v>
      </c>
      <c r="C5" s="227" t="s">
        <v>129</v>
      </c>
      <c r="D5" s="224">
        <v>236058565</v>
      </c>
      <c r="E5" s="224">
        <v>22512638</v>
      </c>
      <c r="F5" s="233">
        <v>240</v>
      </c>
      <c r="G5" s="143">
        <v>1951735.21458922</v>
      </c>
      <c r="H5" s="142">
        <v>14448361</v>
      </c>
      <c r="I5" s="142">
        <f>H5/61.48375</f>
        <v>234994.79130664608</v>
      </c>
      <c r="J5" s="142">
        <f>'Vanilla put 236058565'!B20</f>
        <v>14443518.144358894</v>
      </c>
      <c r="K5" s="149">
        <f>'Vanilla put 236058565'!B22</f>
        <v>234916.02487419674</v>
      </c>
      <c r="L5" s="225">
        <f>VLOOKUP($D5,'NmxCVA MTM'!D:F,2,0)</f>
        <v>233382.100162149</v>
      </c>
      <c r="M5" s="225">
        <f>VLOOKUP($D5,'NmxCVA MTM'!D:F,3,0)</f>
        <v>234476.388848414</v>
      </c>
      <c r="N5" s="149">
        <f>'Vanilla put 236058565'!M22</f>
        <v>239724.85545315521</v>
      </c>
      <c r="O5" s="229">
        <f t="shared" ref="O5:O18" si="1">(N5-K5)/N5</f>
        <v>2.0059791338150026E-2</v>
      </c>
      <c r="P5" s="150">
        <f t="shared" ref="P5:P18" si="2">(N5-M5)*100/N5</f>
        <v>2.1893710582575818</v>
      </c>
      <c r="Q5" s="226">
        <f t="shared" si="0"/>
        <v>-2.2060168029665039E-3</v>
      </c>
      <c r="R5" s="226"/>
      <c r="S5" s="226"/>
      <c r="U5" s="144" t="s">
        <v>194</v>
      </c>
      <c r="V5" s="145" t="s">
        <v>303</v>
      </c>
    </row>
    <row r="6" spans="1:23" ht="14.65" thickBot="1" x14ac:dyDescent="0.5">
      <c r="A6" s="224" t="s">
        <v>130</v>
      </c>
      <c r="B6" s="224" t="s">
        <v>43</v>
      </c>
      <c r="C6" s="224" t="s">
        <v>126</v>
      </c>
      <c r="D6" s="224">
        <v>236058581</v>
      </c>
      <c r="E6" s="224">
        <v>22512650</v>
      </c>
      <c r="F6" s="233">
        <v>4</v>
      </c>
      <c r="G6" s="143">
        <v>2000000</v>
      </c>
      <c r="H6" s="142"/>
      <c r="I6" s="142">
        <v>459908</v>
      </c>
      <c r="J6" s="142">
        <f>K6*61.48375</f>
        <v>28082576.446976863</v>
      </c>
      <c r="K6" s="149">
        <f>'Van quanto 236058581'!B20</f>
        <v>456747.9447329882</v>
      </c>
      <c r="L6" s="225">
        <f>VLOOKUP($D6,'NmxCVA MTM'!D:F,2,0)</f>
        <v>0</v>
      </c>
      <c r="M6" s="225">
        <f>VLOOKUP($D6,'NmxCVA MTM'!D:F,3,0)</f>
        <v>468333.66745415801</v>
      </c>
      <c r="N6" s="149">
        <f>'Van quanto 236058581'!N21</f>
        <v>463830.19727330585</v>
      </c>
      <c r="O6" s="229">
        <f t="shared" si="1"/>
        <v>1.526906307944528E-2</v>
      </c>
      <c r="P6" s="150">
        <f t="shared" si="2"/>
        <v>-0.97093078616409134</v>
      </c>
      <c r="Q6" s="226">
        <f t="shared" si="0"/>
        <v>1.8320332445093346E-2</v>
      </c>
      <c r="R6" s="226"/>
      <c r="S6" s="226"/>
      <c r="U6" s="146">
        <f>M4-M5</f>
        <v>212060.36971217702</v>
      </c>
      <c r="V6" s="147">
        <f>'Vanilla call 236058559'!M11*('Vanilla call 236058559'!M5*EXP(('Vanilla call 236058559'!M9-'Vanilla call 236058559'!M8)*'Vanilla call 236058559'!M10)-'Vanilla call 236058559'!M6*EXP(-'Vanilla call 236058559'!M8*'Vanilla call 236058559'!M10))/'Vanilla call 236058559'!M23</f>
        <v>212457.44827192338</v>
      </c>
      <c r="W6" s="205"/>
    </row>
    <row r="7" spans="1:23" x14ac:dyDescent="0.45">
      <c r="A7" s="224" t="s">
        <v>130</v>
      </c>
      <c r="B7" s="224" t="s">
        <v>43</v>
      </c>
      <c r="C7" s="227" t="s">
        <v>229</v>
      </c>
      <c r="D7" s="224">
        <v>236058562</v>
      </c>
      <c r="E7" s="224">
        <v>22512635</v>
      </c>
      <c r="F7" s="233">
        <v>240</v>
      </c>
      <c r="G7" s="143">
        <v>1951735.21458922</v>
      </c>
      <c r="H7" s="142">
        <v>27537224.965981402</v>
      </c>
      <c r="I7" s="142">
        <f>H7/61.48375</f>
        <v>447878.09731809463</v>
      </c>
      <c r="J7" s="142"/>
      <c r="K7" s="149"/>
      <c r="L7" s="225">
        <f>VLOOKUP($D7,'NmxCVA MTM'!D:F,2,0)</f>
        <v>443036.474293662</v>
      </c>
      <c r="M7" s="225">
        <f>VLOOKUP($D7,'NmxCVA MTM'!D:F,3,0)</f>
        <v>446536.75856059103</v>
      </c>
      <c r="N7" s="149"/>
      <c r="O7" s="229"/>
      <c r="P7" s="150"/>
      <c r="Q7" s="226">
        <f t="shared" si="0"/>
        <v>-2.994874644541845E-3</v>
      </c>
      <c r="R7" s="226"/>
      <c r="S7" s="226"/>
      <c r="U7" s="114"/>
      <c r="V7" s="201"/>
    </row>
    <row r="8" spans="1:23" x14ac:dyDescent="0.45">
      <c r="A8" s="224" t="s">
        <v>130</v>
      </c>
      <c r="B8" s="224" t="s">
        <v>43</v>
      </c>
      <c r="C8" s="227" t="s">
        <v>230</v>
      </c>
      <c r="D8" s="224">
        <v>236058563</v>
      </c>
      <c r="E8" s="224">
        <v>22512636</v>
      </c>
      <c r="F8" s="233">
        <v>240</v>
      </c>
      <c r="G8" s="143">
        <v>1951735.21458922</v>
      </c>
      <c r="H8" s="142">
        <v>27537224.965981402</v>
      </c>
      <c r="I8" s="142">
        <f>H8/61.48375</f>
        <v>447878.09731809463</v>
      </c>
      <c r="J8" s="142"/>
      <c r="K8" s="149"/>
      <c r="L8" s="225">
        <f>VLOOKUP($D8,'NmxCVA MTM'!D:F,2,0)</f>
        <v>443036.474293662</v>
      </c>
      <c r="M8" s="225">
        <f>VLOOKUP($D8,'NmxCVA MTM'!D:F,3,0)</f>
        <v>446536.75856059103</v>
      </c>
      <c r="N8" s="149"/>
      <c r="O8" s="229"/>
      <c r="P8" s="150"/>
      <c r="Q8" s="226">
        <f t="shared" si="0"/>
        <v>-2.994874644541845E-3</v>
      </c>
      <c r="R8" s="226"/>
      <c r="S8" s="226"/>
      <c r="U8" s="114"/>
    </row>
    <row r="9" spans="1:23" x14ac:dyDescent="0.45">
      <c r="A9" s="224" t="s">
        <v>130</v>
      </c>
      <c r="B9" s="224" t="s">
        <v>43</v>
      </c>
      <c r="C9" s="227" t="s">
        <v>231</v>
      </c>
      <c r="D9" s="224">
        <v>236058564</v>
      </c>
      <c r="E9" s="224">
        <v>22512637</v>
      </c>
      <c r="F9" s="233">
        <v>240</v>
      </c>
      <c r="G9" s="143">
        <v>1951735.21458922</v>
      </c>
      <c r="H9" s="142">
        <v>28470330.425844699</v>
      </c>
      <c r="I9" s="142">
        <f>H9/61.48375</f>
        <v>463054.55385926686</v>
      </c>
      <c r="J9" s="142"/>
      <c r="K9" s="149"/>
      <c r="L9" s="225">
        <f>VLOOKUP($D9,'NmxCVA MTM'!D:F,2,0)</f>
        <v>443036.474293662</v>
      </c>
      <c r="M9" s="225">
        <f>VLOOKUP($D9,'NmxCVA MTM'!D:F,3,0)</f>
        <v>446536.75856059103</v>
      </c>
      <c r="N9" s="149"/>
      <c r="O9" s="229"/>
      <c r="P9" s="150"/>
      <c r="Q9" s="226">
        <f t="shared" si="0"/>
        <v>-3.567138074987164E-2</v>
      </c>
      <c r="R9" s="226"/>
      <c r="S9" s="226"/>
      <c r="U9" s="114"/>
    </row>
    <row r="10" spans="1:23" x14ac:dyDescent="0.45">
      <c r="A10" s="224" t="s">
        <v>130</v>
      </c>
      <c r="B10" s="224" t="s">
        <v>43</v>
      </c>
      <c r="C10" s="227" t="s">
        <v>232</v>
      </c>
      <c r="D10" s="224">
        <v>236058566</v>
      </c>
      <c r="E10" s="224">
        <v>22512639</v>
      </c>
      <c r="F10" s="233">
        <v>240</v>
      </c>
      <c r="G10" s="143">
        <v>1951735.21458922</v>
      </c>
      <c r="H10" s="142">
        <v>27545920.424338698</v>
      </c>
      <c r="I10" s="142">
        <f>H10/61.48375</f>
        <v>448019.52425378573</v>
      </c>
      <c r="J10" s="142"/>
      <c r="K10" s="149"/>
      <c r="L10" s="225">
        <f>VLOOKUP($D10,'NmxCVA MTM'!D:F,2,0)</f>
        <v>443036.474293662</v>
      </c>
      <c r="M10" s="225">
        <f>VLOOKUP($D10,'NmxCVA MTM'!D:F,3,0)</f>
        <v>446536.75856059103</v>
      </c>
      <c r="N10" s="149"/>
      <c r="O10" s="229"/>
      <c r="P10" s="150"/>
      <c r="Q10" s="226">
        <f t="shared" si="0"/>
        <v>-3.3096006154293978E-3</v>
      </c>
      <c r="R10" s="226"/>
      <c r="S10" s="226"/>
      <c r="U10" s="114"/>
    </row>
    <row r="11" spans="1:23" x14ac:dyDescent="0.45">
      <c r="A11" s="224" t="s">
        <v>130</v>
      </c>
      <c r="B11" s="224" t="s">
        <v>43</v>
      </c>
      <c r="C11" s="224" t="s">
        <v>125</v>
      </c>
      <c r="D11" s="224">
        <v>236058569</v>
      </c>
      <c r="E11" s="224">
        <v>22512640</v>
      </c>
      <c r="F11" s="233">
        <v>4</v>
      </c>
      <c r="G11" s="143">
        <v>2000000</v>
      </c>
      <c r="H11" s="142"/>
      <c r="I11" s="142">
        <v>368622.72420126799</v>
      </c>
      <c r="J11" s="142">
        <f>K11*61.48375</f>
        <v>22653515.977588385</v>
      </c>
      <c r="K11" s="149">
        <f>'Van composite 236058569'!B18</f>
        <v>368447.20723099005</v>
      </c>
      <c r="L11" s="225">
        <f>VLOOKUP($D11,'NmxCVA MTM'!D:F,2,0)</f>
        <v>0</v>
      </c>
      <c r="M11" s="225">
        <f>VLOOKUP($D11,'NmxCVA MTM'!D:F,3,0)</f>
        <v>359198.313853984</v>
      </c>
      <c r="N11" s="149">
        <f>'Van composite 236058569'!N20</f>
        <v>358432.42396387918</v>
      </c>
      <c r="O11" s="229">
        <f t="shared" si="1"/>
        <v>-2.7940505929564315E-2</v>
      </c>
      <c r="P11" s="150">
        <f t="shared" si="2"/>
        <v>-0.21367762481834104</v>
      </c>
      <c r="Q11" s="226">
        <f t="shared" si="0"/>
        <v>-2.5566547389895167E-2</v>
      </c>
      <c r="R11" s="226"/>
      <c r="S11" s="226"/>
      <c r="U11" s="114"/>
    </row>
    <row r="12" spans="1:23" ht="14.65" thickBot="1" x14ac:dyDescent="0.5">
      <c r="A12" s="224" t="s">
        <v>130</v>
      </c>
      <c r="B12" s="224" t="s">
        <v>43</v>
      </c>
      <c r="C12" s="224" t="s">
        <v>127</v>
      </c>
      <c r="D12" s="224">
        <v>236058571</v>
      </c>
      <c r="E12" s="224">
        <v>22512642</v>
      </c>
      <c r="F12" s="233">
        <v>4</v>
      </c>
      <c r="G12" s="143">
        <v>2000000</v>
      </c>
      <c r="H12" s="142"/>
      <c r="I12" s="142">
        <v>469777.13126097899</v>
      </c>
      <c r="J12" s="142">
        <f>K12*61.48375</f>
        <v>28082576.446976863</v>
      </c>
      <c r="K12" s="149">
        <f>'Van quanto 236058581'!B20</f>
        <v>456747.9447329882</v>
      </c>
      <c r="L12" s="225">
        <f>VLOOKUP($D12,'NmxCVA MTM'!D:F,2,0)</f>
        <v>0</v>
      </c>
      <c r="M12" s="225">
        <f>VLOOKUP($D12,'NmxCVA MTM'!D:F,3,0)</f>
        <v>468333.66745415801</v>
      </c>
      <c r="N12" s="149">
        <f>'Van quanto 236058581'!N21</f>
        <v>463830.19727330585</v>
      </c>
      <c r="O12" s="229">
        <f t="shared" si="1"/>
        <v>1.526906307944528E-2</v>
      </c>
      <c r="P12" s="150">
        <f t="shared" si="2"/>
        <v>-0.97093078616409134</v>
      </c>
      <c r="Q12" s="226">
        <f t="shared" si="0"/>
        <v>-3.0726566083504325E-3</v>
      </c>
      <c r="R12" s="226"/>
      <c r="S12" s="226"/>
      <c r="U12" s="114"/>
    </row>
    <row r="13" spans="1:23" x14ac:dyDescent="0.45">
      <c r="A13" s="224" t="s">
        <v>131</v>
      </c>
      <c r="B13" s="224" t="s">
        <v>43</v>
      </c>
      <c r="C13" s="224" t="s">
        <v>119</v>
      </c>
      <c r="D13" s="224">
        <v>236058505</v>
      </c>
      <c r="E13" s="224">
        <v>22512344</v>
      </c>
      <c r="F13" s="233">
        <v>240</v>
      </c>
      <c r="G13" s="143">
        <f>20000000/61.48375</f>
        <v>325289.2024315368</v>
      </c>
      <c r="H13" s="142">
        <v>11946473</v>
      </c>
      <c r="I13" s="142">
        <f>H13/61.48375</f>
        <v>194302.93370199442</v>
      </c>
      <c r="J13" s="142">
        <f>'Dig call 236058505'!B27</f>
        <v>11828630.851699842</v>
      </c>
      <c r="K13" s="149">
        <f>'Dig call 236058505'!B28</f>
        <v>192386.29478032555</v>
      </c>
      <c r="L13" s="225">
        <f>VLOOKUP($D13,'NmxCVA MTM'!D:F,2,0)</f>
        <v>0</v>
      </c>
      <c r="M13" s="225">
        <f>VLOOKUP($D13,'NmxCVA MTM'!D:F,3,0)</f>
        <v>182111.69334685299</v>
      </c>
      <c r="N13" s="149">
        <f>'Dig call 236058505'!M20</f>
        <v>175170.95807319449</v>
      </c>
      <c r="O13" s="229">
        <f t="shared" si="1"/>
        <v>-9.8277345151801379E-2</v>
      </c>
      <c r="P13" s="150">
        <f t="shared" si="2"/>
        <v>-3.9622636937102</v>
      </c>
      <c r="Q13" s="240">
        <f t="shared" si="0"/>
        <v>-6.2743470326800832E-2</v>
      </c>
      <c r="R13" s="140"/>
      <c r="S13" s="140"/>
      <c r="U13" s="354" t="s">
        <v>197</v>
      </c>
      <c r="V13" s="355"/>
    </row>
    <row r="14" spans="1:23" x14ac:dyDescent="0.45">
      <c r="A14" s="224" t="s">
        <v>131</v>
      </c>
      <c r="B14" s="224" t="s">
        <v>129</v>
      </c>
      <c r="C14" s="227" t="s">
        <v>129</v>
      </c>
      <c r="D14" s="224">
        <v>236058508</v>
      </c>
      <c r="E14" s="224">
        <v>22512347</v>
      </c>
      <c r="F14" s="233">
        <v>240</v>
      </c>
      <c r="G14" s="143">
        <f>20000000/61.48375</f>
        <v>325289.2024315368</v>
      </c>
      <c r="H14" s="142">
        <v>4917932</v>
      </c>
      <c r="I14" s="142">
        <f>H14/61.48375</f>
        <v>79987.508894626633</v>
      </c>
      <c r="J14" s="142">
        <f>'Dig put 236058508'!B17</f>
        <v>6720222.7267905138</v>
      </c>
      <c r="K14" s="149">
        <f>'Dig put 236058508'!B18</f>
        <v>109300.79454799868</v>
      </c>
      <c r="L14" s="225">
        <f>VLOOKUP($D14,'NmxCVA MTM'!D:F,2,0)</f>
        <v>0</v>
      </c>
      <c r="M14" s="225">
        <f>VLOOKUP($D14,'NmxCVA MTM'!D:F,3,0)</f>
        <v>96293.341389395995</v>
      </c>
      <c r="N14" s="149">
        <f>'Dig put 236058508'!M20</f>
        <v>103263.8815276627</v>
      </c>
      <c r="O14" s="229">
        <f t="shared" si="1"/>
        <v>-5.846103139865793E-2</v>
      </c>
      <c r="P14" s="150">
        <f t="shared" si="2"/>
        <v>6.7502209244375635</v>
      </c>
      <c r="Q14" s="240">
        <f t="shared" si="0"/>
        <v>0.20385473582194225</v>
      </c>
      <c r="R14" s="140"/>
      <c r="S14" s="140"/>
      <c r="U14" s="144" t="s">
        <v>195</v>
      </c>
      <c r="V14" s="145" t="s">
        <v>196</v>
      </c>
    </row>
    <row r="15" spans="1:23" ht="14.65" thickBot="1" x14ac:dyDescent="0.5">
      <c r="A15" s="224" t="s">
        <v>131</v>
      </c>
      <c r="B15" s="224" t="s">
        <v>43</v>
      </c>
      <c r="C15" s="227" t="s">
        <v>233</v>
      </c>
      <c r="D15" s="224">
        <v>236058506</v>
      </c>
      <c r="E15" s="224">
        <v>22512345</v>
      </c>
      <c r="F15" s="233">
        <v>240</v>
      </c>
      <c r="G15" s="143">
        <f>20000000/61.48375</f>
        <v>325289.2024315368</v>
      </c>
      <c r="H15" s="142">
        <v>12202828.529136799</v>
      </c>
      <c r="I15" s="142">
        <f>H15/61.48375</f>
        <v>198472.41798258564</v>
      </c>
      <c r="J15" s="142"/>
      <c r="K15" s="149"/>
      <c r="L15" s="225">
        <f>VLOOKUP($D15,'NmxCVA MTM'!D:F,2,0)</f>
        <v>0</v>
      </c>
      <c r="M15" s="225">
        <f>VLOOKUP($D15,'NmxCVA MTM'!D:F,3,0)</f>
        <v>182111.69334685299</v>
      </c>
      <c r="N15" s="149"/>
      <c r="O15" s="229"/>
      <c r="P15" s="150"/>
      <c r="Q15" s="240">
        <f t="shared" si="0"/>
        <v>-8.2433240860542045E-2</v>
      </c>
      <c r="R15" s="140"/>
      <c r="S15" s="140"/>
      <c r="U15" s="146">
        <f>M13+M14</f>
        <v>278405.03473624901</v>
      </c>
      <c r="V15" s="147">
        <f>'Dig call 236058505'!M11*EXP(-'Dig call 236058505'!M8*'Dig call 236058505'!M10)/'Dig call 236058505'!M25</f>
        <v>278434.83960085717</v>
      </c>
    </row>
    <row r="16" spans="1:23" ht="15.75" customHeight="1" x14ac:dyDescent="0.45">
      <c r="A16" s="224" t="s">
        <v>131</v>
      </c>
      <c r="B16" s="224" t="s">
        <v>43</v>
      </c>
      <c r="C16" s="227" t="s">
        <v>231</v>
      </c>
      <c r="D16" s="224">
        <v>236058507</v>
      </c>
      <c r="E16" s="224">
        <v>22512346</v>
      </c>
      <c r="F16" s="233">
        <v>240</v>
      </c>
      <c r="G16" s="143">
        <f>20000000/61.48375</f>
        <v>325289.2024315368</v>
      </c>
      <c r="H16" s="142">
        <v>12592013.2137092</v>
      </c>
      <c r="I16" s="142">
        <f>H16/61.48375</f>
        <v>204802.29676474188</v>
      </c>
      <c r="J16" s="142"/>
      <c r="K16" s="149"/>
      <c r="L16" s="225">
        <f>VLOOKUP($D16,'NmxCVA MTM'!D:F,2,0)</f>
        <v>0</v>
      </c>
      <c r="M16" s="225">
        <f>VLOOKUP($D16,'NmxCVA MTM'!D:F,3,0)</f>
        <v>182111.69334685299</v>
      </c>
      <c r="N16" s="149"/>
      <c r="O16" s="229"/>
      <c r="P16" s="150"/>
      <c r="Q16" s="240">
        <f t="shared" si="0"/>
        <v>-0.11079271949744673</v>
      </c>
      <c r="R16" s="140"/>
      <c r="S16" s="140"/>
      <c r="U16" s="114"/>
    </row>
    <row r="17" spans="1:31" x14ac:dyDescent="0.45">
      <c r="A17" s="224" t="s">
        <v>131</v>
      </c>
      <c r="B17" s="224" t="s">
        <v>43</v>
      </c>
      <c r="C17" s="224" t="s">
        <v>126</v>
      </c>
      <c r="D17" s="224">
        <v>236058511</v>
      </c>
      <c r="E17" s="224">
        <v>22512465</v>
      </c>
      <c r="F17" s="233">
        <v>4</v>
      </c>
      <c r="G17" s="143">
        <v>400000</v>
      </c>
      <c r="H17" s="142"/>
      <c r="I17" s="142">
        <v>208582.47505430301</v>
      </c>
      <c r="J17" s="142">
        <f>K17*61.48375</f>
        <v>11055293.72322081</v>
      </c>
      <c r="K17" s="149">
        <f>'Dig quanto 236058511'!B20</f>
        <v>179808.38389364359</v>
      </c>
      <c r="L17" s="225">
        <f>VLOOKUP($D17,'NmxCVA MTM'!D:F,2,0)</f>
        <v>0</v>
      </c>
      <c r="M17" s="225">
        <f>VLOOKUP($D17,'NmxCVA MTM'!D:F,3,0)</f>
        <v>202843.92951742801</v>
      </c>
      <c r="N17" s="149">
        <f>'Dig quanto 236058511'!N21</f>
        <v>182602.36583553505</v>
      </c>
      <c r="O17" s="229">
        <f t="shared" si="1"/>
        <v>1.5300907680505732E-2</v>
      </c>
      <c r="P17" s="150">
        <f t="shared" si="2"/>
        <v>-11.085050070010585</v>
      </c>
      <c r="Q17" s="226">
        <f t="shared" si="0"/>
        <v>-2.7512117378897805E-2</v>
      </c>
      <c r="R17" s="226"/>
      <c r="S17" s="226"/>
      <c r="U17" s="114"/>
    </row>
    <row r="18" spans="1:31" x14ac:dyDescent="0.45">
      <c r="A18" s="224" t="s">
        <v>131</v>
      </c>
      <c r="B18" s="224" t="s">
        <v>43</v>
      </c>
      <c r="C18" s="224" t="s">
        <v>125</v>
      </c>
      <c r="D18" s="224">
        <v>236058512</v>
      </c>
      <c r="E18" s="224">
        <v>22512466</v>
      </c>
      <c r="F18" s="233">
        <v>4</v>
      </c>
      <c r="G18" s="143">
        <v>400000</v>
      </c>
      <c r="H18" s="142"/>
      <c r="I18" s="142">
        <v>172244.939133087</v>
      </c>
      <c r="J18" s="142">
        <f>K18*61.48375</f>
        <v>9051807.0924350005</v>
      </c>
      <c r="K18" s="149">
        <f>'Dig composite 236058512'!B19</f>
        <v>147222.75548311547</v>
      </c>
      <c r="L18" s="225">
        <f>VLOOKUP($D18,'NmxCVA MTM'!D:F,2,0)</f>
        <v>0</v>
      </c>
      <c r="M18" s="225">
        <f>VLOOKUP($D18,'NmxCVA MTM'!D:F,3,0)</f>
        <v>170838.50086382101</v>
      </c>
      <c r="N18" s="149">
        <f>'Dig composite 236058512'!N20</f>
        <v>148799.66313081264</v>
      </c>
      <c r="O18" s="229">
        <f t="shared" si="1"/>
        <v>1.0597521624164417E-2</v>
      </c>
      <c r="P18" s="150">
        <f t="shared" si="2"/>
        <v>-14.811080394472139</v>
      </c>
      <c r="Q18" s="226">
        <f t="shared" si="0"/>
        <v>-8.165338710934722E-3</v>
      </c>
      <c r="R18" s="226"/>
      <c r="S18" s="226"/>
      <c r="T18" s="140"/>
      <c r="U18" s="114"/>
    </row>
    <row r="20" spans="1:31" s="296" customFormat="1" x14ac:dyDescent="0.45">
      <c r="A20" s="336" t="s">
        <v>111</v>
      </c>
      <c r="B20" s="336" t="s">
        <v>31</v>
      </c>
      <c r="C20" s="336" t="s">
        <v>118</v>
      </c>
      <c r="D20" s="342" t="s">
        <v>117</v>
      </c>
      <c r="E20" s="342" t="s">
        <v>239</v>
      </c>
      <c r="F20" s="340" t="s">
        <v>240</v>
      </c>
      <c r="G20" s="338" t="s">
        <v>241</v>
      </c>
      <c r="H20" s="344" t="s">
        <v>311</v>
      </c>
      <c r="I20" s="346" t="s">
        <v>312</v>
      </c>
      <c r="J20" s="348" t="s">
        <v>228</v>
      </c>
      <c r="K20" s="344" t="s">
        <v>310</v>
      </c>
      <c r="L20" s="352" t="s">
        <v>278</v>
      </c>
      <c r="M20" s="353"/>
      <c r="N20" s="350" t="s">
        <v>301</v>
      </c>
      <c r="O20" s="338" t="s">
        <v>228</v>
      </c>
      <c r="P20" s="344" t="s">
        <v>336</v>
      </c>
      <c r="Q20" s="352" t="s">
        <v>278</v>
      </c>
      <c r="R20" s="353"/>
      <c r="S20" s="360" t="s">
        <v>301</v>
      </c>
      <c r="T20" s="360" t="s">
        <v>228</v>
      </c>
    </row>
    <row r="21" spans="1:31" s="253" customFormat="1" x14ac:dyDescent="0.45">
      <c r="A21" s="337"/>
      <c r="B21" s="337"/>
      <c r="C21" s="337"/>
      <c r="D21" s="343"/>
      <c r="E21" s="343"/>
      <c r="F21" s="341"/>
      <c r="G21" s="339"/>
      <c r="H21" s="345"/>
      <c r="I21" s="347"/>
      <c r="J21" s="349"/>
      <c r="K21" s="345"/>
      <c r="L21" s="290" t="s">
        <v>279</v>
      </c>
      <c r="M21" s="290" t="s">
        <v>300</v>
      </c>
      <c r="N21" s="351"/>
      <c r="O21" s="339"/>
      <c r="P21" s="345"/>
      <c r="Q21" s="290" t="s">
        <v>284</v>
      </c>
      <c r="R21" s="290" t="s">
        <v>249</v>
      </c>
      <c r="S21" s="360"/>
      <c r="T21" s="360"/>
      <c r="U21" s="251"/>
      <c r="V21" s="252"/>
      <c r="W21" s="252"/>
      <c r="Z21" s="254"/>
      <c r="AA21" s="254"/>
      <c r="AB21" s="254"/>
      <c r="AC21" s="254"/>
      <c r="AD21" s="254"/>
    </row>
    <row r="22" spans="1:31" x14ac:dyDescent="0.45">
      <c r="A22" s="208" t="s">
        <v>130</v>
      </c>
      <c r="B22" s="208" t="s">
        <v>43</v>
      </c>
      <c r="C22" s="208" t="s">
        <v>119</v>
      </c>
      <c r="D22" s="242">
        <v>22512633</v>
      </c>
      <c r="E22" s="242">
        <v>236058559</v>
      </c>
      <c r="F22" s="223">
        <v>27.59</v>
      </c>
      <c r="G22" s="298">
        <v>500000</v>
      </c>
      <c r="H22" s="297">
        <f>VLOOKUP(E22,$D$4:$N$18,6,0)</f>
        <v>448019.51735214586</v>
      </c>
      <c r="I22" s="291">
        <f>VLOOKUP(E22,$D$4:$N$18,10,0)</f>
        <v>446536.75856059103</v>
      </c>
      <c r="J22" s="299">
        <f>IFERROR(ABS(1-I22/H22),0)</f>
        <v>3.3095852616380483E-3</v>
      </c>
      <c r="K22" s="297">
        <v>1448064.7857902399</v>
      </c>
      <c r="L22" s="292">
        <f>'Vanilla call 236058559'!M20</f>
        <v>1462021.9213689535</v>
      </c>
      <c r="M22" s="291">
        <f>VLOOKUP(D22,'NxCVA Greeks'!A9:N496,13,0)</f>
        <v>1437996.7223276601</v>
      </c>
      <c r="N22" s="289">
        <f>IFERROR(ABS(1-M22/L22),0)</f>
        <v>1.6432858283545904E-2</v>
      </c>
      <c r="O22" s="299">
        <f>(1-M22/K22)</f>
        <v>6.9527714238872829E-3</v>
      </c>
      <c r="P22" s="297">
        <v>11381.222397052999</v>
      </c>
      <c r="Q22" s="291">
        <f>'Vanilla call 236058559'!M21</f>
        <v>11548.238603084081</v>
      </c>
      <c r="R22" s="291">
        <f>VLOOKUP(D22,'NxCVA Greeks'!A9:N496,14,0)</f>
        <v>11307.084575098601</v>
      </c>
      <c r="S22" s="289">
        <f>IFERROR(ABS(1-R22/Q22),0)</f>
        <v>2.088232121572875E-2</v>
      </c>
      <c r="T22" s="241">
        <f>(1-R22/P22)</f>
        <v>6.5140473815532562E-3</v>
      </c>
      <c r="U22" s="228"/>
      <c r="V22" s="133"/>
      <c r="W22" s="133"/>
      <c r="X22" s="140"/>
      <c r="Y22" s="140"/>
      <c r="Z22" s="196"/>
      <c r="AA22" s="196"/>
      <c r="AB22" s="196"/>
      <c r="AC22" s="196"/>
      <c r="AD22" s="196"/>
      <c r="AE22" s="140"/>
    </row>
    <row r="23" spans="1:31" x14ac:dyDescent="0.45">
      <c r="A23" s="208" t="s">
        <v>130</v>
      </c>
      <c r="B23" s="208" t="s">
        <v>129</v>
      </c>
      <c r="C23" s="208" t="s">
        <v>129</v>
      </c>
      <c r="D23" s="242">
        <v>22512638</v>
      </c>
      <c r="E23" s="242">
        <v>236058565</v>
      </c>
      <c r="F23" s="223">
        <v>27.59</v>
      </c>
      <c r="G23" s="298">
        <v>500000</v>
      </c>
      <c r="H23" s="297">
        <f>VLOOKUP(E23,$D$4:$N$18,6,0)</f>
        <v>234994.79130664608</v>
      </c>
      <c r="I23" s="291">
        <f>VLOOKUP(E23,$D$4:$N$18,10,0)</f>
        <v>234476.388848414</v>
      </c>
      <c r="J23" s="299">
        <f>IFERROR(ABS(1-I23/H23),0)</f>
        <v>2.2060168029665039E-3</v>
      </c>
      <c r="K23" s="297">
        <v>-652937.25081512798</v>
      </c>
      <c r="L23" s="291">
        <f>'Vanilla put 236058565'!M24</f>
        <v>-663824.65216874797</v>
      </c>
      <c r="M23" s="291">
        <f>VLOOKUP(D23,'NxCVA Greeks'!A13:N500,13,0)</f>
        <v>-642037.24097489601</v>
      </c>
      <c r="N23" s="289">
        <f>IFERROR(ABS(1-M23/L23),0)</f>
        <v>3.2821033570644587E-2</v>
      </c>
      <c r="O23" s="299">
        <f>(1-M23/K23)</f>
        <v>1.6693809131925641E-2</v>
      </c>
      <c r="P23" s="297">
        <v>11381.222397052999</v>
      </c>
      <c r="Q23" s="291">
        <f>'Vanilla put 236058565'!M25</f>
        <v>11548.238603084081</v>
      </c>
      <c r="R23" s="291">
        <f>VLOOKUP(D23,'NxCVA Greeks'!A13:N500,14,0)</f>
        <v>11307.0845750961</v>
      </c>
      <c r="S23" s="289">
        <f>IFERROR(ABS(1-R23/Q23),0)</f>
        <v>2.0882321215945243E-2</v>
      </c>
      <c r="T23" s="241">
        <f>(1-R23/P23)</f>
        <v>6.5140473817730804E-3</v>
      </c>
      <c r="U23" s="228"/>
      <c r="V23" s="133"/>
      <c r="W23" s="133"/>
      <c r="X23" s="140"/>
      <c r="Y23" s="140"/>
      <c r="Z23" s="196"/>
      <c r="AA23" s="196"/>
      <c r="AB23" s="196"/>
      <c r="AC23" s="196"/>
      <c r="AD23" s="196"/>
      <c r="AE23" s="140"/>
    </row>
    <row r="24" spans="1:31" x14ac:dyDescent="0.45">
      <c r="A24" s="247" t="s">
        <v>130</v>
      </c>
      <c r="B24" s="247" t="s">
        <v>43</v>
      </c>
      <c r="C24" s="247" t="s">
        <v>126</v>
      </c>
      <c r="D24" s="242">
        <v>22512650</v>
      </c>
      <c r="E24" s="242">
        <v>236058581</v>
      </c>
      <c r="F24" s="223">
        <v>27.238</v>
      </c>
      <c r="G24" s="298">
        <v>500000</v>
      </c>
      <c r="H24" s="297">
        <f>VLOOKUP(E24,$D$4:$N$18,6,0)</f>
        <v>459908</v>
      </c>
      <c r="I24" s="293">
        <f>VLOOKUP(E24,$D$4:$N$18,10,0)</f>
        <v>468333.66745415801</v>
      </c>
      <c r="J24" s="299">
        <f>IFERROR(ABS(1-I24/H24),0)</f>
        <v>1.8320332445093346E-2</v>
      </c>
      <c r="K24" s="297">
        <v>1539951.4455522599</v>
      </c>
      <c r="L24" s="291">
        <f>'Van quanto 236058581'!N27</f>
        <v>1557323.2809432216</v>
      </c>
      <c r="M24" s="291">
        <f>VLOOKUP(D24,'NxCVA Greeks'!A17:N504,13,0)</f>
        <v>1576635.8229640201</v>
      </c>
      <c r="N24" s="289">
        <f>IFERROR(ABS(1-M24/L24),0)</f>
        <v>1.2401113023303267E-2</v>
      </c>
      <c r="O24" s="299">
        <f>(1-M24/K24)</f>
        <v>-2.3821775366822839E-2</v>
      </c>
      <c r="P24" s="297">
        <v>12961.611752647501</v>
      </c>
      <c r="Q24" s="291">
        <f>'Van quanto 236058581'!N28</f>
        <v>13139.656934347353</v>
      </c>
      <c r="R24" s="291">
        <f>VLOOKUP(D24,'NxCVA Greeks'!A17:N504,14,0)</f>
        <v>13091.674065659499</v>
      </c>
      <c r="S24" s="289">
        <f>IFERROR(ABS(1-R24/Q24),0)</f>
        <v>3.6517596256585572E-3</v>
      </c>
      <c r="T24" s="241">
        <f>(1-R24/P24)</f>
        <v>-1.003442438286517E-2</v>
      </c>
      <c r="U24" s="228"/>
      <c r="V24" s="133"/>
      <c r="W24" s="133"/>
      <c r="X24" s="140"/>
      <c r="Y24" s="140"/>
      <c r="Z24" s="196"/>
      <c r="AA24" s="196"/>
      <c r="AB24" s="196"/>
      <c r="AC24" s="196"/>
      <c r="AD24" s="196"/>
      <c r="AE24" s="140"/>
    </row>
    <row r="25" spans="1:31" x14ac:dyDescent="0.45">
      <c r="A25" s="208" t="s">
        <v>130</v>
      </c>
      <c r="B25" s="208" t="s">
        <v>43</v>
      </c>
      <c r="C25" s="208" t="s">
        <v>229</v>
      </c>
      <c r="D25" s="242">
        <v>22512635</v>
      </c>
      <c r="E25" s="242">
        <v>236058562</v>
      </c>
      <c r="F25" s="223">
        <v>27.59</v>
      </c>
      <c r="G25" s="298">
        <v>500000</v>
      </c>
      <c r="H25" s="297">
        <f t="shared" ref="H25:H30" si="3">VLOOKUP(E25,$D$4:$N$18,6,0)</f>
        <v>447878.09731809463</v>
      </c>
      <c r="I25" s="291">
        <f t="shared" ref="I25:I30" si="4">VLOOKUP(E25,$D$4:$N$18,10,0)</f>
        <v>446536.75856059103</v>
      </c>
      <c r="J25" s="299">
        <f t="shared" ref="J25:J30" si="5">IFERROR(ABS(1-I25/H25),0)</f>
        <v>2.994874644541845E-3</v>
      </c>
      <c r="K25" s="297">
        <v>1447607.6732256999</v>
      </c>
      <c r="L25" s="291"/>
      <c r="M25" s="291">
        <f>VLOOKUP(D25,'NxCVA Greeks'!A10:N497,13,0)</f>
        <v>1437996.7223276601</v>
      </c>
      <c r="N25" s="289">
        <f t="shared" ref="N25:N30" si="6">IFERROR(ABS(1-M25/L25),0)</f>
        <v>0</v>
      </c>
      <c r="O25" s="299">
        <f t="shared" ref="O25:O30" si="7">(1-M25/K25)</f>
        <v>6.6391958786898853E-3</v>
      </c>
      <c r="P25" s="297">
        <v>11377.629671000701</v>
      </c>
      <c r="Q25" s="291"/>
      <c r="R25" s="291">
        <f>VLOOKUP(D25,'NxCVA Greeks'!A10:N497,14,0)</f>
        <v>11307.084575098601</v>
      </c>
      <c r="S25" s="289">
        <f t="shared" ref="S25:S30" si="8">IFERROR(ABS(1-R25/Q25),0)</f>
        <v>0</v>
      </c>
      <c r="T25" s="241">
        <f t="shared" ref="T25:T30" si="9">(1-R25/P25)</f>
        <v>6.2003332804815292E-3</v>
      </c>
      <c r="U25" s="228"/>
      <c r="V25" s="133"/>
      <c r="W25" s="133"/>
      <c r="X25" s="140"/>
      <c r="Y25" s="140"/>
      <c r="Z25" s="196"/>
      <c r="AA25" s="196"/>
      <c r="AB25" s="196"/>
      <c r="AC25" s="196"/>
      <c r="AD25" s="196"/>
      <c r="AE25" s="140"/>
    </row>
    <row r="26" spans="1:31" x14ac:dyDescent="0.45">
      <c r="A26" s="208" t="s">
        <v>130</v>
      </c>
      <c r="B26" s="208" t="s">
        <v>43</v>
      </c>
      <c r="C26" s="208" t="s">
        <v>230</v>
      </c>
      <c r="D26" s="242">
        <v>22512636</v>
      </c>
      <c r="E26" s="242">
        <v>236058563</v>
      </c>
      <c r="F26" s="223">
        <v>27.59</v>
      </c>
      <c r="G26" s="298">
        <v>120000000</v>
      </c>
      <c r="H26" s="297">
        <f t="shared" si="3"/>
        <v>447878.09731809463</v>
      </c>
      <c r="I26" s="291">
        <f t="shared" si="4"/>
        <v>446536.75856059103</v>
      </c>
      <c r="J26" s="299">
        <f t="shared" si="5"/>
        <v>2.994874644541845E-3</v>
      </c>
      <c r="K26" s="297">
        <v>1447607.6732256999</v>
      </c>
      <c r="L26" s="291"/>
      <c r="M26" s="291">
        <f>VLOOKUP(D26,'NxCVA Greeks'!A11:N498,13,0)</f>
        <v>1437996.7223276601</v>
      </c>
      <c r="N26" s="289">
        <f t="shared" si="6"/>
        <v>0</v>
      </c>
      <c r="O26" s="299">
        <f t="shared" si="7"/>
        <v>6.6391958786898853E-3</v>
      </c>
      <c r="P26" s="297">
        <v>11377.629671000701</v>
      </c>
      <c r="Q26" s="291"/>
      <c r="R26" s="291">
        <f>VLOOKUP(D26,'NxCVA Greeks'!A11:N498,14,0)</f>
        <v>11307.084575098601</v>
      </c>
      <c r="S26" s="289">
        <f t="shared" si="8"/>
        <v>0</v>
      </c>
      <c r="T26" s="241">
        <f t="shared" si="9"/>
        <v>6.2003332804815292E-3</v>
      </c>
      <c r="U26" s="228"/>
      <c r="V26" s="133"/>
      <c r="W26" s="133"/>
      <c r="X26" s="140"/>
      <c r="Y26" s="140"/>
      <c r="Z26" s="196"/>
      <c r="AA26" s="196"/>
      <c r="AB26" s="196"/>
      <c r="AC26" s="196"/>
      <c r="AD26" s="196"/>
      <c r="AE26" s="140"/>
    </row>
    <row r="27" spans="1:31" x14ac:dyDescent="0.45">
      <c r="A27" s="208" t="s">
        <v>130</v>
      </c>
      <c r="B27" s="208" t="s">
        <v>43</v>
      </c>
      <c r="C27" s="208" t="s">
        <v>231</v>
      </c>
      <c r="D27" s="242">
        <v>22512637</v>
      </c>
      <c r="E27" s="242">
        <v>236058564</v>
      </c>
      <c r="F27" s="223">
        <v>27.59</v>
      </c>
      <c r="G27" s="298">
        <v>500000</v>
      </c>
      <c r="H27" s="297">
        <f t="shared" si="3"/>
        <v>463054.55385926686</v>
      </c>
      <c r="I27" s="291">
        <f t="shared" si="4"/>
        <v>446536.75856059103</v>
      </c>
      <c r="J27" s="299">
        <f t="shared" si="5"/>
        <v>3.567138074987164E-2</v>
      </c>
      <c r="K27" s="297">
        <v>1496347.50555305</v>
      </c>
      <c r="L27" s="291"/>
      <c r="M27" s="291">
        <f>VLOOKUP(D27,'NxCVA Greeks'!A12:N499,13,0)</f>
        <v>1437996.7223276601</v>
      </c>
      <c r="N27" s="289">
        <f t="shared" si="6"/>
        <v>0</v>
      </c>
      <c r="O27" s="299">
        <f t="shared" si="7"/>
        <v>3.8995475989932915E-2</v>
      </c>
      <c r="P27" s="297">
        <v>11204.2794224881</v>
      </c>
      <c r="Q27" s="291"/>
      <c r="R27" s="291">
        <f>VLOOKUP(D27,'NxCVA Greeks'!A12:N499,14,0)</f>
        <v>11307.084575098601</v>
      </c>
      <c r="S27" s="289">
        <f t="shared" si="8"/>
        <v>0</v>
      </c>
      <c r="T27" s="241">
        <f t="shared" si="9"/>
        <v>-9.1755255946366354E-3</v>
      </c>
      <c r="U27" s="228"/>
      <c r="V27" s="133"/>
      <c r="W27" s="133"/>
      <c r="X27" s="140"/>
      <c r="Y27" s="140"/>
      <c r="Z27" s="196"/>
      <c r="AA27" s="196"/>
      <c r="AB27" s="196"/>
      <c r="AC27" s="196"/>
      <c r="AD27" s="196"/>
      <c r="AE27" s="140"/>
    </row>
    <row r="28" spans="1:31" x14ac:dyDescent="0.45">
      <c r="A28" s="208" t="s">
        <v>130</v>
      </c>
      <c r="B28" s="208" t="s">
        <v>43</v>
      </c>
      <c r="C28" s="208" t="s">
        <v>232</v>
      </c>
      <c r="D28" s="242">
        <v>22512639</v>
      </c>
      <c r="E28" s="242">
        <v>236058566</v>
      </c>
      <c r="F28" s="223">
        <v>27.59</v>
      </c>
      <c r="G28" s="298">
        <v>120000000</v>
      </c>
      <c r="H28" s="297">
        <f t="shared" si="3"/>
        <v>448019.52425378573</v>
      </c>
      <c r="I28" s="291">
        <f t="shared" si="4"/>
        <v>446536.75856059103</v>
      </c>
      <c r="J28" s="299">
        <f t="shared" si="5"/>
        <v>3.3096006154293978E-3</v>
      </c>
      <c r="K28" s="297">
        <v>1448064.7857902399</v>
      </c>
      <c r="L28" s="291"/>
      <c r="M28" s="291">
        <f>VLOOKUP(D28,'NxCVA Greeks'!A14:N501,13,0)</f>
        <v>1437996.7223276601</v>
      </c>
      <c r="N28" s="289">
        <f t="shared" si="6"/>
        <v>0</v>
      </c>
      <c r="O28" s="299">
        <f t="shared" si="7"/>
        <v>6.9527714238872829E-3</v>
      </c>
      <c r="P28" s="297">
        <v>11381.222397052999</v>
      </c>
      <c r="Q28" s="291"/>
      <c r="R28" s="291">
        <f>VLOOKUP(D28,'NxCVA Greeks'!A14:N501,14,0)</f>
        <v>11307.084575098601</v>
      </c>
      <c r="S28" s="289">
        <f t="shared" si="8"/>
        <v>0</v>
      </c>
      <c r="T28" s="241">
        <f t="shared" si="9"/>
        <v>6.5140473815532562E-3</v>
      </c>
      <c r="U28" s="228"/>
      <c r="V28" s="133"/>
      <c r="W28" s="133"/>
      <c r="X28" s="140"/>
      <c r="Y28" s="140"/>
      <c r="Z28" s="196"/>
      <c r="AA28" s="196"/>
      <c r="AB28" s="196"/>
      <c r="AC28" s="196"/>
      <c r="AD28" s="196"/>
      <c r="AE28" s="140"/>
    </row>
    <row r="29" spans="1:31" x14ac:dyDescent="0.45">
      <c r="A29" s="247" t="s">
        <v>130</v>
      </c>
      <c r="B29" s="247" t="s">
        <v>43</v>
      </c>
      <c r="C29" s="247" t="s">
        <v>125</v>
      </c>
      <c r="D29" s="242">
        <v>22512640</v>
      </c>
      <c r="E29" s="242">
        <v>236058569</v>
      </c>
      <c r="F29" s="223">
        <v>27.328859999999999</v>
      </c>
      <c r="G29" s="298">
        <v>500000</v>
      </c>
      <c r="H29" s="297">
        <f t="shared" si="3"/>
        <v>368622.72420126799</v>
      </c>
      <c r="I29" s="291">
        <f t="shared" si="4"/>
        <v>359198.313853984</v>
      </c>
      <c r="J29" s="299">
        <f t="shared" si="5"/>
        <v>2.5566547389895167E-2</v>
      </c>
      <c r="K29" s="297">
        <v>1248611.57354161</v>
      </c>
      <c r="L29" s="291">
        <f>'Van composite 236058569'!N27</f>
        <v>1203216.5453757304</v>
      </c>
      <c r="M29" s="291">
        <f>VLOOKUP(D29,'NxCVA Greeks'!A15:N502,13,0)</f>
        <v>1260631.718082</v>
      </c>
      <c r="N29" s="289">
        <f t="shared" si="6"/>
        <v>4.7718071137677454E-2</v>
      </c>
      <c r="O29" s="299">
        <f t="shared" si="7"/>
        <v>-9.6268085248445434E-3</v>
      </c>
      <c r="P29" s="297">
        <v>11574.809224842</v>
      </c>
      <c r="Q29" s="291">
        <f>'Van composite 236058569'!N28</f>
        <v>11701.993407687638</v>
      </c>
      <c r="R29" s="291">
        <f>VLOOKUP(D29,'NxCVA Greeks'!A15:N502,14,0)</f>
        <v>11584.3951062224</v>
      </c>
      <c r="S29" s="289">
        <f>IFERROR(ABS(1-R29/Q29),0)</f>
        <v>1.0049424689299591E-2</v>
      </c>
      <c r="T29" s="241">
        <f t="shared" si="9"/>
        <v>-8.281675485266593E-4</v>
      </c>
      <c r="U29" s="228"/>
      <c r="V29" s="133"/>
      <c r="W29" s="133"/>
      <c r="X29" s="140"/>
      <c r="Y29" s="140"/>
      <c r="Z29" s="196"/>
      <c r="AA29" s="196"/>
      <c r="AB29" s="196"/>
      <c r="AC29" s="196"/>
      <c r="AD29" s="196"/>
      <c r="AE29" s="140"/>
    </row>
    <row r="30" spans="1:31" ht="14.65" thickBot="1" x14ac:dyDescent="0.5">
      <c r="A30" s="310" t="s">
        <v>130</v>
      </c>
      <c r="B30" s="310" t="s">
        <v>43</v>
      </c>
      <c r="C30" s="310" t="s">
        <v>127</v>
      </c>
      <c r="D30" s="311">
        <v>22512642</v>
      </c>
      <c r="E30" s="311">
        <v>236058571</v>
      </c>
      <c r="F30" s="312">
        <v>27.238</v>
      </c>
      <c r="G30" s="313">
        <v>2000000</v>
      </c>
      <c r="H30" s="314">
        <f t="shared" si="3"/>
        <v>469777.13126097899</v>
      </c>
      <c r="I30" s="315">
        <f t="shared" si="4"/>
        <v>468333.66745415801</v>
      </c>
      <c r="J30" s="316">
        <f t="shared" si="5"/>
        <v>3.0726566083504325E-3</v>
      </c>
      <c r="K30" s="314">
        <v>1572996.43081551</v>
      </c>
      <c r="L30" s="315"/>
      <c r="M30" s="315">
        <f>VLOOKUP(D30,'NxCVA Greeks'!A16:N503,13,0)</f>
        <v>1576635.8229640201</v>
      </c>
      <c r="N30" s="317">
        <f t="shared" si="6"/>
        <v>0</v>
      </c>
      <c r="O30" s="316">
        <f t="shared" si="7"/>
        <v>-2.3136684084039683E-3</v>
      </c>
      <c r="P30" s="314">
        <v>13239.747969633099</v>
      </c>
      <c r="Q30" s="315"/>
      <c r="R30" s="315">
        <f>VLOOKUP(D30,'NxCVA Greeks'!A16:N503,14,0)</f>
        <v>13091.674065659499</v>
      </c>
      <c r="S30" s="317">
        <f t="shared" si="8"/>
        <v>0</v>
      </c>
      <c r="T30" s="318">
        <f t="shared" si="9"/>
        <v>1.1184042499390867E-2</v>
      </c>
      <c r="U30" s="228"/>
      <c r="V30" s="133"/>
      <c r="W30" s="133"/>
      <c r="X30" s="140"/>
      <c r="Y30" s="140"/>
      <c r="Z30" s="196"/>
      <c r="AA30" s="196"/>
      <c r="AB30" s="196"/>
      <c r="AC30" s="196"/>
      <c r="AD30" s="196"/>
      <c r="AE30" s="140"/>
    </row>
    <row r="31" spans="1:31" x14ac:dyDescent="0.45">
      <c r="A31" s="300" t="s">
        <v>131</v>
      </c>
      <c r="B31" s="300" t="s">
        <v>43</v>
      </c>
      <c r="C31" s="300" t="s">
        <v>119</v>
      </c>
      <c r="D31" s="301">
        <v>22512344</v>
      </c>
      <c r="E31" s="301">
        <v>236058505</v>
      </c>
      <c r="F31" s="302">
        <v>29.7</v>
      </c>
      <c r="G31" s="303">
        <v>20000000</v>
      </c>
      <c r="H31" s="304">
        <f t="shared" ref="H31:H36" si="10">VLOOKUP(E31,$D$4:$N$18,6,0)</f>
        <v>194302.93370199442</v>
      </c>
      <c r="I31" s="305">
        <f t="shared" ref="I31:I36" si="11">VLOOKUP(E31,$D$4:$N$18,10,0)</f>
        <v>182111.69334685299</v>
      </c>
      <c r="J31" s="306">
        <f t="shared" ref="J31:J36" si="12">IFERROR(ABS(1-I31/H31),0)</f>
        <v>6.2743470326800832E-2</v>
      </c>
      <c r="K31" s="304">
        <v>211686.11012272301</v>
      </c>
      <c r="L31" s="305">
        <f>'Dig call 236058505'!M22</f>
        <v>204426.16632687475</v>
      </c>
      <c r="M31" s="307">
        <f>VLOOKUP(D31,'NxCVA Greeks'!A3:N490,13,0)</f>
        <v>-3.4924596548080402E-6</v>
      </c>
      <c r="N31" s="308">
        <f t="shared" ref="N31:N36" si="13">IFERROR(ABS(1-M31/L31),0)</f>
        <v>1.0000000000170841</v>
      </c>
      <c r="O31" s="306">
        <f t="shared" ref="O31:O36" si="14">(1-M31/K31)</f>
        <v>1.0000000000164984</v>
      </c>
      <c r="P31" s="304">
        <v>-2753.3129264791601</v>
      </c>
      <c r="Q31" s="305">
        <f>'Dig call 236058505'!M23</f>
        <v>-2990.4670711856766</v>
      </c>
      <c r="R31" s="305">
        <f>VLOOKUP(D31,'NxCVA Greeks'!A3:N490,14,0)</f>
        <v>-2227.24027789093</v>
      </c>
      <c r="S31" s="308">
        <f>IFERROR(ABS(1-R31/Q31),0)</f>
        <v>0.25521992890299183</v>
      </c>
      <c r="T31" s="309">
        <f t="shared" ref="T31:T36" si="15">(1-R31/P31)</f>
        <v>0.19106896405740315</v>
      </c>
      <c r="U31" s="228"/>
      <c r="V31" s="133"/>
      <c r="W31" s="133"/>
      <c r="X31" s="140"/>
      <c r="Y31" s="140"/>
      <c r="Z31" s="196"/>
      <c r="AA31" s="196"/>
      <c r="AB31" s="196"/>
      <c r="AC31" s="196"/>
      <c r="AD31" s="196"/>
      <c r="AE31" s="140"/>
    </row>
    <row r="32" spans="1:31" x14ac:dyDescent="0.45">
      <c r="A32" s="208" t="s">
        <v>131</v>
      </c>
      <c r="B32" s="208" t="s">
        <v>129</v>
      </c>
      <c r="C32" s="208" t="s">
        <v>129</v>
      </c>
      <c r="D32" s="242">
        <v>22512347</v>
      </c>
      <c r="E32" s="242">
        <v>236058508</v>
      </c>
      <c r="F32" s="223">
        <v>29.7</v>
      </c>
      <c r="G32" s="298">
        <v>20000000</v>
      </c>
      <c r="H32" s="297">
        <f t="shared" si="10"/>
        <v>79987.508894626633</v>
      </c>
      <c r="I32" s="291">
        <f t="shared" si="11"/>
        <v>96293.341389395995</v>
      </c>
      <c r="J32" s="299">
        <f t="shared" si="12"/>
        <v>0.20385473582194225</v>
      </c>
      <c r="K32" s="297">
        <v>-211686.11035412201</v>
      </c>
      <c r="L32" s="291">
        <f>'Dig put 236058508'!M22</f>
        <v>-204426.16632687475</v>
      </c>
      <c r="M32" s="294">
        <f>VLOOKUP(D32,'NxCVA Greeks'!A6:N493,13,0)</f>
        <v>5.8207660913467399E-6</v>
      </c>
      <c r="N32" s="289">
        <f t="shared" si="13"/>
        <v>1.0000000000284737</v>
      </c>
      <c r="O32" s="299">
        <f t="shared" si="14"/>
        <v>1.0000000000274971</v>
      </c>
      <c r="P32" s="297">
        <v>2753.3129235886099</v>
      </c>
      <c r="Q32" s="291">
        <f>'Dig put 236058508'!M23</f>
        <v>2990.4670711856766</v>
      </c>
      <c r="R32" s="291">
        <f>VLOOKUP(D32,'NxCVA Greeks'!A6:N493,14,0)</f>
        <v>2227.2402778906999</v>
      </c>
      <c r="S32" s="289">
        <f>IFERROR(ABS(1-R32/Q32),0)</f>
        <v>0.25521992890306877</v>
      </c>
      <c r="T32" s="241">
        <f t="shared" si="15"/>
        <v>0.19106896320823497</v>
      </c>
      <c r="U32" s="228"/>
      <c r="V32" s="133"/>
      <c r="W32" s="133"/>
      <c r="X32" s="140"/>
      <c r="Y32" s="140"/>
      <c r="Z32" s="196"/>
      <c r="AA32" s="196"/>
      <c r="AB32" s="196"/>
      <c r="AC32" s="196"/>
      <c r="AD32" s="196"/>
      <c r="AE32" s="140"/>
    </row>
    <row r="33" spans="1:31" x14ac:dyDescent="0.45">
      <c r="A33" s="208" t="s">
        <v>131</v>
      </c>
      <c r="B33" s="208" t="s">
        <v>43</v>
      </c>
      <c r="C33" s="208" t="s">
        <v>233</v>
      </c>
      <c r="D33" s="242">
        <v>22512345</v>
      </c>
      <c r="E33" s="242">
        <v>236058506</v>
      </c>
      <c r="F33" s="223">
        <v>29.7</v>
      </c>
      <c r="G33" s="298">
        <v>20000000</v>
      </c>
      <c r="H33" s="297">
        <f t="shared" si="10"/>
        <v>198472.41798258564</v>
      </c>
      <c r="I33" s="291">
        <f t="shared" si="11"/>
        <v>182111.69334685299</v>
      </c>
      <c r="J33" s="299">
        <f t="shared" si="12"/>
        <v>8.2433240860542045E-2</v>
      </c>
      <c r="K33" s="297">
        <v>216228.617328847</v>
      </c>
      <c r="L33" s="291"/>
      <c r="M33" s="295">
        <f>VLOOKUP(D33,'NxCVA Greeks'!A4:N491,13,0)</f>
        <v>-3.4924596548080402E-6</v>
      </c>
      <c r="N33" s="289">
        <f t="shared" si="13"/>
        <v>0</v>
      </c>
      <c r="O33" s="299">
        <f t="shared" si="14"/>
        <v>1.0000000000161517</v>
      </c>
      <c r="P33" s="297">
        <v>-2812.3954112250899</v>
      </c>
      <c r="Q33" s="291"/>
      <c r="R33" s="291">
        <f>VLOOKUP(D33,'NxCVA Greeks'!A4:N491,14,0)</f>
        <v>-2227.24027789093</v>
      </c>
      <c r="S33" s="289">
        <f>IFERROR(ABS(1-R33/Q33),0)</f>
        <v>0</v>
      </c>
      <c r="T33" s="241">
        <f t="shared" si="15"/>
        <v>0.20806289577867865</v>
      </c>
      <c r="U33" s="228"/>
      <c r="V33" s="133"/>
      <c r="W33" s="133"/>
      <c r="X33" s="140"/>
      <c r="Y33" s="140"/>
      <c r="Z33" s="196"/>
      <c r="AA33" s="196"/>
      <c r="AB33" s="196"/>
      <c r="AC33" s="196"/>
      <c r="AD33" s="196"/>
      <c r="AE33" s="140"/>
    </row>
    <row r="34" spans="1:31" x14ac:dyDescent="0.45">
      <c r="A34" s="208" t="s">
        <v>131</v>
      </c>
      <c r="B34" s="208" t="s">
        <v>43</v>
      </c>
      <c r="C34" s="208" t="s">
        <v>231</v>
      </c>
      <c r="D34" s="242">
        <v>22512346</v>
      </c>
      <c r="E34" s="242">
        <v>236058507</v>
      </c>
      <c r="F34" s="223">
        <v>29.7</v>
      </c>
      <c r="G34" s="298">
        <v>20000000</v>
      </c>
      <c r="H34" s="297">
        <f t="shared" si="10"/>
        <v>204802.29676474188</v>
      </c>
      <c r="I34" s="291">
        <f t="shared" si="11"/>
        <v>182111.69334685299</v>
      </c>
      <c r="J34" s="299">
        <f t="shared" si="12"/>
        <v>0.11079271949744673</v>
      </c>
      <c r="K34" s="297">
        <v>218318.264488713</v>
      </c>
      <c r="L34" s="291"/>
      <c r="M34" s="295">
        <f>VLOOKUP(D34,'NxCVA Greeks'!A5:N492,13,0)</f>
        <v>-3.4924596548080402E-6</v>
      </c>
      <c r="N34" s="289">
        <f t="shared" si="13"/>
        <v>0</v>
      </c>
      <c r="O34" s="299">
        <f t="shared" si="14"/>
        <v>1.0000000000159972</v>
      </c>
      <c r="P34" s="297">
        <v>-4675.9386034481804</v>
      </c>
      <c r="Q34" s="291"/>
      <c r="R34" s="291">
        <f>VLOOKUP(D34,'NxCVA Greeks'!A5:N492,14,0)</f>
        <v>-2227.24027789093</v>
      </c>
      <c r="S34" s="289">
        <f>IFERROR(ABS(1-R34/Q34),0)</f>
        <v>0</v>
      </c>
      <c r="T34" s="241">
        <f t="shared" si="15"/>
        <v>0.52368059831912794</v>
      </c>
      <c r="U34" s="228"/>
      <c r="V34" s="133"/>
      <c r="W34" s="133"/>
      <c r="X34" s="140"/>
      <c r="Y34" s="140"/>
      <c r="Z34" s="196"/>
      <c r="AA34" s="196"/>
      <c r="AB34" s="196"/>
      <c r="AC34" s="196"/>
      <c r="AD34" s="196"/>
      <c r="AE34" s="140"/>
    </row>
    <row r="35" spans="1:31" x14ac:dyDescent="0.45">
      <c r="A35" s="247" t="s">
        <v>131</v>
      </c>
      <c r="B35" s="247" t="s">
        <v>43</v>
      </c>
      <c r="C35" s="247" t="s">
        <v>126</v>
      </c>
      <c r="D35" s="242">
        <v>22512465</v>
      </c>
      <c r="E35" s="242">
        <v>236058511</v>
      </c>
      <c r="F35" s="223">
        <v>27.238</v>
      </c>
      <c r="G35" s="298">
        <v>400000</v>
      </c>
      <c r="H35" s="297">
        <f t="shared" si="10"/>
        <v>208582.47505430301</v>
      </c>
      <c r="I35" s="291">
        <f t="shared" si="11"/>
        <v>202843.92951742801</v>
      </c>
      <c r="J35" s="299">
        <f t="shared" si="12"/>
        <v>2.7512117378897805E-2</v>
      </c>
      <c r="K35" s="297">
        <v>361258.321926267</v>
      </c>
      <c r="L35" s="291">
        <f>'Dig quanto 236058511'!N29</f>
        <v>363195.30135056068</v>
      </c>
      <c r="M35" s="291">
        <f>VLOOKUP(D35,'NxCVA Greeks'!A7:N494,13,0)</f>
        <v>476271.25972299802</v>
      </c>
      <c r="N35" s="289">
        <f t="shared" si="13"/>
        <v>0.31133651220695446</v>
      </c>
      <c r="O35" s="299">
        <f t="shared" si="14"/>
        <v>-0.31836758024969525</v>
      </c>
      <c r="P35" s="297">
        <v>-2351.4341465267398</v>
      </c>
      <c r="Q35" s="291">
        <f>'Dig quanto 236058511'!N30</f>
        <v>-2302.2977203092305</v>
      </c>
      <c r="R35" s="291">
        <f>VLOOKUP(D35,'NxCVA Greeks'!A7:N494,14,0)</f>
        <v>-1619.3222830694599</v>
      </c>
      <c r="S35" s="289">
        <f>IFERROR(ABS(1-P35/Q35),0)</f>
        <v>2.134234238433308E-2</v>
      </c>
      <c r="T35" s="241">
        <f t="shared" si="15"/>
        <v>0.31134695587315042</v>
      </c>
      <c r="U35" s="228"/>
      <c r="V35" s="133"/>
      <c r="W35" s="133"/>
      <c r="X35" s="140"/>
      <c r="Y35" s="140"/>
      <c r="Z35" s="196"/>
      <c r="AA35" s="196"/>
      <c r="AB35" s="196"/>
      <c r="AC35" s="196"/>
      <c r="AD35" s="196"/>
      <c r="AE35" s="140"/>
    </row>
    <row r="36" spans="1:31" x14ac:dyDescent="0.45">
      <c r="A36" s="247" t="s">
        <v>131</v>
      </c>
      <c r="B36" s="247" t="s">
        <v>43</v>
      </c>
      <c r="C36" s="247" t="s">
        <v>125</v>
      </c>
      <c r="D36" s="242">
        <v>22512466</v>
      </c>
      <c r="E36" s="242">
        <v>236058512</v>
      </c>
      <c r="F36" s="223">
        <v>27.328859999999999</v>
      </c>
      <c r="G36" s="298">
        <v>400000</v>
      </c>
      <c r="H36" s="297">
        <f t="shared" si="10"/>
        <v>172244.939133087</v>
      </c>
      <c r="I36" s="291">
        <f t="shared" si="11"/>
        <v>170838.50086382101</v>
      </c>
      <c r="J36" s="299">
        <f t="shared" si="12"/>
        <v>8.165338710934722E-3</v>
      </c>
      <c r="K36" s="297">
        <v>333817.76744069799</v>
      </c>
      <c r="L36" s="291">
        <f>'Dig composite 236058512'!N30</f>
        <v>322930.3150598408</v>
      </c>
      <c r="M36" s="291">
        <f>VLOOKUP(D36,'NxCVA Greeks'!A8:N495,13,0)</f>
        <v>476271.25972911</v>
      </c>
      <c r="N36" s="289">
        <f t="shared" si="13"/>
        <v>0.47484221058916143</v>
      </c>
      <c r="O36" s="299">
        <f t="shared" si="14"/>
        <v>-0.42674029420473714</v>
      </c>
      <c r="P36" s="297">
        <v>-998.16704381575198</v>
      </c>
      <c r="Q36" s="291">
        <f>'Dig composite 236058512'!N31</f>
        <v>-1075.0006358999235</v>
      </c>
      <c r="R36" s="291">
        <f>VLOOKUP(D36,'NxCVA Greeks'!A8:N495,14,0)</f>
        <v>-1238.3052752881499</v>
      </c>
      <c r="S36" s="289">
        <f>IFERROR(ABS(1-P36/Q36),0)</f>
        <v>7.1473066636701277E-2</v>
      </c>
      <c r="T36" s="241">
        <f t="shared" si="15"/>
        <v>-0.24057920260962273</v>
      </c>
      <c r="U36" s="228"/>
      <c r="V36" s="133"/>
      <c r="W36" s="133"/>
      <c r="X36" s="140"/>
      <c r="Y36" s="140"/>
      <c r="Z36" s="196"/>
      <c r="AA36" s="196"/>
      <c r="AB36" s="196"/>
      <c r="AC36" s="196"/>
      <c r="AD36" s="196"/>
      <c r="AE36" s="140"/>
    </row>
  </sheetData>
  <mergeCells count="35">
    <mergeCell ref="B1:B3"/>
    <mergeCell ref="A1:A3"/>
    <mergeCell ref="D1:D3"/>
    <mergeCell ref="E1:E3"/>
    <mergeCell ref="G1:G3"/>
    <mergeCell ref="L1:N1"/>
    <mergeCell ref="N2:N3"/>
    <mergeCell ref="Q1:Q3"/>
    <mergeCell ref="C1:C3"/>
    <mergeCell ref="P1:P3"/>
    <mergeCell ref="H1:K1"/>
    <mergeCell ref="H2:I2"/>
    <mergeCell ref="J2:K2"/>
    <mergeCell ref="O1:O3"/>
    <mergeCell ref="Q20:R20"/>
    <mergeCell ref="U13:V13"/>
    <mergeCell ref="U4:V4"/>
    <mergeCell ref="L2:M2"/>
    <mergeCell ref="O20:O21"/>
    <mergeCell ref="P20:P21"/>
    <mergeCell ref="S20:S21"/>
    <mergeCell ref="T20:T21"/>
    <mergeCell ref="K20:K21"/>
    <mergeCell ref="H20:H21"/>
    <mergeCell ref="I20:I21"/>
    <mergeCell ref="J20:J21"/>
    <mergeCell ref="N20:N21"/>
    <mergeCell ref="L20:M20"/>
    <mergeCell ref="A20:A21"/>
    <mergeCell ref="G20:G21"/>
    <mergeCell ref="F20:F21"/>
    <mergeCell ref="E20:E21"/>
    <mergeCell ref="D20:D21"/>
    <mergeCell ref="B20:B21"/>
    <mergeCell ref="C20:C21"/>
  </mergeCells>
  <conditionalFormatting sqref="N22:O36 S22:T36">
    <cfRule type="cellIs" dxfId="3" priority="17" operator="greaterThan">
      <formula>0.1047</formula>
    </cfRule>
  </conditionalFormatting>
  <conditionalFormatting sqref="O4:O18">
    <cfRule type="cellIs" dxfId="2" priority="13" operator="greaterThan">
      <formula>0.08</formula>
    </cfRule>
  </conditionalFormatting>
  <conditionalFormatting sqref="N22:O36 S22:T36">
    <cfRule type="cellIs" dxfId="1" priority="12" operator="greaterThan">
      <formula>0.1416</formula>
    </cfRule>
  </conditionalFormatting>
  <conditionalFormatting sqref="N22:O36 S22:T36">
    <cfRule type="cellIs" dxfId="0" priority="10" operator="notBetween">
      <formula>-0.1</formula>
      <formula>0.1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G7"/>
  <sheetViews>
    <sheetView workbookViewId="0">
      <selection activeCell="D5" sqref="D5"/>
    </sheetView>
  </sheetViews>
  <sheetFormatPr defaultRowHeight="14.25" x14ac:dyDescent="0.45"/>
  <cols>
    <col min="1" max="1" width="15.59765625" bestFit="1" customWidth="1"/>
    <col min="2" max="2" width="18.73046875" customWidth="1"/>
    <col min="3" max="3" width="19.1328125" customWidth="1"/>
    <col min="4" max="4" width="18.73046875" style="140" customWidth="1"/>
    <col min="5" max="5" width="19.1328125" style="140" customWidth="1"/>
    <col min="6" max="7" width="11.86328125" bestFit="1" customWidth="1"/>
  </cols>
  <sheetData>
    <row r="1" spans="1:7" x14ac:dyDescent="0.45">
      <c r="B1" s="394" t="s">
        <v>335</v>
      </c>
      <c r="C1" s="394"/>
      <c r="D1" s="394" t="s">
        <v>353</v>
      </c>
      <c r="E1" s="394"/>
      <c r="F1" s="394" t="s">
        <v>330</v>
      </c>
      <c r="G1" s="394"/>
    </row>
    <row r="2" spans="1:7" x14ac:dyDescent="0.45">
      <c r="A2" s="159"/>
      <c r="B2" s="159" t="s">
        <v>278</v>
      </c>
      <c r="C2" s="159" t="s">
        <v>329</v>
      </c>
      <c r="D2" s="159" t="s">
        <v>278</v>
      </c>
      <c r="E2" s="159" t="s">
        <v>329</v>
      </c>
      <c r="F2" s="159" t="s">
        <v>278</v>
      </c>
      <c r="G2" s="159" t="s">
        <v>329</v>
      </c>
    </row>
    <row r="3" spans="1:7" x14ac:dyDescent="0.45">
      <c r="A3" t="s">
        <v>331</v>
      </c>
      <c r="B3" s="399">
        <f>Summary!I24</f>
        <v>468333.66745415801</v>
      </c>
      <c r="C3" s="399">
        <f>Summary!H24</f>
        <v>459908</v>
      </c>
      <c r="D3" s="399">
        <f>'Van quanto 236058581'!Q22</f>
        <v>407715.60178160999</v>
      </c>
      <c r="E3" s="399">
        <f>'Van quanto 236058581'!I51</f>
        <v>400850</v>
      </c>
      <c r="F3" s="399">
        <f>D3-B3</f>
        <v>-60618.065672548022</v>
      </c>
      <c r="G3" s="399">
        <f t="shared" ref="F3:G6" si="0">E3-C3</f>
        <v>-59058</v>
      </c>
    </row>
    <row r="4" spans="1:7" x14ac:dyDescent="0.45">
      <c r="A4" t="s">
        <v>333</v>
      </c>
      <c r="B4" s="399">
        <f>Summary!I29</f>
        <v>359198.313853984</v>
      </c>
      <c r="C4" s="399">
        <f>Summary!H29</f>
        <v>368622.72420126799</v>
      </c>
      <c r="D4" s="399">
        <f>'Van composite 236058569'!Q21</f>
        <v>418626.66772075102</v>
      </c>
      <c r="E4" s="399">
        <f>'Van composite 236058569'!I43</f>
        <v>427950</v>
      </c>
      <c r="F4" s="399">
        <f t="shared" si="0"/>
        <v>59428.353866767022</v>
      </c>
      <c r="G4" s="399">
        <f t="shared" si="0"/>
        <v>59327.275798732007</v>
      </c>
    </row>
    <row r="5" spans="1:7" x14ac:dyDescent="0.45">
      <c r="A5" t="s">
        <v>332</v>
      </c>
      <c r="B5" s="399">
        <f>Summary!I35</f>
        <v>202843.92951742801</v>
      </c>
      <c r="C5" s="399">
        <f>Summary!H35</f>
        <v>208582.47505430301</v>
      </c>
      <c r="D5" s="399"/>
      <c r="E5" s="399"/>
      <c r="F5" s="399">
        <f t="shared" si="0"/>
        <v>-202843.92951742801</v>
      </c>
      <c r="G5" s="399">
        <f t="shared" si="0"/>
        <v>-208582.47505430301</v>
      </c>
    </row>
    <row r="6" spans="1:7" x14ac:dyDescent="0.45">
      <c r="A6" t="s">
        <v>334</v>
      </c>
      <c r="B6" s="399">
        <f>Summary!I36</f>
        <v>170838.50086382101</v>
      </c>
      <c r="C6" s="399">
        <f>Summary!H36</f>
        <v>172244.939133087</v>
      </c>
      <c r="D6" s="399"/>
      <c r="E6" s="399"/>
      <c r="F6" s="399">
        <f t="shared" si="0"/>
        <v>-170838.50086382101</v>
      </c>
      <c r="G6" s="399">
        <f t="shared" si="0"/>
        <v>-172244.939133087</v>
      </c>
    </row>
    <row r="7" spans="1:7" x14ac:dyDescent="0.45">
      <c r="B7" s="399"/>
      <c r="C7" s="399"/>
      <c r="D7" s="399"/>
      <c r="E7" s="399"/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E76"/>
  <sheetViews>
    <sheetView zoomScale="60" zoomScaleNormal="60" workbookViewId="0">
      <selection activeCell="P28" sqref="P28"/>
    </sheetView>
  </sheetViews>
  <sheetFormatPr defaultColWidth="9.1328125" defaultRowHeight="14.25" x14ac:dyDescent="0.45"/>
  <cols>
    <col min="1" max="1" width="24.73046875" style="140" customWidth="1"/>
    <col min="2" max="2" width="17.73046875" style="140" customWidth="1"/>
    <col min="3" max="3" width="1.86328125" style="140" customWidth="1"/>
    <col min="4" max="7" width="9.1328125" style="140"/>
    <col min="8" max="8" width="10.265625" style="140" customWidth="1"/>
    <col min="9" max="9" width="14" style="140" customWidth="1"/>
    <col min="10" max="10" width="9.1328125" style="140" customWidth="1"/>
    <col min="11" max="11" width="16.265625" style="140" customWidth="1"/>
    <col min="12" max="12" width="18.59765625" style="140" customWidth="1"/>
    <col min="13" max="13" width="27.265625" style="140" customWidth="1"/>
    <col min="14" max="14" width="15.265625" style="140" bestFit="1" customWidth="1"/>
    <col min="15" max="17" width="15.265625" style="140" customWidth="1"/>
    <col min="18" max="18" width="9.3984375" style="140" bestFit="1" customWidth="1"/>
    <col min="19" max="19" width="10" style="140" bestFit="1" customWidth="1"/>
    <col min="20" max="24" width="9.1328125" style="140"/>
    <col min="25" max="25" width="14.1328125" style="140" bestFit="1" customWidth="1"/>
    <col min="26" max="26" width="15.86328125" style="140" bestFit="1" customWidth="1"/>
    <col min="27" max="28" width="12.19921875" style="140" bestFit="1" customWidth="1"/>
    <col min="29" max="16384" width="9.1328125" style="140"/>
  </cols>
  <sheetData>
    <row r="1" spans="1:31" s="10" customFormat="1" ht="23.65" thickBot="1" x14ac:dyDescent="0.75">
      <c r="A1" s="10" t="s">
        <v>200</v>
      </c>
      <c r="M1" s="10" t="s">
        <v>81</v>
      </c>
    </row>
    <row r="2" spans="1:31" x14ac:dyDescent="0.45">
      <c r="A2" s="115" t="s">
        <v>80</v>
      </c>
      <c r="B2" s="35"/>
      <c r="C2" s="12"/>
      <c r="D2" s="12"/>
      <c r="E2" s="12"/>
      <c r="F2" s="12"/>
      <c r="G2" s="12"/>
      <c r="H2" s="12"/>
      <c r="I2" s="12"/>
      <c r="J2" s="12"/>
      <c r="K2" s="13"/>
      <c r="L2" s="12"/>
      <c r="M2" s="115" t="s">
        <v>80</v>
      </c>
      <c r="N2" s="35"/>
      <c r="O2" s="35"/>
      <c r="P2" s="35"/>
      <c r="Q2" s="35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</row>
    <row r="3" spans="1:31" x14ac:dyDescent="0.45">
      <c r="A3" s="116" t="s">
        <v>0</v>
      </c>
      <c r="B3" s="4" t="s">
        <v>83</v>
      </c>
      <c r="C3" s="117"/>
      <c r="D3" s="17"/>
      <c r="E3" s="17"/>
      <c r="F3" s="17"/>
      <c r="G3" s="17"/>
      <c r="H3" s="17"/>
      <c r="I3" s="17"/>
      <c r="J3" s="17"/>
      <c r="K3" s="18"/>
      <c r="M3" s="243" t="s">
        <v>0</v>
      </c>
      <c r="N3" s="244" t="s">
        <v>83</v>
      </c>
      <c r="O3" s="244" t="s">
        <v>306</v>
      </c>
      <c r="P3" s="244" t="s">
        <v>307</v>
      </c>
      <c r="Q3" s="4" t="s">
        <v>341</v>
      </c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8"/>
    </row>
    <row r="4" spans="1:31" x14ac:dyDescent="0.45">
      <c r="A4" s="118" t="s">
        <v>174</v>
      </c>
      <c r="B4" s="119">
        <f>B22-B23</f>
        <v>226.5703</v>
      </c>
      <c r="C4" s="120"/>
      <c r="D4" s="17"/>
      <c r="E4" s="17"/>
      <c r="F4" s="17"/>
      <c r="G4" s="17"/>
      <c r="H4" s="17"/>
      <c r="I4" s="17"/>
      <c r="J4" s="17"/>
      <c r="K4" s="18"/>
      <c r="M4" s="40" t="s">
        <v>174</v>
      </c>
      <c r="N4" s="41">
        <f>N23-N24</f>
        <v>226.59605714208308</v>
      </c>
      <c r="O4" s="41">
        <f>N23*1.0001-N24</f>
        <v>226.62163814208307</v>
      </c>
      <c r="P4" s="41">
        <f>N23-N24</f>
        <v>226.59605714208308</v>
      </c>
      <c r="Q4" s="41">
        <v>226.59605714208308</v>
      </c>
      <c r="R4" s="17"/>
      <c r="S4" s="50"/>
      <c r="T4" s="17"/>
      <c r="U4" s="50"/>
      <c r="V4" s="17"/>
      <c r="W4" s="17"/>
      <c r="X4" s="17"/>
      <c r="Y4" s="17"/>
      <c r="Z4" s="17"/>
      <c r="AA4" s="17"/>
      <c r="AB4" s="17"/>
      <c r="AC4" s="17"/>
      <c r="AD4" s="17"/>
      <c r="AE4" s="18"/>
    </row>
    <row r="5" spans="1:31" x14ac:dyDescent="0.45">
      <c r="A5" s="40" t="s">
        <v>207</v>
      </c>
      <c r="B5" s="41">
        <v>4</v>
      </c>
      <c r="C5" s="120"/>
      <c r="D5" s="17"/>
      <c r="E5" s="17"/>
      <c r="F5" s="17"/>
      <c r="G5" s="17"/>
      <c r="H5" s="17"/>
      <c r="I5" s="17"/>
      <c r="J5" s="17"/>
      <c r="K5" s="18"/>
      <c r="M5" s="40" t="s">
        <v>207</v>
      </c>
      <c r="N5" s="41">
        <v>4</v>
      </c>
      <c r="O5" s="41">
        <v>4</v>
      </c>
      <c r="P5" s="41">
        <v>4</v>
      </c>
      <c r="Q5" s="41">
        <v>4</v>
      </c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8"/>
    </row>
    <row r="6" spans="1:31" x14ac:dyDescent="0.45">
      <c r="A6" s="24" t="s">
        <v>3</v>
      </c>
      <c r="B6" s="42">
        <v>0.27239999999999998</v>
      </c>
      <c r="C6" s="120"/>
      <c r="D6" s="17"/>
      <c r="E6" s="17"/>
      <c r="F6" s="17"/>
      <c r="G6" s="17"/>
      <c r="H6" s="17"/>
      <c r="I6" s="17"/>
      <c r="J6" s="17"/>
      <c r="K6" s="18"/>
      <c r="M6" s="24" t="s">
        <v>3</v>
      </c>
      <c r="N6" s="42">
        <v>0.27237978175956401</v>
      </c>
      <c r="O6" s="42">
        <v>0.27238000000000001</v>
      </c>
      <c r="P6" s="42">
        <f>O6+0.01</f>
        <v>0.28238000000000002</v>
      </c>
      <c r="Q6" s="42">
        <v>0.27238000000000001</v>
      </c>
      <c r="R6" t="s">
        <v>208</v>
      </c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8"/>
    </row>
    <row r="7" spans="1:31" x14ac:dyDescent="0.45">
      <c r="A7" s="24" t="s">
        <v>175</v>
      </c>
      <c r="B7" s="121">
        <v>0</v>
      </c>
      <c r="C7" s="120"/>
      <c r="D7" s="17"/>
      <c r="E7" s="17"/>
      <c r="F7" s="17"/>
      <c r="G7" s="17"/>
      <c r="H7" s="17"/>
      <c r="I7" s="17"/>
      <c r="J7" s="17"/>
      <c r="K7" s="18"/>
      <c r="M7" s="24" t="s">
        <v>323</v>
      </c>
      <c r="N7" s="121">
        <v>0</v>
      </c>
      <c r="O7" s="121">
        <v>0</v>
      </c>
      <c r="P7" s="121">
        <v>0</v>
      </c>
      <c r="Q7" s="121">
        <v>-0.5</v>
      </c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8"/>
    </row>
    <row r="8" spans="1:31" x14ac:dyDescent="0.45">
      <c r="A8" s="24" t="s">
        <v>176</v>
      </c>
      <c r="B8" s="121">
        <v>62</v>
      </c>
      <c r="C8" s="120"/>
      <c r="D8" s="17"/>
      <c r="E8" s="17"/>
      <c r="F8" s="17"/>
      <c r="G8" s="17"/>
      <c r="H8" s="17"/>
      <c r="I8" s="17"/>
      <c r="J8" s="17"/>
      <c r="K8" s="18"/>
      <c r="M8" s="24" t="s">
        <v>176</v>
      </c>
      <c r="N8" s="121">
        <v>62</v>
      </c>
      <c r="O8" s="121">
        <v>62</v>
      </c>
      <c r="P8" s="121">
        <v>62</v>
      </c>
      <c r="Q8" s="121">
        <v>62</v>
      </c>
      <c r="R8" s="17">
        <f>1/Q8</f>
        <v>1.6129032258064516E-2</v>
      </c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8"/>
    </row>
    <row r="9" spans="1:31" x14ac:dyDescent="0.45">
      <c r="A9" s="24" t="s">
        <v>177</v>
      </c>
      <c r="B9" s="122">
        <v>0.1115</v>
      </c>
      <c r="C9" s="120"/>
      <c r="D9" s="17"/>
      <c r="E9" s="17"/>
      <c r="F9" s="17"/>
      <c r="G9" s="17"/>
      <c r="H9" s="17"/>
      <c r="I9" s="17"/>
      <c r="J9" s="17"/>
      <c r="K9" s="18"/>
      <c r="M9" s="24" t="s">
        <v>177</v>
      </c>
      <c r="N9" s="122">
        <v>0.1115</v>
      </c>
      <c r="O9" s="122">
        <v>0.1115</v>
      </c>
      <c r="P9" s="122">
        <f>N9</f>
        <v>0.1115</v>
      </c>
      <c r="Q9" s="122">
        <v>0.1115</v>
      </c>
      <c r="R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8"/>
    </row>
    <row r="10" spans="1:31" x14ac:dyDescent="0.45">
      <c r="A10" s="24" t="s">
        <v>178</v>
      </c>
      <c r="B10" s="121">
        <f>B4*EXP((B11-B7*B9*B6)*B13)/B8</f>
        <v>4.362219061729669</v>
      </c>
      <c r="C10" s="120"/>
      <c r="D10" s="17"/>
      <c r="E10" s="17"/>
      <c r="F10" s="17"/>
      <c r="G10" s="17"/>
      <c r="H10" s="17"/>
      <c r="I10" s="17"/>
      <c r="J10" s="17"/>
      <c r="K10" s="18"/>
      <c r="M10" s="24" t="s">
        <v>326</v>
      </c>
      <c r="N10" s="41">
        <f>N4*EXP((N13+N7*N9*N6)*N14)/N8</f>
        <v>4.362643691841142</v>
      </c>
      <c r="O10" s="41">
        <f>O4*EXP((O13+O7*O9*O6)*O14)/O8</f>
        <v>4.363136201683055</v>
      </c>
      <c r="P10" s="41">
        <f>P4*EXP((P13+P7*P9*P6)*P14)/P8</f>
        <v>4.362643691841142</v>
      </c>
      <c r="Q10" s="41">
        <f>Q4*EXP((Q13+Q7*Q9*Q6)*Q14)/Q8</f>
        <v>4.1683599869193744</v>
      </c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8"/>
    </row>
    <row r="11" spans="1:31" x14ac:dyDescent="0.45">
      <c r="A11" s="24" t="s">
        <v>179</v>
      </c>
      <c r="B11" s="122">
        <v>5.9020000000000003E-2</v>
      </c>
      <c r="C11" s="120"/>
      <c r="D11" s="17"/>
      <c r="E11" s="17"/>
      <c r="F11" s="17"/>
      <c r="G11" s="17"/>
      <c r="H11" s="17"/>
      <c r="I11" s="17"/>
      <c r="J11" s="17"/>
      <c r="K11" s="18"/>
      <c r="M11" s="24" t="s">
        <v>179</v>
      </c>
      <c r="N11" s="122">
        <v>5.9014553875198397E-2</v>
      </c>
      <c r="O11" s="122">
        <v>5.9014553875198397E-2</v>
      </c>
      <c r="P11" s="122">
        <v>5.9014553875198397E-2</v>
      </c>
      <c r="Q11" s="122">
        <v>5.9014553875198397E-2</v>
      </c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8"/>
    </row>
    <row r="12" spans="1:31" x14ac:dyDescent="0.45">
      <c r="A12" s="24" t="s">
        <v>180</v>
      </c>
      <c r="B12" s="122">
        <v>2.1286191936719101E-2</v>
      </c>
      <c r="C12" s="120"/>
      <c r="D12" s="17"/>
      <c r="E12" s="17"/>
      <c r="F12" s="17"/>
      <c r="G12" s="17"/>
      <c r="H12" s="17"/>
      <c r="I12" s="17"/>
      <c r="J12" s="17"/>
      <c r="K12" s="18"/>
      <c r="M12" s="24" t="s">
        <v>180</v>
      </c>
      <c r="N12" s="122">
        <v>1.62344593E-2</v>
      </c>
      <c r="O12" s="122">
        <v>1.62344593E-2</v>
      </c>
      <c r="P12" s="122">
        <v>1.62344593E-2</v>
      </c>
      <c r="Q12" s="122">
        <v>1.62344593E-2</v>
      </c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8"/>
    </row>
    <row r="13" spans="1:31" x14ac:dyDescent="0.45">
      <c r="A13" s="24" t="s">
        <v>5</v>
      </c>
      <c r="B13" s="41">
        <v>3</v>
      </c>
      <c r="C13" s="120"/>
      <c r="D13" s="17"/>
      <c r="E13" s="17"/>
      <c r="F13" s="17"/>
      <c r="G13" s="17"/>
      <c r="H13" s="17"/>
      <c r="I13" s="17"/>
      <c r="J13" s="17"/>
      <c r="K13" s="18"/>
      <c r="M13" s="24" t="s">
        <v>243</v>
      </c>
      <c r="N13" s="122">
        <f>'NxCVA Input 236058559'!I32*0.01</f>
        <v>5.9014553875198397E-2</v>
      </c>
      <c r="O13" s="122">
        <f>'NxCVA Input 236058559'!I32*0.01</f>
        <v>5.9014553875198397E-2</v>
      </c>
      <c r="P13" s="122">
        <f>'NxCVA Input 236058559'!I32*0.01</f>
        <v>5.9014553875198397E-2</v>
      </c>
      <c r="Q13" s="122">
        <v>5.9014553875198397E-2</v>
      </c>
      <c r="R13" s="17" t="s">
        <v>13</v>
      </c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8"/>
    </row>
    <row r="14" spans="1:31" x14ac:dyDescent="0.45">
      <c r="A14" s="24" t="s">
        <v>14</v>
      </c>
      <c r="B14" s="53">
        <v>500000</v>
      </c>
      <c r="C14" s="120"/>
      <c r="D14" s="17"/>
      <c r="E14" s="17"/>
      <c r="F14" s="17"/>
      <c r="G14" s="17"/>
      <c r="H14" s="17"/>
      <c r="I14" s="17"/>
      <c r="J14" s="17"/>
      <c r="K14" s="18"/>
      <c r="M14" s="24" t="s">
        <v>5</v>
      </c>
      <c r="N14" s="41">
        <v>3</v>
      </c>
      <c r="O14" s="41">
        <v>3</v>
      </c>
      <c r="P14" s="41">
        <v>3</v>
      </c>
      <c r="Q14" s="41">
        <v>3</v>
      </c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8"/>
    </row>
    <row r="15" spans="1:31" x14ac:dyDescent="0.45">
      <c r="A15" s="26" t="s">
        <v>7</v>
      </c>
      <c r="B15" s="4"/>
      <c r="C15" s="120"/>
      <c r="D15" s="17"/>
      <c r="E15" s="17"/>
      <c r="F15" s="17"/>
      <c r="G15" s="17"/>
      <c r="H15" s="17"/>
      <c r="I15" s="17"/>
      <c r="J15" s="17"/>
      <c r="K15" s="18"/>
      <c r="M15" s="24" t="s">
        <v>14</v>
      </c>
      <c r="N15" s="53">
        <v>500000</v>
      </c>
      <c r="O15" s="53">
        <v>500000</v>
      </c>
      <c r="P15" s="53">
        <v>500000</v>
      </c>
      <c r="Q15" s="53">
        <v>500000</v>
      </c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8"/>
    </row>
    <row r="16" spans="1:31" x14ac:dyDescent="0.45">
      <c r="A16" s="24" t="s">
        <v>8</v>
      </c>
      <c r="B16" s="45">
        <f>(LN(B10/B5)+(B6^2/2)*B13)/(B6*SQRT(B13))</f>
        <v>0.41963692443488781</v>
      </c>
      <c r="C16" s="120"/>
      <c r="D16" s="17"/>
      <c r="E16" s="17"/>
      <c r="F16" s="17"/>
      <c r="G16" s="17"/>
      <c r="H16" s="17"/>
      <c r="I16" s="17"/>
      <c r="K16" s="18"/>
      <c r="M16" s="26" t="s">
        <v>7</v>
      </c>
      <c r="N16" s="4"/>
      <c r="O16" s="4"/>
      <c r="P16" s="4"/>
      <c r="Q16" s="4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8"/>
    </row>
    <row r="17" spans="1:31" x14ac:dyDescent="0.45">
      <c r="A17" s="24" t="s">
        <v>9</v>
      </c>
      <c r="B17" s="45">
        <f>B16-B6*SQRT(B13)</f>
        <v>-5.2173715546874277E-2</v>
      </c>
      <c r="C17" s="120"/>
      <c r="D17" s="17"/>
      <c r="E17" s="17"/>
      <c r="F17" s="17"/>
      <c r="G17" s="17"/>
      <c r="H17" s="17"/>
      <c r="I17" s="17"/>
      <c r="K17" s="18"/>
      <c r="M17" s="24" t="s">
        <v>8</v>
      </c>
      <c r="N17" s="45">
        <f>(LN(N10/N5)+(N6^2/2)*N14)/(N6*SQRT(N14))</f>
        <v>0.4198393755218352</v>
      </c>
      <c r="O17" s="45">
        <f>(LN(O10/O5)+(O6^2/2)*O14)/(O6*SQRT(O14))</f>
        <v>0.42007869626071676</v>
      </c>
      <c r="P17" s="45">
        <f>(LN(P10/P5)+(P6^2/2)*P14)/(P6*SQRT(P14))</f>
        <v>0.42198534942029226</v>
      </c>
      <c r="Q17" s="45">
        <f>(LN(Q10/Q5)+(Q6^2/2)*Q14)/(Q6*SQRT(Q14))</f>
        <v>0.32327758461316836</v>
      </c>
      <c r="R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8"/>
    </row>
    <row r="18" spans="1:31" x14ac:dyDescent="0.45">
      <c r="A18" s="24" t="s">
        <v>10</v>
      </c>
      <c r="B18" s="45">
        <f>NORMSDIST(B16)</f>
        <v>0.66262464509130292</v>
      </c>
      <c r="C18" s="120"/>
      <c r="D18" s="17"/>
      <c r="E18" s="17"/>
      <c r="F18" s="17"/>
      <c r="G18" s="17"/>
      <c r="H18" s="17"/>
      <c r="I18" s="17"/>
      <c r="K18" s="18"/>
      <c r="M18" s="24" t="s">
        <v>9</v>
      </c>
      <c r="N18" s="45">
        <f>N17-N6*SQRT(N14)</f>
        <v>-5.193624544025216E-2</v>
      </c>
      <c r="O18" s="45">
        <f>O17-O6*SQRT(O14)</f>
        <v>-5.1697302704894033E-2</v>
      </c>
      <c r="P18" s="45">
        <f>P17-P6*SQRT(P14)</f>
        <v>-6.7111157621007334E-2</v>
      </c>
      <c r="Q18" s="45">
        <f>Q17-Q6*SQRT(Q14)</f>
        <v>-0.14849841435244243</v>
      </c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8"/>
    </row>
    <row r="19" spans="1:31" x14ac:dyDescent="0.45">
      <c r="A19" s="24" t="s">
        <v>11</v>
      </c>
      <c r="B19" s="45">
        <f>NORMSDIST(B17)</f>
        <v>0.47919513817788206</v>
      </c>
      <c r="C19" s="8"/>
      <c r="D19" s="17"/>
      <c r="E19" s="17"/>
      <c r="F19" s="17"/>
      <c r="G19" s="17"/>
      <c r="H19" s="17"/>
      <c r="I19" s="17"/>
      <c r="K19" s="18"/>
      <c r="M19" s="24" t="s">
        <v>10</v>
      </c>
      <c r="N19" s="45">
        <f t="shared" ref="N19:P20" si="0">NORMSDIST(N17)</f>
        <v>0.66269860104676503</v>
      </c>
      <c r="O19" s="45">
        <f t="shared" si="0"/>
        <v>0.66278601748319799</v>
      </c>
      <c r="P19" s="45">
        <f t="shared" si="0"/>
        <v>0.66348214445301035</v>
      </c>
      <c r="Q19" s="45">
        <f>NORMSDIST(Q17)</f>
        <v>0.62675748586759883</v>
      </c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8"/>
    </row>
    <row r="20" spans="1:31" x14ac:dyDescent="0.45">
      <c r="A20" s="123" t="s">
        <v>85</v>
      </c>
      <c r="B20" s="124">
        <f>EXP(-B12*B13)*( B10*B18-B5*B19 ) * B14</f>
        <v>456747.9447329882</v>
      </c>
      <c r="C20" s="8"/>
      <c r="D20" s="17"/>
      <c r="E20" s="17"/>
      <c r="F20" s="17"/>
      <c r="G20" s="17"/>
      <c r="H20" s="17"/>
      <c r="I20" s="17"/>
      <c r="J20" s="17"/>
      <c r="K20" s="18"/>
      <c r="M20" s="24" t="s">
        <v>11</v>
      </c>
      <c r="N20" s="45">
        <f t="shared" si="0"/>
        <v>0.4792897467751987</v>
      </c>
      <c r="O20" s="45">
        <f t="shared" si="0"/>
        <v>0.47938494324865599</v>
      </c>
      <c r="P20" s="45">
        <f t="shared" si="0"/>
        <v>0.47324660571277222</v>
      </c>
      <c r="Q20" s="45">
        <f>NORMSDIST(Q18)</f>
        <v>0.44097471862287918</v>
      </c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8"/>
    </row>
    <row r="21" spans="1:31" x14ac:dyDescent="0.45">
      <c r="A21" s="38" t="s">
        <v>15</v>
      </c>
      <c r="B21" s="125">
        <v>61.483750000000001</v>
      </c>
      <c r="C21" s="8"/>
      <c r="D21" s="17"/>
      <c r="E21" s="17"/>
      <c r="F21" s="17"/>
      <c r="G21" s="17"/>
      <c r="H21" s="17"/>
      <c r="I21" s="17"/>
      <c r="J21" s="17"/>
      <c r="K21" s="18"/>
      <c r="M21" s="123" t="s">
        <v>85</v>
      </c>
      <c r="N21" s="124">
        <f>EXP(-N12*N14)*( N10*N19-N5*N20 ) * N15</f>
        <v>463830.19727330585</v>
      </c>
      <c r="O21" s="124">
        <f>EXP(-O12*O14)*( O10*O19-O5*O20 ) * O15</f>
        <v>463985.9296014001</v>
      </c>
      <c r="P21" s="124">
        <f>EXP(-P12*P14)*( P10*P19-P5*P20 ) * P15</f>
        <v>476969.8542076532</v>
      </c>
      <c r="Q21" s="323">
        <f>EXP(-Q12*Q14)*( Q10*Q19-Q5*Q20 ) * Q15</f>
        <v>404155.05030195456</v>
      </c>
      <c r="R21" s="17" t="s">
        <v>209</v>
      </c>
      <c r="S21" s="17"/>
      <c r="T21" s="17"/>
      <c r="U21" s="17"/>
      <c r="V21" s="17"/>
      <c r="W21" s="17"/>
      <c r="X21" s="17"/>
      <c r="Y21" s="17"/>
      <c r="Z21" s="231"/>
      <c r="AA21" s="17"/>
      <c r="AB21" s="17"/>
      <c r="AC21" s="17"/>
      <c r="AD21" s="17"/>
      <c r="AE21" s="18"/>
    </row>
    <row r="22" spans="1:31" x14ac:dyDescent="0.45">
      <c r="A22" s="37" t="s">
        <v>83</v>
      </c>
      <c r="B22" s="8">
        <v>255.80500000000001</v>
      </c>
      <c r="C22" s="17"/>
      <c r="D22" s="17"/>
      <c r="E22" s="17"/>
      <c r="F22" s="17"/>
      <c r="G22" s="17"/>
      <c r="H22" s="17"/>
      <c r="I22" s="17"/>
      <c r="J22" s="17"/>
      <c r="K22" s="18"/>
      <c r="M22" s="38" t="s">
        <v>15</v>
      </c>
      <c r="N22" s="125">
        <v>61.483750000000001</v>
      </c>
      <c r="O22" s="125"/>
      <c r="P22" s="125"/>
      <c r="Q22" s="272">
        <v>407715.60178160999</v>
      </c>
      <c r="R22" s="17" t="s">
        <v>347</v>
      </c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8"/>
    </row>
    <row r="23" spans="1:31" x14ac:dyDescent="0.45">
      <c r="A23" s="37" t="s">
        <v>84</v>
      </c>
      <c r="B23" s="52">
        <v>29.2347</v>
      </c>
      <c r="C23" s="17"/>
      <c r="D23" s="17"/>
      <c r="E23" s="17"/>
      <c r="F23" s="17"/>
      <c r="G23" s="17"/>
      <c r="H23" s="17"/>
      <c r="I23" s="17"/>
      <c r="J23" s="17"/>
      <c r="K23" s="18"/>
      <c r="M23" s="37" t="s">
        <v>83</v>
      </c>
      <c r="N23" s="8">
        <v>255.81</v>
      </c>
      <c r="O23" s="8"/>
      <c r="P23" s="8"/>
      <c r="Q23" s="322">
        <f>1-Q22/Q21</f>
        <v>-8.8098651173484921E-3</v>
      </c>
      <c r="R23" s="140" t="s">
        <v>348</v>
      </c>
      <c r="S23" s="8"/>
      <c r="T23" s="8"/>
      <c r="U23" s="8"/>
      <c r="V23" s="17"/>
      <c r="W23" s="17"/>
      <c r="X23" s="17"/>
      <c r="Y23" s="17"/>
      <c r="Z23" s="202"/>
      <c r="AA23" s="17"/>
      <c r="AB23" s="17"/>
      <c r="AC23" s="17"/>
      <c r="AD23" s="17"/>
      <c r="AE23" s="18"/>
    </row>
    <row r="24" spans="1:31" x14ac:dyDescent="0.45">
      <c r="A24" s="17" t="s">
        <v>226</v>
      </c>
      <c r="B24" s="52"/>
      <c r="C24" s="17"/>
      <c r="D24" s="17"/>
      <c r="E24" s="17"/>
      <c r="F24" s="17"/>
      <c r="G24" s="17"/>
      <c r="H24" s="17"/>
      <c r="I24" s="17"/>
      <c r="J24" s="17"/>
      <c r="K24" s="18"/>
      <c r="M24" s="37" t="s">
        <v>84</v>
      </c>
      <c r="N24" s="52">
        <f>SUM('NxCVA Input 236058559'!N11:N13)</f>
        <v>29.213942857916912</v>
      </c>
      <c r="O24" s="52"/>
      <c r="P24" s="52"/>
      <c r="Q24" s="325">
        <f>EXP(-Q12*Q14)*( Q10*Q19-Q5*Q20 )</f>
        <v>0.80831010060390907</v>
      </c>
      <c r="R24" s="17" t="s">
        <v>350</v>
      </c>
      <c r="S24" s="8"/>
      <c r="T24" s="9"/>
      <c r="U24" s="8"/>
      <c r="V24" s="17"/>
      <c r="W24" s="17"/>
      <c r="X24" s="17"/>
      <c r="Y24" s="381" t="s">
        <v>343</v>
      </c>
      <c r="Z24" s="175" t="s">
        <v>339</v>
      </c>
      <c r="AA24" s="319">
        <v>468333.66745415801</v>
      </c>
      <c r="AB24" s="228"/>
      <c r="AC24" s="17"/>
      <c r="AD24" s="17"/>
      <c r="AE24" s="18"/>
    </row>
    <row r="25" spans="1:31" x14ac:dyDescent="0.45">
      <c r="A25" s="31" t="s">
        <v>215</v>
      </c>
      <c r="B25" s="50">
        <f>B4*EXP(B11*B13)/B8</f>
        <v>4.362219061729669</v>
      </c>
      <c r="C25" s="17"/>
      <c r="D25" s="17"/>
      <c r="E25" s="17"/>
      <c r="F25" s="17"/>
      <c r="G25" s="17"/>
      <c r="H25" s="17"/>
      <c r="I25" s="17"/>
      <c r="J25" s="17"/>
      <c r="K25" s="18"/>
      <c r="M25" s="31"/>
      <c r="N25" s="17"/>
      <c r="O25" s="17"/>
      <c r="P25" s="17"/>
      <c r="Q25" s="17"/>
      <c r="R25" s="140" t="s">
        <v>337</v>
      </c>
      <c r="S25" s="8"/>
      <c r="T25" s="8"/>
      <c r="U25" s="8"/>
      <c r="V25" s="17"/>
      <c r="W25" s="17"/>
      <c r="X25" s="17"/>
      <c r="Y25" s="381"/>
      <c r="Z25" s="175" t="s">
        <v>338</v>
      </c>
      <c r="AA25" s="319">
        <v>288068.07998863398</v>
      </c>
      <c r="AB25" s="17"/>
      <c r="AC25" s="17"/>
      <c r="AD25" s="17"/>
      <c r="AE25" s="18"/>
    </row>
    <row r="26" spans="1:31" x14ac:dyDescent="0.45">
      <c r="A26" s="31"/>
      <c r="B26" s="17"/>
      <c r="C26" s="17"/>
      <c r="D26" s="17"/>
      <c r="E26" s="17"/>
      <c r="F26" s="17"/>
      <c r="G26" s="17"/>
      <c r="H26" s="17"/>
      <c r="I26" s="17"/>
      <c r="J26" s="17"/>
      <c r="K26" s="18"/>
      <c r="L26" s="31"/>
      <c r="M26" s="193"/>
      <c r="N26" s="194"/>
      <c r="O26" s="194"/>
      <c r="P26" s="194"/>
      <c r="Q26" s="194"/>
      <c r="R26" s="17"/>
      <c r="S26" s="8"/>
      <c r="T26" s="8"/>
      <c r="U26" s="8"/>
      <c r="V26" s="17"/>
      <c r="W26" s="17"/>
      <c r="X26" s="17"/>
      <c r="Z26" s="140" t="s">
        <v>344</v>
      </c>
      <c r="AA26" s="201">
        <f>AA24-AA25</f>
        <v>180265.58746552403</v>
      </c>
      <c r="AB26" s="17"/>
      <c r="AC26" s="17"/>
      <c r="AD26" s="17"/>
      <c r="AE26" s="18"/>
    </row>
    <row r="27" spans="1:31" x14ac:dyDescent="0.45">
      <c r="A27" s="31" t="s">
        <v>328</v>
      </c>
      <c r="B27" s="54"/>
      <c r="C27" s="17"/>
      <c r="D27" s="17"/>
      <c r="E27" s="17"/>
      <c r="F27" s="17"/>
      <c r="G27" s="17"/>
      <c r="H27" s="17"/>
      <c r="I27" s="17"/>
      <c r="J27" s="17"/>
      <c r="K27" s="18"/>
      <c r="L27" s="31"/>
      <c r="M27" s="193" t="s">
        <v>304</v>
      </c>
      <c r="N27" s="398">
        <f>(O21-N21)/(O4-N4)*N23</f>
        <v>1557323.2809432216</v>
      </c>
      <c r="O27" s="194"/>
      <c r="P27" s="194"/>
      <c r="Q27" s="194"/>
      <c r="R27" s="17"/>
      <c r="S27" s="17"/>
      <c r="T27" s="17"/>
      <c r="U27" s="17"/>
      <c r="V27" s="17"/>
      <c r="W27" s="17"/>
      <c r="X27" s="17"/>
      <c r="Y27" s="17" t="s">
        <v>342</v>
      </c>
      <c r="Z27" s="17" t="s">
        <v>340</v>
      </c>
      <c r="AA27" s="246">
        <f>EXP(-N12*N14)*(N4/N8*EXP(N13*N14)-N5)*N15</f>
        <v>172702.4598571526</v>
      </c>
      <c r="AB27" s="202"/>
      <c r="AC27" s="17"/>
      <c r="AD27" s="17"/>
      <c r="AE27" s="18"/>
    </row>
    <row r="28" spans="1:31" x14ac:dyDescent="0.45">
      <c r="A28" s="31"/>
      <c r="B28" s="17"/>
      <c r="C28" s="17"/>
      <c r="D28" s="17"/>
      <c r="E28" s="17"/>
      <c r="F28" s="17"/>
      <c r="G28" s="17"/>
      <c r="H28" s="17"/>
      <c r="I28" s="17"/>
      <c r="J28" s="17"/>
      <c r="K28" s="18"/>
      <c r="L28" s="31"/>
      <c r="M28" s="245" t="s">
        <v>305</v>
      </c>
      <c r="N28" s="285">
        <f>(P21-N21)</f>
        <v>13139.656934347353</v>
      </c>
      <c r="O28" s="246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322">
        <f>1-AA26/AA27</f>
        <v>-4.3792819248938963E-2</v>
      </c>
      <c r="AB28" s="17"/>
      <c r="AC28" s="17"/>
      <c r="AD28" s="17"/>
      <c r="AE28" s="18"/>
    </row>
    <row r="29" spans="1:31" x14ac:dyDescent="0.45">
      <c r="A29" s="31"/>
      <c r="B29" s="17"/>
      <c r="C29" s="17"/>
      <c r="D29" s="17"/>
      <c r="E29" s="17"/>
      <c r="F29" s="17"/>
      <c r="G29" s="17"/>
      <c r="H29" s="17"/>
      <c r="I29" s="17"/>
      <c r="J29" s="17"/>
      <c r="K29" s="18"/>
      <c r="L29" s="31"/>
      <c r="M29" s="17"/>
      <c r="N29" s="17"/>
      <c r="O29" s="246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8"/>
    </row>
    <row r="30" spans="1:31" x14ac:dyDescent="0.45">
      <c r="A30" s="31"/>
      <c r="B30" s="17"/>
      <c r="C30" s="17"/>
      <c r="D30" s="17"/>
      <c r="E30" s="17"/>
      <c r="F30" s="17"/>
      <c r="G30" s="17"/>
      <c r="H30" s="17"/>
      <c r="I30" s="284" t="s">
        <v>212</v>
      </c>
      <c r="J30" s="17"/>
      <c r="K30" s="18"/>
      <c r="L30" s="31"/>
      <c r="M30" s="284" t="s">
        <v>324</v>
      </c>
      <c r="N30" s="128">
        <f>1/N8*EXP(-N12*N14)*EXP((N13+N7*N6*N9)*N14)*N19*N15*N23</f>
        <v>1554351.9535874401</v>
      </c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8"/>
    </row>
    <row r="31" spans="1:31" x14ac:dyDescent="0.45">
      <c r="A31" s="31"/>
      <c r="B31" s="17"/>
      <c r="C31" s="17"/>
      <c r="D31" s="17"/>
      <c r="E31" s="17"/>
      <c r="F31" s="17"/>
      <c r="G31" s="17"/>
      <c r="H31" s="17"/>
      <c r="I31" s="324">
        <f>0.9198*500000</f>
        <v>459900</v>
      </c>
      <c r="J31" s="17"/>
      <c r="K31" s="18"/>
      <c r="L31" s="31"/>
      <c r="M31" s="283" t="s">
        <v>325</v>
      </c>
      <c r="N31" s="128">
        <f>N10*EXP(-N12*N14)*(N7*N9*N14*N19+SQRT(N14)*_xlfn.NORM.DIST(N17,0,1,FALSE))*N15*0.01</f>
        <v>13145.083626209997</v>
      </c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8"/>
    </row>
    <row r="32" spans="1:31" x14ac:dyDescent="0.45">
      <c r="A32" s="31"/>
      <c r="B32" s="17"/>
      <c r="C32" s="17"/>
      <c r="D32" s="17"/>
      <c r="E32" s="17"/>
      <c r="F32" s="17"/>
      <c r="G32" s="17"/>
      <c r="H32" s="17"/>
      <c r="I32" s="129"/>
      <c r="J32" s="17"/>
      <c r="K32" s="18"/>
      <c r="L32" s="3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8"/>
    </row>
    <row r="33" spans="1:31" x14ac:dyDescent="0.45">
      <c r="A33" s="31"/>
      <c r="B33" s="17"/>
      <c r="C33" s="17"/>
      <c r="D33" s="17"/>
      <c r="E33" s="17"/>
      <c r="F33" s="17"/>
      <c r="G33" s="17"/>
      <c r="H33" s="17"/>
      <c r="J33" s="17"/>
      <c r="K33" s="18"/>
      <c r="L33" s="31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8"/>
    </row>
    <row r="34" spans="1:31" x14ac:dyDescent="0.45">
      <c r="A34" s="31"/>
      <c r="B34" s="17"/>
      <c r="C34" s="17"/>
      <c r="D34" s="17"/>
      <c r="E34" s="17"/>
      <c r="F34" s="17"/>
      <c r="G34" s="17"/>
      <c r="H34" s="17"/>
      <c r="J34" s="17"/>
      <c r="K34" s="18"/>
      <c r="L34" s="31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8"/>
    </row>
    <row r="35" spans="1:31" x14ac:dyDescent="0.45">
      <c r="A35" s="31"/>
      <c r="B35" s="17"/>
      <c r="C35" s="17"/>
      <c r="D35" s="17"/>
      <c r="E35" s="17"/>
      <c r="F35" s="17"/>
      <c r="G35" s="17"/>
      <c r="H35" s="17"/>
      <c r="I35" s="17"/>
      <c r="J35" s="17"/>
      <c r="K35" s="18"/>
      <c r="L35" s="31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8"/>
    </row>
    <row r="36" spans="1:31" x14ac:dyDescent="0.45">
      <c r="A36" s="31"/>
      <c r="B36" s="17"/>
      <c r="C36" s="17"/>
      <c r="D36" s="17"/>
      <c r="E36" s="17"/>
      <c r="F36" s="17"/>
      <c r="G36" s="17"/>
      <c r="H36" s="17"/>
      <c r="I36" s="17"/>
      <c r="J36" s="17"/>
      <c r="K36" s="18"/>
      <c r="L36" s="31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8"/>
    </row>
    <row r="37" spans="1:31" x14ac:dyDescent="0.45">
      <c r="A37" s="31"/>
      <c r="B37" s="17"/>
      <c r="C37" s="17"/>
      <c r="D37" s="17"/>
      <c r="E37" s="17"/>
      <c r="F37" s="17"/>
      <c r="G37" s="17"/>
      <c r="H37" s="17"/>
      <c r="I37" s="17"/>
      <c r="J37" s="17"/>
      <c r="K37" s="18"/>
      <c r="L37" s="31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8"/>
    </row>
    <row r="38" spans="1:31" x14ac:dyDescent="0.45">
      <c r="A38" s="31"/>
      <c r="B38" s="17"/>
      <c r="C38" s="17"/>
      <c r="D38" s="17"/>
      <c r="E38" s="17"/>
      <c r="F38" s="17"/>
      <c r="G38" s="17"/>
      <c r="H38" s="17"/>
      <c r="I38" s="17"/>
      <c r="J38" s="17"/>
      <c r="K38" s="18"/>
      <c r="L38" s="31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8"/>
    </row>
    <row r="39" spans="1:31" x14ac:dyDescent="0.45">
      <c r="A39" s="31"/>
      <c r="B39" s="17"/>
      <c r="C39" s="17"/>
      <c r="D39" s="17"/>
      <c r="E39" s="17"/>
      <c r="F39" s="17"/>
      <c r="G39" s="17"/>
      <c r="H39" s="17"/>
      <c r="I39" s="17"/>
      <c r="J39" s="17"/>
      <c r="K39" s="18"/>
      <c r="L39" s="31"/>
      <c r="M39" s="17"/>
      <c r="N39" s="17"/>
      <c r="O39" s="17"/>
      <c r="P39" s="17"/>
      <c r="Q39" s="17"/>
      <c r="R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8"/>
    </row>
    <row r="40" spans="1:31" x14ac:dyDescent="0.45">
      <c r="A40" s="31"/>
      <c r="B40" s="17"/>
      <c r="C40" s="17"/>
      <c r="D40" s="17"/>
      <c r="E40" s="17"/>
      <c r="F40" s="17"/>
      <c r="G40" s="17"/>
      <c r="H40" s="17"/>
      <c r="I40" s="17"/>
      <c r="J40" s="17"/>
      <c r="K40" s="18"/>
      <c r="L40" s="31"/>
      <c r="M40" s="140" t="s">
        <v>211</v>
      </c>
      <c r="N40" s="17"/>
      <c r="O40" s="17"/>
      <c r="P40" s="17"/>
      <c r="Q40" s="17"/>
      <c r="R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8"/>
    </row>
    <row r="41" spans="1:31" x14ac:dyDescent="0.45">
      <c r="A41" s="31"/>
      <c r="B41" s="17"/>
      <c r="C41" s="17"/>
      <c r="D41" s="17"/>
      <c r="E41" s="17"/>
      <c r="F41" s="17"/>
      <c r="G41" s="17"/>
      <c r="H41" s="17"/>
      <c r="I41" s="17"/>
      <c r="J41" s="17"/>
      <c r="K41" s="18"/>
      <c r="L41" s="31"/>
      <c r="M41" s="17"/>
      <c r="N41" s="17"/>
      <c r="O41" s="17"/>
      <c r="P41" s="17"/>
      <c r="Q41" s="17"/>
      <c r="R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8"/>
    </row>
    <row r="42" spans="1:31" x14ac:dyDescent="0.45">
      <c r="A42" s="31"/>
      <c r="B42" s="17"/>
      <c r="C42" s="17"/>
      <c r="D42" s="17"/>
      <c r="E42" s="17"/>
      <c r="F42" s="17"/>
      <c r="G42" s="17"/>
      <c r="H42" s="17"/>
      <c r="I42" s="17"/>
      <c r="J42" s="17"/>
      <c r="K42" s="18"/>
      <c r="L42" s="31"/>
      <c r="M42" s="17"/>
      <c r="N42" s="17"/>
      <c r="O42" s="17"/>
      <c r="P42" s="17"/>
      <c r="Q42" s="17"/>
      <c r="R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8"/>
    </row>
    <row r="43" spans="1:31" x14ac:dyDescent="0.45">
      <c r="A43" s="31"/>
      <c r="B43" s="17"/>
      <c r="C43" s="17"/>
      <c r="D43" s="17"/>
      <c r="E43" s="17"/>
      <c r="F43" s="17"/>
      <c r="G43" s="17"/>
      <c r="H43" s="17"/>
      <c r="I43" s="17"/>
      <c r="J43" s="17"/>
      <c r="K43" s="18"/>
      <c r="L43" s="31"/>
      <c r="N43" s="17"/>
      <c r="O43" s="17"/>
      <c r="P43" s="17"/>
      <c r="Q43" s="17"/>
      <c r="R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8"/>
    </row>
    <row r="44" spans="1:31" x14ac:dyDescent="0.45">
      <c r="A44" s="31"/>
      <c r="B44" s="17"/>
      <c r="C44" s="17"/>
      <c r="D44" s="17"/>
      <c r="E44" s="17"/>
      <c r="F44" s="17"/>
      <c r="G44" s="17"/>
      <c r="H44" s="17"/>
      <c r="I44" s="17"/>
      <c r="J44" s="17"/>
      <c r="K44" s="18"/>
      <c r="L44" s="31"/>
      <c r="M44" s="17"/>
      <c r="N44" s="17"/>
      <c r="O44" s="17"/>
      <c r="P44" s="17"/>
      <c r="Q44" s="17"/>
      <c r="R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8"/>
    </row>
    <row r="45" spans="1:31" x14ac:dyDescent="0.45">
      <c r="K45" s="18"/>
      <c r="M45" s="17"/>
      <c r="N45" s="17"/>
      <c r="O45" s="17"/>
      <c r="P45" s="17"/>
      <c r="Q45" s="17"/>
      <c r="AE45" s="18"/>
    </row>
    <row r="46" spans="1:31" x14ac:dyDescent="0.45">
      <c r="K46" s="18"/>
      <c r="AE46" s="18"/>
    </row>
    <row r="47" spans="1:31" x14ac:dyDescent="0.45">
      <c r="K47" s="18"/>
      <c r="AE47" s="18"/>
    </row>
    <row r="48" spans="1:31" x14ac:dyDescent="0.45">
      <c r="I48" s="273" t="s">
        <v>352</v>
      </c>
      <c r="K48" s="18"/>
      <c r="AE48" s="18"/>
    </row>
    <row r="49" spans="9:31" x14ac:dyDescent="0.45">
      <c r="K49" s="18"/>
      <c r="AE49" s="18"/>
    </row>
    <row r="50" spans="9:31" x14ac:dyDescent="0.45">
      <c r="K50" s="18"/>
      <c r="AE50" s="18"/>
    </row>
    <row r="51" spans="9:31" x14ac:dyDescent="0.45">
      <c r="I51" s="326">
        <f>0.8017*Q15</f>
        <v>400850</v>
      </c>
      <c r="J51" s="328">
        <f>1-Q21/I51</f>
        <v>-8.2451049069591775E-3</v>
      </c>
      <c r="K51" s="18"/>
      <c r="AE51" s="18"/>
    </row>
    <row r="52" spans="9:31" x14ac:dyDescent="0.45">
      <c r="K52" s="18"/>
      <c r="AE52" s="18"/>
    </row>
    <row r="53" spans="9:31" x14ac:dyDescent="0.45">
      <c r="K53" s="18"/>
      <c r="AE53" s="18"/>
    </row>
    <row r="54" spans="9:31" x14ac:dyDescent="0.45">
      <c r="K54" s="18"/>
      <c r="AE54" s="18"/>
    </row>
    <row r="55" spans="9:31" x14ac:dyDescent="0.45">
      <c r="K55" s="18"/>
      <c r="AE55" s="18"/>
    </row>
    <row r="56" spans="9:31" x14ac:dyDescent="0.45">
      <c r="K56" s="18"/>
      <c r="AE56" s="18"/>
    </row>
    <row r="57" spans="9:31" x14ac:dyDescent="0.45">
      <c r="K57" s="18"/>
      <c r="M57" s="140" t="s">
        <v>210</v>
      </c>
      <c r="AE57" s="18"/>
    </row>
    <row r="58" spans="9:31" x14ac:dyDescent="0.45">
      <c r="K58" s="18"/>
      <c r="AE58" s="18"/>
    </row>
    <row r="59" spans="9:31" x14ac:dyDescent="0.45">
      <c r="K59" s="18"/>
      <c r="AE59" s="18"/>
    </row>
    <row r="60" spans="9:31" x14ac:dyDescent="0.45">
      <c r="K60" s="18"/>
      <c r="AE60" s="18"/>
    </row>
    <row r="61" spans="9:31" x14ac:dyDescent="0.45">
      <c r="K61" s="18"/>
      <c r="AE61" s="18"/>
    </row>
    <row r="62" spans="9:31" x14ac:dyDescent="0.45">
      <c r="K62" s="18"/>
      <c r="AE62" s="18"/>
    </row>
    <row r="63" spans="9:31" x14ac:dyDescent="0.45">
      <c r="K63" s="18"/>
      <c r="AE63" s="18"/>
    </row>
    <row r="64" spans="9:31" x14ac:dyDescent="0.45">
      <c r="K64" s="18"/>
      <c r="AE64" s="18"/>
    </row>
    <row r="65" spans="1:31" x14ac:dyDescent="0.45">
      <c r="K65" s="18"/>
      <c r="AE65" s="18"/>
    </row>
    <row r="66" spans="1:31" x14ac:dyDescent="0.45">
      <c r="K66" s="18"/>
      <c r="AE66" s="18"/>
    </row>
    <row r="67" spans="1:31" x14ac:dyDescent="0.45">
      <c r="K67" s="18"/>
      <c r="AE67" s="18"/>
    </row>
    <row r="68" spans="1:31" x14ac:dyDescent="0.45">
      <c r="K68" s="18"/>
      <c r="AE68" s="18"/>
    </row>
    <row r="69" spans="1:31" x14ac:dyDescent="0.45">
      <c r="K69" s="18"/>
      <c r="AE69" s="18"/>
    </row>
    <row r="70" spans="1:31" x14ac:dyDescent="0.45">
      <c r="K70" s="18"/>
      <c r="AE70" s="18"/>
    </row>
    <row r="71" spans="1:31" x14ac:dyDescent="0.45">
      <c r="K71" s="18"/>
      <c r="AE71" s="18"/>
    </row>
    <row r="72" spans="1:31" x14ac:dyDescent="0.45">
      <c r="K72" s="18"/>
      <c r="AE72" s="18"/>
    </row>
    <row r="73" spans="1:31" x14ac:dyDescent="0.45">
      <c r="K73" s="18"/>
      <c r="AE73" s="18"/>
    </row>
    <row r="74" spans="1:31" x14ac:dyDescent="0.45">
      <c r="K74" s="18"/>
      <c r="AE74" s="18"/>
    </row>
    <row r="75" spans="1:31" ht="14.65" thickBot="1" x14ac:dyDescent="0.5">
      <c r="A75" s="32"/>
      <c r="B75" s="33"/>
      <c r="C75" s="33"/>
      <c r="D75" s="33"/>
      <c r="E75" s="33"/>
      <c r="F75" s="33"/>
      <c r="G75" s="33"/>
      <c r="H75" s="33"/>
      <c r="I75" s="33"/>
      <c r="J75" s="33"/>
      <c r="K75" s="34"/>
      <c r="L75" s="32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4"/>
    </row>
    <row r="76" spans="1:31" ht="14.65" thickBot="1" x14ac:dyDescent="0.5">
      <c r="M76" s="33"/>
      <c r="N76" s="33"/>
      <c r="O76" s="17"/>
      <c r="P76" s="17"/>
      <c r="Q76" s="17"/>
    </row>
  </sheetData>
  <mergeCells count="1">
    <mergeCell ref="Y24:Y2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</sheetPr>
  <dimension ref="A1:O53"/>
  <sheetViews>
    <sheetView workbookViewId="0">
      <selection activeCell="J17" sqref="J17"/>
    </sheetView>
  </sheetViews>
  <sheetFormatPr defaultRowHeight="14.25" x14ac:dyDescent="0.45"/>
  <cols>
    <col min="1" max="2" width="9" bestFit="1" customWidth="1"/>
    <col min="3" max="3" width="10" bestFit="1" customWidth="1"/>
    <col min="4" max="4" width="9" bestFit="1" customWidth="1"/>
    <col min="5" max="5" width="12.73046875" style="110" bestFit="1" customWidth="1"/>
    <col min="6" max="6" width="32.59765625" bestFit="1" customWidth="1"/>
    <col min="7" max="7" width="11.73046875" bestFit="1" customWidth="1"/>
    <col min="8" max="8" width="9.1328125" bestFit="1" customWidth="1"/>
    <col min="9" max="10" width="18.1328125" bestFit="1" customWidth="1"/>
    <col min="11" max="11" width="9.1328125" bestFit="1" customWidth="1"/>
    <col min="12" max="12" width="11.73046875" bestFit="1" customWidth="1"/>
    <col min="13" max="13" width="10.1328125" bestFit="1" customWidth="1"/>
    <col min="14" max="14" width="9.1328125" bestFit="1" customWidth="1"/>
    <col min="15" max="15" width="18.265625" bestFit="1" customWidth="1"/>
  </cols>
  <sheetData>
    <row r="1" spans="1:15" x14ac:dyDescent="0.45">
      <c r="A1" s="100" t="s">
        <v>111</v>
      </c>
      <c r="B1" s="100" t="s">
        <v>31</v>
      </c>
      <c r="C1" s="106" t="s">
        <v>108</v>
      </c>
      <c r="D1" s="106" t="s">
        <v>117</v>
      </c>
      <c r="E1" s="112" t="s">
        <v>148</v>
      </c>
      <c r="F1" s="106" t="s">
        <v>118</v>
      </c>
      <c r="G1" s="382" t="s">
        <v>90</v>
      </c>
      <c r="H1" s="382"/>
      <c r="I1" s="382"/>
      <c r="J1" s="383"/>
      <c r="K1" s="384" t="s">
        <v>115</v>
      </c>
      <c r="L1" s="382"/>
      <c r="M1" s="382"/>
      <c r="N1" s="383"/>
    </row>
    <row r="2" spans="1:15" x14ac:dyDescent="0.45">
      <c r="A2" s="100"/>
      <c r="B2" s="100"/>
      <c r="C2" s="106"/>
      <c r="D2" s="106"/>
      <c r="E2" s="106"/>
      <c r="F2" s="106"/>
      <c r="G2" s="385" t="s">
        <v>114</v>
      </c>
      <c r="H2" s="386"/>
      <c r="I2" s="387" t="s">
        <v>112</v>
      </c>
      <c r="J2" s="388"/>
      <c r="K2" s="389" t="s">
        <v>110</v>
      </c>
      <c r="L2" s="390"/>
      <c r="M2" s="391" t="s">
        <v>112</v>
      </c>
      <c r="N2" s="388"/>
    </row>
    <row r="3" spans="1:15" x14ac:dyDescent="0.45">
      <c r="A3" s="138"/>
      <c r="B3" s="138"/>
      <c r="C3" s="139"/>
      <c r="D3" s="139"/>
      <c r="E3" s="139"/>
      <c r="F3" s="139"/>
      <c r="G3" s="101" t="s">
        <v>41</v>
      </c>
      <c r="H3" s="102" t="s">
        <v>113</v>
      </c>
      <c r="I3" s="103" t="s">
        <v>41</v>
      </c>
      <c r="J3" s="104" t="s">
        <v>113</v>
      </c>
      <c r="K3" s="105" t="s">
        <v>106</v>
      </c>
      <c r="L3" s="102" t="s">
        <v>107</v>
      </c>
      <c r="M3" s="105" t="s">
        <v>41</v>
      </c>
      <c r="N3" s="132" t="s">
        <v>113</v>
      </c>
      <c r="O3" s="137" t="s">
        <v>184</v>
      </c>
    </row>
    <row r="4" spans="1:15" x14ac:dyDescent="0.45">
      <c r="A4" s="106" t="s">
        <v>130</v>
      </c>
      <c r="B4" s="106" t="s">
        <v>43</v>
      </c>
      <c r="C4" s="106">
        <v>236058559</v>
      </c>
      <c r="D4" s="106">
        <v>22512633</v>
      </c>
      <c r="E4" s="113">
        <v>1951735.21458922</v>
      </c>
      <c r="F4" s="106" t="s">
        <v>119</v>
      </c>
      <c r="G4" s="111">
        <v>27545920</v>
      </c>
      <c r="H4" s="111">
        <f>G4/61.48375</f>
        <v>448019.51735214586</v>
      </c>
      <c r="I4" s="111">
        <f>'Vanilla call 236058559'!B17</f>
        <v>27532319.524332181</v>
      </c>
      <c r="J4" s="130">
        <f>'Vanilla call 236058559'!B18</f>
        <v>447798.31295801216</v>
      </c>
      <c r="K4" s="111">
        <v>398290.70283531898</v>
      </c>
      <c r="L4" s="111">
        <v>399970.91486508102</v>
      </c>
      <c r="M4" s="111"/>
      <c r="N4" s="131">
        <v>398149.71100640448</v>
      </c>
      <c r="O4" s="133">
        <f>(N4-L4)*100/N4</f>
        <v>-0.45741684806779775</v>
      </c>
    </row>
    <row r="5" spans="1:15" x14ac:dyDescent="0.45">
      <c r="A5" s="106" t="s">
        <v>130</v>
      </c>
      <c r="B5" s="106" t="s">
        <v>129</v>
      </c>
      <c r="C5" s="106">
        <v>236058565</v>
      </c>
      <c r="D5" s="106">
        <v>22512638</v>
      </c>
      <c r="E5" s="113">
        <v>1951735.21458922</v>
      </c>
      <c r="F5" s="106" t="s">
        <v>123</v>
      </c>
      <c r="G5" s="111">
        <v>14448361</v>
      </c>
      <c r="H5" s="111">
        <f t="shared" ref="H5:H16" si="0">G5/61.48375</f>
        <v>234994.79130664608</v>
      </c>
      <c r="I5" s="111">
        <f>'Vanilla put 236058565'!B20</f>
        <v>14443518.144358894</v>
      </c>
      <c r="J5" s="131">
        <f>'Vanilla put 236058565'!B22</f>
        <v>234916.02487419674</v>
      </c>
      <c r="K5" s="111">
        <v>266095.20256225899</v>
      </c>
      <c r="L5" s="111">
        <v>267794.12212406</v>
      </c>
      <c r="M5" s="111"/>
      <c r="N5" s="131">
        <v>266162.61615686369</v>
      </c>
      <c r="O5" s="133">
        <f t="shared" ref="O5:O17" si="1">(N5-L5)*100/N5</f>
        <v>-0.6129733734788575</v>
      </c>
    </row>
    <row r="6" spans="1:15" x14ac:dyDescent="0.45">
      <c r="A6" s="106" t="s">
        <v>131</v>
      </c>
      <c r="B6" s="106" t="s">
        <v>43</v>
      </c>
      <c r="C6" s="106">
        <v>236058505</v>
      </c>
      <c r="D6" s="106">
        <v>22512344</v>
      </c>
      <c r="E6" s="113">
        <v>65057840.486307397</v>
      </c>
      <c r="F6" s="106" t="s">
        <v>119</v>
      </c>
      <c r="G6" s="111">
        <v>11946473</v>
      </c>
      <c r="H6" s="111">
        <f t="shared" si="0"/>
        <v>194302.93370199442</v>
      </c>
      <c r="I6" s="111">
        <f>'Dig call 236058505'!B27</f>
        <v>11828630.851699842</v>
      </c>
      <c r="J6" s="131">
        <f>'Dig call 236058505'!B24</f>
        <v>164989.2546615547</v>
      </c>
      <c r="K6" s="111"/>
      <c r="L6" s="111">
        <v>169024.821495296</v>
      </c>
      <c r="M6" s="111"/>
      <c r="N6" s="131">
        <v>166127.84662618244</v>
      </c>
      <c r="O6" s="133">
        <f t="shared" si="1"/>
        <v>-1.7438225607247386</v>
      </c>
    </row>
    <row r="7" spans="1:15" x14ac:dyDescent="0.45">
      <c r="A7" s="106" t="s">
        <v>131</v>
      </c>
      <c r="B7" s="106" t="s">
        <v>129</v>
      </c>
      <c r="C7" s="106">
        <v>236058508</v>
      </c>
      <c r="D7" s="106">
        <v>22512347</v>
      </c>
      <c r="E7" s="113">
        <v>65057840.486307397</v>
      </c>
      <c r="F7" s="106" t="s">
        <v>123</v>
      </c>
      <c r="G7" s="111">
        <v>4917932</v>
      </c>
      <c r="H7" s="111">
        <f t="shared" si="0"/>
        <v>79987.508894626633</v>
      </c>
      <c r="I7" s="111">
        <f>'Dig put 236058508'!B17</f>
        <v>6720222.7267905138</v>
      </c>
      <c r="J7" s="131">
        <f>'Dig put 236058508'!B18</f>
        <v>109300.79454799868</v>
      </c>
      <c r="K7" s="111"/>
      <c r="L7" s="111">
        <v>109377.190438479</v>
      </c>
      <c r="M7" s="111"/>
      <c r="N7" s="131">
        <v>112306.99297467469</v>
      </c>
      <c r="O7" s="133">
        <f t="shared" si="1"/>
        <v>2.6087445301437016</v>
      </c>
    </row>
    <row r="8" spans="1:15" x14ac:dyDescent="0.45">
      <c r="A8" s="106" t="s">
        <v>130</v>
      </c>
      <c r="B8" s="106" t="s">
        <v>43</v>
      </c>
      <c r="C8" s="106">
        <v>236058581</v>
      </c>
      <c r="D8" s="106">
        <v>22512650</v>
      </c>
      <c r="E8" s="113">
        <v>2000000</v>
      </c>
      <c r="F8" s="106" t="s">
        <v>126</v>
      </c>
      <c r="G8" s="111"/>
      <c r="H8" s="111">
        <v>459908</v>
      </c>
      <c r="I8" s="111"/>
      <c r="J8" s="131">
        <v>456777.86629470153</v>
      </c>
      <c r="K8" s="111"/>
      <c r="L8" s="111">
        <v>379693.04723002599</v>
      </c>
      <c r="M8" s="111"/>
      <c r="N8" s="131">
        <v>406674.04569826263</v>
      </c>
      <c r="O8" s="136">
        <f t="shared" si="1"/>
        <v>6.6345513694905351</v>
      </c>
    </row>
    <row r="9" spans="1:15" x14ac:dyDescent="0.45">
      <c r="A9" s="106" t="s">
        <v>130</v>
      </c>
      <c r="B9" s="106" t="s">
        <v>43</v>
      </c>
      <c r="C9" s="106">
        <v>236058562</v>
      </c>
      <c r="D9" s="106">
        <v>22512635</v>
      </c>
      <c r="E9" s="113">
        <v>1951735.21458922</v>
      </c>
      <c r="F9" s="106" t="s">
        <v>120</v>
      </c>
      <c r="G9" s="111">
        <v>27537224.965981402</v>
      </c>
      <c r="H9" s="111">
        <f t="shared" si="0"/>
        <v>447878.09731809463</v>
      </c>
      <c r="I9" s="111"/>
      <c r="J9" s="131"/>
      <c r="K9" s="111">
        <v>398290.70283531898</v>
      </c>
      <c r="L9" s="111">
        <v>399970.91486508102</v>
      </c>
      <c r="M9" s="111"/>
      <c r="N9" s="131"/>
    </row>
    <row r="10" spans="1:15" x14ac:dyDescent="0.45">
      <c r="A10" s="106" t="s">
        <v>130</v>
      </c>
      <c r="B10" s="106" t="s">
        <v>43</v>
      </c>
      <c r="C10" s="106">
        <v>236058563</v>
      </c>
      <c r="D10" s="106">
        <v>22512636</v>
      </c>
      <c r="E10" s="113">
        <v>1951735.21458922</v>
      </c>
      <c r="F10" s="106" t="s">
        <v>121</v>
      </c>
      <c r="G10" s="111">
        <v>27537224.965981402</v>
      </c>
      <c r="H10" s="111">
        <f t="shared" si="0"/>
        <v>447878.09731809463</v>
      </c>
      <c r="I10" s="111"/>
      <c r="J10" s="131"/>
      <c r="K10" s="111">
        <v>398290.70283531898</v>
      </c>
      <c r="L10" s="111">
        <v>399970.91486508102</v>
      </c>
      <c r="M10" s="111"/>
      <c r="N10" s="131"/>
    </row>
    <row r="11" spans="1:15" x14ac:dyDescent="0.45">
      <c r="A11" s="106" t="s">
        <v>130</v>
      </c>
      <c r="B11" s="106" t="s">
        <v>43</v>
      </c>
      <c r="C11" s="106">
        <v>236058564</v>
      </c>
      <c r="D11" s="106">
        <v>22512637</v>
      </c>
      <c r="E11" s="113">
        <v>1951735.21458922</v>
      </c>
      <c r="F11" s="106" t="s">
        <v>122</v>
      </c>
      <c r="G11" s="111">
        <v>28470330.425844699</v>
      </c>
      <c r="H11" s="111">
        <f t="shared" si="0"/>
        <v>463054.55385926686</v>
      </c>
      <c r="I11" s="111"/>
      <c r="J11" s="131"/>
      <c r="K11" s="111">
        <v>398290.70283531898</v>
      </c>
      <c r="L11" s="111">
        <v>399970.91486508102</v>
      </c>
      <c r="M11" s="111"/>
      <c r="N11" s="131"/>
    </row>
    <row r="12" spans="1:15" x14ac:dyDescent="0.45">
      <c r="A12" s="106" t="s">
        <v>130</v>
      </c>
      <c r="B12" s="106" t="s">
        <v>43</v>
      </c>
      <c r="C12" s="106">
        <v>236058566</v>
      </c>
      <c r="D12" s="106">
        <v>22512639</v>
      </c>
      <c r="E12" s="113">
        <v>1951735.21458922</v>
      </c>
      <c r="F12" s="106" t="s">
        <v>124</v>
      </c>
      <c r="G12" s="111">
        <v>27545920.424338698</v>
      </c>
      <c r="H12" s="111">
        <f t="shared" si="0"/>
        <v>448019.52425378573</v>
      </c>
      <c r="I12" s="111"/>
      <c r="J12" s="131"/>
      <c r="K12" s="111">
        <v>398290.70283531898</v>
      </c>
      <c r="L12" s="111">
        <v>399970.91486508102</v>
      </c>
      <c r="M12" s="111"/>
      <c r="N12" s="131"/>
    </row>
    <row r="13" spans="1:15" x14ac:dyDescent="0.45">
      <c r="A13" s="106" t="s">
        <v>130</v>
      </c>
      <c r="B13" s="106" t="s">
        <v>43</v>
      </c>
      <c r="C13" s="106">
        <v>236058569</v>
      </c>
      <c r="D13" s="106">
        <v>22512640</v>
      </c>
      <c r="E13" s="113">
        <v>2000000</v>
      </c>
      <c r="F13" s="106" t="s">
        <v>125</v>
      </c>
      <c r="G13" s="111">
        <v>368623</v>
      </c>
      <c r="H13" s="111">
        <v>368622.72420126799</v>
      </c>
      <c r="I13" s="111"/>
      <c r="J13" s="131">
        <v>368494.50131569768</v>
      </c>
      <c r="K13" s="111"/>
      <c r="L13" s="111">
        <v>288918.22442413302</v>
      </c>
      <c r="M13" s="111"/>
      <c r="N13" s="131">
        <v>335525.64265366568</v>
      </c>
      <c r="O13" s="136">
        <f t="shared" si="1"/>
        <v>13.890866242268553</v>
      </c>
    </row>
    <row r="14" spans="1:15" x14ac:dyDescent="0.45">
      <c r="A14" s="106" t="s">
        <v>130</v>
      </c>
      <c r="B14" s="106" t="s">
        <v>43</v>
      </c>
      <c r="C14" s="106">
        <v>236058571</v>
      </c>
      <c r="D14" s="106">
        <v>22512642</v>
      </c>
      <c r="E14" s="113">
        <v>2000000</v>
      </c>
      <c r="F14" s="106" t="s">
        <v>127</v>
      </c>
      <c r="G14" s="111">
        <v>459908</v>
      </c>
      <c r="H14" s="111">
        <v>469777.13126097899</v>
      </c>
      <c r="I14" s="111"/>
      <c r="J14" s="131">
        <v>456777.86629470153</v>
      </c>
      <c r="K14" s="111"/>
      <c r="L14" s="111">
        <v>379693.04723002599</v>
      </c>
      <c r="M14" s="111"/>
      <c r="N14" s="131">
        <v>406674.04569826263</v>
      </c>
      <c r="O14" s="136">
        <f t="shared" si="1"/>
        <v>6.6345513694905351</v>
      </c>
    </row>
    <row r="15" spans="1:15" x14ac:dyDescent="0.45">
      <c r="A15" s="106" t="s">
        <v>131</v>
      </c>
      <c r="B15" s="106" t="s">
        <v>43</v>
      </c>
      <c r="C15" s="106">
        <v>236058506</v>
      </c>
      <c r="D15" s="106">
        <v>22512345</v>
      </c>
      <c r="E15" s="113">
        <v>65057840.486307397</v>
      </c>
      <c r="F15" s="106" t="s">
        <v>128</v>
      </c>
      <c r="G15" s="111">
        <v>12202828.529136799</v>
      </c>
      <c r="H15" s="111">
        <f t="shared" si="0"/>
        <v>198472.41798258564</v>
      </c>
      <c r="I15" s="111"/>
      <c r="J15" s="131"/>
      <c r="K15" s="111"/>
      <c r="L15" s="111">
        <v>169024.821495296</v>
      </c>
      <c r="M15" s="111"/>
      <c r="N15" s="131"/>
    </row>
    <row r="16" spans="1:15" x14ac:dyDescent="0.45">
      <c r="A16" s="106" t="s">
        <v>131</v>
      </c>
      <c r="B16" s="106" t="s">
        <v>43</v>
      </c>
      <c r="C16" s="106">
        <v>236058507</v>
      </c>
      <c r="D16" s="106">
        <v>22512346</v>
      </c>
      <c r="E16" s="113">
        <v>65057840.486307397</v>
      </c>
      <c r="F16" s="106" t="s">
        <v>122</v>
      </c>
      <c r="G16" s="111">
        <v>12592013.2137092</v>
      </c>
      <c r="H16" s="111">
        <f t="shared" si="0"/>
        <v>204802.29676474188</v>
      </c>
      <c r="I16" s="111"/>
      <c r="J16" s="131"/>
      <c r="K16" s="111"/>
      <c r="L16" s="111">
        <v>169024.821495296</v>
      </c>
      <c r="M16" s="111"/>
      <c r="N16" s="131"/>
    </row>
    <row r="17" spans="1:15" x14ac:dyDescent="0.45">
      <c r="A17" s="106" t="s">
        <v>131</v>
      </c>
      <c r="B17" s="106" t="s">
        <v>43</v>
      </c>
      <c r="C17" s="106">
        <v>236058511</v>
      </c>
      <c r="D17" s="106">
        <v>22512465</v>
      </c>
      <c r="E17" s="113">
        <v>1600000</v>
      </c>
      <c r="F17" s="106" t="s">
        <v>126</v>
      </c>
      <c r="G17" s="111"/>
      <c r="H17" s="111">
        <v>208582.47505430301</v>
      </c>
      <c r="I17" s="111"/>
      <c r="J17" s="131">
        <v>179808.38389364359</v>
      </c>
      <c r="K17" s="111"/>
      <c r="L17" s="111">
        <v>169277.6632592</v>
      </c>
      <c r="M17" s="111"/>
      <c r="N17" s="131">
        <v>168648.78474587027</v>
      </c>
      <c r="O17" s="133">
        <f t="shared" si="1"/>
        <v>-0.37289240730512885</v>
      </c>
    </row>
    <row r="18" spans="1:15" x14ac:dyDescent="0.45">
      <c r="A18" s="106" t="s">
        <v>131</v>
      </c>
      <c r="B18" s="106" t="s">
        <v>43</v>
      </c>
      <c r="C18" s="106">
        <v>236058512</v>
      </c>
      <c r="D18" s="106">
        <v>22512466</v>
      </c>
      <c r="E18" s="113">
        <v>1600000</v>
      </c>
      <c r="F18" s="106" t="s">
        <v>125</v>
      </c>
      <c r="G18" s="111"/>
      <c r="H18" s="111">
        <v>172244.939133087</v>
      </c>
      <c r="I18" s="111"/>
      <c r="J18" s="131">
        <v>179808.38389364359</v>
      </c>
      <c r="K18" s="111"/>
      <c r="L18" s="111">
        <v>140945.67742538001</v>
      </c>
      <c r="M18" s="111"/>
      <c r="N18" s="131">
        <v>168648.78474587027</v>
      </c>
      <c r="O18" s="136">
        <f>(N18-L18)*100/N18</f>
        <v>16.426508712905882</v>
      </c>
    </row>
    <row r="19" spans="1:15" x14ac:dyDescent="0.45">
      <c r="A19" s="112" t="s">
        <v>162</v>
      </c>
      <c r="B19" s="112" t="s">
        <v>43</v>
      </c>
      <c r="C19" s="106" t="s">
        <v>149</v>
      </c>
      <c r="D19" s="106">
        <v>22512499</v>
      </c>
      <c r="E19" s="113">
        <v>2114379.81580499</v>
      </c>
      <c r="F19" s="106" t="s">
        <v>119</v>
      </c>
      <c r="G19" s="111"/>
      <c r="H19" s="111"/>
      <c r="I19" s="111"/>
      <c r="J19" s="131"/>
      <c r="K19" s="111"/>
      <c r="L19" s="111">
        <v>9678.9879992993101</v>
      </c>
      <c r="M19" s="111"/>
      <c r="N19" s="131"/>
    </row>
    <row r="20" spans="1:15" x14ac:dyDescent="0.45">
      <c r="A20" s="112" t="s">
        <v>162</v>
      </c>
      <c r="B20" s="112" t="s">
        <v>43</v>
      </c>
      <c r="C20" s="106" t="s">
        <v>150</v>
      </c>
      <c r="D20" s="106">
        <v>22512502</v>
      </c>
      <c r="E20" s="113">
        <v>2114379.81580499</v>
      </c>
      <c r="F20" s="112" t="s">
        <v>120</v>
      </c>
      <c r="G20" s="111"/>
      <c r="H20" s="111"/>
      <c r="I20" s="111"/>
      <c r="J20" s="131"/>
      <c r="K20" s="111"/>
      <c r="L20" s="111">
        <v>10377.501536010501</v>
      </c>
      <c r="M20" s="111"/>
      <c r="N20" s="131"/>
    </row>
    <row r="21" spans="1:15" x14ac:dyDescent="0.45">
      <c r="A21" s="112" t="s">
        <v>162</v>
      </c>
      <c r="B21" s="112" t="s">
        <v>43</v>
      </c>
      <c r="C21" s="106">
        <v>236058534</v>
      </c>
      <c r="D21" s="106">
        <v>22512501</v>
      </c>
      <c r="E21" s="113"/>
      <c r="F21" s="112" t="s">
        <v>122</v>
      </c>
      <c r="G21" s="111"/>
      <c r="H21" s="111"/>
      <c r="I21" s="111"/>
      <c r="J21" s="131"/>
      <c r="K21" s="111"/>
      <c r="L21" s="111"/>
      <c r="M21" s="111"/>
      <c r="N21" s="131"/>
    </row>
    <row r="22" spans="1:15" x14ac:dyDescent="0.45">
      <c r="A22" s="112" t="s">
        <v>162</v>
      </c>
      <c r="B22" s="112" t="s">
        <v>129</v>
      </c>
      <c r="C22" s="106">
        <v>236058535</v>
      </c>
      <c r="D22" s="106">
        <v>22512500</v>
      </c>
      <c r="E22" s="113">
        <v>2114379.81580499</v>
      </c>
      <c r="F22" s="106"/>
      <c r="G22" s="111"/>
      <c r="H22" s="111"/>
      <c r="I22" s="111"/>
      <c r="J22" s="131"/>
      <c r="K22" s="111"/>
      <c r="L22" s="111">
        <v>67544.359599803705</v>
      </c>
      <c r="M22" s="111"/>
      <c r="N22" s="131"/>
    </row>
    <row r="23" spans="1:15" x14ac:dyDescent="0.45">
      <c r="A23" s="112" t="s">
        <v>162</v>
      </c>
      <c r="B23" s="112" t="s">
        <v>43</v>
      </c>
      <c r="C23" s="106">
        <v>236058536</v>
      </c>
      <c r="D23" s="106">
        <v>22512503</v>
      </c>
      <c r="E23" s="113">
        <v>507451155.79319698</v>
      </c>
      <c r="F23" s="112" t="s">
        <v>124</v>
      </c>
      <c r="G23" s="111"/>
      <c r="H23" s="111"/>
      <c r="I23" s="111"/>
      <c r="J23" s="131"/>
      <c r="K23" s="111"/>
      <c r="L23" s="111">
        <v>87282073.342761099</v>
      </c>
      <c r="M23" s="111"/>
      <c r="N23" s="131"/>
    </row>
    <row r="24" spans="1:15" x14ac:dyDescent="0.45">
      <c r="A24" s="112" t="s">
        <v>162</v>
      </c>
      <c r="B24" s="112" t="s">
        <v>43</v>
      </c>
      <c r="C24" s="106" t="s">
        <v>151</v>
      </c>
      <c r="D24" s="106">
        <v>22512505</v>
      </c>
      <c r="E24" s="113"/>
      <c r="F24" s="106" t="s">
        <v>163</v>
      </c>
      <c r="G24" s="111"/>
      <c r="H24" s="111"/>
      <c r="I24" s="111"/>
      <c r="J24" s="131"/>
      <c r="K24" s="111"/>
      <c r="L24" s="111"/>
      <c r="M24" s="111"/>
      <c r="N24" s="131"/>
    </row>
    <row r="25" spans="1:15" x14ac:dyDescent="0.45">
      <c r="A25" s="112" t="s">
        <v>162</v>
      </c>
      <c r="B25" s="112" t="s">
        <v>43</v>
      </c>
      <c r="C25" s="106" t="s">
        <v>152</v>
      </c>
      <c r="D25" s="106">
        <v>22512506</v>
      </c>
      <c r="E25" s="113"/>
      <c r="F25" s="106" t="s">
        <v>164</v>
      </c>
      <c r="G25" s="111"/>
      <c r="H25" s="111"/>
      <c r="I25" s="111"/>
      <c r="J25" s="131"/>
      <c r="K25" s="111"/>
      <c r="L25" s="111"/>
      <c r="M25" s="111"/>
      <c r="N25" s="131"/>
    </row>
    <row r="26" spans="1:15" x14ac:dyDescent="0.45">
      <c r="A26" s="112" t="s">
        <v>162</v>
      </c>
      <c r="B26" s="112" t="s">
        <v>43</v>
      </c>
      <c r="C26" s="106">
        <v>236058542</v>
      </c>
      <c r="D26" s="106">
        <v>22512507</v>
      </c>
      <c r="E26" s="113">
        <v>2114379.81580499</v>
      </c>
      <c r="F26" s="106" t="s">
        <v>165</v>
      </c>
      <c r="G26" s="111"/>
      <c r="H26" s="111"/>
      <c r="I26" s="111"/>
      <c r="J26" s="131"/>
      <c r="K26" s="111"/>
      <c r="L26" s="111">
        <v>9678.9879992993101</v>
      </c>
      <c r="M26" s="111"/>
      <c r="N26" s="131"/>
    </row>
    <row r="27" spans="1:15" x14ac:dyDescent="0.45">
      <c r="A27" s="112" t="s">
        <v>162</v>
      </c>
      <c r="B27" s="112" t="s">
        <v>43</v>
      </c>
      <c r="C27" s="106" t="s">
        <v>153</v>
      </c>
      <c r="D27" s="106">
        <v>22512508</v>
      </c>
      <c r="E27" s="113">
        <v>2195702.1164128701</v>
      </c>
      <c r="F27" s="106" t="s">
        <v>166</v>
      </c>
      <c r="G27" s="111"/>
      <c r="H27" s="111"/>
      <c r="I27" s="111"/>
      <c r="J27" s="131"/>
      <c r="K27" s="111"/>
      <c r="L27" s="111">
        <v>14789.8827177198</v>
      </c>
      <c r="M27" s="111"/>
      <c r="N27" s="131"/>
    </row>
    <row r="28" spans="1:15" x14ac:dyDescent="0.45">
      <c r="A28" s="112" t="s">
        <v>162</v>
      </c>
      <c r="B28" s="112" t="s">
        <v>43</v>
      </c>
      <c r="C28" s="106" t="s">
        <v>154</v>
      </c>
      <c r="D28" s="106">
        <v>22512510</v>
      </c>
      <c r="E28" s="113">
        <v>2114379.81580499</v>
      </c>
      <c r="F28" s="106" t="s">
        <v>167</v>
      </c>
      <c r="G28" s="111"/>
      <c r="H28" s="111"/>
      <c r="I28" s="111"/>
      <c r="J28" s="131"/>
      <c r="K28" s="111"/>
      <c r="L28" s="111">
        <v>-6.4923304736053202</v>
      </c>
      <c r="M28" s="111"/>
      <c r="N28" s="131"/>
    </row>
    <row r="29" spans="1:15" x14ac:dyDescent="0.45">
      <c r="A29" s="112" t="s">
        <v>162</v>
      </c>
      <c r="B29" s="112" t="s">
        <v>43</v>
      </c>
      <c r="C29" s="106" t="s">
        <v>155</v>
      </c>
      <c r="D29" s="106">
        <v>22512512</v>
      </c>
      <c r="E29" s="113">
        <v>1870412.9139813399</v>
      </c>
      <c r="F29" s="106" t="s">
        <v>168</v>
      </c>
      <c r="G29" s="111"/>
      <c r="H29" s="111"/>
      <c r="I29" s="111"/>
      <c r="J29" s="131"/>
      <c r="K29" s="111"/>
      <c r="L29" s="111">
        <v>-21478.360106177301</v>
      </c>
      <c r="M29" s="111"/>
      <c r="N29" s="131"/>
    </row>
    <row r="30" spans="1:15" x14ac:dyDescent="0.45">
      <c r="A30" s="112" t="s">
        <v>162</v>
      </c>
      <c r="B30" s="112" t="s">
        <v>43</v>
      </c>
      <c r="C30" s="106" t="s">
        <v>156</v>
      </c>
      <c r="D30" s="106">
        <v>22512513</v>
      </c>
      <c r="E30" s="113">
        <v>1951735.21458922</v>
      </c>
      <c r="F30" s="106" t="s">
        <v>169</v>
      </c>
      <c r="G30" s="111"/>
      <c r="H30" s="111"/>
      <c r="I30" s="111"/>
      <c r="J30" s="131"/>
      <c r="K30" s="111"/>
      <c r="L30" s="111">
        <v>-25900.3361868682</v>
      </c>
      <c r="M30" s="111"/>
      <c r="N30" s="131"/>
    </row>
    <row r="31" spans="1:15" x14ac:dyDescent="0.45">
      <c r="A31" s="112" t="s">
        <v>162</v>
      </c>
      <c r="B31" s="112" t="s">
        <v>43</v>
      </c>
      <c r="C31" s="106" t="s">
        <v>157</v>
      </c>
      <c r="D31" s="106">
        <v>22512515</v>
      </c>
      <c r="E31" s="113">
        <v>1870412.9139813399</v>
      </c>
      <c r="F31" s="106" t="s">
        <v>170</v>
      </c>
      <c r="G31" s="111"/>
      <c r="H31" s="111"/>
      <c r="I31" s="111"/>
      <c r="J31" s="131"/>
      <c r="K31" s="111"/>
      <c r="L31" s="111">
        <v>14037.9617774872</v>
      </c>
      <c r="M31" s="111"/>
      <c r="N31" s="131"/>
    </row>
    <row r="32" spans="1:15" x14ac:dyDescent="0.45">
      <c r="A32" s="112" t="s">
        <v>162</v>
      </c>
      <c r="B32" s="112" t="s">
        <v>43</v>
      </c>
      <c r="C32" s="106" t="s">
        <v>158</v>
      </c>
      <c r="D32" s="106">
        <v>22512516</v>
      </c>
      <c r="E32" s="113">
        <v>1951735.21458922</v>
      </c>
      <c r="F32" s="106" t="s">
        <v>171</v>
      </c>
      <c r="G32" s="111"/>
      <c r="H32" s="111"/>
      <c r="I32" s="111"/>
      <c r="J32" s="131"/>
      <c r="K32" s="111"/>
      <c r="L32" s="111">
        <v>24250.6979741049</v>
      </c>
      <c r="M32" s="111"/>
      <c r="N32" s="131"/>
    </row>
    <row r="33" spans="1:14" x14ac:dyDescent="0.45">
      <c r="A33" s="112" t="s">
        <v>162</v>
      </c>
      <c r="B33" s="112" t="s">
        <v>43</v>
      </c>
      <c r="C33" s="106" t="s">
        <v>159</v>
      </c>
      <c r="D33" s="106">
        <v>22512517</v>
      </c>
      <c r="E33" s="113">
        <v>2114379.81580499</v>
      </c>
      <c r="F33" s="106" t="s">
        <v>172</v>
      </c>
      <c r="G33" s="111"/>
      <c r="H33" s="111"/>
      <c r="I33" s="111"/>
      <c r="J33" s="131"/>
      <c r="K33" s="111"/>
      <c r="L33" s="111">
        <v>10017.4981077922</v>
      </c>
      <c r="M33" s="111"/>
      <c r="N33" s="131"/>
    </row>
    <row r="34" spans="1:14" x14ac:dyDescent="0.45">
      <c r="A34" s="112" t="s">
        <v>162</v>
      </c>
      <c r="B34" s="112" t="s">
        <v>43</v>
      </c>
      <c r="C34" s="106" t="s">
        <v>160</v>
      </c>
      <c r="D34" s="106">
        <v>22512518</v>
      </c>
      <c r="E34" s="113">
        <v>2195702.1164128701</v>
      </c>
      <c r="F34" s="106" t="s">
        <v>173</v>
      </c>
      <c r="G34" s="111"/>
      <c r="H34" s="111"/>
      <c r="I34" s="111"/>
      <c r="J34" s="131"/>
      <c r="K34" s="111"/>
      <c r="L34" s="111">
        <v>0</v>
      </c>
      <c r="M34" s="111"/>
      <c r="N34" s="131"/>
    </row>
    <row r="35" spans="1:14" x14ac:dyDescent="0.45">
      <c r="B35" s="114"/>
      <c r="C35" s="110"/>
    </row>
    <row r="36" spans="1:14" x14ac:dyDescent="0.45">
      <c r="B36" s="114"/>
      <c r="C36" s="110"/>
      <c r="F36" s="110"/>
    </row>
    <row r="37" spans="1:14" x14ac:dyDescent="0.45">
      <c r="F37" s="110"/>
    </row>
    <row r="38" spans="1:14" x14ac:dyDescent="0.45">
      <c r="F38" s="110"/>
    </row>
    <row r="39" spans="1:14" x14ac:dyDescent="0.45">
      <c r="F39" s="110"/>
    </row>
    <row r="40" spans="1:14" x14ac:dyDescent="0.45">
      <c r="F40" s="110"/>
    </row>
    <row r="41" spans="1:14" x14ac:dyDescent="0.45">
      <c r="F41" s="110"/>
    </row>
    <row r="42" spans="1:14" x14ac:dyDescent="0.45">
      <c r="F42" s="110"/>
    </row>
    <row r="43" spans="1:14" x14ac:dyDescent="0.45">
      <c r="F43" s="110"/>
    </row>
    <row r="44" spans="1:14" x14ac:dyDescent="0.45">
      <c r="F44" s="110"/>
    </row>
    <row r="45" spans="1:14" x14ac:dyDescent="0.45">
      <c r="F45" s="110"/>
    </row>
    <row r="46" spans="1:14" x14ac:dyDescent="0.45">
      <c r="F46" s="110"/>
    </row>
    <row r="47" spans="1:14" x14ac:dyDescent="0.45">
      <c r="F47" s="110"/>
    </row>
    <row r="48" spans="1:14" x14ac:dyDescent="0.45">
      <c r="F48" s="110"/>
    </row>
    <row r="49" spans="3:7" x14ac:dyDescent="0.45">
      <c r="F49" s="110"/>
    </row>
    <row r="50" spans="3:7" x14ac:dyDescent="0.45">
      <c r="F50" s="110"/>
    </row>
    <row r="51" spans="3:7" x14ac:dyDescent="0.45">
      <c r="F51" s="110"/>
    </row>
    <row r="52" spans="3:7" x14ac:dyDescent="0.45">
      <c r="F52" s="110"/>
    </row>
    <row r="53" spans="3:7" x14ac:dyDescent="0.45">
      <c r="C53" s="110"/>
      <c r="D53" s="110"/>
      <c r="F53" s="110"/>
      <c r="G53" s="110"/>
    </row>
  </sheetData>
  <mergeCells count="6">
    <mergeCell ref="G1:J1"/>
    <mergeCell ref="K1:N1"/>
    <mergeCell ref="G2:H2"/>
    <mergeCell ref="I2:J2"/>
    <mergeCell ref="K2:L2"/>
    <mergeCell ref="M2:N2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E75"/>
  <sheetViews>
    <sheetView topLeftCell="B1" zoomScale="60" zoomScaleNormal="60" workbookViewId="0">
      <selection activeCell="Q32" sqref="Q32"/>
    </sheetView>
  </sheetViews>
  <sheetFormatPr defaultColWidth="9.1328125" defaultRowHeight="14.25" x14ac:dyDescent="0.45"/>
  <cols>
    <col min="1" max="1" width="24.73046875" style="140" customWidth="1"/>
    <col min="2" max="2" width="17.73046875" style="140" customWidth="1"/>
    <col min="3" max="3" width="1.86328125" style="140" customWidth="1"/>
    <col min="4" max="7" width="9.1328125" style="140"/>
    <col min="8" max="8" width="10.265625" style="140" customWidth="1"/>
    <col min="9" max="9" width="14.33203125" style="140" bestFit="1" customWidth="1"/>
    <col min="10" max="10" width="9.1328125" style="140" customWidth="1"/>
    <col min="11" max="11" width="16.265625" style="140" customWidth="1"/>
    <col min="12" max="12" width="13.1328125" style="140" customWidth="1"/>
    <col min="13" max="13" width="26.1328125" style="140" customWidth="1"/>
    <col min="14" max="17" width="15.265625" style="140" customWidth="1"/>
    <col min="18" max="18" width="12.33203125" style="140" bestFit="1" customWidth="1"/>
    <col min="19" max="22" width="9.1328125" style="140"/>
    <col min="23" max="23" width="14.33203125" style="140" bestFit="1" customWidth="1"/>
    <col min="24" max="25" width="12.6640625" style="140" bestFit="1" customWidth="1"/>
    <col min="26" max="16384" width="9.1328125" style="140"/>
  </cols>
  <sheetData>
    <row r="1" spans="1:31" s="10" customFormat="1" ht="23.65" thickBot="1" x14ac:dyDescent="0.75">
      <c r="A1" s="10" t="s">
        <v>202</v>
      </c>
      <c r="M1" s="10" t="s">
        <v>81</v>
      </c>
    </row>
    <row r="2" spans="1:31" x14ac:dyDescent="0.45">
      <c r="A2" s="115" t="s">
        <v>80</v>
      </c>
      <c r="B2" s="35"/>
      <c r="C2" s="12"/>
      <c r="D2" s="12"/>
      <c r="E2" s="12"/>
      <c r="F2" s="12"/>
      <c r="G2" s="12"/>
      <c r="H2" s="12"/>
      <c r="I2" s="12"/>
      <c r="J2" s="12"/>
      <c r="K2" s="13"/>
      <c r="L2" s="12"/>
      <c r="M2" s="115" t="s">
        <v>80</v>
      </c>
      <c r="N2" s="35"/>
      <c r="O2" s="35"/>
      <c r="P2" s="35"/>
      <c r="Q2" s="35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</row>
    <row r="3" spans="1:31" x14ac:dyDescent="0.45">
      <c r="A3" s="116" t="s">
        <v>0</v>
      </c>
      <c r="B3" s="4" t="s">
        <v>83</v>
      </c>
      <c r="C3" s="117"/>
      <c r="D3" s="17"/>
      <c r="E3" s="17"/>
      <c r="F3" s="17"/>
      <c r="G3" s="17"/>
      <c r="H3" s="17"/>
      <c r="I3" s="17"/>
      <c r="J3" s="17"/>
      <c r="K3" s="18"/>
      <c r="M3" s="116" t="s">
        <v>0</v>
      </c>
      <c r="N3" s="4" t="s">
        <v>83</v>
      </c>
      <c r="O3" s="4" t="s">
        <v>306</v>
      </c>
      <c r="P3" s="249" t="s">
        <v>308</v>
      </c>
      <c r="Q3" s="4" t="s">
        <v>341</v>
      </c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8"/>
    </row>
    <row r="4" spans="1:31" x14ac:dyDescent="0.45">
      <c r="A4" s="118" t="s">
        <v>182</v>
      </c>
      <c r="B4" s="119">
        <v>3.9641438879680901</v>
      </c>
      <c r="C4" s="120"/>
      <c r="D4" s="17"/>
      <c r="E4" s="17"/>
      <c r="F4" s="17"/>
      <c r="G4" s="17"/>
      <c r="H4" s="17"/>
      <c r="I4" s="17"/>
      <c r="J4" s="17"/>
      <c r="K4" s="18"/>
      <c r="M4" s="118" t="s">
        <v>214</v>
      </c>
      <c r="N4" s="119">
        <f>(N22-N24)*EXP(N12*N13)/N25</f>
        <v>3.9539812983007856</v>
      </c>
      <c r="O4" s="119">
        <f>(O22-N24)*EXP(O12*O13)/N25</f>
        <v>3.954427673215104</v>
      </c>
      <c r="P4" s="41">
        <f>(N22-N24)*EXP(N12*N13)/N25</f>
        <v>3.9539812983007856</v>
      </c>
      <c r="Q4" s="119">
        <f>(N22-N24)*EXP(Q12*Q13)/N25</f>
        <v>3.9539812983007856</v>
      </c>
      <c r="R4" s="17"/>
      <c r="S4" s="195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</row>
    <row r="5" spans="1:31" x14ac:dyDescent="0.45">
      <c r="A5" s="40" t="s">
        <v>2</v>
      </c>
      <c r="B5" s="41">
        <v>4</v>
      </c>
      <c r="C5" s="120"/>
      <c r="D5" s="17"/>
      <c r="E5" s="17"/>
      <c r="F5" s="17"/>
      <c r="G5" s="17"/>
      <c r="H5" s="17"/>
      <c r="I5" s="17"/>
      <c r="J5" s="17"/>
      <c r="K5" s="18"/>
      <c r="M5" s="40" t="s">
        <v>207</v>
      </c>
      <c r="N5" s="41">
        <v>4</v>
      </c>
      <c r="O5" s="41">
        <v>4</v>
      </c>
      <c r="P5" s="41">
        <v>4</v>
      </c>
      <c r="Q5" s="41">
        <v>4</v>
      </c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8"/>
    </row>
    <row r="6" spans="1:31" x14ac:dyDescent="0.45">
      <c r="A6" s="24" t="s">
        <v>3</v>
      </c>
      <c r="B6" s="42">
        <v>0.27328859999999999</v>
      </c>
      <c r="C6" s="120"/>
      <c r="D6" s="17"/>
      <c r="E6" s="17"/>
      <c r="F6" s="17"/>
      <c r="G6" s="17"/>
      <c r="H6" s="17"/>
      <c r="I6" s="17"/>
      <c r="J6" s="17"/>
      <c r="K6" s="18"/>
      <c r="M6" s="24" t="s">
        <v>3</v>
      </c>
      <c r="N6" s="42">
        <v>0.26230409074420802</v>
      </c>
      <c r="O6" s="42">
        <v>0.26229999999999998</v>
      </c>
      <c r="P6" s="42">
        <f>N6+0.01</f>
        <v>0.27230409074420803</v>
      </c>
      <c r="Q6" s="42">
        <v>0.26230409074420802</v>
      </c>
      <c r="R6" s="140" t="s">
        <v>213</v>
      </c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8"/>
    </row>
    <row r="7" spans="1:31" x14ac:dyDescent="0.45">
      <c r="A7" s="24" t="s">
        <v>175</v>
      </c>
      <c r="B7" s="121">
        <v>0</v>
      </c>
      <c r="C7" s="120"/>
      <c r="D7" s="17"/>
      <c r="E7" s="17"/>
      <c r="F7" s="17"/>
      <c r="G7" s="17"/>
      <c r="H7" s="17"/>
      <c r="I7" s="17"/>
      <c r="J7" s="17"/>
      <c r="K7" s="18"/>
      <c r="M7" s="24" t="s">
        <v>323</v>
      </c>
      <c r="N7" s="121">
        <v>0</v>
      </c>
      <c r="O7" s="121">
        <v>0</v>
      </c>
      <c r="P7" s="121">
        <v>0</v>
      </c>
      <c r="Q7" s="121">
        <v>-0.5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8"/>
    </row>
    <row r="8" spans="1:31" x14ac:dyDescent="0.45">
      <c r="A8" s="24" t="s">
        <v>177</v>
      </c>
      <c r="B8" s="122">
        <v>0.111462672102694</v>
      </c>
      <c r="C8" s="120"/>
      <c r="D8" s="17"/>
      <c r="E8" s="17"/>
      <c r="F8" s="17"/>
      <c r="G8" s="17"/>
      <c r="H8" s="17"/>
      <c r="I8" s="17"/>
      <c r="J8" s="17"/>
      <c r="K8" s="18"/>
      <c r="M8" s="24" t="s">
        <v>177</v>
      </c>
      <c r="N8" s="122">
        <v>0.1115</v>
      </c>
      <c r="O8" s="122">
        <v>0.1115</v>
      </c>
      <c r="P8" s="122">
        <f>N8</f>
        <v>0.1115</v>
      </c>
      <c r="Q8" s="122">
        <v>0.1115</v>
      </c>
      <c r="R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8"/>
    </row>
    <row r="9" spans="1:31" x14ac:dyDescent="0.45">
      <c r="A9" s="24" t="s">
        <v>191</v>
      </c>
      <c r="B9" s="122">
        <f>SQRT(B6^2-2*B7*B6*B8+B8^2)</f>
        <v>0.29514502564372092</v>
      </c>
      <c r="C9" s="120"/>
      <c r="D9" s="17"/>
      <c r="E9" s="17"/>
      <c r="F9" s="17"/>
      <c r="G9" s="17"/>
      <c r="H9" s="17"/>
      <c r="I9" s="17"/>
      <c r="J9" s="17"/>
      <c r="K9" s="18"/>
      <c r="M9" s="24" t="s">
        <v>191</v>
      </c>
      <c r="N9" s="122">
        <f>SQRT(N6^2-2*N7*N6*N8+N8^2)</f>
        <v>0.28501874678895373</v>
      </c>
      <c r="O9" s="122">
        <f>SQRT(O6^2-2*O7*O6*O8+O8^2)</f>
        <v>0.28501498206234704</v>
      </c>
      <c r="P9" s="122">
        <f>SQRT(P6^2-2*P7*P6*P8+P8^2)</f>
        <v>0.29424780005299933</v>
      </c>
      <c r="Q9" s="122">
        <f>SQRT(Q6^2-2*Q7*Q6*Q8+Q8^2)</f>
        <v>0.332389217844269</v>
      </c>
      <c r="R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8"/>
    </row>
    <row r="10" spans="1:31" x14ac:dyDescent="0.45">
      <c r="A10" s="24" t="s">
        <v>188</v>
      </c>
      <c r="B10" s="122">
        <v>2.13121836043643E-2</v>
      </c>
      <c r="C10" s="120"/>
      <c r="D10" s="17"/>
      <c r="E10" s="17"/>
      <c r="F10" s="17"/>
      <c r="G10" s="17"/>
      <c r="H10" s="17"/>
      <c r="I10" s="17"/>
      <c r="J10" s="17"/>
      <c r="K10" s="18"/>
      <c r="M10" s="24" t="s">
        <v>190</v>
      </c>
      <c r="N10" s="122">
        <v>5.1799999999999999E-2</v>
      </c>
      <c r="O10" s="122">
        <v>5.1799999999999999E-2</v>
      </c>
      <c r="P10" s="122">
        <v>5.1799999999999999E-2</v>
      </c>
      <c r="Q10" s="122">
        <v>5.1799999999999999E-2</v>
      </c>
      <c r="R10" s="17" t="s">
        <v>189</v>
      </c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8"/>
    </row>
    <row r="11" spans="1:31" x14ac:dyDescent="0.45">
      <c r="A11" s="24" t="s">
        <v>5</v>
      </c>
      <c r="B11" s="41">
        <v>3</v>
      </c>
      <c r="C11" s="120"/>
      <c r="D11" s="17"/>
      <c r="E11" s="17"/>
      <c r="F11" s="17"/>
      <c r="G11" s="17"/>
      <c r="H11" s="17"/>
      <c r="I11" s="17"/>
      <c r="J11" s="17"/>
      <c r="K11" s="18"/>
      <c r="M11" s="24" t="s">
        <v>188</v>
      </c>
      <c r="N11" s="122">
        <v>1.6199999999999999E-2</v>
      </c>
      <c r="O11" s="122">
        <v>1.6199999999999999E-2</v>
      </c>
      <c r="P11" s="122">
        <v>1.6199999999999999E-2</v>
      </c>
      <c r="Q11" s="122">
        <v>1.6199999999999999E-2</v>
      </c>
      <c r="R11" s="17" t="s">
        <v>199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8"/>
    </row>
    <row r="12" spans="1:31" x14ac:dyDescent="0.45">
      <c r="A12" s="24" t="s">
        <v>14</v>
      </c>
      <c r="B12" s="53">
        <v>500000</v>
      </c>
      <c r="C12" s="120"/>
      <c r="D12" s="17"/>
      <c r="E12" s="17"/>
      <c r="F12" s="17"/>
      <c r="G12" s="17"/>
      <c r="H12" s="17"/>
      <c r="I12" s="17"/>
      <c r="J12" s="17"/>
      <c r="K12" s="18"/>
      <c r="M12" s="24" t="s">
        <v>243</v>
      </c>
      <c r="N12" s="122">
        <f>'NxCVA Input 236058559'!I31*0.01</f>
        <v>5.9042319603999999E-2</v>
      </c>
      <c r="O12" s="122">
        <f>N12</f>
        <v>5.9042319603999999E-2</v>
      </c>
      <c r="P12" s="122">
        <f>N12</f>
        <v>5.9042319603999999E-2</v>
      </c>
      <c r="Q12" s="122">
        <f>'NxCVA Input 236058559'!I31*0.01</f>
        <v>5.9042319603999999E-2</v>
      </c>
      <c r="R12" s="17" t="s">
        <v>13</v>
      </c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8"/>
    </row>
    <row r="13" spans="1:31" x14ac:dyDescent="0.45">
      <c r="A13" s="26" t="s">
        <v>7</v>
      </c>
      <c r="B13" s="4"/>
      <c r="C13" s="120"/>
      <c r="D13" s="17"/>
      <c r="E13" s="17"/>
      <c r="F13" s="17"/>
      <c r="G13" s="17"/>
      <c r="H13" s="17"/>
      <c r="I13" s="17"/>
      <c r="J13" s="17"/>
      <c r="K13" s="18"/>
      <c r="M13" s="24" t="s">
        <v>5</v>
      </c>
      <c r="N13" s="41">
        <v>3</v>
      </c>
      <c r="O13" s="41">
        <v>3</v>
      </c>
      <c r="P13" s="41">
        <v>3</v>
      </c>
      <c r="Q13" s="41">
        <v>3</v>
      </c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8"/>
    </row>
    <row r="14" spans="1:31" x14ac:dyDescent="0.45">
      <c r="A14" s="24" t="s">
        <v>8</v>
      </c>
      <c r="B14" s="45">
        <f>(LN(B4/B5)+(B9^2/2)*B11)/(B9*SQRT(B11))</f>
        <v>0.23798897072942388</v>
      </c>
      <c r="C14" s="120"/>
      <c r="D14" s="17"/>
      <c r="E14" s="17"/>
      <c r="F14" s="17"/>
      <c r="G14" s="17"/>
      <c r="H14" s="17"/>
      <c r="I14" s="17"/>
      <c r="J14" s="17"/>
      <c r="K14" s="18"/>
      <c r="M14" s="24" t="s">
        <v>14</v>
      </c>
      <c r="N14" s="53">
        <v>500000</v>
      </c>
      <c r="O14" s="53">
        <v>500000</v>
      </c>
      <c r="P14" s="53">
        <v>500000</v>
      </c>
      <c r="Q14" s="53">
        <v>500000</v>
      </c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8"/>
    </row>
    <row r="15" spans="1:31" x14ac:dyDescent="0.45">
      <c r="A15" s="24" t="s">
        <v>9</v>
      </c>
      <c r="B15" s="45">
        <f>B14-B9*SQRT(B11)</f>
        <v>-0.27321720928671994</v>
      </c>
      <c r="C15" s="120"/>
      <c r="D15" s="17"/>
      <c r="E15" s="17"/>
      <c r="F15" s="17"/>
      <c r="G15" s="17"/>
      <c r="H15" s="17"/>
      <c r="I15" s="17"/>
      <c r="J15" s="17"/>
      <c r="K15" s="18"/>
      <c r="M15" s="26" t="s">
        <v>7</v>
      </c>
      <c r="N15" s="4"/>
      <c r="O15" s="4"/>
      <c r="P15" s="4"/>
      <c r="Q15" s="4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8"/>
    </row>
    <row r="16" spans="1:31" x14ac:dyDescent="0.45">
      <c r="A16" s="24" t="s">
        <v>10</v>
      </c>
      <c r="B16" s="45">
        <f>NORMSDIST(B14)</f>
        <v>0.59405517572066446</v>
      </c>
      <c r="C16" s="120"/>
      <c r="D16" s="17"/>
      <c r="E16" s="17"/>
      <c r="F16" s="17"/>
      <c r="G16" s="17"/>
      <c r="H16" s="17"/>
      <c r="I16" s="17"/>
      <c r="K16" s="18"/>
      <c r="M16" s="24" t="s">
        <v>8</v>
      </c>
      <c r="N16" s="45">
        <f>(LN(N4/N5)+(N9^2/2)*N13)/(N9*SQRT(N13))</f>
        <v>0.22339385431599851</v>
      </c>
      <c r="O16" s="45">
        <f>(LN(O4/O5)+(O9^2/2)*O13)/(O9*SQRT(O13))</f>
        <v>0.22361895601317913</v>
      </c>
      <c r="P16" s="45">
        <f>(LN(P4/P5)+(P9^2/2)*P13)/(P9*SQRT(P13))</f>
        <v>0.23212163029799171</v>
      </c>
      <c r="Q16" s="45">
        <f>(LN(Q4/Q5)+(Q9^2/2)*Q13)/(Q9*SQRT(Q13))</f>
        <v>0.26775838474840891</v>
      </c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8"/>
    </row>
    <row r="17" spans="1:31" x14ac:dyDescent="0.45">
      <c r="A17" s="24" t="s">
        <v>11</v>
      </c>
      <c r="B17" s="45">
        <f>NORMSDIST(B15)</f>
        <v>0.39234312598615606</v>
      </c>
      <c r="C17" s="120"/>
      <c r="D17" s="17"/>
      <c r="E17" s="17"/>
      <c r="F17" s="17"/>
      <c r="G17" s="17"/>
      <c r="H17" s="17"/>
      <c r="I17" s="17"/>
      <c r="K17" s="18"/>
      <c r="M17" s="24" t="s">
        <v>9</v>
      </c>
      <c r="N17" s="45">
        <f>N16-N9*SQRT(N13)</f>
        <v>-0.27027309623207812</v>
      </c>
      <c r="O17" s="45">
        <f>O16-O9*SQRT(O13)</f>
        <v>-0.27004147383713817</v>
      </c>
      <c r="P17" s="45">
        <f>P16-P9*SQRT(P13)</f>
        <v>-0.27753050940917123</v>
      </c>
      <c r="Q17" s="45">
        <f>Q16-Q9*SQRT(Q13)</f>
        <v>-0.30795662844594468</v>
      </c>
      <c r="R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8"/>
    </row>
    <row r="18" spans="1:31" x14ac:dyDescent="0.45">
      <c r="A18" s="123" t="s">
        <v>85</v>
      </c>
      <c r="B18" s="124">
        <f>( B4*B16 - B5*B17 ) * B12*EXP(-B10*B11)</f>
        <v>368447.20723099005</v>
      </c>
      <c r="C18" s="120"/>
      <c r="D18" s="17"/>
      <c r="E18" s="17"/>
      <c r="F18" s="17"/>
      <c r="G18" s="17"/>
      <c r="H18" s="17"/>
      <c r="I18" s="17"/>
      <c r="K18" s="18"/>
      <c r="M18" s="24" t="s">
        <v>10</v>
      </c>
      <c r="N18" s="151">
        <f t="shared" ref="N18:P19" si="0">NORMSDIST(N16)</f>
        <v>0.58838550648558718</v>
      </c>
      <c r="O18" s="151">
        <f t="shared" si="0"/>
        <v>0.58847309380183555</v>
      </c>
      <c r="P18" s="151">
        <f>NORMSDIST(P16)</f>
        <v>0.591778227452465</v>
      </c>
      <c r="Q18" s="151">
        <f>NORMSDIST(Q16)</f>
        <v>0.60555734724238663</v>
      </c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8"/>
    </row>
    <row r="19" spans="1:31" x14ac:dyDescent="0.45">
      <c r="A19" s="38" t="s">
        <v>15</v>
      </c>
      <c r="B19" s="125">
        <v>61.483750000000001</v>
      </c>
      <c r="C19" s="8"/>
      <c r="D19" s="17"/>
      <c r="E19" s="17"/>
      <c r="F19" s="17"/>
      <c r="G19" s="17"/>
      <c r="H19" s="17"/>
      <c r="I19" s="17"/>
      <c r="K19" s="18"/>
      <c r="M19" s="24" t="s">
        <v>11</v>
      </c>
      <c r="N19" s="151">
        <f t="shared" si="0"/>
        <v>0.39347508075272886</v>
      </c>
      <c r="O19" s="151">
        <f t="shared" si="0"/>
        <v>0.39356417345471967</v>
      </c>
      <c r="P19" s="151">
        <f t="shared" si="0"/>
        <v>0.39068639119838905</v>
      </c>
      <c r="Q19" s="151">
        <f>NORMSDIST(Q17)</f>
        <v>0.37905766748204806</v>
      </c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8"/>
    </row>
    <row r="20" spans="1:31" x14ac:dyDescent="0.45">
      <c r="A20" s="37" t="s">
        <v>83</v>
      </c>
      <c r="B20" s="8">
        <v>255.81</v>
      </c>
      <c r="C20" s="8"/>
      <c r="D20" s="17"/>
      <c r="E20" s="17"/>
      <c r="F20" s="17"/>
      <c r="G20" s="17"/>
      <c r="H20" s="17"/>
      <c r="I20" s="17"/>
      <c r="J20" s="17"/>
      <c r="K20" s="18"/>
      <c r="M20" s="123" t="s">
        <v>85</v>
      </c>
      <c r="N20" s="166">
        <f>( N4*N18 - N5*N19 ) * N14 * EXP(-N11*N13)</f>
        <v>358432.42396387918</v>
      </c>
      <c r="O20" s="166">
        <f>( O4*O18 - O5*O19 ) * O14 * EXP(-O11*O13)</f>
        <v>358552.74561841669</v>
      </c>
      <c r="P20" s="166">
        <f>( P4*P18 - P5*P19 ) * P14 * EXP(-P11*P13)</f>
        <v>370134.41737156681</v>
      </c>
      <c r="Q20" s="321">
        <f>( Q4*Q18 - Q5*Q19 ) * Q14 * EXP(-Q11*Q13)</f>
        <v>418237.50532932399</v>
      </c>
      <c r="R20" s="17" t="s">
        <v>209</v>
      </c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8"/>
    </row>
    <row r="21" spans="1:31" x14ac:dyDescent="0.45">
      <c r="A21" s="37" t="s">
        <v>84</v>
      </c>
      <c r="B21" s="52">
        <v>0.47548643072876301</v>
      </c>
      <c r="C21" s="8"/>
      <c r="D21" s="17"/>
      <c r="E21" s="17"/>
      <c r="F21" s="17"/>
      <c r="G21" s="17"/>
      <c r="H21" s="17"/>
      <c r="I21" s="17"/>
      <c r="J21" s="17"/>
      <c r="K21" s="18"/>
      <c r="M21" s="38" t="s">
        <v>15</v>
      </c>
      <c r="N21" s="125">
        <v>61.483750000000001</v>
      </c>
      <c r="O21" s="125"/>
      <c r="P21" s="125"/>
      <c r="Q21" s="272">
        <v>418626.66772075102</v>
      </c>
      <c r="R21" s="17" t="s">
        <v>349</v>
      </c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8"/>
    </row>
    <row r="22" spans="1:31" x14ac:dyDescent="0.45">
      <c r="A22" s="17" t="s">
        <v>226</v>
      </c>
      <c r="C22" s="17"/>
      <c r="D22" s="17"/>
      <c r="E22" s="17"/>
      <c r="F22" s="17"/>
      <c r="G22" s="17"/>
      <c r="H22" s="17" t="s">
        <v>90</v>
      </c>
      <c r="I22" s="17"/>
      <c r="J22" s="17"/>
      <c r="K22" s="18"/>
      <c r="M22" s="37" t="s">
        <v>83</v>
      </c>
      <c r="N22" s="8">
        <v>255.81</v>
      </c>
      <c r="O22" s="8">
        <f>N22*1.0001</f>
        <v>255.83558099999999</v>
      </c>
      <c r="P22" s="8"/>
      <c r="Q22" s="322">
        <f>1-Q21/Q20</f>
        <v>-9.3048181109578465E-4</v>
      </c>
      <c r="R22" s="140" t="s">
        <v>348</v>
      </c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8"/>
    </row>
    <row r="23" spans="1:31" x14ac:dyDescent="0.45">
      <c r="A23" s="31"/>
      <c r="C23" s="17"/>
      <c r="D23" s="17"/>
      <c r="E23" s="17"/>
      <c r="F23" s="17"/>
      <c r="G23" s="17"/>
      <c r="H23" s="135">
        <f>0.737274004591552*500000</f>
        <v>368637.00229577598</v>
      </c>
      <c r="I23" s="17"/>
      <c r="J23" s="17"/>
      <c r="K23" s="18"/>
      <c r="M23" s="37" t="s">
        <v>309</v>
      </c>
      <c r="N23" s="248">
        <f>N22/N21</f>
        <v>4.1606115437005711</v>
      </c>
      <c r="O23" s="8"/>
      <c r="P23" s="8"/>
      <c r="Q23" s="8">
        <f>(Q4*Q18-Q5*Q19)*EXP(-Q11*Q13)</f>
        <v>0.83647501065864793</v>
      </c>
      <c r="R23" s="17" t="s">
        <v>350</v>
      </c>
      <c r="S23" s="8"/>
      <c r="T23" s="8"/>
      <c r="U23" s="8"/>
      <c r="V23" s="17"/>
      <c r="W23" s="17"/>
      <c r="X23" s="17"/>
      <c r="Y23" s="17"/>
      <c r="Z23" s="17"/>
      <c r="AA23" s="17"/>
      <c r="AB23" s="17"/>
      <c r="AC23" s="17"/>
      <c r="AD23" s="17"/>
      <c r="AE23" s="18"/>
    </row>
    <row r="24" spans="1:31" x14ac:dyDescent="0.45">
      <c r="A24" s="8" t="s">
        <v>187</v>
      </c>
      <c r="B24" s="134">
        <v>5.90423196040505E-2</v>
      </c>
      <c r="C24" s="17"/>
      <c r="D24" s="17"/>
      <c r="E24" s="17"/>
      <c r="F24" s="17"/>
      <c r="G24" s="17"/>
      <c r="H24" s="129"/>
      <c r="I24" s="17"/>
      <c r="J24" s="17"/>
      <c r="K24" s="18"/>
      <c r="M24" s="37" t="s">
        <v>84</v>
      </c>
      <c r="N24" s="52">
        <f>SUM('NxCVA Input 236058559'!N11:N13)</f>
        <v>29.213942857916912</v>
      </c>
      <c r="O24" s="52">
        <f>(N22-N24)*EXP(N12*N13)/(N21*EXP((N12-N11)*N13))</f>
        <v>3.8689998467456488</v>
      </c>
      <c r="P24" s="52"/>
      <c r="Q24" s="248"/>
      <c r="R24" s="17" t="s">
        <v>267</v>
      </c>
      <c r="S24" s="8"/>
      <c r="T24" s="9"/>
      <c r="U24" s="8"/>
      <c r="V24" s="17"/>
      <c r="W24" s="17"/>
      <c r="X24" s="17"/>
      <c r="Y24" s="17"/>
      <c r="Z24" s="17"/>
      <c r="AA24" s="17"/>
      <c r="AB24" s="17"/>
      <c r="AC24" s="17"/>
      <c r="AD24" s="17"/>
      <c r="AE24" s="18"/>
    </row>
    <row r="25" spans="1:31" x14ac:dyDescent="0.45">
      <c r="A25" s="128" t="s">
        <v>186</v>
      </c>
      <c r="B25" s="54">
        <v>69192.1442362987</v>
      </c>
      <c r="C25" s="17"/>
      <c r="D25" s="17"/>
      <c r="E25" s="17"/>
      <c r="F25" s="17"/>
      <c r="G25" s="17"/>
      <c r="H25" s="17"/>
      <c r="I25" s="17"/>
      <c r="J25" s="17"/>
      <c r="K25" s="18"/>
      <c r="M25" s="31" t="s">
        <v>198</v>
      </c>
      <c r="N25" s="50">
        <f>N21*EXP((N10-N11)*N13)</f>
        <v>68.413687363005664</v>
      </c>
      <c r="O25" s="50"/>
      <c r="P25" s="50"/>
      <c r="Q25" s="50"/>
      <c r="R25" s="17"/>
      <c r="S25" s="8"/>
      <c r="T25" s="8"/>
      <c r="U25" s="8"/>
      <c r="V25" s="17"/>
      <c r="W25" s="17"/>
      <c r="X25" s="17"/>
      <c r="Y25" s="17"/>
      <c r="Z25" s="17"/>
      <c r="AA25" s="17"/>
      <c r="AB25" s="17"/>
      <c r="AC25" s="17"/>
      <c r="AD25" s="17"/>
      <c r="AE25" s="18"/>
    </row>
    <row r="26" spans="1:31" x14ac:dyDescent="0.45">
      <c r="A26" s="31" t="s">
        <v>185</v>
      </c>
      <c r="B26" s="50">
        <f>B19+B25/10000</f>
        <v>68.402964423629868</v>
      </c>
      <c r="C26" s="17"/>
      <c r="D26" s="17"/>
      <c r="E26" s="17"/>
      <c r="F26" s="17"/>
      <c r="G26" s="17"/>
      <c r="H26" s="17"/>
      <c r="I26" s="17"/>
      <c r="J26" s="17"/>
      <c r="K26" s="18"/>
      <c r="L26" s="31"/>
      <c r="M26" s="17"/>
      <c r="R26" s="140" t="s">
        <v>337</v>
      </c>
      <c r="S26" s="8"/>
      <c r="T26" s="8"/>
      <c r="U26" s="8"/>
      <c r="V26" s="17"/>
      <c r="W26" s="17"/>
      <c r="X26" s="17"/>
      <c r="Y26" s="17"/>
      <c r="Z26" s="17"/>
      <c r="AA26" s="17"/>
      <c r="AB26" s="17"/>
      <c r="AC26" s="17"/>
      <c r="AD26" s="17"/>
      <c r="AE26" s="18"/>
    </row>
    <row r="27" spans="1:31" x14ac:dyDescent="0.45">
      <c r="A27" s="31" t="s">
        <v>215</v>
      </c>
      <c r="B27" s="184">
        <f>(B20-B21*B19)*EXP(B24*B11)/B26</f>
        <v>3.9542390665740315</v>
      </c>
      <c r="C27" s="17"/>
      <c r="D27" s="17"/>
      <c r="E27" s="17"/>
      <c r="F27" s="17"/>
      <c r="G27" s="17"/>
      <c r="H27" s="17"/>
      <c r="I27" s="17"/>
      <c r="J27" s="17"/>
      <c r="K27" s="18"/>
      <c r="L27" s="31"/>
      <c r="M27" s="193" t="s">
        <v>304</v>
      </c>
      <c r="N27" s="285">
        <f>(N20-O20)/(N22-O22)*N22</f>
        <v>1203216.5453757304</v>
      </c>
      <c r="O27" s="194"/>
      <c r="P27" s="194"/>
      <c r="Q27" s="194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8"/>
    </row>
    <row r="28" spans="1:31" x14ac:dyDescent="0.45">
      <c r="C28" s="17"/>
      <c r="D28" s="17"/>
      <c r="E28" s="17"/>
      <c r="F28" s="17"/>
      <c r="G28" s="17"/>
      <c r="H28" s="17"/>
      <c r="I28" s="17"/>
      <c r="J28" s="17"/>
      <c r="K28" s="18"/>
      <c r="L28" s="31"/>
      <c r="M28" s="245" t="s">
        <v>305</v>
      </c>
      <c r="N28" s="285">
        <f>(P20-N20)</f>
        <v>11701.993407687638</v>
      </c>
      <c r="O28" s="194"/>
      <c r="P28" s="194"/>
      <c r="Q28" s="194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8"/>
    </row>
    <row r="29" spans="1:31" x14ac:dyDescent="0.45">
      <c r="A29" s="286" t="s">
        <v>327</v>
      </c>
      <c r="C29" s="17"/>
      <c r="D29" s="17"/>
      <c r="E29" s="17"/>
      <c r="F29" s="17"/>
      <c r="G29" s="17"/>
      <c r="H29" s="17"/>
      <c r="I29" s="17"/>
      <c r="J29" s="17"/>
      <c r="K29" s="18"/>
      <c r="L29" s="31"/>
      <c r="M29" s="17"/>
      <c r="N29" s="232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8"/>
    </row>
    <row r="30" spans="1:31" x14ac:dyDescent="0.45">
      <c r="C30" s="17"/>
      <c r="D30" s="17"/>
      <c r="E30" s="17"/>
      <c r="F30" s="17"/>
      <c r="G30" s="17"/>
      <c r="H30" s="17"/>
      <c r="J30" s="17"/>
      <c r="K30" s="18"/>
      <c r="L30" s="31"/>
      <c r="M30" s="17"/>
      <c r="N30" s="232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8"/>
    </row>
    <row r="31" spans="1:31" x14ac:dyDescent="0.45">
      <c r="A31" s="31"/>
      <c r="B31" s="17"/>
      <c r="C31" s="17"/>
      <c r="D31" s="17"/>
      <c r="E31" s="17"/>
      <c r="F31" s="17"/>
      <c r="G31" s="17"/>
      <c r="H31" s="17"/>
      <c r="J31" s="17"/>
      <c r="K31" s="18"/>
      <c r="L31" s="31"/>
      <c r="M31" s="284" t="s">
        <v>324</v>
      </c>
      <c r="N31" s="129">
        <f>EXP(-N11*N13)*N14*(N22*EXP(N12*N13)/N25)*N18</f>
        <v>1250907.0457689979</v>
      </c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8"/>
    </row>
    <row r="32" spans="1:31" x14ac:dyDescent="0.45">
      <c r="A32" s="31"/>
      <c r="B32" s="17"/>
      <c r="C32" s="17"/>
      <c r="D32" s="17"/>
      <c r="E32" s="17"/>
      <c r="F32" s="17"/>
      <c r="G32" s="17"/>
      <c r="H32" s="17"/>
      <c r="J32" s="17"/>
      <c r="K32" s="18"/>
      <c r="L32" s="31"/>
      <c r="M32" s="283" t="s">
        <v>325</v>
      </c>
      <c r="N32" s="129">
        <f>EXP(-N11*N13)*N4*_xlfn.NORM.DIST(N16,0,1,FALSE)*SQRT(N13)/(N9)*(N6-N7*N8)*N14*0.01</f>
        <v>11680.556683452482</v>
      </c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8"/>
    </row>
    <row r="33" spans="1:31" x14ac:dyDescent="0.45">
      <c r="A33" s="31"/>
      <c r="B33" s="17"/>
      <c r="C33" s="17"/>
      <c r="D33" s="17"/>
      <c r="E33" s="17"/>
      <c r="F33" s="17"/>
      <c r="G33" s="17"/>
      <c r="H33" s="17"/>
      <c r="J33" s="17"/>
      <c r="K33" s="18"/>
      <c r="L33" s="3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8"/>
    </row>
    <row r="34" spans="1:31" x14ac:dyDescent="0.45">
      <c r="A34" s="31"/>
      <c r="B34" s="17"/>
      <c r="C34" s="17"/>
      <c r="D34" s="17"/>
      <c r="E34" s="17"/>
      <c r="F34" s="17"/>
      <c r="G34" s="17"/>
      <c r="H34" s="17"/>
      <c r="J34" s="17"/>
      <c r="K34" s="18"/>
      <c r="L34" s="31"/>
      <c r="M34" s="17"/>
      <c r="N34" s="17"/>
      <c r="O34" s="17"/>
      <c r="P34" s="17"/>
      <c r="Q34" s="17"/>
      <c r="R34" s="202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8"/>
    </row>
    <row r="35" spans="1:31" ht="14.65" thickBot="1" x14ac:dyDescent="0.5">
      <c r="A35" s="31"/>
      <c r="B35" s="17"/>
      <c r="C35" s="17"/>
      <c r="D35" s="17"/>
      <c r="E35" s="17"/>
      <c r="F35" s="17"/>
      <c r="G35" s="17"/>
      <c r="H35" s="17"/>
      <c r="I35" s="17"/>
      <c r="J35" s="17"/>
      <c r="K35" s="18"/>
      <c r="L35" s="31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8"/>
    </row>
    <row r="36" spans="1:31" x14ac:dyDescent="0.45">
      <c r="A36" s="31"/>
      <c r="B36" s="17"/>
      <c r="C36" s="17"/>
      <c r="D36" s="17"/>
      <c r="E36" s="17"/>
      <c r="F36" s="17"/>
      <c r="G36" s="17"/>
      <c r="H36" s="17"/>
      <c r="I36" s="17"/>
      <c r="J36" s="17"/>
      <c r="K36" s="18"/>
      <c r="L36" s="31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392" t="s">
        <v>343</v>
      </c>
      <c r="X36" s="329" t="s">
        <v>345</v>
      </c>
      <c r="Y36" s="330">
        <v>359385.991125367</v>
      </c>
      <c r="Z36" s="17"/>
      <c r="AA36" s="17"/>
      <c r="AB36" s="17"/>
      <c r="AC36" s="17"/>
      <c r="AD36" s="17"/>
      <c r="AE36" s="18"/>
    </row>
    <row r="37" spans="1:31" x14ac:dyDescent="0.45">
      <c r="A37" s="31"/>
      <c r="B37" s="17"/>
      <c r="C37" s="17"/>
      <c r="D37" s="17"/>
      <c r="E37" s="17"/>
      <c r="F37" s="17"/>
      <c r="G37" s="17"/>
      <c r="H37" s="17"/>
      <c r="I37" s="17"/>
      <c r="J37" s="17"/>
      <c r="K37" s="18"/>
      <c r="L37" s="31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393"/>
      <c r="X37" s="175" t="s">
        <v>346</v>
      </c>
      <c r="Y37" s="331">
        <v>375446.39248043398</v>
      </c>
      <c r="Z37" s="17"/>
      <c r="AA37" s="17"/>
      <c r="AB37" s="17"/>
      <c r="AC37" s="17"/>
      <c r="AD37" s="17"/>
      <c r="AE37" s="18"/>
    </row>
    <row r="38" spans="1:31" x14ac:dyDescent="0.45">
      <c r="A38" s="31"/>
      <c r="B38" s="17"/>
      <c r="C38" s="17"/>
      <c r="D38" s="17"/>
      <c r="E38" s="17"/>
      <c r="F38" s="17"/>
      <c r="G38" s="17"/>
      <c r="H38" s="17"/>
      <c r="I38" s="17"/>
      <c r="J38" s="17"/>
      <c r="K38" s="18"/>
      <c r="L38" s="31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31"/>
      <c r="X38" s="17" t="s">
        <v>344</v>
      </c>
      <c r="Y38" s="332">
        <f>Y36-Y37</f>
        <v>-16060.401355066977</v>
      </c>
      <c r="Z38" s="17"/>
      <c r="AA38" s="17"/>
      <c r="AB38" s="17"/>
      <c r="AC38" s="17"/>
      <c r="AD38" s="17"/>
      <c r="AE38" s="18"/>
    </row>
    <row r="39" spans="1:31" x14ac:dyDescent="0.45">
      <c r="A39" s="31"/>
      <c r="B39" s="17"/>
      <c r="C39" s="17"/>
      <c r="D39" s="17"/>
      <c r="E39" s="17"/>
      <c r="F39" s="17"/>
      <c r="G39" s="17"/>
      <c r="H39" s="17"/>
      <c r="I39" s="17"/>
      <c r="J39" s="17"/>
      <c r="K39" s="18"/>
      <c r="L39" s="31"/>
      <c r="M39" s="17"/>
      <c r="N39" s="17"/>
      <c r="O39" s="17"/>
      <c r="P39" s="17"/>
      <c r="Q39" s="17"/>
      <c r="R39" s="17"/>
      <c r="T39" s="17"/>
      <c r="U39" s="17"/>
      <c r="V39" s="17"/>
      <c r="W39" s="31" t="s">
        <v>342</v>
      </c>
      <c r="X39" s="17" t="s">
        <v>340</v>
      </c>
      <c r="Y39" s="333">
        <f>EXP(-N11*N13)*((N22-N24)*EXP(N12*N13)/N25-N5)*N14</f>
        <v>-21917.835066441778</v>
      </c>
      <c r="Z39" s="17"/>
      <c r="AA39" s="17"/>
      <c r="AB39" s="17"/>
      <c r="AC39" s="17"/>
      <c r="AD39" s="17"/>
      <c r="AE39" s="18"/>
    </row>
    <row r="40" spans="1:31" ht="14.65" thickBot="1" x14ac:dyDescent="0.5">
      <c r="A40" s="31"/>
      <c r="B40" s="17"/>
      <c r="C40" s="17"/>
      <c r="D40" s="17"/>
      <c r="E40" s="17"/>
      <c r="F40" s="17"/>
      <c r="G40" s="17"/>
      <c r="H40" s="17"/>
      <c r="I40" s="273" t="s">
        <v>352</v>
      </c>
      <c r="J40" s="17"/>
      <c r="K40" s="18"/>
      <c r="L40" s="31"/>
      <c r="M40" s="140" t="s">
        <v>211</v>
      </c>
      <c r="N40" s="17"/>
      <c r="O40" s="17"/>
      <c r="P40" s="17"/>
      <c r="Q40" s="17"/>
      <c r="R40" s="17"/>
      <c r="S40" s="17"/>
      <c r="T40" s="17"/>
      <c r="U40" s="17"/>
      <c r="V40" s="17"/>
      <c r="W40" s="32"/>
      <c r="X40" s="33"/>
      <c r="Y40" s="334">
        <f>1-Y39/Y38</f>
        <v>-0.36471278530824569</v>
      </c>
      <c r="Z40" s="17"/>
      <c r="AA40" s="17"/>
      <c r="AB40" s="17"/>
      <c r="AC40" s="17"/>
      <c r="AD40" s="17"/>
      <c r="AE40" s="18"/>
    </row>
    <row r="41" spans="1:31" x14ac:dyDescent="0.45">
      <c r="A41" s="31"/>
      <c r="B41" s="17"/>
      <c r="C41" s="17"/>
      <c r="D41" s="17"/>
      <c r="E41" s="17"/>
      <c r="F41" s="17"/>
      <c r="G41" s="17"/>
      <c r="H41" s="17"/>
      <c r="I41" s="17"/>
      <c r="J41" s="17"/>
      <c r="K41" s="18"/>
      <c r="L41" s="31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8"/>
    </row>
    <row r="42" spans="1:31" x14ac:dyDescent="0.45">
      <c r="A42" s="31"/>
      <c r="B42" s="17"/>
      <c r="C42" s="17"/>
      <c r="D42" s="17"/>
      <c r="E42" s="17"/>
      <c r="F42" s="17"/>
      <c r="G42" s="17"/>
      <c r="H42" s="17"/>
      <c r="I42" s="17"/>
      <c r="J42" s="17"/>
      <c r="K42" s="18"/>
      <c r="L42" s="31"/>
      <c r="M42" s="17"/>
      <c r="N42" s="17"/>
      <c r="O42" s="17"/>
      <c r="P42" s="17"/>
      <c r="Q42" s="17"/>
      <c r="R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8"/>
    </row>
    <row r="43" spans="1:31" x14ac:dyDescent="0.45">
      <c r="A43" s="31"/>
      <c r="B43" s="17"/>
      <c r="C43" s="17"/>
      <c r="D43" s="17"/>
      <c r="E43" s="17"/>
      <c r="F43" s="17"/>
      <c r="G43" s="17"/>
      <c r="H43" s="17"/>
      <c r="I43" s="327">
        <f>0.8559*Q14</f>
        <v>427950</v>
      </c>
      <c r="J43" s="320">
        <f>1-I43/Q20</f>
        <v>-2.3222438320131822E-2</v>
      </c>
      <c r="K43" s="18"/>
      <c r="L43" s="31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8"/>
    </row>
    <row r="44" spans="1:31" x14ac:dyDescent="0.45">
      <c r="A44" s="31"/>
      <c r="B44" s="17"/>
      <c r="C44" s="17"/>
      <c r="D44" s="17"/>
      <c r="E44" s="17"/>
      <c r="F44" s="17"/>
      <c r="G44" s="17"/>
      <c r="H44" s="17"/>
      <c r="I44" s="17"/>
      <c r="J44" s="17"/>
      <c r="K44" s="18"/>
      <c r="L44" s="31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8"/>
    </row>
    <row r="45" spans="1:31" x14ac:dyDescent="0.45">
      <c r="K45" s="18"/>
      <c r="M45" s="17"/>
      <c r="N45" s="17"/>
      <c r="O45" s="17"/>
      <c r="P45" s="17"/>
      <c r="Q45" s="17"/>
      <c r="R45" s="17"/>
      <c r="AE45" s="18"/>
    </row>
    <row r="46" spans="1:31" x14ac:dyDescent="0.45">
      <c r="K46" s="18"/>
      <c r="M46" s="17"/>
      <c r="N46" s="17"/>
      <c r="O46" s="17"/>
      <c r="P46" s="17"/>
      <c r="Q46" s="17"/>
      <c r="AE46" s="18"/>
    </row>
    <row r="47" spans="1:31" x14ac:dyDescent="0.45">
      <c r="K47" s="18"/>
      <c r="AE47" s="18"/>
    </row>
    <row r="48" spans="1:31" x14ac:dyDescent="0.45">
      <c r="K48" s="18"/>
      <c r="AE48" s="18"/>
    </row>
    <row r="49" spans="11:31" x14ac:dyDescent="0.45">
      <c r="K49" s="18"/>
      <c r="AE49" s="18"/>
    </row>
    <row r="50" spans="11:31" x14ac:dyDescent="0.45">
      <c r="K50" s="18"/>
      <c r="AE50" s="18"/>
    </row>
    <row r="51" spans="11:31" x14ac:dyDescent="0.45">
      <c r="K51" s="18"/>
      <c r="AE51" s="18"/>
    </row>
    <row r="52" spans="11:31" x14ac:dyDescent="0.45">
      <c r="K52" s="18"/>
      <c r="AE52" s="18"/>
    </row>
    <row r="53" spans="11:31" x14ac:dyDescent="0.45">
      <c r="K53" s="18"/>
      <c r="AE53" s="18"/>
    </row>
    <row r="54" spans="11:31" x14ac:dyDescent="0.45">
      <c r="K54" s="18"/>
      <c r="AE54" s="18"/>
    </row>
    <row r="55" spans="11:31" x14ac:dyDescent="0.45">
      <c r="K55" s="18"/>
      <c r="AE55" s="18"/>
    </row>
    <row r="56" spans="11:31" x14ac:dyDescent="0.45">
      <c r="K56" s="18"/>
      <c r="AE56" s="18"/>
    </row>
    <row r="57" spans="11:31" x14ac:dyDescent="0.45">
      <c r="K57" s="18"/>
      <c r="M57" s="140" t="s">
        <v>210</v>
      </c>
      <c r="AE57" s="18"/>
    </row>
    <row r="58" spans="11:31" x14ac:dyDescent="0.45">
      <c r="K58" s="18"/>
      <c r="AE58" s="18"/>
    </row>
    <row r="59" spans="11:31" x14ac:dyDescent="0.45">
      <c r="K59" s="18"/>
      <c r="AE59" s="18"/>
    </row>
    <row r="60" spans="11:31" x14ac:dyDescent="0.45">
      <c r="K60" s="18"/>
      <c r="AE60" s="18"/>
    </row>
    <row r="61" spans="11:31" x14ac:dyDescent="0.45">
      <c r="K61" s="18"/>
      <c r="AE61" s="18"/>
    </row>
    <row r="62" spans="11:31" x14ac:dyDescent="0.45">
      <c r="K62" s="18"/>
      <c r="AE62" s="18"/>
    </row>
    <row r="63" spans="11:31" x14ac:dyDescent="0.45">
      <c r="K63" s="18"/>
      <c r="AE63" s="18"/>
    </row>
    <row r="64" spans="11:31" x14ac:dyDescent="0.45">
      <c r="K64" s="18"/>
      <c r="AE64" s="18"/>
    </row>
    <row r="65" spans="1:31" x14ac:dyDescent="0.45">
      <c r="K65" s="18"/>
      <c r="AE65" s="18"/>
    </row>
    <row r="66" spans="1:31" x14ac:dyDescent="0.45">
      <c r="K66" s="18"/>
      <c r="AE66" s="18"/>
    </row>
    <row r="67" spans="1:31" x14ac:dyDescent="0.45">
      <c r="K67" s="18"/>
      <c r="AE67" s="18"/>
    </row>
    <row r="68" spans="1:31" x14ac:dyDescent="0.45">
      <c r="K68" s="18"/>
      <c r="AE68" s="18"/>
    </row>
    <row r="69" spans="1:31" x14ac:dyDescent="0.45">
      <c r="K69" s="18"/>
      <c r="AE69" s="18"/>
    </row>
    <row r="70" spans="1:31" x14ac:dyDescent="0.45">
      <c r="K70" s="18"/>
      <c r="AE70" s="18"/>
    </row>
    <row r="71" spans="1:31" x14ac:dyDescent="0.45">
      <c r="K71" s="18"/>
      <c r="AE71" s="18"/>
    </row>
    <row r="72" spans="1:31" x14ac:dyDescent="0.45">
      <c r="K72" s="18"/>
      <c r="AE72" s="18"/>
    </row>
    <row r="73" spans="1:31" ht="14.65" thickBot="1" x14ac:dyDescent="0.5">
      <c r="A73" s="32"/>
      <c r="B73" s="33"/>
      <c r="C73" s="33"/>
      <c r="D73" s="33"/>
      <c r="E73" s="33"/>
      <c r="F73" s="33"/>
      <c r="G73" s="33"/>
      <c r="H73" s="33"/>
      <c r="I73" s="33"/>
      <c r="J73" s="33"/>
      <c r="K73" s="34"/>
      <c r="L73" s="32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4"/>
    </row>
    <row r="74" spans="1:31" ht="14.65" thickBot="1" x14ac:dyDescent="0.5">
      <c r="R74" s="33"/>
    </row>
    <row r="75" spans="1:31" ht="14.65" thickBot="1" x14ac:dyDescent="0.5">
      <c r="M75" s="33"/>
      <c r="N75" s="33"/>
      <c r="O75" s="17"/>
      <c r="P75" s="17"/>
      <c r="Q75" s="17"/>
    </row>
  </sheetData>
  <mergeCells count="1">
    <mergeCell ref="W36:W37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/>
  </sheetPr>
  <dimension ref="A1:AE75"/>
  <sheetViews>
    <sheetView topLeftCell="B1" zoomScale="70" zoomScaleNormal="70" workbookViewId="0">
      <selection activeCell="V34" sqref="V34"/>
    </sheetView>
  </sheetViews>
  <sheetFormatPr defaultColWidth="9.1328125" defaultRowHeight="14.25" x14ac:dyDescent="0.45"/>
  <cols>
    <col min="1" max="1" width="24.73046875" style="140" customWidth="1"/>
    <col min="2" max="2" width="17.73046875" style="140" customWidth="1"/>
    <col min="3" max="3" width="1.86328125" style="140" customWidth="1"/>
    <col min="4" max="7" width="9.1328125" style="140"/>
    <col min="8" max="8" width="10.265625" style="140" customWidth="1"/>
    <col min="9" max="9" width="11.265625" style="140" bestFit="1" customWidth="1"/>
    <col min="10" max="10" width="9.1328125" style="140" customWidth="1"/>
    <col min="11" max="11" width="21.73046875" style="140" customWidth="1"/>
    <col min="12" max="12" width="11.86328125" style="140" customWidth="1"/>
    <col min="13" max="13" width="27.1328125" style="140" customWidth="1"/>
    <col min="14" max="14" width="15.265625" style="140" bestFit="1" customWidth="1"/>
    <col min="15" max="17" width="15.265625" style="140" customWidth="1"/>
    <col min="18" max="18" width="9.86328125" style="140" customWidth="1"/>
    <col min="19" max="21" width="9.1328125" style="140"/>
    <col min="22" max="22" width="17.1328125" style="140" bestFit="1" customWidth="1"/>
    <col min="23" max="16384" width="9.1328125" style="140"/>
  </cols>
  <sheetData>
    <row r="1" spans="1:31" s="10" customFormat="1" ht="23.65" thickBot="1" x14ac:dyDescent="0.75">
      <c r="A1" s="10" t="s">
        <v>201</v>
      </c>
      <c r="M1" s="10" t="s">
        <v>81</v>
      </c>
    </row>
    <row r="2" spans="1:31" x14ac:dyDescent="0.45">
      <c r="A2" s="115" t="s">
        <v>80</v>
      </c>
      <c r="B2" s="35"/>
      <c r="C2" s="12"/>
      <c r="D2" s="12"/>
      <c r="E2" s="12"/>
      <c r="F2" s="12"/>
      <c r="G2" s="12"/>
      <c r="H2" s="12"/>
      <c r="I2" s="12"/>
      <c r="J2" s="12"/>
      <c r="K2" s="13"/>
      <c r="M2" s="115" t="s">
        <v>80</v>
      </c>
      <c r="N2" s="35"/>
      <c r="O2" s="35"/>
      <c r="P2" s="35"/>
      <c r="Q2" s="35"/>
      <c r="R2" s="17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3"/>
    </row>
    <row r="3" spans="1:31" x14ac:dyDescent="0.45">
      <c r="A3" s="116" t="s">
        <v>0</v>
      </c>
      <c r="B3" s="4" t="s">
        <v>83</v>
      </c>
      <c r="C3" s="117"/>
      <c r="D3" s="17"/>
      <c r="E3" s="17"/>
      <c r="F3" s="17"/>
      <c r="G3" s="17"/>
      <c r="H3" s="17"/>
      <c r="I3" s="17"/>
      <c r="J3" s="17"/>
      <c r="K3" s="18"/>
      <c r="M3" s="116" t="s">
        <v>0</v>
      </c>
      <c r="N3" s="4" t="s">
        <v>83</v>
      </c>
      <c r="O3" s="244" t="s">
        <v>306</v>
      </c>
      <c r="P3" s="244" t="s">
        <v>307</v>
      </c>
      <c r="Q3" s="4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8"/>
    </row>
    <row r="4" spans="1:31" x14ac:dyDescent="0.45">
      <c r="A4" s="118" t="s">
        <v>174</v>
      </c>
      <c r="B4" s="119">
        <f>B22-B23</f>
        <v>226.5753</v>
      </c>
      <c r="C4" s="120"/>
      <c r="D4" s="17"/>
      <c r="E4" s="17"/>
      <c r="F4" s="17"/>
      <c r="G4" s="17"/>
      <c r="H4" s="17"/>
      <c r="I4" s="17"/>
      <c r="J4" s="17"/>
      <c r="K4" s="18"/>
      <c r="M4" s="118" t="s">
        <v>174</v>
      </c>
      <c r="N4" s="119">
        <f>N25-N27</f>
        <v>226.59605714208308</v>
      </c>
      <c r="O4" s="119">
        <f>O25-N27</f>
        <v>226.62163814208307</v>
      </c>
      <c r="P4" s="41">
        <f>N25-N27</f>
        <v>226.59605714208308</v>
      </c>
      <c r="Q4" s="41">
        <f>N25-N27</f>
        <v>226.59605714208308</v>
      </c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</row>
    <row r="5" spans="1:31" x14ac:dyDescent="0.45">
      <c r="A5" s="40" t="s">
        <v>207</v>
      </c>
      <c r="B5" s="41">
        <v>4</v>
      </c>
      <c r="C5" s="120"/>
      <c r="D5" s="17"/>
      <c r="E5" s="17"/>
      <c r="F5" s="17"/>
      <c r="G5" s="17"/>
      <c r="H5" s="17"/>
      <c r="I5" s="17"/>
      <c r="J5" s="17"/>
      <c r="K5" s="18"/>
      <c r="M5" s="40" t="s">
        <v>207</v>
      </c>
      <c r="N5" s="41">
        <v>4</v>
      </c>
      <c r="O5" s="41">
        <v>4</v>
      </c>
      <c r="P5" s="41">
        <v>4</v>
      </c>
      <c r="Q5" s="41">
        <v>4</v>
      </c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8"/>
    </row>
    <row r="6" spans="1:31" x14ac:dyDescent="0.45">
      <c r="A6" s="24" t="s">
        <v>3</v>
      </c>
      <c r="B6" s="42">
        <v>0.27239999999999998</v>
      </c>
      <c r="C6" s="120"/>
      <c r="D6" s="17"/>
      <c r="E6" s="17"/>
      <c r="F6" s="17"/>
      <c r="G6" s="17"/>
      <c r="H6" s="17"/>
      <c r="I6" s="17"/>
      <c r="J6" s="17"/>
      <c r="K6" s="18"/>
      <c r="M6" s="24" t="s">
        <v>3</v>
      </c>
      <c r="N6" s="42">
        <v>0.27238000000000001</v>
      </c>
      <c r="O6" s="42">
        <v>0.27238000000000001</v>
      </c>
      <c r="P6" s="42">
        <f>N6+0.01</f>
        <v>0.28238000000000002</v>
      </c>
      <c r="Q6" s="42">
        <v>0.27238000000000001</v>
      </c>
      <c r="R6" s="140" t="s">
        <v>208</v>
      </c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8"/>
    </row>
    <row r="7" spans="1:31" x14ac:dyDescent="0.45">
      <c r="A7" s="24" t="s">
        <v>175</v>
      </c>
      <c r="B7" s="121">
        <v>0</v>
      </c>
      <c r="C7" s="120"/>
      <c r="D7" s="17"/>
      <c r="E7" s="17"/>
      <c r="F7" s="17"/>
      <c r="G7" s="17"/>
      <c r="H7" s="17"/>
      <c r="I7" s="17"/>
      <c r="J7" s="17"/>
      <c r="K7" s="18"/>
      <c r="M7" s="24" t="s">
        <v>323</v>
      </c>
      <c r="N7" s="121">
        <v>0</v>
      </c>
      <c r="O7" s="121">
        <v>0</v>
      </c>
      <c r="P7" s="121">
        <v>0</v>
      </c>
      <c r="Q7" s="121">
        <v>0.5</v>
      </c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8"/>
    </row>
    <row r="8" spans="1:31" x14ac:dyDescent="0.45">
      <c r="A8" s="24" t="s">
        <v>176</v>
      </c>
      <c r="B8" s="121">
        <v>62</v>
      </c>
      <c r="C8" s="120"/>
      <c r="D8" s="17"/>
      <c r="E8" s="17"/>
      <c r="F8" s="17"/>
      <c r="G8" s="17"/>
      <c r="H8" s="17"/>
      <c r="I8" s="17"/>
      <c r="J8" s="17"/>
      <c r="K8" s="18"/>
      <c r="M8" s="24" t="s">
        <v>176</v>
      </c>
      <c r="N8" s="121">
        <v>62</v>
      </c>
      <c r="O8" s="121">
        <v>62</v>
      </c>
      <c r="P8" s="121">
        <v>62</v>
      </c>
      <c r="Q8" s="121">
        <v>62</v>
      </c>
      <c r="R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8"/>
    </row>
    <row r="9" spans="1:31" x14ac:dyDescent="0.45">
      <c r="A9" s="24" t="s">
        <v>177</v>
      </c>
      <c r="B9" s="122">
        <v>0.1115</v>
      </c>
      <c r="C9" s="120"/>
      <c r="D9" s="17"/>
      <c r="E9" s="17"/>
      <c r="F9" s="17"/>
      <c r="G9" s="17"/>
      <c r="H9" s="17"/>
      <c r="I9" s="17"/>
      <c r="J9" s="17"/>
      <c r="K9" s="18"/>
      <c r="M9" s="24" t="s">
        <v>177</v>
      </c>
      <c r="N9" s="122">
        <v>0.1115</v>
      </c>
      <c r="O9" s="122">
        <v>0.1115</v>
      </c>
      <c r="P9" s="122">
        <v>0.1115</v>
      </c>
      <c r="Q9" s="122">
        <v>0.1115</v>
      </c>
      <c r="R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8"/>
    </row>
    <row r="10" spans="1:31" x14ac:dyDescent="0.45">
      <c r="A10" s="24" t="s">
        <v>178</v>
      </c>
      <c r="B10" s="121">
        <f>B4*EXP((B11-B7*B9*B6)*B13)/B8</f>
        <v>4.3620535970098295</v>
      </c>
      <c r="C10" s="120"/>
      <c r="D10" s="17"/>
      <c r="E10" s="17"/>
      <c r="F10" s="17"/>
      <c r="G10" s="17"/>
      <c r="H10" s="17"/>
      <c r="I10" s="17"/>
      <c r="J10" s="17"/>
      <c r="K10" s="18"/>
      <c r="M10" s="24" t="s">
        <v>178</v>
      </c>
      <c r="N10" s="397">
        <f>N4*EXP((N13+N7*N9*N6)*N14)/N8</f>
        <v>4.362643691841142</v>
      </c>
      <c r="O10" s="397">
        <f>O4*EXP((O13+O7*O9*O6)*O14)/O8</f>
        <v>4.363136201683055</v>
      </c>
      <c r="P10" s="397">
        <f>P4*EXP((P13+P7*P9*P6)*P14)/P8</f>
        <v>4.362643691841142</v>
      </c>
      <c r="Q10" s="397">
        <f>Q4*EXP((Q13+Q7*Q9*Q6)*Q14)/Q8</f>
        <v>4.5659827945972093</v>
      </c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8"/>
    </row>
    <row r="11" spans="1:31" x14ac:dyDescent="0.45">
      <c r="A11" s="24" t="s">
        <v>179</v>
      </c>
      <c r="B11" s="122">
        <v>5.8999999999999997E-2</v>
      </c>
      <c r="C11" s="120"/>
      <c r="D11" s="17"/>
      <c r="E11" s="17"/>
      <c r="F11" s="17"/>
      <c r="G11" s="17"/>
      <c r="H11" s="17"/>
      <c r="I11" s="17"/>
      <c r="J11" s="17"/>
      <c r="K11" s="18"/>
      <c r="M11" s="24" t="s">
        <v>179</v>
      </c>
      <c r="N11" s="122">
        <v>5.1796223314661598E-2</v>
      </c>
      <c r="O11" s="122">
        <v>5.1796223314661598E-2</v>
      </c>
      <c r="P11" s="122">
        <v>5.1796223314661598E-2</v>
      </c>
      <c r="Q11" s="122">
        <v>5.1796223314661598E-2</v>
      </c>
      <c r="R11" s="8" t="s">
        <v>189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8"/>
    </row>
    <row r="12" spans="1:31" x14ac:dyDescent="0.45">
      <c r="A12" s="24" t="s">
        <v>180</v>
      </c>
      <c r="B12" s="122">
        <v>2.1286191936719101E-2</v>
      </c>
      <c r="C12" s="120"/>
      <c r="D12" s="17"/>
      <c r="E12" s="17"/>
      <c r="F12" s="17"/>
      <c r="G12" s="17"/>
      <c r="H12" s="17"/>
      <c r="I12" s="17"/>
      <c r="J12" s="17"/>
      <c r="K12" s="18"/>
      <c r="M12" s="24" t="s">
        <v>180</v>
      </c>
      <c r="N12" s="122">
        <v>1.62344593E-2</v>
      </c>
      <c r="O12" s="122">
        <v>1.62344593E-2</v>
      </c>
      <c r="P12" s="122">
        <v>1.62344593E-2</v>
      </c>
      <c r="Q12" s="122">
        <v>1.62344593E-2</v>
      </c>
      <c r="R12" s="8" t="s">
        <v>199</v>
      </c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8"/>
    </row>
    <row r="13" spans="1:31" x14ac:dyDescent="0.45">
      <c r="A13" s="24" t="s">
        <v>5</v>
      </c>
      <c r="B13" s="41">
        <v>3</v>
      </c>
      <c r="C13" s="120"/>
      <c r="D13" s="17"/>
      <c r="E13" s="17"/>
      <c r="F13" s="17"/>
      <c r="G13" s="17"/>
      <c r="H13" s="17"/>
      <c r="I13" s="17"/>
      <c r="J13" s="17"/>
      <c r="K13" s="18"/>
      <c r="M13" s="24" t="s">
        <v>243</v>
      </c>
      <c r="N13" s="122">
        <f>'NxCVA Input 236058559'!I32*0.01</f>
        <v>5.9014553875198397E-2</v>
      </c>
      <c r="O13" s="122">
        <f>'NxCVA Input 236058559'!I32*0.01</f>
        <v>5.9014553875198397E-2</v>
      </c>
      <c r="P13" s="122">
        <f>'NxCVA Input 236058559'!I32*0.01</f>
        <v>5.9014553875198397E-2</v>
      </c>
      <c r="Q13" s="122">
        <f>'NxCVA Input 236058559'!I32*0.01</f>
        <v>5.9014553875198397E-2</v>
      </c>
      <c r="R13" s="8" t="s">
        <v>13</v>
      </c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8"/>
    </row>
    <row r="14" spans="1:31" x14ac:dyDescent="0.45">
      <c r="A14" s="24" t="s">
        <v>161</v>
      </c>
      <c r="B14" s="53">
        <v>400000</v>
      </c>
      <c r="C14" s="120"/>
      <c r="D14" s="17"/>
      <c r="E14" s="17"/>
      <c r="F14" s="17"/>
      <c r="G14" s="17"/>
      <c r="H14" s="17"/>
      <c r="I14" s="17"/>
      <c r="J14" s="17"/>
      <c r="K14" s="18"/>
      <c r="M14" s="24" t="s">
        <v>5</v>
      </c>
      <c r="N14" s="41">
        <v>3</v>
      </c>
      <c r="O14" s="41">
        <v>3</v>
      </c>
      <c r="P14" s="41">
        <v>3</v>
      </c>
      <c r="Q14" s="41">
        <v>3</v>
      </c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8"/>
    </row>
    <row r="15" spans="1:31" x14ac:dyDescent="0.45">
      <c r="A15" s="26" t="s">
        <v>7</v>
      </c>
      <c r="B15" s="4"/>
      <c r="C15" s="120"/>
      <c r="D15" s="17"/>
      <c r="E15" s="17"/>
      <c r="F15" s="17"/>
      <c r="G15" s="17"/>
      <c r="H15" s="17"/>
      <c r="I15" s="17"/>
      <c r="J15" s="17"/>
      <c r="K15" s="18"/>
      <c r="M15" s="24" t="s">
        <v>161</v>
      </c>
      <c r="N15" s="53">
        <v>400000</v>
      </c>
      <c r="O15" s="53">
        <v>400000</v>
      </c>
      <c r="P15" s="53">
        <v>400000</v>
      </c>
      <c r="Q15" s="53">
        <v>400000</v>
      </c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8"/>
    </row>
    <row r="16" spans="1:31" x14ac:dyDescent="0.45">
      <c r="A16" s="24" t="s">
        <v>8</v>
      </c>
      <c r="B16" s="45">
        <f>(LN(B10/B5)+(B6^2/2)*B13)/(B6*SQRT(B13))</f>
        <v>0.4195565276940717</v>
      </c>
      <c r="C16" s="120"/>
      <c r="D16" s="17"/>
      <c r="E16" s="17"/>
      <c r="F16" s="17"/>
      <c r="G16" s="17"/>
      <c r="H16" s="17"/>
      <c r="I16" s="17"/>
      <c r="K16" s="18"/>
      <c r="M16" s="26" t="s">
        <v>7</v>
      </c>
      <c r="N16" s="4"/>
      <c r="O16" s="4"/>
      <c r="P16" s="4"/>
      <c r="Q16" s="4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8"/>
    </row>
    <row r="17" spans="1:31" x14ac:dyDescent="0.45">
      <c r="A17" s="24" t="s">
        <v>9</v>
      </c>
      <c r="B17" s="45">
        <f>B16-B6*SQRT(B13)</f>
        <v>-5.2254112287690391E-2</v>
      </c>
      <c r="C17" s="120"/>
      <c r="D17" s="17"/>
      <c r="E17" s="17"/>
      <c r="F17" s="17"/>
      <c r="G17" s="17"/>
      <c r="H17" s="17"/>
      <c r="I17" s="17"/>
      <c r="K17" s="18"/>
      <c r="M17" s="24" t="s">
        <v>8</v>
      </c>
      <c r="N17" s="45">
        <f>(LN(N10/N5)+((N6^2)/2)*N14)/(N6*SQRT(N14))</f>
        <v>0.41983941713513317</v>
      </c>
      <c r="O17" s="45">
        <f>(LN(O10/O5)+((O6^2)/2)*O14)/(O6*SQRT(O14))</f>
        <v>0.42007869626071676</v>
      </c>
      <c r="P17" s="45">
        <f>(LN(P10/P5)+((P6^2)/2)*P14)/(P6*SQRT(P14))</f>
        <v>0.42198534942029226</v>
      </c>
      <c r="Q17" s="45">
        <f>(LN(Q10/Q5)+((Q6^2)/2)*Q14)/(Q6*SQRT(Q14))</f>
        <v>0.51640124965709822</v>
      </c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8"/>
    </row>
    <row r="18" spans="1:31" x14ac:dyDescent="0.45">
      <c r="A18" s="24" t="s">
        <v>10</v>
      </c>
      <c r="B18" s="45">
        <f>NORMSDIST(B16)</f>
        <v>0.66259527419100028</v>
      </c>
      <c r="C18" s="120"/>
      <c r="D18" s="17"/>
      <c r="E18" s="17"/>
      <c r="F18" s="17"/>
      <c r="G18" s="17"/>
      <c r="H18" s="17"/>
      <c r="I18" s="17"/>
      <c r="K18" s="18"/>
      <c r="M18" s="24" t="s">
        <v>9</v>
      </c>
      <c r="N18" s="45">
        <f>N17-N6*SQRT(N14)</f>
        <v>-5.1936581830477613E-2</v>
      </c>
      <c r="O18" s="45">
        <f>O17-O6*SQRT(O14)</f>
        <v>-5.1697302704894033E-2</v>
      </c>
      <c r="P18" s="45">
        <f>P17-P6*SQRT(P14)</f>
        <v>-6.7111157621007334E-2</v>
      </c>
      <c r="Q18" s="45">
        <f>Q17-Q6*SQRT(Q14)</f>
        <v>4.4625250691487428E-2</v>
      </c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8"/>
    </row>
    <row r="19" spans="1:31" x14ac:dyDescent="0.45">
      <c r="A19" s="24" t="s">
        <v>11</v>
      </c>
      <c r="B19" s="45">
        <f>NORMSDIST(B17)</f>
        <v>0.47916310821008012</v>
      </c>
      <c r="C19" s="8"/>
      <c r="D19" s="17"/>
      <c r="E19" s="17"/>
      <c r="F19" s="17"/>
      <c r="G19" s="17"/>
      <c r="H19" s="17"/>
      <c r="I19" s="17"/>
      <c r="K19" s="18"/>
      <c r="M19" s="24" t="s">
        <v>10</v>
      </c>
      <c r="N19" s="45">
        <f t="shared" ref="N19:Q20" si="0">NORMSDIST(N17)</f>
        <v>0.66269861624757453</v>
      </c>
      <c r="O19" s="45">
        <f t="shared" si="0"/>
        <v>0.66278601748319799</v>
      </c>
      <c r="P19" s="45">
        <f t="shared" si="0"/>
        <v>0.66348214445301035</v>
      </c>
      <c r="Q19" s="45">
        <f t="shared" si="0"/>
        <v>0.6972129034165031</v>
      </c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8"/>
    </row>
    <row r="20" spans="1:31" x14ac:dyDescent="0.45">
      <c r="A20" s="123" t="s">
        <v>85</v>
      </c>
      <c r="B20" s="124">
        <f>EXP(-B12*B13)*B19 * B14</f>
        <v>179808.38389364359</v>
      </c>
      <c r="C20" s="8"/>
      <c r="D20" s="17"/>
      <c r="E20" s="17"/>
      <c r="F20" s="17"/>
      <c r="G20" s="17"/>
      <c r="H20" s="17"/>
      <c r="I20" s="17"/>
      <c r="J20" s="17"/>
      <c r="K20" s="18"/>
      <c r="M20" s="24" t="s">
        <v>11</v>
      </c>
      <c r="N20" s="45">
        <f t="shared" si="0"/>
        <v>0.47928961275578835</v>
      </c>
      <c r="O20" s="45">
        <f t="shared" si="0"/>
        <v>0.47938494324865599</v>
      </c>
      <c r="P20" s="45">
        <f t="shared" si="0"/>
        <v>0.47324660571277222</v>
      </c>
      <c r="Q20" s="45">
        <f t="shared" si="0"/>
        <v>0.5177969922181247</v>
      </c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8"/>
    </row>
    <row r="21" spans="1:31" x14ac:dyDescent="0.45">
      <c r="A21" s="38" t="s">
        <v>15</v>
      </c>
      <c r="B21" s="125">
        <v>61.483750000000001</v>
      </c>
      <c r="C21" s="8"/>
      <c r="D21" s="17"/>
      <c r="E21" s="17"/>
      <c r="F21" s="17"/>
      <c r="G21" s="17"/>
      <c r="H21" s="17"/>
      <c r="I21" s="17"/>
      <c r="J21" s="17"/>
      <c r="K21" s="18"/>
      <c r="M21" s="123" t="s">
        <v>85</v>
      </c>
      <c r="N21" s="124">
        <f>EXP(-N12*N14)*N20 * N15</f>
        <v>182602.36583553505</v>
      </c>
      <c r="O21" s="124">
        <f>EXP(-O12*O14)*O20 * O15</f>
        <v>182638.6853656701</v>
      </c>
      <c r="P21" s="124">
        <f>EXP(-P12*P14)*P20 * P15</f>
        <v>180300.06811522582</v>
      </c>
      <c r="Q21" s="124">
        <f>EXP(-Q12*Q14)*Q20 * Q15</f>
        <v>197273.11689045531</v>
      </c>
      <c r="R21" s="17" t="s">
        <v>209</v>
      </c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8"/>
    </row>
    <row r="22" spans="1:31" x14ac:dyDescent="0.45">
      <c r="A22" s="37" t="s">
        <v>83</v>
      </c>
      <c r="B22" s="8">
        <v>255.81</v>
      </c>
      <c r="C22" s="17"/>
      <c r="D22" s="17"/>
      <c r="E22" s="17"/>
      <c r="F22" s="17"/>
      <c r="G22" s="17"/>
      <c r="H22" s="17"/>
      <c r="I22" s="17"/>
      <c r="J22" s="17"/>
      <c r="K22" s="18"/>
      <c r="Q22" s="335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8"/>
    </row>
    <row r="23" spans="1:31" x14ac:dyDescent="0.45">
      <c r="A23" s="37" t="s">
        <v>84</v>
      </c>
      <c r="B23" s="52">
        <v>29.2347</v>
      </c>
      <c r="C23" s="17"/>
      <c r="D23" s="17"/>
      <c r="E23" s="17"/>
      <c r="F23" s="17"/>
      <c r="G23" s="17"/>
      <c r="H23" s="17"/>
      <c r="I23" s="17"/>
      <c r="J23" s="17"/>
      <c r="K23" s="18"/>
      <c r="Q23" s="328"/>
      <c r="S23" s="8"/>
      <c r="T23" s="8"/>
      <c r="U23" s="8"/>
      <c r="V23" s="17"/>
      <c r="W23" s="17"/>
      <c r="X23" s="17"/>
      <c r="Y23" s="17"/>
      <c r="Z23" s="17"/>
      <c r="AA23" s="17"/>
      <c r="AB23" s="17"/>
      <c r="AC23" s="17"/>
      <c r="AD23" s="17"/>
      <c r="AE23" s="18"/>
    </row>
    <row r="24" spans="1:31" x14ac:dyDescent="0.45">
      <c r="A24" s="17" t="s">
        <v>226</v>
      </c>
      <c r="B24" s="52"/>
      <c r="C24" s="17"/>
      <c r="D24" s="17"/>
      <c r="E24" s="17"/>
      <c r="F24" s="17"/>
      <c r="G24" s="17"/>
      <c r="H24" s="17"/>
      <c r="I24" s="17"/>
      <c r="J24" s="17"/>
      <c r="K24" s="126" t="s">
        <v>181</v>
      </c>
      <c r="M24" s="38" t="s">
        <v>15</v>
      </c>
      <c r="N24" s="125">
        <v>61.483750000000001</v>
      </c>
      <c r="O24" s="125"/>
      <c r="P24" s="125"/>
      <c r="Q24" s="125"/>
      <c r="R24" s="17"/>
      <c r="S24" s="8"/>
      <c r="T24" s="9"/>
      <c r="U24" s="8"/>
      <c r="V24" s="17"/>
      <c r="W24" s="17"/>
      <c r="X24" s="17"/>
      <c r="Y24" s="17"/>
      <c r="Z24" s="17"/>
      <c r="AA24" s="17"/>
      <c r="AB24" s="17"/>
      <c r="AC24" s="17"/>
      <c r="AD24" s="17"/>
      <c r="AE24" s="18"/>
    </row>
    <row r="25" spans="1:31" x14ac:dyDescent="0.45">
      <c r="A25" s="31" t="s">
        <v>182</v>
      </c>
      <c r="B25" s="17">
        <f>B4*EXP(B11*B13)/B8</f>
        <v>4.3620535970098295</v>
      </c>
      <c r="C25" s="17"/>
      <c r="D25" s="17"/>
      <c r="E25" s="17"/>
      <c r="F25" s="17"/>
      <c r="G25" s="17"/>
      <c r="H25" s="17"/>
      <c r="I25" s="17"/>
      <c r="J25" s="17"/>
      <c r="K25" s="187">
        <f>0.5215*400000</f>
        <v>208599.99999999997</v>
      </c>
      <c r="M25" s="37" t="s">
        <v>83</v>
      </c>
      <c r="N25" s="8">
        <v>255.81</v>
      </c>
      <c r="O25" s="8">
        <f>N25*1.0001</f>
        <v>255.83558099999999</v>
      </c>
      <c r="P25" s="8"/>
      <c r="Q25" s="8"/>
      <c r="R25" s="17"/>
      <c r="S25" s="8"/>
      <c r="T25" s="8"/>
      <c r="U25" s="8"/>
      <c r="V25" s="17"/>
      <c r="W25" s="17"/>
      <c r="X25" s="17"/>
      <c r="Y25" s="17"/>
      <c r="Z25" s="17"/>
      <c r="AA25" s="17"/>
      <c r="AB25" s="17"/>
      <c r="AC25" s="17"/>
      <c r="AD25" s="17"/>
      <c r="AE25" s="18"/>
    </row>
    <row r="26" spans="1:31" x14ac:dyDescent="0.45">
      <c r="A26" s="31"/>
      <c r="B26" s="17"/>
      <c r="C26" s="17"/>
      <c r="D26" s="17"/>
      <c r="E26" s="17"/>
      <c r="F26" s="17"/>
      <c r="G26" s="17"/>
      <c r="H26" s="17"/>
      <c r="I26" s="17"/>
      <c r="J26" s="17"/>
      <c r="K26" s="18"/>
      <c r="L26" s="31"/>
      <c r="M26" s="37" t="s">
        <v>309</v>
      </c>
      <c r="N26" s="8">
        <f>N25/N24</f>
        <v>4.1606115437005711</v>
      </c>
      <c r="O26" s="8">
        <f>O25/N24</f>
        <v>4.1610276048549411</v>
      </c>
      <c r="P26" s="8"/>
      <c r="Q26" s="8"/>
      <c r="R26" s="17"/>
      <c r="S26" s="8"/>
      <c r="T26" s="8"/>
      <c r="U26" s="8"/>
      <c r="V26" s="17"/>
      <c r="W26" s="17"/>
      <c r="X26" s="17"/>
      <c r="Y26" s="17"/>
      <c r="Z26" s="17"/>
      <c r="AA26" s="17"/>
      <c r="AB26" s="17"/>
      <c r="AC26" s="17"/>
      <c r="AD26" s="17"/>
      <c r="AE26" s="18"/>
    </row>
    <row r="27" spans="1:31" x14ac:dyDescent="0.45">
      <c r="A27" s="140" t="s">
        <v>208</v>
      </c>
      <c r="B27" s="54"/>
      <c r="C27" s="17"/>
      <c r="D27" s="17"/>
      <c r="E27" s="17"/>
      <c r="F27" s="17"/>
      <c r="G27" s="17"/>
      <c r="H27" s="17"/>
      <c r="I27" s="17"/>
      <c r="J27" s="17"/>
      <c r="K27" s="127" t="s">
        <v>183</v>
      </c>
      <c r="L27" s="31"/>
      <c r="M27" s="37" t="s">
        <v>84</v>
      </c>
      <c r="N27" s="52">
        <f>SUM('NxCVA Input 236058559'!N11:N13)</f>
        <v>29.213942857916912</v>
      </c>
      <c r="O27" s="52"/>
      <c r="P27" s="52"/>
      <c r="Q27" s="52"/>
      <c r="R27" s="17" t="s">
        <v>267</v>
      </c>
      <c r="S27" s="8"/>
      <c r="T27" s="8"/>
      <c r="U27" s="8"/>
      <c r="V27" s="17"/>
      <c r="W27" s="17"/>
      <c r="X27" s="17"/>
      <c r="Y27" s="17"/>
      <c r="Z27" s="17"/>
      <c r="AA27" s="17"/>
      <c r="AB27" s="17"/>
      <c r="AC27" s="17"/>
      <c r="AD27" s="17"/>
      <c r="AE27" s="18"/>
    </row>
    <row r="28" spans="1:31" x14ac:dyDescent="0.45">
      <c r="A28" s="31"/>
      <c r="B28" s="17"/>
      <c r="C28" s="17"/>
      <c r="D28" s="17"/>
      <c r="E28" s="17"/>
      <c r="F28" s="17"/>
      <c r="G28" s="17"/>
      <c r="H28" s="17"/>
      <c r="I28" s="17"/>
      <c r="J28" s="17"/>
      <c r="K28" s="148">
        <f>0.4512*400000</f>
        <v>180480</v>
      </c>
      <c r="L28" s="31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8"/>
    </row>
    <row r="29" spans="1:31" x14ac:dyDescent="0.45">
      <c r="A29" s="31"/>
      <c r="B29" s="17"/>
      <c r="C29" s="17"/>
      <c r="D29" s="17"/>
      <c r="E29" s="17"/>
      <c r="F29" s="17"/>
      <c r="G29" s="17"/>
      <c r="H29" s="17"/>
      <c r="I29" s="128"/>
      <c r="J29" s="17"/>
      <c r="K29" s="18"/>
      <c r="L29" s="31"/>
      <c r="M29" s="193" t="s">
        <v>304</v>
      </c>
      <c r="N29" s="54">
        <f>(N21-O21)/(N26-O26)*N26</f>
        <v>363195.30135056068</v>
      </c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8"/>
    </row>
    <row r="30" spans="1:31" x14ac:dyDescent="0.45">
      <c r="A30" s="31"/>
      <c r="B30" s="17"/>
      <c r="C30" s="17"/>
      <c r="D30" s="17"/>
      <c r="E30" s="17"/>
      <c r="F30" s="17"/>
      <c r="G30" s="17"/>
      <c r="H30" s="17"/>
      <c r="I30" s="129"/>
      <c r="J30" s="17"/>
      <c r="K30" s="18"/>
      <c r="L30" s="31"/>
      <c r="M30" s="245" t="s">
        <v>305</v>
      </c>
      <c r="N30" s="54">
        <f>(P21-N21)</f>
        <v>-2302.2977203092305</v>
      </c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8"/>
    </row>
    <row r="31" spans="1:31" x14ac:dyDescent="0.45">
      <c r="A31" s="31"/>
      <c r="B31" s="17"/>
      <c r="C31" s="17"/>
      <c r="D31" s="17"/>
      <c r="E31" s="17"/>
      <c r="F31" s="17"/>
      <c r="G31" s="17"/>
      <c r="H31" s="17"/>
      <c r="J31" s="17"/>
      <c r="K31" s="18"/>
      <c r="L31" s="31"/>
      <c r="M31" s="17"/>
      <c r="N31" s="17"/>
      <c r="O31" s="17"/>
      <c r="P31" s="17"/>
      <c r="Q31" s="17"/>
      <c r="R31" s="17"/>
      <c r="S31" s="17"/>
      <c r="T31" s="17"/>
      <c r="U31" s="17"/>
      <c r="V31" s="202"/>
      <c r="W31" s="17"/>
      <c r="X31" s="17"/>
      <c r="Y31" s="17"/>
      <c r="Z31" s="17"/>
      <c r="AA31" s="17"/>
      <c r="AB31" s="17"/>
      <c r="AC31" s="17"/>
      <c r="AD31" s="17"/>
      <c r="AE31" s="18"/>
    </row>
    <row r="32" spans="1:31" x14ac:dyDescent="0.45">
      <c r="A32" s="31"/>
      <c r="B32" s="17"/>
      <c r="C32" s="17"/>
      <c r="D32" s="17"/>
      <c r="E32" s="17"/>
      <c r="F32" s="17"/>
      <c r="G32" s="17"/>
      <c r="H32" s="17"/>
      <c r="J32" s="17"/>
      <c r="K32" s="18"/>
      <c r="L32" s="31"/>
      <c r="M32" s="8" t="s">
        <v>324</v>
      </c>
      <c r="N32" s="129">
        <f>EXP(-N12*N14)*_xlfn.NORM.DIST(N18,0,1,FALSE)/N4/N6/SQRT(N14)*N25*N15</f>
        <v>363213.54854827723</v>
      </c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8"/>
    </row>
    <row r="33" spans="1:31" x14ac:dyDescent="0.45">
      <c r="A33" s="31"/>
      <c r="B33" s="17"/>
      <c r="C33" s="17"/>
      <c r="D33" s="17"/>
      <c r="E33" s="17"/>
      <c r="F33" s="17"/>
      <c r="G33" s="17"/>
      <c r="H33" s="17"/>
      <c r="J33" s="17"/>
      <c r="K33" s="18"/>
      <c r="L33" s="31"/>
      <c r="M33" s="8" t="s">
        <v>325</v>
      </c>
      <c r="N33" s="128">
        <f>-EXP(-N12*N14)*_xlfn.NORM.DIST(N18,0,1,FALSE)*(N17-N7*N9*SQRT(N14))/N6*N15*0.01</f>
        <v>-2339.5951313767605</v>
      </c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8"/>
    </row>
    <row r="34" spans="1:31" x14ac:dyDescent="0.45">
      <c r="A34" s="31"/>
      <c r="B34" s="17"/>
      <c r="C34" s="17"/>
      <c r="D34" s="17"/>
      <c r="E34" s="17"/>
      <c r="F34" s="17"/>
      <c r="G34" s="17"/>
      <c r="H34" s="17"/>
      <c r="J34" s="17"/>
      <c r="K34" s="18"/>
      <c r="L34" s="31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8"/>
    </row>
    <row r="35" spans="1:31" x14ac:dyDescent="0.45">
      <c r="A35" s="31"/>
      <c r="B35" s="17"/>
      <c r="C35" s="17"/>
      <c r="D35" s="17"/>
      <c r="E35" s="17"/>
      <c r="F35" s="17"/>
      <c r="G35" s="17"/>
      <c r="H35" s="17"/>
      <c r="I35" s="17"/>
      <c r="J35" s="17"/>
      <c r="K35" s="18"/>
      <c r="L35" s="31"/>
      <c r="M35" s="140" t="s">
        <v>211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8"/>
    </row>
    <row r="36" spans="1:31" x14ac:dyDescent="0.45">
      <c r="A36" s="31"/>
      <c r="B36" s="17"/>
      <c r="C36" s="17"/>
      <c r="D36" s="17"/>
      <c r="E36" s="17"/>
      <c r="F36" s="17"/>
      <c r="G36" s="17"/>
      <c r="H36" s="17"/>
      <c r="I36" s="17"/>
      <c r="J36" s="17"/>
      <c r="K36" s="18"/>
      <c r="L36" s="31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8"/>
    </row>
    <row r="37" spans="1:31" x14ac:dyDescent="0.45">
      <c r="A37" s="31"/>
      <c r="B37" s="17"/>
      <c r="C37" s="17"/>
      <c r="D37" s="17"/>
      <c r="E37" s="17"/>
      <c r="F37" s="17"/>
      <c r="G37" s="17"/>
      <c r="H37" s="17"/>
      <c r="I37" s="17"/>
      <c r="J37" s="17"/>
      <c r="K37" s="18"/>
      <c r="L37" s="31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8"/>
    </row>
    <row r="38" spans="1:31" x14ac:dyDescent="0.45">
      <c r="A38" s="31"/>
      <c r="B38" s="17"/>
      <c r="C38" s="17"/>
      <c r="D38" s="17"/>
      <c r="E38" s="17"/>
      <c r="F38" s="17"/>
      <c r="G38" s="17"/>
      <c r="H38" s="17"/>
      <c r="I38" s="17"/>
      <c r="J38" s="17"/>
      <c r="K38" s="18"/>
      <c r="L38" s="31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8"/>
    </row>
    <row r="39" spans="1:31" x14ac:dyDescent="0.45">
      <c r="A39" s="31"/>
      <c r="B39" s="17"/>
      <c r="C39" s="17"/>
      <c r="D39" s="17"/>
      <c r="E39" s="17"/>
      <c r="F39" s="17"/>
      <c r="G39" s="17"/>
      <c r="H39" s="17"/>
      <c r="I39" s="17"/>
      <c r="J39" s="17"/>
      <c r="K39" s="18"/>
      <c r="L39" s="31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8"/>
    </row>
    <row r="40" spans="1:31" x14ac:dyDescent="0.45">
      <c r="A40" s="31"/>
      <c r="B40" s="17"/>
      <c r="C40" s="17"/>
      <c r="D40" s="17"/>
      <c r="E40" s="17"/>
      <c r="F40" s="17"/>
      <c r="G40" s="17"/>
      <c r="H40" s="17"/>
      <c r="I40" s="17"/>
      <c r="J40" s="17"/>
      <c r="K40" s="18"/>
      <c r="L40" s="31"/>
      <c r="M40" s="17"/>
      <c r="N40" s="17"/>
      <c r="O40" s="17"/>
      <c r="P40" s="17"/>
      <c r="Q40" s="17"/>
      <c r="R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8"/>
    </row>
    <row r="41" spans="1:31" x14ac:dyDescent="0.45">
      <c r="A41" s="31"/>
      <c r="B41" s="17"/>
      <c r="C41" s="17"/>
      <c r="D41" s="17"/>
      <c r="E41" s="17"/>
      <c r="F41" s="17"/>
      <c r="G41" s="17"/>
      <c r="H41" s="17"/>
      <c r="I41" s="17"/>
      <c r="J41" s="17"/>
      <c r="K41" s="18"/>
      <c r="L41" s="31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8"/>
    </row>
    <row r="42" spans="1:31" x14ac:dyDescent="0.45">
      <c r="A42" s="31"/>
      <c r="B42" s="17"/>
      <c r="C42" s="17"/>
      <c r="D42" s="17"/>
      <c r="E42" s="17"/>
      <c r="F42" s="17"/>
      <c r="G42" s="17"/>
      <c r="H42" s="17"/>
      <c r="I42" s="17"/>
      <c r="J42" s="17"/>
      <c r="K42" s="18"/>
      <c r="L42" s="31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8"/>
    </row>
    <row r="43" spans="1:31" x14ac:dyDescent="0.45">
      <c r="A43" s="31"/>
      <c r="B43" s="17"/>
      <c r="C43" s="17"/>
      <c r="D43" s="17"/>
      <c r="E43" s="17"/>
      <c r="F43" s="17"/>
      <c r="G43" s="17"/>
      <c r="H43" s="17"/>
      <c r="I43" s="17"/>
      <c r="J43" s="17"/>
      <c r="K43" s="18"/>
      <c r="L43" s="31"/>
      <c r="M43" s="17"/>
      <c r="N43" s="17"/>
      <c r="O43" s="17"/>
      <c r="P43" s="17"/>
      <c r="Q43" s="17"/>
      <c r="R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8"/>
    </row>
    <row r="44" spans="1:31" x14ac:dyDescent="0.45">
      <c r="A44" s="31"/>
      <c r="B44" s="17"/>
      <c r="C44" s="17"/>
      <c r="D44" s="17"/>
      <c r="E44" s="17"/>
      <c r="F44" s="17"/>
      <c r="G44" s="17"/>
      <c r="H44" s="17"/>
      <c r="I44" s="17"/>
      <c r="J44" s="17"/>
      <c r="K44" s="18"/>
      <c r="L44" s="31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8"/>
    </row>
    <row r="45" spans="1:31" x14ac:dyDescent="0.45">
      <c r="K45" s="18"/>
      <c r="S45" s="17"/>
      <c r="T45" s="17"/>
      <c r="U45" s="17"/>
      <c r="AE45" s="18"/>
    </row>
    <row r="46" spans="1:31" x14ac:dyDescent="0.45">
      <c r="K46" s="18"/>
      <c r="AE46" s="18"/>
    </row>
    <row r="47" spans="1:31" x14ac:dyDescent="0.45">
      <c r="K47" s="18"/>
      <c r="AE47" s="18"/>
    </row>
    <row r="48" spans="1:31" x14ac:dyDescent="0.45">
      <c r="K48" s="18"/>
      <c r="AE48" s="18"/>
    </row>
    <row r="49" spans="11:31" x14ac:dyDescent="0.45">
      <c r="K49" s="18"/>
      <c r="AE49" s="18"/>
    </row>
    <row r="50" spans="11:31" x14ac:dyDescent="0.45">
      <c r="K50" s="18"/>
      <c r="AE50" s="18"/>
    </row>
    <row r="51" spans="11:31" x14ac:dyDescent="0.45">
      <c r="K51" s="18"/>
      <c r="AE51" s="18"/>
    </row>
    <row r="52" spans="11:31" x14ac:dyDescent="0.45">
      <c r="K52" s="18"/>
      <c r="AE52" s="18"/>
    </row>
    <row r="53" spans="11:31" x14ac:dyDescent="0.45">
      <c r="K53" s="18"/>
      <c r="M53" s="140" t="s">
        <v>210</v>
      </c>
      <c r="AE53" s="18"/>
    </row>
    <row r="54" spans="11:31" x14ac:dyDescent="0.45">
      <c r="K54" s="18"/>
      <c r="AE54" s="18"/>
    </row>
    <row r="55" spans="11:31" x14ac:dyDescent="0.45">
      <c r="K55" s="18"/>
      <c r="AE55" s="18"/>
    </row>
    <row r="56" spans="11:31" x14ac:dyDescent="0.45">
      <c r="K56" s="18"/>
      <c r="AE56" s="18"/>
    </row>
    <row r="57" spans="11:31" x14ac:dyDescent="0.45">
      <c r="K57" s="18"/>
      <c r="AE57" s="18"/>
    </row>
    <row r="58" spans="11:31" x14ac:dyDescent="0.45">
      <c r="K58" s="18"/>
      <c r="AE58" s="18"/>
    </row>
    <row r="59" spans="11:31" x14ac:dyDescent="0.45">
      <c r="K59" s="18"/>
      <c r="AE59" s="18"/>
    </row>
    <row r="60" spans="11:31" x14ac:dyDescent="0.45">
      <c r="K60" s="18"/>
      <c r="AE60" s="18"/>
    </row>
    <row r="61" spans="11:31" x14ac:dyDescent="0.45">
      <c r="K61" s="18"/>
      <c r="AE61" s="18"/>
    </row>
    <row r="62" spans="11:31" x14ac:dyDescent="0.45">
      <c r="K62" s="18"/>
      <c r="AE62" s="18"/>
    </row>
    <row r="63" spans="11:31" x14ac:dyDescent="0.45">
      <c r="K63" s="18"/>
      <c r="AE63" s="18"/>
    </row>
    <row r="64" spans="11:31" x14ac:dyDescent="0.45">
      <c r="K64" s="18"/>
      <c r="AE64" s="18"/>
    </row>
    <row r="65" spans="1:31" x14ac:dyDescent="0.45">
      <c r="K65" s="18"/>
      <c r="AE65" s="18"/>
    </row>
    <row r="66" spans="1:31" x14ac:dyDescent="0.45">
      <c r="K66" s="18"/>
      <c r="AE66" s="18"/>
    </row>
    <row r="67" spans="1:31" x14ac:dyDescent="0.45">
      <c r="K67" s="18"/>
      <c r="AE67" s="18"/>
    </row>
    <row r="68" spans="1:31" x14ac:dyDescent="0.45">
      <c r="K68" s="18"/>
      <c r="AE68" s="18"/>
    </row>
    <row r="69" spans="1:31" x14ac:dyDescent="0.45">
      <c r="K69" s="18"/>
      <c r="AE69" s="18"/>
    </row>
    <row r="70" spans="1:31" x14ac:dyDescent="0.45">
      <c r="K70" s="18"/>
      <c r="AE70" s="18"/>
    </row>
    <row r="71" spans="1:31" x14ac:dyDescent="0.45">
      <c r="K71" s="18"/>
      <c r="AE71" s="18"/>
    </row>
    <row r="72" spans="1:31" x14ac:dyDescent="0.45">
      <c r="K72" s="18"/>
      <c r="AE72" s="18"/>
    </row>
    <row r="73" spans="1:31" x14ac:dyDescent="0.45">
      <c r="K73" s="18"/>
      <c r="AE73" s="18"/>
    </row>
    <row r="74" spans="1:31" ht="14.65" thickBot="1" x14ac:dyDescent="0.5">
      <c r="A74" s="32"/>
      <c r="B74" s="33"/>
      <c r="C74" s="33"/>
      <c r="D74" s="33"/>
      <c r="E74" s="33"/>
      <c r="F74" s="33"/>
      <c r="G74" s="33"/>
      <c r="H74" s="33"/>
      <c r="I74" s="33"/>
      <c r="J74" s="33"/>
      <c r="K74" s="34"/>
      <c r="L74" s="32"/>
      <c r="M74" s="33"/>
      <c r="N74" s="33"/>
      <c r="O74" s="33"/>
      <c r="P74" s="33"/>
      <c r="Q74" s="33"/>
      <c r="R74" s="33"/>
      <c r="V74" s="33"/>
      <c r="W74" s="33"/>
      <c r="X74" s="33"/>
      <c r="Y74" s="33"/>
      <c r="Z74" s="33"/>
      <c r="AA74" s="33"/>
      <c r="AB74" s="33"/>
      <c r="AC74" s="33"/>
      <c r="AD74" s="33"/>
      <c r="AE74" s="34"/>
    </row>
    <row r="75" spans="1:31" ht="14.65" thickBot="1" x14ac:dyDescent="0.5">
      <c r="S75" s="33"/>
      <c r="T75" s="33"/>
      <c r="U75" s="33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D76"/>
  <sheetViews>
    <sheetView topLeftCell="C1" zoomScale="70" zoomScaleNormal="70" workbookViewId="0">
      <selection activeCell="Q26" sqref="Q26"/>
    </sheetView>
  </sheetViews>
  <sheetFormatPr defaultColWidth="9.1328125" defaultRowHeight="14.25" x14ac:dyDescent="0.45"/>
  <cols>
    <col min="1" max="1" width="24.73046875" style="140" customWidth="1"/>
    <col min="2" max="2" width="17.73046875" style="140" customWidth="1"/>
    <col min="3" max="3" width="1.86328125" style="140" customWidth="1"/>
    <col min="4" max="4" width="9.1328125" style="140"/>
    <col min="5" max="5" width="10.265625" style="140" bestFit="1" customWidth="1"/>
    <col min="6" max="6" width="10.86328125" style="140" customWidth="1"/>
    <col min="7" max="7" width="9.1328125" style="140"/>
    <col min="8" max="8" width="10.265625" style="140" customWidth="1"/>
    <col min="9" max="9" width="14" style="140" customWidth="1"/>
    <col min="10" max="10" width="11.265625" style="140" customWidth="1"/>
    <col min="11" max="11" width="16.265625" style="140" customWidth="1"/>
    <col min="12" max="12" width="6" style="140" customWidth="1"/>
    <col min="13" max="13" width="25.59765625" style="140" customWidth="1"/>
    <col min="14" max="14" width="15.265625" style="140" bestFit="1" customWidth="1"/>
    <col min="15" max="16" width="15.265625" style="140" customWidth="1"/>
    <col min="17" max="17" width="12.19921875" style="140" bestFit="1" customWidth="1"/>
    <col min="18" max="18" width="9.3984375" style="140" bestFit="1" customWidth="1"/>
    <col min="19" max="19" width="15.73046875" style="140" customWidth="1"/>
    <col min="20" max="21" width="9.3984375" style="140" customWidth="1"/>
    <col min="22" max="22" width="31" style="140" customWidth="1"/>
    <col min="23" max="26" width="9.1328125" style="140"/>
    <col min="31" max="16384" width="9.1328125" style="140"/>
  </cols>
  <sheetData>
    <row r="1" spans="1:30" s="10" customFormat="1" ht="23.65" thickBot="1" x14ac:dyDescent="0.75">
      <c r="A1" s="10" t="s">
        <v>203</v>
      </c>
      <c r="M1" s="10" t="s">
        <v>81</v>
      </c>
      <c r="AA1"/>
      <c r="AB1"/>
      <c r="AC1"/>
      <c r="AD1"/>
    </row>
    <row r="2" spans="1:30" x14ac:dyDescent="0.45">
      <c r="A2" s="115" t="s">
        <v>80</v>
      </c>
      <c r="B2" s="35"/>
      <c r="C2" s="12"/>
      <c r="D2" s="12"/>
      <c r="E2" s="12"/>
      <c r="F2" s="12"/>
      <c r="G2" s="12"/>
      <c r="H2" s="12"/>
      <c r="I2" s="12"/>
      <c r="J2" s="12"/>
      <c r="K2" s="13"/>
      <c r="M2" s="115" t="s">
        <v>79</v>
      </c>
      <c r="N2" s="35"/>
      <c r="O2" s="35"/>
      <c r="P2" s="35"/>
      <c r="Q2" s="35"/>
      <c r="R2" s="12"/>
      <c r="S2" s="12"/>
      <c r="T2" s="12"/>
      <c r="U2" s="12"/>
      <c r="V2" s="12"/>
      <c r="W2" s="13"/>
      <c r="X2"/>
      <c r="Y2"/>
      <c r="Z2"/>
    </row>
    <row r="3" spans="1:30" x14ac:dyDescent="0.45">
      <c r="A3" s="116" t="s">
        <v>0</v>
      </c>
      <c r="B3" s="4" t="s">
        <v>83</v>
      </c>
      <c r="C3" s="117"/>
      <c r="D3" s="17"/>
      <c r="E3" s="17"/>
      <c r="F3" s="17"/>
      <c r="G3" s="17"/>
      <c r="H3" s="17"/>
      <c r="I3" s="17"/>
      <c r="J3" s="17"/>
      <c r="K3" s="18"/>
      <c r="M3" s="116" t="s">
        <v>0</v>
      </c>
      <c r="N3" s="4" t="s">
        <v>83</v>
      </c>
      <c r="O3" s="244" t="s">
        <v>306</v>
      </c>
      <c r="P3" s="244" t="s">
        <v>307</v>
      </c>
      <c r="Q3" s="244" t="s">
        <v>351</v>
      </c>
      <c r="R3" s="17"/>
      <c r="S3" s="17"/>
      <c r="T3" s="17"/>
      <c r="U3" s="17"/>
      <c r="V3" s="17"/>
      <c r="W3" s="18"/>
      <c r="X3"/>
      <c r="Y3"/>
      <c r="Z3"/>
    </row>
    <row r="4" spans="1:30" x14ac:dyDescent="0.45">
      <c r="A4" s="118" t="s">
        <v>216</v>
      </c>
      <c r="B4" s="119">
        <v>3.9641000000000002</v>
      </c>
      <c r="C4" s="120"/>
      <c r="D4" s="17"/>
      <c r="E4" s="17" t="s">
        <v>192</v>
      </c>
      <c r="F4" s="188">
        <f>0.4306*400000</f>
        <v>172240</v>
      </c>
      <c r="G4" s="17"/>
      <c r="H4" s="17"/>
      <c r="I4" s="17" t="s">
        <v>183</v>
      </c>
      <c r="J4" s="188">
        <f>0.368*400000</f>
        <v>147200</v>
      </c>
      <c r="K4" s="18"/>
      <c r="M4" s="118" t="s">
        <v>206</v>
      </c>
      <c r="N4" s="119">
        <f>(N22-N24)*EXP(N12*N13)/N27</f>
        <v>3.9546011296503765</v>
      </c>
      <c r="O4" s="119">
        <f>(O22-N24)*EXP(O12*O13)/N27</f>
        <v>3.9550475745390181</v>
      </c>
      <c r="P4" s="119">
        <f>(N22-N24)*EXP(P12*P13)/N27</f>
        <v>3.9546011296503765</v>
      </c>
      <c r="Q4" s="41">
        <f>(N22-N24)*EXP(Q12*Q13)/N27</f>
        <v>3.9546011296503765</v>
      </c>
      <c r="R4" s="17"/>
      <c r="S4" s="17"/>
      <c r="T4" s="17"/>
      <c r="U4" s="17"/>
      <c r="V4" s="17"/>
      <c r="W4" s="18"/>
      <c r="X4"/>
      <c r="Y4"/>
      <c r="Z4"/>
    </row>
    <row r="5" spans="1:30" x14ac:dyDescent="0.45">
      <c r="A5" s="40" t="s">
        <v>207</v>
      </c>
      <c r="B5" s="41">
        <v>4</v>
      </c>
      <c r="C5" s="120"/>
      <c r="D5" s="17"/>
      <c r="E5" s="17"/>
      <c r="F5" s="17"/>
      <c r="G5" s="17"/>
      <c r="H5" s="17"/>
      <c r="I5" s="17"/>
      <c r="J5" s="17"/>
      <c r="K5" s="18"/>
      <c r="M5" s="40" t="s">
        <v>207</v>
      </c>
      <c r="N5" s="41">
        <v>4</v>
      </c>
      <c r="O5" s="41">
        <v>4</v>
      </c>
      <c r="P5" s="41">
        <v>4</v>
      </c>
      <c r="Q5" s="41">
        <v>4</v>
      </c>
      <c r="R5" s="17"/>
      <c r="S5" s="17"/>
      <c r="T5" s="17"/>
      <c r="U5" s="17"/>
      <c r="V5" s="17"/>
      <c r="W5" s="18"/>
      <c r="X5"/>
      <c r="Y5"/>
      <c r="Z5"/>
    </row>
    <row r="6" spans="1:30" x14ac:dyDescent="0.45">
      <c r="A6" s="24" t="s">
        <v>3</v>
      </c>
      <c r="B6" s="42">
        <v>0.27329999999999999</v>
      </c>
      <c r="C6" s="120"/>
      <c r="D6" s="17"/>
      <c r="E6" s="17"/>
      <c r="F6" s="17"/>
      <c r="G6" s="17"/>
      <c r="H6" s="17"/>
      <c r="I6" s="17"/>
      <c r="J6" s="17"/>
      <c r="K6" s="18"/>
      <c r="M6" s="24" t="s">
        <v>3</v>
      </c>
      <c r="N6" s="42">
        <v>0.27329999999999999</v>
      </c>
      <c r="O6" s="42">
        <v>0.27329999999999999</v>
      </c>
      <c r="P6" s="42">
        <f>N6+0.01</f>
        <v>0.2833</v>
      </c>
      <c r="Q6" s="42">
        <v>0.27329999999999999</v>
      </c>
      <c r="R6" s="140" t="s">
        <v>213</v>
      </c>
      <c r="S6" s="17"/>
      <c r="T6" s="17"/>
      <c r="U6" s="17"/>
      <c r="V6" s="17"/>
      <c r="W6" s="18"/>
      <c r="X6"/>
      <c r="Y6"/>
      <c r="Z6"/>
    </row>
    <row r="7" spans="1:30" x14ac:dyDescent="0.45">
      <c r="A7" s="24" t="s">
        <v>175</v>
      </c>
      <c r="B7" s="121">
        <v>0</v>
      </c>
      <c r="C7" s="120"/>
      <c r="D7" s="17"/>
      <c r="E7" s="17"/>
      <c r="F7" s="17"/>
      <c r="G7" s="17"/>
      <c r="H7" s="17"/>
      <c r="I7" s="17"/>
      <c r="J7" s="17"/>
      <c r="K7" s="18"/>
      <c r="M7" s="24" t="s">
        <v>323</v>
      </c>
      <c r="N7" s="121">
        <v>0</v>
      </c>
      <c r="O7" s="121">
        <v>0</v>
      </c>
      <c r="P7" s="121">
        <v>0</v>
      </c>
      <c r="Q7" s="121">
        <v>0.5</v>
      </c>
      <c r="R7" s="17"/>
      <c r="S7" s="17"/>
      <c r="T7" s="17"/>
      <c r="U7" s="17"/>
      <c r="V7" s="17"/>
      <c r="W7" s="18"/>
      <c r="X7"/>
      <c r="Y7"/>
      <c r="Z7"/>
    </row>
    <row r="8" spans="1:30" x14ac:dyDescent="0.45">
      <c r="A8" s="24" t="s">
        <v>177</v>
      </c>
      <c r="B8" s="122">
        <v>0.1115</v>
      </c>
      <c r="C8" s="120"/>
      <c r="D8" s="17"/>
      <c r="E8" s="17"/>
      <c r="F8" s="17"/>
      <c r="G8" s="17"/>
      <c r="H8" s="17"/>
      <c r="I8" s="17"/>
      <c r="J8" s="17"/>
      <c r="K8" s="18"/>
      <c r="M8" s="24" t="s">
        <v>177</v>
      </c>
      <c r="N8" s="122">
        <v>0.1115</v>
      </c>
      <c r="O8" s="122">
        <v>0.1115</v>
      </c>
      <c r="P8" s="122">
        <v>0.1115</v>
      </c>
      <c r="Q8" s="122">
        <v>0.1115</v>
      </c>
      <c r="R8" s="17"/>
      <c r="S8" s="17"/>
      <c r="T8" s="17"/>
      <c r="U8" s="17"/>
      <c r="V8" s="17"/>
      <c r="W8" s="18"/>
      <c r="X8"/>
      <c r="Y8"/>
      <c r="Z8"/>
    </row>
    <row r="9" spans="1:30" x14ac:dyDescent="0.45">
      <c r="A9" s="24" t="s">
        <v>191</v>
      </c>
      <c r="B9" s="122">
        <f>SQRT(B6^2-2*B7*B6*B8+B8^2)</f>
        <v>0.2951696800147332</v>
      </c>
      <c r="C9" s="120"/>
      <c r="D9" s="17"/>
      <c r="E9" s="17"/>
      <c r="F9" s="17"/>
      <c r="G9" s="17"/>
      <c r="H9" s="17"/>
      <c r="I9" s="17"/>
      <c r="J9" s="17"/>
      <c r="K9" s="18"/>
      <c r="M9" s="24" t="s">
        <v>191</v>
      </c>
      <c r="N9" s="122">
        <f>SQRT(N6^2-2*N7*N6*N8+N8^2)</f>
        <v>0.2951696800147332</v>
      </c>
      <c r="O9" s="122">
        <f>SQRT(O6^2-2*O7*O6*O8+O8^2)</f>
        <v>0.2951696800147332</v>
      </c>
      <c r="P9" s="122">
        <f>SQRT(P6^2-2*P7*P6*P8+P8^2)</f>
        <v>0.30445219657607991</v>
      </c>
      <c r="Q9" s="122">
        <f>SQRT(Q6^2+2*Q7*Q6*Q8+Q8^2)</f>
        <v>0.34292577914178457</v>
      </c>
      <c r="R9" s="17"/>
      <c r="S9" s="17"/>
      <c r="T9" s="17"/>
      <c r="U9" s="17"/>
      <c r="V9" s="17"/>
      <c r="W9" s="18"/>
      <c r="X9"/>
      <c r="Y9"/>
      <c r="Z9"/>
    </row>
    <row r="10" spans="1:30" x14ac:dyDescent="0.45">
      <c r="A10" s="24"/>
      <c r="B10" s="122"/>
      <c r="C10" s="120"/>
      <c r="D10" s="17"/>
      <c r="E10" s="17"/>
      <c r="F10" s="17"/>
      <c r="G10" s="17"/>
      <c r="H10" s="17"/>
      <c r="I10" s="17"/>
      <c r="J10" s="17"/>
      <c r="K10" s="18"/>
      <c r="M10" s="24" t="s">
        <v>190</v>
      </c>
      <c r="N10" s="122">
        <v>5.1799999999999999E-2</v>
      </c>
      <c r="O10" s="122">
        <v>5.1799999999999999E-2</v>
      </c>
      <c r="P10" s="122">
        <v>5.1799999999999999E-2</v>
      </c>
      <c r="Q10" s="122">
        <v>5.1799999999999999E-2</v>
      </c>
      <c r="R10" s="8" t="s">
        <v>189</v>
      </c>
      <c r="S10" s="17"/>
      <c r="T10" s="17"/>
      <c r="U10" s="17"/>
      <c r="V10" s="17"/>
      <c r="W10" s="18"/>
      <c r="X10"/>
      <c r="Y10"/>
      <c r="Z10"/>
    </row>
    <row r="11" spans="1:30" x14ac:dyDescent="0.45">
      <c r="A11" s="24" t="s">
        <v>188</v>
      </c>
      <c r="B11" s="122">
        <v>2.1286191936719101E-2</v>
      </c>
      <c r="C11" s="120"/>
      <c r="D11" s="17"/>
      <c r="E11" s="17"/>
      <c r="F11" s="17"/>
      <c r="G11" s="17"/>
      <c r="H11" s="17"/>
      <c r="I11" s="17"/>
      <c r="J11" s="17"/>
      <c r="K11" s="18"/>
      <c r="M11" s="24" t="s">
        <v>188</v>
      </c>
      <c r="N11" s="122">
        <v>1.6199999999999999E-2</v>
      </c>
      <c r="O11" s="122">
        <v>1.6199999999999999E-2</v>
      </c>
      <c r="P11" s="122">
        <v>1.6199999999999999E-2</v>
      </c>
      <c r="Q11" s="122">
        <v>1.6199999999999999E-2</v>
      </c>
      <c r="R11" s="8" t="s">
        <v>199</v>
      </c>
      <c r="S11" s="17"/>
      <c r="T11" s="17"/>
      <c r="U11" s="17"/>
      <c r="V11" s="17"/>
      <c r="W11" s="18"/>
      <c r="X11"/>
      <c r="Y11"/>
      <c r="Z11"/>
    </row>
    <row r="12" spans="1:30" x14ac:dyDescent="0.45">
      <c r="A12" s="24" t="s">
        <v>5</v>
      </c>
      <c r="B12" s="41">
        <v>3</v>
      </c>
      <c r="C12" s="120"/>
      <c r="D12" s="17"/>
      <c r="E12" s="17"/>
      <c r="F12" s="17"/>
      <c r="G12" s="17"/>
      <c r="H12" s="17"/>
      <c r="I12" s="17"/>
      <c r="J12" s="17"/>
      <c r="K12" s="18"/>
      <c r="M12" s="24" t="s">
        <v>243</v>
      </c>
      <c r="N12" s="122">
        <f>'NxCVA Input 236058559'!I31*0.01</f>
        <v>5.9042319603999999E-2</v>
      </c>
      <c r="O12" s="122">
        <f>'NxCVA Input 236058559'!I31*0.01</f>
        <v>5.9042319603999999E-2</v>
      </c>
      <c r="P12" s="122">
        <f>'NxCVA Input 236058559'!I31*0.01</f>
        <v>5.9042319603999999E-2</v>
      </c>
      <c r="Q12" s="122">
        <f>'NxCVA Input 236058559'!I31*0.01</f>
        <v>5.9042319603999999E-2</v>
      </c>
      <c r="R12" s="17" t="s">
        <v>13</v>
      </c>
      <c r="S12" s="17"/>
      <c r="T12" s="17"/>
      <c r="U12" s="17"/>
      <c r="V12" s="17"/>
      <c r="W12" s="18"/>
      <c r="X12"/>
      <c r="Y12"/>
      <c r="Z12"/>
    </row>
    <row r="13" spans="1:30" x14ac:dyDescent="0.45">
      <c r="A13" s="24" t="s">
        <v>161</v>
      </c>
      <c r="B13" s="53">
        <v>400000</v>
      </c>
      <c r="C13" s="120"/>
      <c r="D13" s="17"/>
      <c r="E13" s="17"/>
      <c r="F13" s="17"/>
      <c r="G13" s="17"/>
      <c r="H13" s="17"/>
      <c r="I13" s="17"/>
      <c r="J13" s="17"/>
      <c r="K13" s="18"/>
      <c r="M13" s="24" t="s">
        <v>5</v>
      </c>
      <c r="N13" s="41">
        <v>3</v>
      </c>
      <c r="O13" s="41">
        <v>3</v>
      </c>
      <c r="P13" s="41">
        <v>3</v>
      </c>
      <c r="Q13" s="41">
        <v>3</v>
      </c>
      <c r="R13" s="17"/>
      <c r="U13" s="17"/>
      <c r="V13" s="17"/>
      <c r="W13" s="18"/>
      <c r="X13"/>
      <c r="Y13"/>
      <c r="Z13"/>
    </row>
    <row r="14" spans="1:30" x14ac:dyDescent="0.45">
      <c r="A14" s="26" t="s">
        <v>7</v>
      </c>
      <c r="B14" s="4"/>
      <c r="C14" s="120"/>
      <c r="D14" s="17"/>
      <c r="E14" s="17"/>
      <c r="F14" s="17"/>
      <c r="G14" s="17"/>
      <c r="H14" s="17"/>
      <c r="I14" s="17"/>
      <c r="J14" s="17"/>
      <c r="K14" s="18"/>
      <c r="M14" s="24" t="s">
        <v>161</v>
      </c>
      <c r="N14" s="53">
        <v>400000</v>
      </c>
      <c r="O14" s="53">
        <v>400000</v>
      </c>
      <c r="P14" s="53">
        <v>400000</v>
      </c>
      <c r="Q14" s="53">
        <v>400000</v>
      </c>
      <c r="S14" s="17"/>
      <c r="T14" s="17"/>
      <c r="U14" s="17"/>
      <c r="V14" s="17"/>
      <c r="W14" s="18"/>
      <c r="X14"/>
      <c r="Y14"/>
      <c r="Z14"/>
    </row>
    <row r="15" spans="1:30" x14ac:dyDescent="0.45">
      <c r="A15" s="24" t="s">
        <v>8</v>
      </c>
      <c r="B15" s="45">
        <f>(LN(B4/B5)+(B9^2/2)*B12)/(B9*SQRT(B12))</f>
        <v>0.23799013788529366</v>
      </c>
      <c r="C15" s="120"/>
      <c r="D15" s="17"/>
      <c r="E15" s="17"/>
      <c r="F15" s="17"/>
      <c r="G15" s="17"/>
      <c r="H15" s="17"/>
      <c r="I15" s="17"/>
      <c r="J15" s="17"/>
      <c r="K15" s="18"/>
      <c r="M15" s="26" t="s">
        <v>7</v>
      </c>
      <c r="N15" s="4"/>
      <c r="O15" s="4"/>
      <c r="P15" s="4"/>
      <c r="Q15" s="4"/>
      <c r="S15" s="17"/>
      <c r="T15" s="17"/>
      <c r="U15" s="17"/>
      <c r="V15" s="17"/>
      <c r="W15" s="18"/>
      <c r="X15"/>
      <c r="Y15"/>
      <c r="Z15"/>
    </row>
    <row r="16" spans="1:30" x14ac:dyDescent="0.45">
      <c r="A16" s="24" t="s">
        <v>9</v>
      </c>
      <c r="B16" s="45">
        <f>B15-B9*SQRT(B12)</f>
        <v>-0.27325874475407208</v>
      </c>
      <c r="C16" s="120"/>
      <c r="D16" s="17"/>
      <c r="E16" s="17"/>
      <c r="F16" s="17"/>
      <c r="G16" s="17"/>
      <c r="H16" s="17"/>
      <c r="I16" s="17"/>
      <c r="K16" s="18"/>
      <c r="M16" s="24" t="s">
        <v>8</v>
      </c>
      <c r="N16" s="45">
        <f>(LN(N4/N5)+(N9^2/2)*N13)/(N9*SQRT(N13))</f>
        <v>0.23329751299147902</v>
      </c>
      <c r="O16" s="45">
        <f>(LN(O4/O5)+(O9^2/2)*O13)/(O9*SQRT(O13))</f>
        <v>0.23351831767650971</v>
      </c>
      <c r="P16" s="45">
        <f>(LN(P4/P5)+(P9^2/2)*P13)/(P9*SQRT(P13))</f>
        <v>0.24201713925548726</v>
      </c>
      <c r="Q16" s="45">
        <f>(LN(Q4/Q5)+(Q9^2/2)*Q13)/(Q9*SQRT(Q13))</f>
        <v>0.27776477267052652</v>
      </c>
      <c r="R16" s="17"/>
      <c r="S16" s="17"/>
      <c r="T16" s="17"/>
      <c r="U16" s="17"/>
      <c r="V16" s="17"/>
      <c r="W16" s="18"/>
      <c r="X16"/>
      <c r="Y16"/>
      <c r="Z16"/>
    </row>
    <row r="17" spans="1:26" x14ac:dyDescent="0.45">
      <c r="A17" s="24" t="s">
        <v>10</v>
      </c>
      <c r="B17" s="45">
        <f>NORMSDIST(B15)</f>
        <v>0.59405562834710035</v>
      </c>
      <c r="C17" s="120"/>
      <c r="D17" s="17"/>
      <c r="E17" s="17"/>
      <c r="F17" s="17"/>
      <c r="G17" s="17"/>
      <c r="H17" s="17"/>
      <c r="I17" s="17"/>
      <c r="K17" s="18"/>
      <c r="M17" s="24" t="s">
        <v>9</v>
      </c>
      <c r="N17" s="45">
        <f>N16-N9*SQRT(N13)</f>
        <v>-0.27795136964788669</v>
      </c>
      <c r="O17" s="45">
        <f>O16-O9*SQRT(O13)</f>
        <v>-0.27773056496285603</v>
      </c>
      <c r="P17" s="45">
        <f>P16-P9*SQRT(P13)</f>
        <v>-0.28530953369023049</v>
      </c>
      <c r="Q17" s="45">
        <f>Q16-Q9*SQRT(Q13)</f>
        <v>-0.31620010002818782</v>
      </c>
      <c r="R17" s="17"/>
      <c r="S17" s="17"/>
      <c r="T17" s="17"/>
      <c r="U17" s="17"/>
      <c r="V17" s="17"/>
      <c r="W17" s="18"/>
      <c r="X17"/>
      <c r="Y17"/>
      <c r="Z17"/>
    </row>
    <row r="18" spans="1:26" x14ac:dyDescent="0.45">
      <c r="A18" s="24" t="s">
        <v>11</v>
      </c>
      <c r="B18" s="45">
        <f>NORMSDIST(B16)</f>
        <v>0.39232716288840419</v>
      </c>
      <c r="C18" s="120"/>
      <c r="D18" s="17"/>
      <c r="E18" s="17"/>
      <c r="F18" s="17"/>
      <c r="G18" s="17"/>
      <c r="H18" s="17"/>
      <c r="I18" s="17"/>
      <c r="K18" s="18"/>
      <c r="M18" s="24" t="s">
        <v>10</v>
      </c>
      <c r="N18" s="45">
        <f t="shared" ref="N18:Q19" si="0">NORMSDIST(N16)</f>
        <v>0.5922348051612889</v>
      </c>
      <c r="O18" s="45">
        <f t="shared" si="0"/>
        <v>0.5923205263784711</v>
      </c>
      <c r="P18" s="45">
        <f t="shared" si="0"/>
        <v>0.59561655863025043</v>
      </c>
      <c r="Q18" s="45">
        <f t="shared" si="0"/>
        <v>0.60940353262362879</v>
      </c>
      <c r="R18" s="17"/>
      <c r="S18" s="17"/>
      <c r="T18" s="17"/>
      <c r="U18" s="17"/>
      <c r="V18" s="17"/>
      <c r="W18" s="18"/>
      <c r="X18"/>
      <c r="Y18"/>
      <c r="Z18"/>
    </row>
    <row r="19" spans="1:26" x14ac:dyDescent="0.45">
      <c r="A19" s="123" t="s">
        <v>85</v>
      </c>
      <c r="B19" s="124">
        <f>EXP(-B11*B12)*B18  * B13</f>
        <v>147222.75548311547</v>
      </c>
      <c r="C19" s="8"/>
      <c r="D19" s="17"/>
      <c r="E19" s="17"/>
      <c r="F19" s="17"/>
      <c r="G19" s="17"/>
      <c r="H19" s="17"/>
      <c r="I19" s="17"/>
      <c r="K19" s="18"/>
      <c r="M19" s="24" t="s">
        <v>11</v>
      </c>
      <c r="N19" s="45">
        <f t="shared" si="0"/>
        <v>0.390524844824017</v>
      </c>
      <c r="O19" s="45">
        <f t="shared" si="0"/>
        <v>0.39060959791318683</v>
      </c>
      <c r="P19" s="45">
        <f t="shared" si="0"/>
        <v>0.38770350472359305</v>
      </c>
      <c r="Q19" s="45">
        <f t="shared" si="0"/>
        <v>0.37592531591414208</v>
      </c>
      <c r="R19" s="17"/>
      <c r="S19" s="17"/>
      <c r="T19" s="17"/>
      <c r="U19" s="17"/>
      <c r="V19" s="17"/>
      <c r="W19" s="18"/>
      <c r="X19"/>
      <c r="Y19"/>
      <c r="Z19"/>
    </row>
    <row r="20" spans="1:26" x14ac:dyDescent="0.45">
      <c r="A20" s="38" t="s">
        <v>15</v>
      </c>
      <c r="B20" s="125">
        <v>61.483750000000001</v>
      </c>
      <c r="C20" s="8"/>
      <c r="D20" s="17"/>
      <c r="E20" s="17"/>
      <c r="F20" s="17"/>
      <c r="G20" s="17"/>
      <c r="H20" s="17"/>
      <c r="I20" s="17"/>
      <c r="J20" s="17"/>
      <c r="K20" s="18"/>
      <c r="M20" s="123" t="s">
        <v>85</v>
      </c>
      <c r="N20" s="124">
        <f>EXP(-N11*N13)*N19  * N14</f>
        <v>148799.66313081264</v>
      </c>
      <c r="O20" s="124">
        <f>EXP(-O11*O13)*O19  * O14</f>
        <v>148831.95616231862</v>
      </c>
      <c r="P20" s="124">
        <f>EXP(-P11*P13)*P19  * P14</f>
        <v>147724.66249491271</v>
      </c>
      <c r="Q20" s="124">
        <f>EXP(-Q11*Q13)*Q19  * Q14</f>
        <v>143236.8800903715</v>
      </c>
      <c r="R20" s="17"/>
      <c r="S20" s="17"/>
      <c r="T20" s="17"/>
      <c r="U20" s="17"/>
      <c r="V20" s="17"/>
      <c r="W20" s="18"/>
      <c r="X20"/>
      <c r="Y20"/>
      <c r="Z20"/>
    </row>
    <row r="21" spans="1:26" x14ac:dyDescent="0.45">
      <c r="A21" s="37" t="s">
        <v>83</v>
      </c>
      <c r="B21" s="8">
        <v>255.81</v>
      </c>
      <c r="C21" s="8"/>
      <c r="D21" s="17"/>
      <c r="E21" s="17"/>
      <c r="F21" s="17"/>
      <c r="G21" s="17"/>
      <c r="H21" s="17"/>
      <c r="I21" s="17"/>
      <c r="J21" s="17"/>
      <c r="K21" s="18"/>
      <c r="M21" s="38" t="s">
        <v>15</v>
      </c>
      <c r="N21" s="125">
        <v>61.483750000000001</v>
      </c>
      <c r="O21" s="125"/>
      <c r="P21" s="125"/>
      <c r="Q21" s="201"/>
      <c r="R21" s="17"/>
      <c r="S21" s="17"/>
      <c r="T21" s="17"/>
      <c r="U21" s="17"/>
      <c r="V21" s="17"/>
      <c r="W21" s="18"/>
      <c r="X21"/>
      <c r="Y21"/>
      <c r="Z21"/>
    </row>
    <row r="22" spans="1:26" x14ac:dyDescent="0.45">
      <c r="A22" s="37" t="s">
        <v>225</v>
      </c>
      <c r="B22" s="52">
        <v>0.47548643072876301</v>
      </c>
      <c r="C22" s="17"/>
      <c r="D22" s="17"/>
      <c r="E22" s="17"/>
      <c r="F22" s="17"/>
      <c r="G22" s="17"/>
      <c r="H22" s="17"/>
      <c r="I22" s="17"/>
      <c r="J22" s="17"/>
      <c r="K22" s="18"/>
      <c r="M22" s="37" t="s">
        <v>83</v>
      </c>
      <c r="N22" s="248">
        <v>255.81</v>
      </c>
      <c r="O22" s="248">
        <f>N22*1.0001</f>
        <v>255.83558099999999</v>
      </c>
      <c r="P22" s="8"/>
      <c r="Q22" s="229"/>
      <c r="R22" s="17"/>
      <c r="T22" s="17"/>
      <c r="U22" s="17"/>
      <c r="V22" s="17"/>
      <c r="W22" s="18"/>
      <c r="X22"/>
      <c r="Y22"/>
      <c r="Z22"/>
    </row>
    <row r="23" spans="1:26" x14ac:dyDescent="0.45">
      <c r="A23" s="17" t="s">
        <v>226</v>
      </c>
      <c r="C23" s="17"/>
      <c r="D23" s="17"/>
      <c r="E23" s="17"/>
      <c r="F23" s="17"/>
      <c r="G23" s="17"/>
      <c r="H23" s="17"/>
      <c r="I23" s="17"/>
      <c r="J23" s="17"/>
      <c r="K23" s="18"/>
      <c r="M23" s="37" t="s">
        <v>309</v>
      </c>
      <c r="N23" s="248">
        <f>N22/N21</f>
        <v>4.1606115437005711</v>
      </c>
      <c r="O23" s="248">
        <f>O22/N21</f>
        <v>4.1610276048549411</v>
      </c>
      <c r="P23" s="8"/>
      <c r="Q23" s="8"/>
      <c r="R23" s="17"/>
      <c r="T23" s="17"/>
      <c r="U23" s="17"/>
      <c r="V23" s="17"/>
      <c r="W23" s="18"/>
      <c r="X23"/>
      <c r="Y23"/>
      <c r="Z23"/>
    </row>
    <row r="24" spans="1:26" x14ac:dyDescent="0.45">
      <c r="A24" s="31"/>
      <c r="C24" s="17"/>
      <c r="D24" s="17"/>
      <c r="E24" s="17"/>
      <c r="F24" s="17"/>
      <c r="G24" s="17"/>
      <c r="H24" s="17"/>
      <c r="I24" s="17"/>
      <c r="J24" s="17"/>
      <c r="K24" s="18"/>
      <c r="M24" s="37" t="s">
        <v>84</v>
      </c>
      <c r="N24" s="52">
        <f>SUM('NxCVA Input 236058559'!N11:N13)</f>
        <v>29.213942857916912</v>
      </c>
      <c r="O24" s="52"/>
      <c r="P24" s="52"/>
      <c r="Q24" s="52"/>
      <c r="R24" s="17" t="s">
        <v>267</v>
      </c>
      <c r="T24" s="17"/>
      <c r="U24" s="17"/>
      <c r="V24" s="17"/>
      <c r="W24" s="18"/>
      <c r="X24"/>
      <c r="Y24"/>
      <c r="Z24"/>
    </row>
    <row r="25" spans="1:26" x14ac:dyDescent="0.45">
      <c r="A25" s="8" t="s">
        <v>187</v>
      </c>
      <c r="B25" s="134">
        <v>5.90423196040505E-2</v>
      </c>
      <c r="C25" s="17"/>
      <c r="D25" s="17"/>
      <c r="E25" s="17"/>
      <c r="F25" s="17"/>
      <c r="G25" s="17"/>
      <c r="H25" s="17"/>
      <c r="I25" s="17"/>
      <c r="J25" s="17"/>
      <c r="K25" s="18"/>
      <c r="R25" s="8"/>
      <c r="S25" s="17"/>
      <c r="T25" s="17"/>
      <c r="U25" s="17"/>
      <c r="V25" s="17"/>
      <c r="W25" s="18"/>
      <c r="X25"/>
      <c r="Y25"/>
      <c r="Z25"/>
    </row>
    <row r="26" spans="1:26" x14ac:dyDescent="0.45">
      <c r="A26" s="128" t="s">
        <v>186</v>
      </c>
      <c r="B26" s="54">
        <v>69192.1442362987</v>
      </c>
      <c r="C26" s="17"/>
      <c r="D26" s="17"/>
      <c r="E26" s="17"/>
      <c r="F26" s="17"/>
      <c r="G26" s="17"/>
      <c r="H26" s="17"/>
      <c r="I26" s="17"/>
      <c r="J26" s="17"/>
      <c r="K26" s="18"/>
      <c r="L26" s="31"/>
      <c r="M26" s="31" t="s">
        <v>186</v>
      </c>
      <c r="N26" s="54">
        <v>69192.1442362987</v>
      </c>
      <c r="O26" s="54"/>
      <c r="P26" s="54"/>
      <c r="Q26" s="54"/>
      <c r="R26" s="8"/>
      <c r="S26" s="17"/>
      <c r="T26" s="17"/>
      <c r="U26" s="17"/>
      <c r="V26" s="17"/>
      <c r="W26" s="18"/>
      <c r="X26"/>
      <c r="Y26"/>
      <c r="Z26"/>
    </row>
    <row r="27" spans="1:26" x14ac:dyDescent="0.45">
      <c r="A27" s="31" t="s">
        <v>185</v>
      </c>
      <c r="B27" s="50">
        <f>B20+B26/10000</f>
        <v>68.402964423629868</v>
      </c>
      <c r="C27" s="17"/>
      <c r="D27" s="17"/>
      <c r="E27" s="17"/>
      <c r="F27" s="17"/>
      <c r="G27" s="17"/>
      <c r="H27" s="17"/>
      <c r="I27" s="17"/>
      <c r="J27" s="17"/>
      <c r="K27" s="18"/>
      <c r="L27" s="31"/>
      <c r="M27" s="31" t="s">
        <v>185</v>
      </c>
      <c r="N27" s="50">
        <f>N21+N26/10000</f>
        <v>68.402964423629868</v>
      </c>
      <c r="O27" s="50"/>
      <c r="P27" s="50"/>
      <c r="Q27" s="50"/>
      <c r="R27" s="8"/>
      <c r="S27" s="17"/>
      <c r="T27" s="17"/>
      <c r="U27" s="17"/>
      <c r="V27" s="17"/>
      <c r="W27" s="18"/>
      <c r="X27"/>
      <c r="Y27"/>
      <c r="Z27"/>
    </row>
    <row r="28" spans="1:26" x14ac:dyDescent="0.45">
      <c r="A28" s="31" t="s">
        <v>182</v>
      </c>
      <c r="B28" s="50">
        <f>(B21-B22*B20)*EXP(B25*B12)/B27</f>
        <v>3.9542390665740315</v>
      </c>
      <c r="C28" s="17"/>
      <c r="D28" s="17"/>
      <c r="E28" s="17"/>
      <c r="F28" s="17"/>
      <c r="G28" s="17"/>
      <c r="H28" s="17"/>
      <c r="I28" s="17"/>
      <c r="J28" s="17"/>
      <c r="K28" s="18"/>
      <c r="L28" s="31"/>
      <c r="M28" s="31"/>
      <c r="N28" s="50"/>
      <c r="O28" s="50"/>
      <c r="P28" s="50"/>
      <c r="Q28" s="50"/>
      <c r="R28" s="8"/>
      <c r="S28" s="17"/>
      <c r="T28" s="17"/>
      <c r="U28" s="17"/>
      <c r="V28" s="17"/>
      <c r="W28" s="17"/>
      <c r="X28" s="17"/>
      <c r="Y28" s="17"/>
      <c r="Z28" s="18"/>
    </row>
    <row r="29" spans="1:26" x14ac:dyDescent="0.45">
      <c r="C29" s="17"/>
      <c r="D29" s="17"/>
      <c r="E29" s="17"/>
      <c r="F29" s="17"/>
      <c r="G29" s="17"/>
      <c r="H29" s="17"/>
      <c r="I29" s="17"/>
      <c r="J29" s="17"/>
      <c r="K29" s="18"/>
      <c r="L29" s="31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8"/>
    </row>
    <row r="30" spans="1:26" x14ac:dyDescent="0.45">
      <c r="A30" s="286" t="s">
        <v>327</v>
      </c>
      <c r="C30" s="17"/>
      <c r="D30" s="17"/>
      <c r="E30" s="17"/>
      <c r="F30" s="17"/>
      <c r="G30" s="17"/>
      <c r="H30" s="17"/>
      <c r="I30" s="8"/>
      <c r="J30" s="17"/>
      <c r="K30" s="18"/>
      <c r="L30" s="31"/>
      <c r="M30" s="193" t="s">
        <v>304</v>
      </c>
      <c r="N30" s="54">
        <f>(N20-O20)/(N23-O23)*N23</f>
        <v>322930.3150598408</v>
      </c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8"/>
    </row>
    <row r="31" spans="1:26" x14ac:dyDescent="0.45">
      <c r="A31" s="31"/>
      <c r="B31" s="17"/>
      <c r="C31" s="17"/>
      <c r="D31" s="17"/>
      <c r="E31" s="17"/>
      <c r="F31" s="17"/>
      <c r="G31" s="17"/>
      <c r="H31" s="17"/>
      <c r="I31" s="128"/>
      <c r="J31" s="17"/>
      <c r="K31" s="18"/>
      <c r="L31" s="31"/>
      <c r="M31" s="245" t="s">
        <v>305</v>
      </c>
      <c r="N31" s="54">
        <f>(P20-N20)</f>
        <v>-1075.0006358999235</v>
      </c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8"/>
    </row>
    <row r="32" spans="1:26" x14ac:dyDescent="0.45">
      <c r="A32" s="31"/>
      <c r="B32" s="17"/>
      <c r="C32" s="17"/>
      <c r="D32" s="17"/>
      <c r="E32" s="17"/>
      <c r="F32" s="17"/>
      <c r="G32" s="141">
        <f>0.4306*400000</f>
        <v>172240</v>
      </c>
      <c r="H32" s="17"/>
      <c r="I32" s="129"/>
      <c r="J32" s="17"/>
      <c r="K32" s="18"/>
      <c r="L32" s="31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8"/>
    </row>
    <row r="33" spans="1:26" x14ac:dyDescent="0.45">
      <c r="A33" s="31"/>
      <c r="B33" s="17"/>
      <c r="C33" s="17"/>
      <c r="D33" s="17"/>
      <c r="E33" s="17"/>
      <c r="F33" s="17"/>
      <c r="G33" s="17"/>
      <c r="H33" s="17"/>
      <c r="J33" s="17"/>
      <c r="K33" s="18"/>
      <c r="L33" s="31"/>
      <c r="M33" s="8" t="s">
        <v>324</v>
      </c>
      <c r="N33" s="129">
        <f>EXP(-N11*N13)*_xlfn.NORM.DIST(N17,0,1,FALSE)/(N22-N24)/N9/SQRT(N13)*N14*N22</f>
        <v>322938.6354967294</v>
      </c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8"/>
    </row>
    <row r="34" spans="1:26" x14ac:dyDescent="0.45">
      <c r="A34" s="31"/>
      <c r="B34" s="17"/>
      <c r="C34" s="17"/>
      <c r="D34" s="17"/>
      <c r="E34" s="17"/>
      <c r="F34" s="17"/>
      <c r="G34" s="17"/>
      <c r="H34" s="17"/>
      <c r="J34" s="17"/>
      <c r="K34" s="18"/>
      <c r="L34" s="31"/>
      <c r="M34" s="8" t="s">
        <v>325</v>
      </c>
      <c r="N34" s="129">
        <f>-EXP(-N11*N13)*_xlfn.NORM.DIST(N17,0,1,FALSE)*N16/(N9^2)*(N6-N7*N8)*N14*0.01</f>
        <v>-1070.2702672521218</v>
      </c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8"/>
    </row>
    <row r="35" spans="1:26" x14ac:dyDescent="0.45">
      <c r="A35" s="31"/>
      <c r="B35" s="17"/>
      <c r="C35" s="17"/>
      <c r="D35" s="17"/>
      <c r="E35" s="17"/>
      <c r="F35" s="17"/>
      <c r="G35" s="17"/>
      <c r="H35" s="17"/>
      <c r="I35" s="17"/>
      <c r="J35" s="17"/>
      <c r="K35" s="18"/>
      <c r="L35" s="31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8"/>
    </row>
    <row r="36" spans="1:26" x14ac:dyDescent="0.45">
      <c r="A36" s="31"/>
      <c r="B36" s="17"/>
      <c r="C36" s="17"/>
      <c r="D36" s="17"/>
      <c r="E36" s="17"/>
      <c r="F36" s="17"/>
      <c r="G36" s="17"/>
      <c r="H36" s="17"/>
      <c r="I36" s="17"/>
      <c r="J36" s="17"/>
      <c r="K36" s="18"/>
      <c r="L36" s="31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8"/>
    </row>
    <row r="37" spans="1:26" x14ac:dyDescent="0.45">
      <c r="A37" s="31"/>
      <c r="B37" s="17"/>
      <c r="C37" s="17"/>
      <c r="D37" s="17"/>
      <c r="E37" s="17"/>
      <c r="F37" s="17"/>
      <c r="G37" s="17"/>
      <c r="H37" s="17"/>
      <c r="I37" s="17"/>
      <c r="J37" s="17"/>
      <c r="K37" s="18"/>
      <c r="L37" s="31"/>
      <c r="M37" s="17" t="s">
        <v>209</v>
      </c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8"/>
    </row>
    <row r="38" spans="1:26" x14ac:dyDescent="0.45">
      <c r="A38" s="31"/>
      <c r="B38" s="17"/>
      <c r="C38" s="17"/>
      <c r="D38" s="17"/>
      <c r="E38" s="17"/>
      <c r="F38" s="17"/>
      <c r="G38" s="17"/>
      <c r="H38" s="17"/>
      <c r="I38" s="17"/>
      <c r="J38" s="17"/>
      <c r="K38" s="18"/>
      <c r="L38" s="31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8"/>
    </row>
    <row r="39" spans="1:26" x14ac:dyDescent="0.45">
      <c r="A39" s="31"/>
      <c r="B39" s="17"/>
      <c r="C39" s="17"/>
      <c r="D39" s="17"/>
      <c r="E39" s="17"/>
      <c r="F39" s="17"/>
      <c r="G39" s="17"/>
      <c r="H39" s="17"/>
      <c r="I39" s="17"/>
      <c r="J39" s="17"/>
      <c r="K39" s="18"/>
      <c r="L39" s="31"/>
      <c r="M39" s="140" t="s">
        <v>211</v>
      </c>
      <c r="N39" s="17"/>
      <c r="O39" s="17"/>
      <c r="P39" s="17"/>
      <c r="Q39" s="17"/>
      <c r="R39" s="17"/>
      <c r="S39" s="17"/>
      <c r="T39" s="17"/>
      <c r="U39" s="17"/>
      <c r="W39" s="17"/>
      <c r="X39" s="17"/>
      <c r="Y39" s="17"/>
      <c r="Z39" s="18"/>
    </row>
    <row r="40" spans="1:26" x14ac:dyDescent="0.45">
      <c r="A40" s="31"/>
      <c r="B40" s="17"/>
      <c r="C40" s="17"/>
      <c r="D40" s="17"/>
      <c r="E40" s="17"/>
      <c r="F40" s="17"/>
      <c r="G40" s="17"/>
      <c r="H40" s="17"/>
      <c r="I40" s="17"/>
      <c r="J40" s="17"/>
      <c r="K40" s="18"/>
      <c r="L40" s="31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8"/>
    </row>
    <row r="41" spans="1:26" x14ac:dyDescent="0.45">
      <c r="A41" s="31"/>
      <c r="B41" s="17"/>
      <c r="C41" s="17"/>
      <c r="D41" s="17"/>
      <c r="E41" s="17"/>
      <c r="F41" s="17"/>
      <c r="G41" s="17"/>
      <c r="H41" s="17"/>
      <c r="I41" s="17"/>
      <c r="J41" s="17"/>
      <c r="K41" s="18"/>
      <c r="L41" s="31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8"/>
    </row>
    <row r="42" spans="1:26" x14ac:dyDescent="0.45">
      <c r="A42" s="31"/>
      <c r="B42" s="17"/>
      <c r="C42" s="17"/>
      <c r="D42" s="17"/>
      <c r="E42" s="17"/>
      <c r="F42" s="17"/>
      <c r="G42" s="17"/>
      <c r="H42" s="17"/>
      <c r="I42" s="17"/>
      <c r="J42" s="17"/>
      <c r="K42" s="18"/>
      <c r="L42" s="31"/>
      <c r="M42" s="17"/>
      <c r="N42" s="17"/>
      <c r="O42" s="17"/>
      <c r="P42" s="17"/>
      <c r="Q42" s="17"/>
      <c r="R42" s="17"/>
      <c r="S42" s="17"/>
      <c r="T42" s="17"/>
      <c r="U42" s="17"/>
      <c r="W42" s="17"/>
      <c r="X42" s="17"/>
      <c r="Y42" s="17"/>
      <c r="Z42" s="18"/>
    </row>
    <row r="43" spans="1:26" x14ac:dyDescent="0.45">
      <c r="A43" s="31"/>
      <c r="B43" s="17"/>
      <c r="C43" s="17"/>
      <c r="D43" s="17"/>
      <c r="E43" s="17"/>
      <c r="F43" s="17"/>
      <c r="G43" s="17"/>
      <c r="H43" s="17"/>
      <c r="I43" s="17"/>
      <c r="J43" s="17"/>
      <c r="K43" s="18"/>
      <c r="L43" s="31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8"/>
    </row>
    <row r="44" spans="1:26" x14ac:dyDescent="0.45">
      <c r="A44" s="31"/>
      <c r="B44" s="17"/>
      <c r="C44" s="17"/>
      <c r="D44" s="17"/>
      <c r="E44" s="17"/>
      <c r="F44" s="17"/>
      <c r="G44" s="17"/>
      <c r="H44" s="17"/>
      <c r="I44" s="17"/>
      <c r="J44" s="17"/>
      <c r="K44" s="18"/>
      <c r="L44" s="31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8"/>
    </row>
    <row r="45" spans="1:26" x14ac:dyDescent="0.45">
      <c r="K45" s="18"/>
      <c r="S45" s="17"/>
      <c r="Z45" s="18"/>
    </row>
    <row r="46" spans="1:26" x14ac:dyDescent="0.45">
      <c r="K46" s="18"/>
      <c r="Z46" s="18"/>
    </row>
    <row r="47" spans="1:26" x14ac:dyDescent="0.45">
      <c r="K47" s="18"/>
      <c r="Z47" s="18"/>
    </row>
    <row r="48" spans="1:26" x14ac:dyDescent="0.45">
      <c r="K48" s="18"/>
      <c r="Z48" s="18"/>
    </row>
    <row r="49" spans="11:26" x14ac:dyDescent="0.45">
      <c r="K49" s="18"/>
      <c r="Z49" s="18"/>
    </row>
    <row r="50" spans="11:26" x14ac:dyDescent="0.45">
      <c r="K50" s="18"/>
      <c r="Z50" s="18"/>
    </row>
    <row r="51" spans="11:26" x14ac:dyDescent="0.45">
      <c r="K51" s="18"/>
      <c r="Z51" s="18"/>
    </row>
    <row r="52" spans="11:26" x14ac:dyDescent="0.45">
      <c r="K52" s="18"/>
      <c r="Z52" s="18"/>
    </row>
    <row r="53" spans="11:26" x14ac:dyDescent="0.45">
      <c r="K53" s="18"/>
      <c r="Z53" s="18"/>
    </row>
    <row r="54" spans="11:26" x14ac:dyDescent="0.45">
      <c r="K54" s="18"/>
      <c r="Z54" s="18"/>
    </row>
    <row r="55" spans="11:26" x14ac:dyDescent="0.45">
      <c r="K55" s="18"/>
      <c r="Z55" s="18"/>
    </row>
    <row r="56" spans="11:26" x14ac:dyDescent="0.45">
      <c r="K56" s="18"/>
      <c r="Z56" s="18"/>
    </row>
    <row r="57" spans="11:26" x14ac:dyDescent="0.45">
      <c r="K57" s="18"/>
      <c r="M57" s="140" t="s">
        <v>210</v>
      </c>
      <c r="Z57" s="18"/>
    </row>
    <row r="58" spans="11:26" x14ac:dyDescent="0.45">
      <c r="K58" s="18"/>
      <c r="Z58" s="18"/>
    </row>
    <row r="59" spans="11:26" x14ac:dyDescent="0.45">
      <c r="K59" s="18"/>
      <c r="Z59" s="18"/>
    </row>
    <row r="60" spans="11:26" x14ac:dyDescent="0.45">
      <c r="K60" s="18"/>
      <c r="Z60" s="18"/>
    </row>
    <row r="61" spans="11:26" x14ac:dyDescent="0.45">
      <c r="K61" s="18"/>
      <c r="Z61" s="18"/>
    </row>
    <row r="62" spans="11:26" x14ac:dyDescent="0.45">
      <c r="K62" s="18"/>
      <c r="Z62" s="18"/>
    </row>
    <row r="63" spans="11:26" x14ac:dyDescent="0.45">
      <c r="K63" s="18"/>
      <c r="Z63" s="18"/>
    </row>
    <row r="64" spans="11:26" x14ac:dyDescent="0.45">
      <c r="K64" s="18"/>
      <c r="Z64" s="18"/>
    </row>
    <row r="65" spans="1:26" x14ac:dyDescent="0.45">
      <c r="K65" s="18"/>
      <c r="Z65" s="18"/>
    </row>
    <row r="66" spans="1:26" x14ac:dyDescent="0.45">
      <c r="K66" s="18"/>
      <c r="Z66" s="18"/>
    </row>
    <row r="67" spans="1:26" x14ac:dyDescent="0.45">
      <c r="K67" s="18"/>
      <c r="Z67" s="18"/>
    </row>
    <row r="68" spans="1:26" x14ac:dyDescent="0.45">
      <c r="K68" s="18"/>
      <c r="Z68" s="18"/>
    </row>
    <row r="69" spans="1:26" x14ac:dyDescent="0.45">
      <c r="K69" s="18"/>
      <c r="Z69" s="18"/>
    </row>
    <row r="70" spans="1:26" x14ac:dyDescent="0.45">
      <c r="K70" s="18"/>
      <c r="Z70" s="18"/>
    </row>
    <row r="71" spans="1:26" x14ac:dyDescent="0.45">
      <c r="K71" s="18"/>
      <c r="Z71" s="18"/>
    </row>
    <row r="72" spans="1:26" x14ac:dyDescent="0.45">
      <c r="K72" s="18"/>
      <c r="Z72" s="18"/>
    </row>
    <row r="73" spans="1:26" x14ac:dyDescent="0.45">
      <c r="K73" s="18"/>
      <c r="Z73" s="18"/>
    </row>
    <row r="74" spans="1:26" x14ac:dyDescent="0.45">
      <c r="K74" s="18"/>
      <c r="Z74" s="18"/>
    </row>
    <row r="75" spans="1:26" ht="14.65" thickBot="1" x14ac:dyDescent="0.5">
      <c r="A75" s="32"/>
      <c r="B75" s="33"/>
      <c r="C75" s="33"/>
      <c r="D75" s="33"/>
      <c r="E75" s="33"/>
      <c r="F75" s="33"/>
      <c r="G75" s="33"/>
      <c r="H75" s="33"/>
      <c r="I75" s="33"/>
      <c r="J75" s="33"/>
      <c r="K75" s="34"/>
      <c r="L75" s="32"/>
      <c r="M75" s="33"/>
      <c r="N75" s="33"/>
      <c r="O75" s="33"/>
      <c r="P75" s="33"/>
      <c r="Q75" s="33"/>
      <c r="R75" s="33"/>
      <c r="T75" s="33"/>
      <c r="U75" s="33"/>
      <c r="V75" s="33"/>
      <c r="W75" s="33"/>
      <c r="X75" s="33"/>
      <c r="Y75" s="33"/>
      <c r="Z75" s="18"/>
    </row>
    <row r="76" spans="1:26" ht="14.65" thickBot="1" x14ac:dyDescent="0.5">
      <c r="S76" s="33"/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21"/>
  <sheetViews>
    <sheetView workbookViewId="0">
      <selection activeCell="K30" sqref="K30"/>
    </sheetView>
  </sheetViews>
  <sheetFormatPr defaultRowHeight="14.25" x14ac:dyDescent="0.45"/>
  <cols>
    <col min="1" max="1" width="18.73046875" style="140" bestFit="1" customWidth="1"/>
    <col min="2" max="2" width="11.265625" style="140" bestFit="1" customWidth="1"/>
    <col min="3" max="3" width="11.73046875" style="140" bestFit="1" customWidth="1"/>
    <col min="4" max="4" width="9.1328125" style="140"/>
    <col min="5" max="5" width="19" bestFit="1" customWidth="1"/>
    <col min="6" max="6" width="12" style="140" bestFit="1" customWidth="1"/>
    <col min="7" max="7" width="12.86328125" bestFit="1" customWidth="1"/>
    <col min="8" max="8" width="14" bestFit="1" customWidth="1"/>
    <col min="9" max="9" width="10.3984375" customWidth="1"/>
  </cols>
  <sheetData>
    <row r="1" spans="1:9" s="273" customFormat="1" x14ac:dyDescent="0.45">
      <c r="A1" s="273" t="s">
        <v>90</v>
      </c>
      <c r="E1" s="273" t="s">
        <v>316</v>
      </c>
      <c r="H1" s="284" t="s">
        <v>317</v>
      </c>
    </row>
    <row r="2" spans="1:9" ht="16.5" customHeight="1" x14ac:dyDescent="0.45">
      <c r="A2" s="256" t="s">
        <v>0</v>
      </c>
      <c r="B2" s="256"/>
      <c r="E2" s="255" t="s">
        <v>0</v>
      </c>
      <c r="F2" s="255"/>
      <c r="H2" s="395" t="s">
        <v>318</v>
      </c>
      <c r="I2" s="396">
        <f>'NmxCVA MTM'!E2</f>
        <v>4932.0460445935796</v>
      </c>
    </row>
    <row r="3" spans="1:9" x14ac:dyDescent="0.45">
      <c r="A3" s="276" t="s">
        <v>174</v>
      </c>
      <c r="B3" s="278">
        <f>B14-B15</f>
        <v>226.5703</v>
      </c>
      <c r="E3" s="263" t="s">
        <v>174</v>
      </c>
      <c r="F3" s="268">
        <f>F14-F15</f>
        <v>226.59105714208309</v>
      </c>
      <c r="H3" s="395" t="s">
        <v>322</v>
      </c>
      <c r="I3" s="396">
        <f>'NmxCVA MTM'!F2</f>
        <v>4839.2326139454699</v>
      </c>
    </row>
    <row r="4" spans="1:9" x14ac:dyDescent="0.45">
      <c r="A4" s="258" t="s">
        <v>314</v>
      </c>
      <c r="B4" s="274">
        <v>200</v>
      </c>
      <c r="E4" s="264" t="s">
        <v>314</v>
      </c>
      <c r="F4" s="264">
        <v>200</v>
      </c>
    </row>
    <row r="5" spans="1:9" x14ac:dyDescent="0.45">
      <c r="A5" s="259" t="s">
        <v>319</v>
      </c>
      <c r="B5" s="275">
        <v>271.06557207575901</v>
      </c>
      <c r="E5" s="262" t="s">
        <v>313</v>
      </c>
      <c r="F5" s="269">
        <v>5.1796223314661598E-2</v>
      </c>
    </row>
    <row r="6" spans="1:9" x14ac:dyDescent="0.45">
      <c r="A6" s="259" t="s">
        <v>4</v>
      </c>
      <c r="B6" s="274">
        <v>5.6790495997339999E-2</v>
      </c>
      <c r="E6" s="262" t="s">
        <v>243</v>
      </c>
      <c r="F6" s="266">
        <f>'Dig composite 236058512'!N12</f>
        <v>5.9042319603999999E-2</v>
      </c>
    </row>
    <row r="7" spans="1:9" x14ac:dyDescent="0.45">
      <c r="A7" s="259" t="s">
        <v>5</v>
      </c>
      <c r="B7" s="275">
        <f>(DATE(2023,1,17)-DATE(2020,1,17))/365</f>
        <v>3.0027397260273974</v>
      </c>
      <c r="E7" s="262" t="s">
        <v>5</v>
      </c>
      <c r="F7" s="267">
        <v>3</v>
      </c>
    </row>
    <row r="8" spans="1:9" x14ac:dyDescent="0.45">
      <c r="A8" s="277" t="s">
        <v>161</v>
      </c>
      <c r="B8" s="279">
        <v>5000</v>
      </c>
      <c r="E8" s="265" t="s">
        <v>161</v>
      </c>
      <c r="F8" s="265">
        <v>5000</v>
      </c>
    </row>
    <row r="9" spans="1:9" x14ac:dyDescent="0.45">
      <c r="A9" s="270" t="s">
        <v>7</v>
      </c>
      <c r="B9" s="257"/>
      <c r="C9" s="140" t="s">
        <v>320</v>
      </c>
      <c r="E9" s="261" t="s">
        <v>7</v>
      </c>
      <c r="F9" s="255"/>
      <c r="G9" t="s">
        <v>321</v>
      </c>
    </row>
    <row r="10" spans="1:9" x14ac:dyDescent="0.45">
      <c r="A10" s="260" t="s">
        <v>315</v>
      </c>
      <c r="B10" s="287">
        <f>(B5-B4)*EXP(-B6*B7)*B8</f>
        <v>299619.64948876866</v>
      </c>
      <c r="E10" s="260" t="s">
        <v>315</v>
      </c>
      <c r="F10" s="287">
        <f>(F3*EXP(F6*F7)-F4)*EXP(-F5*F7)*F8</f>
        <v>301771.0567881774</v>
      </c>
    </row>
    <row r="11" spans="1:9" s="140" customFormat="1" x14ac:dyDescent="0.45">
      <c r="A11" s="271" t="s">
        <v>214</v>
      </c>
      <c r="B11" s="288">
        <f>B10/B13</f>
        <v>4873.1518407509084</v>
      </c>
      <c r="C11" s="280">
        <f>1-B11/F11</f>
        <v>7.1292698587686054E-3</v>
      </c>
      <c r="E11" s="271" t="s">
        <v>214</v>
      </c>
      <c r="F11" s="288">
        <f>F10/F13</f>
        <v>4908.1433189774107</v>
      </c>
      <c r="G11" s="280">
        <f>1-I3/F11</f>
        <v>1.4040075962227228E-2</v>
      </c>
    </row>
    <row r="13" spans="1:9" x14ac:dyDescent="0.45">
      <c r="A13" s="38" t="s">
        <v>15</v>
      </c>
      <c r="B13" s="125">
        <v>61.483750000000001</v>
      </c>
      <c r="E13" s="38" t="s">
        <v>15</v>
      </c>
      <c r="F13" s="272">
        <v>61.483750000000001</v>
      </c>
    </row>
    <row r="14" spans="1:9" x14ac:dyDescent="0.45">
      <c r="A14" s="37" t="s">
        <v>83</v>
      </c>
      <c r="B14" s="8">
        <v>255.80500000000001</v>
      </c>
      <c r="E14" s="37" t="s">
        <v>83</v>
      </c>
      <c r="F14" s="248">
        <v>255.80500000000001</v>
      </c>
    </row>
    <row r="15" spans="1:9" x14ac:dyDescent="0.45">
      <c r="A15" s="37" t="s">
        <v>84</v>
      </c>
      <c r="B15" s="52">
        <v>29.2347</v>
      </c>
      <c r="E15" s="37" t="s">
        <v>84</v>
      </c>
      <c r="F15" s="248">
        <v>29.213942857916912</v>
      </c>
    </row>
    <row r="16" spans="1:9" x14ac:dyDescent="0.45">
      <c r="A16" s="37"/>
      <c r="B16" s="246"/>
      <c r="F16"/>
    </row>
    <row r="18" spans="1:2" x14ac:dyDescent="0.45">
      <c r="A18" s="8"/>
    </row>
    <row r="19" spans="1:2" x14ac:dyDescent="0.45">
      <c r="A19" s="281"/>
      <c r="B19" s="281"/>
    </row>
    <row r="20" spans="1:2" x14ac:dyDescent="0.45">
      <c r="A20" s="282"/>
    </row>
    <row r="21" spans="1:2" x14ac:dyDescent="0.45">
      <c r="B21" s="28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17</vt:i4>
      </vt:variant>
    </vt:vector>
  </HeadingPairs>
  <TitlesOfParts>
    <vt:vector size="17" baseType="lpstr">
      <vt:lpstr>NxCVA Input 236058564</vt:lpstr>
      <vt:lpstr>NmxCVA MTM</vt:lpstr>
      <vt:lpstr>NxCVA Input 236058559</vt:lpstr>
      <vt:lpstr>Greeks MX</vt:lpstr>
      <vt:lpstr>NxCVA Greeks</vt:lpstr>
      <vt:lpstr>Vanilla call 236058559</vt:lpstr>
      <vt:lpstr>Vanilla put 236058565</vt:lpstr>
      <vt:lpstr>Dig call 236058505</vt:lpstr>
      <vt:lpstr>Dig put 236058508</vt:lpstr>
      <vt:lpstr>Summary</vt:lpstr>
      <vt:lpstr>Summary_Corr</vt:lpstr>
      <vt:lpstr>Van quanto 236058581</vt:lpstr>
      <vt:lpstr>Mx vs Nx Preview 1.30.1</vt:lpstr>
      <vt:lpstr>Van composite 236058569</vt:lpstr>
      <vt:lpstr>Dig quanto 236058511</vt:lpstr>
      <vt:lpstr>Dig composite 236058512</vt:lpstr>
      <vt:lpstr>Forward 236058502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2021-02-11T06:59:03Z</dcterms:modified>
</cp:coreProperties>
</file>