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as/Documents/me/Security/Cisco/Cyber Ops/cvss3/Repo/CVSS3/"/>
    </mc:Choice>
  </mc:AlternateContent>
  <xr:revisionPtr revIDLastSave="0" documentId="13_ncr:1_{36E84DCE-CB45-1F41-84A4-795B7F65E29B}" xr6:coauthVersionLast="40" xr6:coauthVersionMax="40" xr10:uidLastSave="{00000000-0000-0000-0000-000000000000}"/>
  <bookViews>
    <workbookView xWindow="0" yWindow="460" windowWidth="28800" windowHeight="17540" activeTab="1" xr2:uid="{3658FFD9-D0EC-4E49-BDBD-4DF762C96828}"/>
  </bookViews>
  <sheets>
    <sheet name="About" sheetId="3" r:id="rId1"/>
    <sheet name="Row Data" sheetId="1" r:id="rId2"/>
    <sheet name="Meta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4" i="1" l="1"/>
  <c r="AA33" i="1"/>
  <c r="AV4" i="1"/>
  <c r="AU4" i="1"/>
  <c r="AT4" i="1"/>
  <c r="AR4" i="1"/>
  <c r="AQ4" i="1"/>
  <c r="AP4" i="1"/>
  <c r="AM4" i="1"/>
  <c r="AO4" i="1"/>
  <c r="AL4" i="1"/>
  <c r="AN4" i="1"/>
  <c r="AK4" i="1"/>
  <c r="X4" i="1"/>
  <c r="Z4" i="1" s="1"/>
  <c r="AB4" i="1"/>
  <c r="G12" i="2"/>
  <c r="AF4" i="1" l="1"/>
  <c r="AH4" i="1" s="1"/>
  <c r="AE4" i="1"/>
  <c r="Y4" i="1"/>
  <c r="AA4" i="1" s="1"/>
  <c r="AC4" i="1" s="1"/>
  <c r="AD4" i="1" s="1"/>
  <c r="AG4" i="1" l="1"/>
  <c r="AI4" i="1" s="1"/>
  <c r="AW4" i="1" s="1"/>
  <c r="AX4" i="1" l="1"/>
  <c r="AY4" i="1" s="1"/>
  <c r="A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Feras Darwich</author>
  </authors>
  <commentList>
    <comment ref="C40" authorId="0" shapeId="0" xr:uid="{448507D3-F71F-304C-9C63-5B79E6E397BD}">
      <text>
        <r>
          <rPr>
            <b/>
            <sz val="10"/>
            <color rgb="FF000000"/>
            <rFont val="Tahoma"/>
            <family val="2"/>
          </rPr>
          <t>Feras Darweesh: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Excel Vlookup shift</t>
        </r>
      </text>
    </comment>
  </commentList>
</comments>
</file>

<file path=xl/sharedStrings.xml><?xml version="1.0" encoding="utf-8"?>
<sst xmlns="http://schemas.openxmlformats.org/spreadsheetml/2006/main" count="150" uniqueCount="100">
  <si>
    <t>Attack Vector (AV)</t>
  </si>
  <si>
    <t>Attack Complexity (AC)</t>
  </si>
  <si>
    <t>Privileges Required (PR)</t>
  </si>
  <si>
    <t>User Interaction (UI)</t>
  </si>
  <si>
    <t>Scope (S)</t>
  </si>
  <si>
    <t>Exploitability Metrics</t>
  </si>
  <si>
    <t>Confidentiality Impact ©</t>
  </si>
  <si>
    <t>Integrity Impact (I)</t>
  </si>
  <si>
    <t>Availability Impact (A)</t>
  </si>
  <si>
    <t>Impact Metrics</t>
  </si>
  <si>
    <t>Remediation Level (RL)</t>
  </si>
  <si>
    <t>Report Confidence (RC)</t>
  </si>
  <si>
    <t>Temporal Score Metrics</t>
  </si>
  <si>
    <t>Base Score Metrics</t>
  </si>
  <si>
    <t>Exploitability(E)</t>
  </si>
  <si>
    <t>Base Modifiers</t>
  </si>
  <si>
    <t>Confidentiality Requirement (CR)</t>
  </si>
  <si>
    <t>Integrity Requirement (IR)</t>
  </si>
  <si>
    <t>Availability Requirement (AR)</t>
  </si>
  <si>
    <t>Impact Subscore Modifiers</t>
  </si>
  <si>
    <t>Environmental Score Metrics</t>
  </si>
  <si>
    <t xml:space="preserve">                        partial:          0.275</t>
  </si>
  <si>
    <t xml:space="preserve">                        complete:         0.660</t>
  </si>
  <si>
    <t>ConfImpact</t>
  </si>
  <si>
    <t>Partial(P)</t>
  </si>
  <si>
    <t>Complete(C)</t>
  </si>
  <si>
    <t>None(N)</t>
  </si>
  <si>
    <t>Attack Vector / Modified Attack Vector</t>
  </si>
  <si>
    <t>Attack Complexity / Modified Attack Complexity</t>
  </si>
  <si>
    <t>Privilege Required / Modified Privilege Required</t>
  </si>
  <si>
    <t>User Interaction / Modified User Interaction</t>
  </si>
  <si>
    <t>C,I,A Impact / Modified C,I,A Impact</t>
  </si>
  <si>
    <t>Exploit Code Maturity</t>
  </si>
  <si>
    <t>Remediation Level</t>
  </si>
  <si>
    <t>Report Confidence</t>
  </si>
  <si>
    <t>Security Requirements – C,I,A Requirements</t>
  </si>
  <si>
    <t>Network (N)</t>
  </si>
  <si>
    <t>Adjacent (A)</t>
  </si>
  <si>
    <t>Local (L)</t>
  </si>
  <si>
    <t>Physical (P)</t>
  </si>
  <si>
    <t>High (H)</t>
  </si>
  <si>
    <t>Low (L)</t>
  </si>
  <si>
    <t>None (N)</t>
  </si>
  <si>
    <t>Required (R)</t>
  </si>
  <si>
    <t>Not Defined (X)</t>
  </si>
  <si>
    <t>Functional (F)</t>
  </si>
  <si>
    <t>Proof Of Concept (P)</t>
  </si>
  <si>
    <t>Unproven (U)</t>
  </si>
  <si>
    <t>Unavailable (U)</t>
  </si>
  <si>
    <t>Workaround (W)</t>
  </si>
  <si>
    <t>Temporary Fix (T)</t>
  </si>
  <si>
    <t>Official Fix (O)</t>
  </si>
  <si>
    <t>Confirmed ( C )</t>
  </si>
  <si>
    <t>Reasonable ( R )</t>
  </si>
  <si>
    <t>Unknown (U)</t>
  </si>
  <si>
    <t>Medium (M)</t>
  </si>
  <si>
    <t>Exploitability</t>
  </si>
  <si>
    <t>SCOPE</t>
  </si>
  <si>
    <t>Unchanged (U)</t>
  </si>
  <si>
    <t>Changed (C)</t>
  </si>
  <si>
    <r>
      <t>ISC</t>
    </r>
    <r>
      <rPr>
        <vertAlign val="subscript"/>
        <sz val="12"/>
        <color rgb="FF111111"/>
        <rFont val="Courier New"/>
        <family val="1"/>
      </rPr>
      <t>Base</t>
    </r>
  </si>
  <si>
    <t>ISC Unchanged</t>
  </si>
  <si>
    <t>ISC Changed</t>
  </si>
  <si>
    <t>Impact</t>
  </si>
  <si>
    <t>Base Score</t>
  </si>
  <si>
    <t>Temporal Score</t>
  </si>
  <si>
    <t>MAV</t>
  </si>
  <si>
    <t>Modified Exploitability</t>
  </si>
  <si>
    <t>ISCModified</t>
  </si>
  <si>
    <t>ISC.M.Unchanged</t>
  </si>
  <si>
    <t>ISC.M.Changed</t>
  </si>
  <si>
    <t>Environment Score</t>
  </si>
  <si>
    <t>M.IMPACT</t>
  </si>
  <si>
    <t>CR</t>
  </si>
  <si>
    <t>MCI</t>
  </si>
  <si>
    <t>MII</t>
  </si>
  <si>
    <t>IR</t>
  </si>
  <si>
    <t>MAI</t>
  </si>
  <si>
    <t>AR</t>
  </si>
  <si>
    <t>MAC</t>
  </si>
  <si>
    <t>MPR</t>
  </si>
  <si>
    <t>MUI</t>
  </si>
  <si>
    <t>MSCP</t>
  </si>
  <si>
    <t>considered as (N)</t>
  </si>
  <si>
    <t>Tempo Product</t>
  </si>
  <si>
    <t>Metric Value</t>
  </si>
  <si>
    <t>Numeric Value</t>
  </si>
  <si>
    <t>Changed env sub</t>
  </si>
  <si>
    <t>EnvirScore</t>
  </si>
  <si>
    <t>Uhanged env sub</t>
  </si>
  <si>
    <t>This work came in response to linked discussion https://www.linkedin.com/feed/update/urn:li:activity:6491297181025259520/</t>
  </si>
  <si>
    <t>Version number</t>
  </si>
  <si>
    <t>Author</t>
  </si>
  <si>
    <t>Description</t>
  </si>
  <si>
    <t>Date</t>
  </si>
  <si>
    <t>18-01-2019</t>
  </si>
  <si>
    <t>Feras Darweesh</t>
  </si>
  <si>
    <t>First Document</t>
  </si>
  <si>
    <t>Contact</t>
  </si>
  <si>
    <t>cyber@feras.me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</si>
</sst>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333333"/>
      <name val="Source Sans Pro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5"/>
      <color rgb="FF111111"/>
      <name val="Open Sans"/>
      <family val="2"/>
    </font>
    <font>
      <sz val="15"/>
      <color rgb="FF111111"/>
      <name val="Arial"/>
      <family val="2"/>
    </font>
    <font>
      <sz val="12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vertAlign val="subscript"/>
      <sz val="12"/>
      <color rgb="FF111111"/>
      <name val="Courier New"/>
      <family val="1"/>
    </font>
    <font>
      <b/>
      <sz val="14"/>
      <color rgb="FF333333"/>
      <name val="Source Sans Pro"/>
    </font>
    <font>
      <b/>
      <sz val="16"/>
      <color theme="0"/>
      <name val="Calibri"/>
      <family val="2"/>
      <scheme val="minor"/>
    </font>
    <font>
      <b/>
      <sz val="16"/>
      <color theme="0"/>
      <name val="Arial"/>
      <family val="2"/>
    </font>
    <font>
      <u/>
      <sz val="12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0" xfId="0" applyFont="1" applyFill="1" applyAlignment="1">
      <alignment vertical="top" textRotation="180"/>
    </xf>
    <xf numFmtId="0" fontId="2" fillId="3" borderId="0" xfId="0" applyFont="1" applyFill="1" applyAlignment="1">
      <alignment vertical="top" textRotation="180"/>
    </xf>
    <xf numFmtId="0" fontId="2" fillId="7" borderId="0" xfId="0" applyFont="1" applyFill="1" applyAlignment="1">
      <alignment vertical="top" textRotation="180"/>
    </xf>
    <xf numFmtId="0" fontId="2" fillId="8" borderId="0" xfId="0" applyFont="1" applyFill="1" applyAlignment="1">
      <alignment vertical="top" textRotation="180"/>
    </xf>
    <xf numFmtId="0" fontId="2" fillId="9" borderId="0" xfId="0" applyFont="1" applyFill="1" applyAlignment="1">
      <alignment vertical="top" textRotation="180"/>
    </xf>
    <xf numFmtId="0" fontId="2" fillId="12" borderId="0" xfId="0" applyFont="1" applyFill="1" applyAlignment="1">
      <alignment vertical="top" textRotation="180"/>
    </xf>
    <xf numFmtId="0" fontId="5" fillId="0" borderId="0" xfId="0" applyFont="1"/>
    <xf numFmtId="0" fontId="6" fillId="12" borderId="0" xfId="0" applyFont="1" applyFill="1"/>
    <xf numFmtId="0" fontId="0" fillId="12" borderId="0" xfId="0" applyFill="1"/>
    <xf numFmtId="0" fontId="0" fillId="7" borderId="0" xfId="0" applyFill="1"/>
    <xf numFmtId="0" fontId="0" fillId="14" borderId="0" xfId="0" applyFill="1"/>
    <xf numFmtId="0" fontId="0" fillId="2" borderId="0" xfId="0" applyFill="1"/>
    <xf numFmtId="0" fontId="0" fillId="15" borderId="0" xfId="0" applyFill="1"/>
    <xf numFmtId="0" fontId="0" fillId="16" borderId="0" xfId="0" applyFill="1"/>
    <xf numFmtId="0" fontId="0" fillId="3" borderId="0" xfId="0" applyFill="1"/>
    <xf numFmtId="0" fontId="0" fillId="13" borderId="0" xfId="0" applyFill="1"/>
    <xf numFmtId="2" fontId="7" fillId="2" borderId="0" xfId="0" applyNumberFormat="1" applyFont="1" applyFill="1" applyAlignment="1">
      <alignment horizontal="center"/>
    </xf>
    <xf numFmtId="2" fontId="7" fillId="12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7" fillId="14" borderId="0" xfId="0" applyNumberFormat="1" applyFont="1" applyFill="1" applyAlignment="1">
      <alignment horizontal="center"/>
    </xf>
    <xf numFmtId="2" fontId="7" fillId="15" borderId="0" xfId="0" applyNumberFormat="1" applyFont="1" applyFill="1" applyAlignment="1">
      <alignment horizontal="center"/>
    </xf>
    <xf numFmtId="2" fontId="7" fillId="16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7" fillId="13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12" fillId="12" borderId="0" xfId="0" applyFont="1" applyFill="1" applyAlignment="1">
      <alignment horizontal="center" vertical="center" textRotation="180"/>
    </xf>
    <xf numFmtId="0" fontId="6" fillId="7" borderId="0" xfId="0" applyFont="1" applyFill="1"/>
    <xf numFmtId="0" fontId="6" fillId="14" borderId="0" xfId="0" applyFont="1" applyFill="1"/>
    <xf numFmtId="0" fontId="6" fillId="2" borderId="0" xfId="0" applyFont="1" applyFill="1"/>
    <xf numFmtId="0" fontId="6" fillId="9" borderId="0" xfId="0" applyFont="1" applyFill="1"/>
    <xf numFmtId="0" fontId="0" fillId="9" borderId="0" xfId="0" applyFill="1"/>
    <xf numFmtId="2" fontId="7" fillId="9" borderId="0" xfId="0" applyNumberFormat="1" applyFont="1" applyFill="1" applyAlignment="1">
      <alignment horizontal="center"/>
    </xf>
    <xf numFmtId="0" fontId="12" fillId="17" borderId="0" xfId="0" applyFont="1" applyFill="1" applyAlignment="1">
      <alignment horizontal="center" vertical="center" textRotation="180"/>
    </xf>
    <xf numFmtId="0" fontId="12" fillId="18" borderId="0" xfId="0" applyFont="1" applyFill="1" applyAlignment="1">
      <alignment horizontal="center" vertical="center" textRotation="180"/>
    </xf>
    <xf numFmtId="0" fontId="2" fillId="18" borderId="0" xfId="0" applyFont="1" applyFill="1" applyAlignment="1">
      <alignment vertical="top" textRotation="180"/>
    </xf>
    <xf numFmtId="2" fontId="14" fillId="19" borderId="0" xfId="0" applyNumberFormat="1" applyFont="1" applyFill="1" applyAlignment="1">
      <alignment horizontal="center" vertical="center"/>
    </xf>
    <xf numFmtId="0" fontId="13" fillId="19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5" fillId="0" borderId="0" xfId="1" applyBorder="1"/>
    <xf numFmtId="0" fontId="4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3" borderId="0" xfId="0" applyFont="1" applyFill="1"/>
    <xf numFmtId="0" fontId="6" fillId="13" borderId="0" xfId="0" applyFont="1" applyFill="1"/>
    <xf numFmtId="0" fontId="6" fillId="14" borderId="0" xfId="0" applyFont="1" applyFill="1"/>
    <xf numFmtId="0" fontId="6" fillId="9" borderId="0" xfId="0" applyFont="1" applyFill="1"/>
    <xf numFmtId="0" fontId="6" fillId="12" borderId="0" xfId="0" applyFont="1" applyFill="1"/>
    <xf numFmtId="0" fontId="6" fillId="7" borderId="0" xfId="0" applyFont="1" applyFill="1"/>
    <xf numFmtId="0" fontId="6" fillId="2" borderId="0" xfId="0" applyFont="1" applyFill="1"/>
    <xf numFmtId="0" fontId="6" fillId="15" borderId="0" xfId="0" applyFont="1" applyFill="1"/>
    <xf numFmtId="0" fontId="6" fillId="1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yber@feras.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18E2-6306-3240-BB51-3B1822C1AECB}">
  <dimension ref="B10:J13"/>
  <sheetViews>
    <sheetView showGridLines="0" workbookViewId="0">
      <selection activeCell="G22" sqref="G22"/>
    </sheetView>
  </sheetViews>
  <sheetFormatPr baseColWidth="10" defaultRowHeight="16" x14ac:dyDescent="0.2"/>
  <cols>
    <col min="1" max="16384" width="10.83203125" style="38"/>
  </cols>
  <sheetData>
    <row r="10" spans="2:10" x14ac:dyDescent="0.2">
      <c r="B10" s="38" t="s">
        <v>90</v>
      </c>
    </row>
    <row r="12" spans="2:10" x14ac:dyDescent="0.2">
      <c r="B12" s="39" t="s">
        <v>91</v>
      </c>
      <c r="C12" s="40"/>
      <c r="D12" s="40" t="s">
        <v>92</v>
      </c>
      <c r="E12" s="40"/>
      <c r="F12" s="40" t="s">
        <v>93</v>
      </c>
      <c r="G12" s="40"/>
      <c r="H12" s="40" t="s">
        <v>98</v>
      </c>
      <c r="I12" s="40"/>
      <c r="J12" s="41" t="s">
        <v>94</v>
      </c>
    </row>
    <row r="13" spans="2:10" x14ac:dyDescent="0.2">
      <c r="B13" s="38">
        <v>0.1</v>
      </c>
      <c r="D13" s="38" t="s">
        <v>96</v>
      </c>
      <c r="F13" s="38" t="s">
        <v>97</v>
      </c>
      <c r="H13" s="42" t="s">
        <v>99</v>
      </c>
      <c r="J13" s="38" t="s">
        <v>95</v>
      </c>
    </row>
  </sheetData>
  <hyperlinks>
    <hyperlink ref="H13" r:id="rId1" xr:uid="{61936833-CC7D-B74D-9025-6808B78BAF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216C-1F7A-6946-96CC-CA08D2C3652E}">
  <dimension ref="A1:AY33"/>
  <sheetViews>
    <sheetView tabSelected="1" topLeftCell="P1" workbookViewId="0">
      <selection activeCell="AK1" activeCellId="1" sqref="AY1:AY1048576 AK1:AX1048576"/>
    </sheetView>
  </sheetViews>
  <sheetFormatPr baseColWidth="10" defaultRowHeight="16" x14ac:dyDescent="0.2"/>
  <cols>
    <col min="1" max="1" width="15" customWidth="1"/>
    <col min="2" max="2" width="8.6640625" customWidth="1"/>
    <col min="3" max="3" width="9.1640625" customWidth="1"/>
    <col min="4" max="4" width="5.5" customWidth="1"/>
    <col min="5" max="5" width="16.33203125" customWidth="1"/>
    <col min="6" max="8" width="15.1640625" bestFit="1" customWidth="1"/>
    <col min="9" max="9" width="7.83203125" customWidth="1"/>
    <col min="10" max="11" width="10.6640625" customWidth="1"/>
    <col min="12" max="12" width="10.33203125" customWidth="1"/>
    <col min="13" max="13" width="14.1640625" customWidth="1"/>
    <col min="14" max="14" width="8" customWidth="1"/>
    <col min="15" max="15" width="9.1640625" customWidth="1"/>
    <col min="16" max="16" width="10.5" customWidth="1"/>
    <col min="17" max="18" width="6.5" customWidth="1"/>
    <col min="19" max="19" width="7.5" customWidth="1"/>
    <col min="24" max="24" width="6.83203125" customWidth="1"/>
    <col min="25" max="25" width="6.6640625" customWidth="1"/>
    <col min="26" max="27" width="6.5" customWidth="1"/>
    <col min="37" max="51" width="0" hidden="1" customWidth="1"/>
  </cols>
  <sheetData>
    <row r="1" spans="1:51" ht="24" x14ac:dyDescent="0.3">
      <c r="A1" s="49" t="s">
        <v>13</v>
      </c>
      <c r="B1" s="49"/>
      <c r="C1" s="49"/>
      <c r="D1" s="49"/>
      <c r="E1" s="49"/>
      <c r="F1" s="49"/>
      <c r="G1" s="49"/>
      <c r="H1" s="49"/>
      <c r="I1" s="48" t="s">
        <v>12</v>
      </c>
      <c r="J1" s="48"/>
      <c r="K1" s="48"/>
      <c r="L1" s="44" t="s">
        <v>20</v>
      </c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51" ht="21" x14ac:dyDescent="0.25">
      <c r="A2" s="45" t="s">
        <v>5</v>
      </c>
      <c r="B2" s="45"/>
      <c r="C2" s="45"/>
      <c r="D2" s="45"/>
      <c r="E2" s="45"/>
      <c r="F2" s="45" t="s">
        <v>9</v>
      </c>
      <c r="G2" s="46"/>
      <c r="H2" s="46"/>
      <c r="I2" s="47"/>
      <c r="J2" s="47"/>
      <c r="K2" s="47"/>
      <c r="L2" s="43" t="s">
        <v>15</v>
      </c>
      <c r="M2" s="43"/>
      <c r="N2" s="43"/>
      <c r="O2" s="43"/>
      <c r="P2" s="43"/>
      <c r="Q2" s="43" t="s">
        <v>9</v>
      </c>
      <c r="R2" s="43"/>
      <c r="S2" s="43"/>
      <c r="T2" s="43" t="s">
        <v>19</v>
      </c>
      <c r="U2" s="43"/>
      <c r="V2" s="43"/>
    </row>
    <row r="3" spans="1:51" ht="207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6</v>
      </c>
      <c r="G3" s="2" t="s">
        <v>7</v>
      </c>
      <c r="H3" s="2" t="s">
        <v>8</v>
      </c>
      <c r="I3" s="3" t="s">
        <v>14</v>
      </c>
      <c r="J3" s="3" t="s">
        <v>10</v>
      </c>
      <c r="K3" s="3" t="s">
        <v>11</v>
      </c>
      <c r="L3" s="4" t="s">
        <v>0</v>
      </c>
      <c r="M3" s="4" t="s">
        <v>1</v>
      </c>
      <c r="N3" s="4" t="s">
        <v>2</v>
      </c>
      <c r="O3" s="4" t="s">
        <v>3</v>
      </c>
      <c r="P3" s="4" t="s">
        <v>4</v>
      </c>
      <c r="Q3" s="5" t="s">
        <v>6</v>
      </c>
      <c r="R3" s="5" t="s">
        <v>7</v>
      </c>
      <c r="S3" s="5" t="s">
        <v>8</v>
      </c>
      <c r="T3" s="6" t="s">
        <v>16</v>
      </c>
      <c r="U3" s="6" t="s">
        <v>17</v>
      </c>
      <c r="V3" s="6" t="s">
        <v>18</v>
      </c>
      <c r="X3" s="35" t="s">
        <v>60</v>
      </c>
      <c r="Y3" s="35" t="s">
        <v>61</v>
      </c>
      <c r="Z3" s="35" t="s">
        <v>62</v>
      </c>
      <c r="AA3" s="6" t="s">
        <v>63</v>
      </c>
      <c r="AB3" s="6" t="s">
        <v>56</v>
      </c>
      <c r="AC3" s="33" t="s">
        <v>64</v>
      </c>
      <c r="AD3" s="33" t="s">
        <v>65</v>
      </c>
      <c r="AE3" s="26" t="s">
        <v>67</v>
      </c>
      <c r="AF3" s="34" t="s">
        <v>68</v>
      </c>
      <c r="AG3" s="34" t="s">
        <v>69</v>
      </c>
      <c r="AH3" s="34" t="s">
        <v>70</v>
      </c>
      <c r="AI3" s="26" t="s">
        <v>72</v>
      </c>
      <c r="AJ3" s="33" t="s">
        <v>71</v>
      </c>
      <c r="AK3" t="s">
        <v>74</v>
      </c>
      <c r="AL3" t="s">
        <v>75</v>
      </c>
      <c r="AM3" t="s">
        <v>77</v>
      </c>
      <c r="AN3" t="s">
        <v>73</v>
      </c>
      <c r="AO3" t="s">
        <v>76</v>
      </c>
      <c r="AP3" t="s">
        <v>78</v>
      </c>
      <c r="AQ3" t="s">
        <v>66</v>
      </c>
      <c r="AR3" t="s">
        <v>79</v>
      </c>
      <c r="AS3" t="s">
        <v>80</v>
      </c>
      <c r="AT3" t="s">
        <v>81</v>
      </c>
      <c r="AU3" t="s">
        <v>82</v>
      </c>
      <c r="AV3" t="s">
        <v>84</v>
      </c>
      <c r="AW3" t="s">
        <v>89</v>
      </c>
      <c r="AX3" t="s">
        <v>87</v>
      </c>
      <c r="AY3" t="s">
        <v>88</v>
      </c>
    </row>
    <row r="4" spans="1:51" x14ac:dyDescent="0.2">
      <c r="A4" t="s">
        <v>39</v>
      </c>
      <c r="B4" t="s">
        <v>40</v>
      </c>
      <c r="C4" t="s">
        <v>40</v>
      </c>
      <c r="D4" t="s">
        <v>43</v>
      </c>
      <c r="E4" t="s">
        <v>59</v>
      </c>
      <c r="F4" t="s">
        <v>40</v>
      </c>
      <c r="G4" t="s">
        <v>40</v>
      </c>
      <c r="H4" t="s">
        <v>40</v>
      </c>
      <c r="I4" t="s">
        <v>40</v>
      </c>
      <c r="J4" t="s">
        <v>48</v>
      </c>
      <c r="K4" t="s">
        <v>52</v>
      </c>
      <c r="L4" t="s">
        <v>39</v>
      </c>
      <c r="M4" t="s">
        <v>40</v>
      </c>
      <c r="N4" t="s">
        <v>40</v>
      </c>
      <c r="O4" t="s">
        <v>43</v>
      </c>
      <c r="P4" t="s">
        <v>58</v>
      </c>
      <c r="Q4" t="s">
        <v>41</v>
      </c>
      <c r="R4" t="s">
        <v>42</v>
      </c>
      <c r="S4" t="s">
        <v>41</v>
      </c>
      <c r="T4" t="s">
        <v>40</v>
      </c>
      <c r="U4" t="s">
        <v>40</v>
      </c>
      <c r="V4" t="s">
        <v>55</v>
      </c>
      <c r="X4">
        <f>1-(1-VLOOKUP(F4,'Meta Data'!B18:C20,2,FALSE))*(1-VLOOKUP(G4,'Meta Data'!B18:C20,2,FALSE))*(1-VLOOKUP(H4,'Meta Data'!B18:C20,2,FALSE))</f>
        <v>0.91481600000000007</v>
      </c>
      <c r="Y4">
        <f>6.42*X4</f>
        <v>5.8731187200000008</v>
      </c>
      <c r="Z4">
        <f>7.52 * (X4 - 0.029) - 3.25 * POWER(X4-0.02,15)</f>
        <v>6.0477304915445185</v>
      </c>
      <c r="AA4">
        <f>IF(E4='Meta Data'!B40,Y4,Z4)</f>
        <v>6.0477304915445185</v>
      </c>
      <c r="AB4">
        <f xml:space="preserve"> 8.22*VLOOKUP(A4,'Meta Data'!B3:C6,2,FALSE) *  VLOOKUP(B4,'Meta Data'!B8:C9,2,FALSE) * VLOOKUP('Row Data'!C4,'Meta Data'!B11:D13,VLOOKUP(E4,'Meta Data'!B40:C41,2,FALSE),FALSE) * VLOOKUP(D4,'Meta Data'!B15:C16,2,FALSE)</f>
        <v>0.22424160000000004</v>
      </c>
      <c r="AC4">
        <f xml:space="preserve"> ROUNDUP(MIN( VLOOKUP(E4,'Meta Data'!B40:D41,3,FALSE)*(AA4 +AB4), 10),1)</f>
        <v>6.8</v>
      </c>
      <c r="AD4">
        <f>ROUNDUP(AC4*VLOOKUP(I4,'Meta Data'!B21:C25,2,FALSE)*VLOOKUP('Row Data'!J4,'Meta Data'!B26:C30,2,FALSE)*VLOOKUP('Row Data'!K4,'Meta Data'!B31:C34,2,FALSE),1)</f>
        <v>6.8</v>
      </c>
      <c r="AE4">
        <f>8.22 * AQ4*AR4*AS4*AT4</f>
        <v>0.12109046400000002</v>
      </c>
      <c r="AF4">
        <f xml:space="preserve"> MIN(1-(1-AK4*AN4)*(1-AL4*AO4)*(1-AM4*AP4),0.915)</f>
        <v>0.47740000000000005</v>
      </c>
      <c r="AG4">
        <f>6.42*AF4</f>
        <v>3.0649080000000004</v>
      </c>
      <c r="AH4">
        <f>7.52 *(AF4 - 0.029) - 3.25 * POWER((AF4 - 0.02),15)</f>
        <v>3.3719419189083637</v>
      </c>
      <c r="AI4">
        <f>IF(IF(P4='Meta Data'!B40,'Row Data'!AG4,'Row Data'!AH4)&lt;=0,0,IF(COUNTIF('Meta Data'!B39:B40,'Row Data'!P4),AG4,AH4))</f>
        <v>3.0649080000000004</v>
      </c>
      <c r="AJ4">
        <f>IF(COUNTIF('Meta Data'!B39:B40,'Row Data'!P4),AW4,AX4)</f>
        <v>3.2</v>
      </c>
      <c r="AK4">
        <f>VLOOKUP(Q4,'Meta Data'!B17:C20,2,FALSE)</f>
        <v>0.22</v>
      </c>
      <c r="AL4">
        <f>VLOOKUP(R4,'Meta Data'!B17:C20,2,FALSE)</f>
        <v>0</v>
      </c>
      <c r="AM4">
        <f>VLOOKUP(S4,'Meta Data'!B17:C20,2,FALSE)</f>
        <v>0.22</v>
      </c>
      <c r="AN4">
        <f>VLOOKUP('Row Data'!T4,'Meta Data'!B35:C38,2,FALSE)</f>
        <v>1.5</v>
      </c>
      <c r="AO4">
        <f>VLOOKUP('Row Data'!U4,'Meta Data'!B35:C38,2,FALSE)</f>
        <v>1.5</v>
      </c>
      <c r="AP4">
        <f>VLOOKUP('Row Data'!V4,'Meta Data'!B35:C38,2,FALSE)</f>
        <v>1</v>
      </c>
      <c r="AQ4">
        <f>VLOOKUP(L4,'Meta Data'!B2:C6,2,FALSE)</f>
        <v>0.2</v>
      </c>
      <c r="AR4">
        <f>VLOOKUP('Row Data'!M4,'Meta Data'!B7:C9,2,FALSE)</f>
        <v>0.44</v>
      </c>
      <c r="AS4">
        <f>VLOOKUP('Row Data'!N4,'Meta Data'!B10:D13,IF(COUNTIF('Meta Data'!B39:B40,'Row Data'!P4),2,3),FALSE)</f>
        <v>0.27</v>
      </c>
      <c r="AT4">
        <f>VLOOKUP('Row Data'!O4,'Meta Data'!B14:C16,2,FALSE)</f>
        <v>0.62</v>
      </c>
      <c r="AU4">
        <f>VLOOKUP(P4,'Meta Data'!B39:E41,4,FALSE)</f>
        <v>0</v>
      </c>
      <c r="AV4">
        <f>VLOOKUP(I4,'Meta Data'!B21:C25,2,FALSE)*VLOOKUP('Row Data'!J4,'Meta Data'!B26:C30,2,FALSE)*VLOOKUP('Row Data'!K4,'Meta Data'!B31:C34,2,FALSE)</f>
        <v>1</v>
      </c>
      <c r="AW4">
        <f>ROUNDUP((AI4+AE4)*AV4,1)</f>
        <v>3.2</v>
      </c>
      <c r="AX4">
        <f>ROUNDUP(1.08 * (AI4+ AE4),1)</f>
        <v>3.5</v>
      </c>
      <c r="AY4">
        <f>ROUNDUP(AX4*AV4,1)</f>
        <v>3.5</v>
      </c>
    </row>
    <row r="33" spans="27:27" x14ac:dyDescent="0.2">
      <c r="AA33">
        <f>COUNTIF('Meta Data'!B39:B40,'Row Data'!P4)</f>
        <v>1</v>
      </c>
    </row>
  </sheetData>
  <dataConsolidate/>
  <mergeCells count="9">
    <mergeCell ref="Q2:S2"/>
    <mergeCell ref="T2:V2"/>
    <mergeCell ref="L1:V1"/>
    <mergeCell ref="A2:E2"/>
    <mergeCell ref="F2:H2"/>
    <mergeCell ref="I2:K2"/>
    <mergeCell ref="I1:K1"/>
    <mergeCell ref="A1:H1"/>
    <mergeCell ref="L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52994E46-EF80-A64B-B9DF-51E775715B1B}">
          <x14:formula1>
            <xm:f>'Meta Data'!$B$3:$B$6</xm:f>
          </x14:formula1>
          <xm:sqref>A4</xm:sqref>
        </x14:dataValidation>
        <x14:dataValidation type="list" allowBlank="1" showInputMessage="1" showErrorMessage="1" xr:uid="{8761BE12-529E-1D49-9FD4-BA7ED1EE1EA0}">
          <x14:formula1>
            <xm:f>'Meta Data'!$B$8:$B$9</xm:f>
          </x14:formula1>
          <xm:sqref>B4</xm:sqref>
        </x14:dataValidation>
        <x14:dataValidation type="list" allowBlank="1" showInputMessage="1" showErrorMessage="1" xr:uid="{3627F4C6-A65D-0448-ABC4-BB431783F865}">
          <x14:formula1>
            <xm:f>'Meta Data'!$B$11:$B$13</xm:f>
          </x14:formula1>
          <xm:sqref>C4</xm:sqref>
        </x14:dataValidation>
        <x14:dataValidation type="list" allowBlank="1" showInputMessage="1" showErrorMessage="1" xr:uid="{F4693EEB-4B4C-EC43-ABCE-F2799D7858A6}">
          <x14:formula1>
            <xm:f>'Meta Data'!$B$15:$B$16</xm:f>
          </x14:formula1>
          <xm:sqref>D4</xm:sqref>
        </x14:dataValidation>
        <x14:dataValidation type="list" allowBlank="1" showInputMessage="1" showErrorMessage="1" xr:uid="{D314F5FD-E5B1-8049-9812-5FA2890DCE39}">
          <x14:formula1>
            <xm:f>'Meta Data'!$B$40:$B$41</xm:f>
          </x14:formula1>
          <xm:sqref>E4</xm:sqref>
        </x14:dataValidation>
        <x14:dataValidation type="list" allowBlank="1" showInputMessage="1" showErrorMessage="1" xr:uid="{CA339EAA-0A71-4740-88D4-3636969C8910}">
          <x14:formula1>
            <xm:f>'Meta Data'!$B$18:$B$20</xm:f>
          </x14:formula1>
          <xm:sqref>F4:H4</xm:sqref>
        </x14:dataValidation>
        <x14:dataValidation type="list" allowBlank="1" showInputMessage="1" showErrorMessage="1" xr:uid="{85064179-A582-9A47-8E4A-5AC19637C3BB}">
          <x14:formula1>
            <xm:f>'Meta Data'!$B$21:$B$25</xm:f>
          </x14:formula1>
          <xm:sqref>I4</xm:sqref>
        </x14:dataValidation>
        <x14:dataValidation type="list" allowBlank="1" showInputMessage="1" showErrorMessage="1" xr:uid="{37C00E8C-D430-D24A-8D8B-0A21470F7915}">
          <x14:formula1>
            <xm:f>'Meta Data'!$B$26:$B$30</xm:f>
          </x14:formula1>
          <xm:sqref>J4</xm:sqref>
        </x14:dataValidation>
        <x14:dataValidation type="list" allowBlank="1" showInputMessage="1" showErrorMessage="1" xr:uid="{6C3E660C-01DF-4241-8557-FCC989AEDEA0}">
          <x14:formula1>
            <xm:f>'Meta Data'!$B$31:$B$34</xm:f>
          </x14:formula1>
          <xm:sqref>K4</xm:sqref>
        </x14:dataValidation>
        <x14:dataValidation type="list" allowBlank="1" showInputMessage="1" showErrorMessage="1" xr:uid="{F4CE4920-1207-FB46-9A66-4F1C12385BDF}">
          <x14:formula1>
            <xm:f>'Meta Data'!$B$2:$B$6</xm:f>
          </x14:formula1>
          <xm:sqref>L4</xm:sqref>
        </x14:dataValidation>
        <x14:dataValidation type="list" allowBlank="1" showInputMessage="1" showErrorMessage="1" xr:uid="{F7D86903-16A0-3049-A417-6DF1E152F452}">
          <x14:formula1>
            <xm:f>'Meta Data'!$B$7:$B$9</xm:f>
          </x14:formula1>
          <xm:sqref>M4</xm:sqref>
        </x14:dataValidation>
        <x14:dataValidation type="list" allowBlank="1" showInputMessage="1" showErrorMessage="1" xr:uid="{6315C638-835B-1844-A42E-F63CCF072F22}">
          <x14:formula1>
            <xm:f>'Meta Data'!$B$10:$B$13</xm:f>
          </x14:formula1>
          <xm:sqref>N4</xm:sqref>
        </x14:dataValidation>
        <x14:dataValidation type="list" allowBlank="1" showInputMessage="1" showErrorMessage="1" xr:uid="{007C7081-BB5C-5045-8378-9BD7A603162B}">
          <x14:formula1>
            <xm:f>'Meta Data'!$B$14:$B$16</xm:f>
          </x14:formula1>
          <xm:sqref>O4</xm:sqref>
        </x14:dataValidation>
        <x14:dataValidation type="list" allowBlank="1" showInputMessage="1" showErrorMessage="1" xr:uid="{AF597AF4-A7E9-CE41-A4D9-DB9A36FD7D13}">
          <x14:formula1>
            <xm:f>'Meta Data'!$B$39:$B$41</xm:f>
          </x14:formula1>
          <xm:sqref>P4</xm:sqref>
        </x14:dataValidation>
        <x14:dataValidation type="list" allowBlank="1" showInputMessage="1" showErrorMessage="1" xr:uid="{F52CFB75-6D1C-D14D-A8C5-8314C9C3589C}">
          <x14:formula1>
            <xm:f>'Meta Data'!$B$17:$B$20</xm:f>
          </x14:formula1>
          <xm:sqref>Q4:S4</xm:sqref>
        </x14:dataValidation>
        <x14:dataValidation type="list" allowBlank="1" showInputMessage="1" showErrorMessage="1" xr:uid="{55AB529F-F73A-1543-8BD3-8DAE88B5B99E}">
          <x14:formula1>
            <xm:f>'Meta Data'!$B$35:$B$38</xm:f>
          </x14:formula1>
          <xm:sqref>T4:V4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9CE9-E77B-154D-A258-B388608B5CB2}">
  <dimension ref="A1:G41"/>
  <sheetViews>
    <sheetView workbookViewId="0">
      <selection activeCell="A57" sqref="A57"/>
    </sheetView>
  </sheetViews>
  <sheetFormatPr baseColWidth="10" defaultRowHeight="16" x14ac:dyDescent="0.2"/>
  <cols>
    <col min="1" max="1" width="68.5" customWidth="1"/>
    <col min="2" max="2" width="30.1640625" customWidth="1"/>
    <col min="3" max="3" width="44.33203125" style="25" customWidth="1"/>
  </cols>
  <sheetData>
    <row r="1" spans="1:7" ht="21" x14ac:dyDescent="0.2">
      <c r="B1" s="37" t="s">
        <v>85</v>
      </c>
      <c r="C1" s="36" t="s">
        <v>86</v>
      </c>
    </row>
    <row r="2" spans="1:7" ht="19" x14ac:dyDescent="0.2">
      <c r="B2" s="9" t="s">
        <v>44</v>
      </c>
      <c r="C2" s="18">
        <v>0.85</v>
      </c>
      <c r="D2" t="s">
        <v>83</v>
      </c>
    </row>
    <row r="3" spans="1:7" ht="19" x14ac:dyDescent="0.2">
      <c r="A3" s="54" t="s">
        <v>27</v>
      </c>
      <c r="B3" s="9" t="s">
        <v>36</v>
      </c>
      <c r="C3" s="18">
        <v>0.85</v>
      </c>
    </row>
    <row r="4" spans="1:7" ht="19" x14ac:dyDescent="0.2">
      <c r="A4" s="54"/>
      <c r="B4" s="9" t="s">
        <v>37</v>
      </c>
      <c r="C4" s="18">
        <v>0.62</v>
      </c>
    </row>
    <row r="5" spans="1:7" ht="20" x14ac:dyDescent="0.25">
      <c r="A5" s="54"/>
      <c r="B5" s="9" t="s">
        <v>38</v>
      </c>
      <c r="C5" s="18">
        <v>0.55000000000000004</v>
      </c>
      <c r="E5" s="7" t="s">
        <v>23</v>
      </c>
    </row>
    <row r="6" spans="1:7" ht="20" x14ac:dyDescent="0.25">
      <c r="A6" s="54"/>
      <c r="B6" s="9" t="s">
        <v>39</v>
      </c>
      <c r="C6" s="18">
        <v>0.2</v>
      </c>
      <c r="E6" t="s">
        <v>26</v>
      </c>
      <c r="F6" s="7"/>
    </row>
    <row r="7" spans="1:7" ht="22" x14ac:dyDescent="0.3">
      <c r="A7" s="8"/>
      <c r="B7" s="10" t="s">
        <v>44</v>
      </c>
      <c r="C7" s="19">
        <v>0.77</v>
      </c>
      <c r="F7" s="7"/>
    </row>
    <row r="8" spans="1:7" ht="20" x14ac:dyDescent="0.25">
      <c r="A8" s="55" t="s">
        <v>28</v>
      </c>
      <c r="B8" s="10" t="s">
        <v>40</v>
      </c>
      <c r="C8" s="19">
        <v>0.44</v>
      </c>
      <c r="D8" s="7" t="s">
        <v>21</v>
      </c>
      <c r="E8" t="s">
        <v>24</v>
      </c>
      <c r="F8" s="7"/>
    </row>
    <row r="9" spans="1:7" ht="20" x14ac:dyDescent="0.25">
      <c r="A9" s="55"/>
      <c r="B9" s="10" t="s">
        <v>41</v>
      </c>
      <c r="C9" s="19">
        <v>0.77</v>
      </c>
      <c r="D9" s="7" t="s">
        <v>22</v>
      </c>
      <c r="E9" t="s">
        <v>25</v>
      </c>
      <c r="F9" s="7"/>
    </row>
    <row r="10" spans="1:7" ht="22" x14ac:dyDescent="0.3">
      <c r="A10" s="27"/>
      <c r="B10" s="11" t="s">
        <v>44</v>
      </c>
      <c r="C10" s="20">
        <v>0.85</v>
      </c>
      <c r="D10" s="7"/>
      <c r="F10" s="7"/>
    </row>
    <row r="11" spans="1:7" ht="19" x14ac:dyDescent="0.2">
      <c r="A11" s="52" t="s">
        <v>29</v>
      </c>
      <c r="B11" s="11" t="s">
        <v>42</v>
      </c>
      <c r="C11" s="20">
        <v>0.85</v>
      </c>
      <c r="D11">
        <v>0.85</v>
      </c>
    </row>
    <row r="12" spans="1:7" ht="19" x14ac:dyDescent="0.2">
      <c r="A12" s="52"/>
      <c r="B12" s="11" t="s">
        <v>41</v>
      </c>
      <c r="C12" s="20">
        <v>0.62</v>
      </c>
      <c r="D12">
        <v>0.68</v>
      </c>
      <c r="G12">
        <f>C8*C9</f>
        <v>0.33879999999999999</v>
      </c>
    </row>
    <row r="13" spans="1:7" ht="19" x14ac:dyDescent="0.2">
      <c r="A13" s="52"/>
      <c r="B13" s="11" t="s">
        <v>40</v>
      </c>
      <c r="C13" s="20">
        <v>0.27</v>
      </c>
      <c r="D13">
        <v>0.5</v>
      </c>
    </row>
    <row r="14" spans="1:7" ht="22" x14ac:dyDescent="0.3">
      <c r="A14" s="28"/>
      <c r="B14" s="12" t="s">
        <v>44</v>
      </c>
      <c r="C14" s="17">
        <v>0.85</v>
      </c>
    </row>
    <row r="15" spans="1:7" ht="19" x14ac:dyDescent="0.2">
      <c r="A15" s="56" t="s">
        <v>30</v>
      </c>
      <c r="B15" s="12" t="s">
        <v>42</v>
      </c>
      <c r="C15" s="17">
        <v>0.85</v>
      </c>
    </row>
    <row r="16" spans="1:7" ht="19" x14ac:dyDescent="0.2">
      <c r="A16" s="56"/>
      <c r="B16" s="12" t="s">
        <v>43</v>
      </c>
      <c r="C16" s="17">
        <v>0.62</v>
      </c>
    </row>
    <row r="17" spans="1:3" ht="22" x14ac:dyDescent="0.3">
      <c r="A17" s="29"/>
      <c r="B17" s="13" t="s">
        <v>44</v>
      </c>
      <c r="C17" s="21">
        <v>0</v>
      </c>
    </row>
    <row r="18" spans="1:3" ht="19" x14ac:dyDescent="0.2">
      <c r="A18" s="57" t="s">
        <v>31</v>
      </c>
      <c r="B18" s="13" t="s">
        <v>40</v>
      </c>
      <c r="C18" s="21">
        <v>0.56000000000000005</v>
      </c>
    </row>
    <row r="19" spans="1:3" ht="19" x14ac:dyDescent="0.2">
      <c r="A19" s="57"/>
      <c r="B19" s="13" t="s">
        <v>41</v>
      </c>
      <c r="C19" s="21">
        <v>0.22</v>
      </c>
    </row>
    <row r="20" spans="1:3" ht="19" x14ac:dyDescent="0.2">
      <c r="A20" s="57"/>
      <c r="B20" s="13" t="s">
        <v>42</v>
      </c>
      <c r="C20" s="21">
        <v>0</v>
      </c>
    </row>
    <row r="21" spans="1:3" ht="19" x14ac:dyDescent="0.2">
      <c r="A21" s="58" t="s">
        <v>32</v>
      </c>
      <c r="B21" s="14" t="s">
        <v>44</v>
      </c>
      <c r="C21" s="22">
        <v>1</v>
      </c>
    </row>
    <row r="22" spans="1:3" ht="19" x14ac:dyDescent="0.2">
      <c r="A22" s="58"/>
      <c r="B22" s="14" t="s">
        <v>40</v>
      </c>
      <c r="C22" s="22">
        <v>1</v>
      </c>
    </row>
    <row r="23" spans="1:3" ht="19" x14ac:dyDescent="0.2">
      <c r="A23" s="58"/>
      <c r="B23" s="14" t="s">
        <v>45</v>
      </c>
      <c r="C23" s="22">
        <v>0.97</v>
      </c>
    </row>
    <row r="24" spans="1:3" ht="19" x14ac:dyDescent="0.2">
      <c r="A24" s="58"/>
      <c r="B24" s="14" t="s">
        <v>46</v>
      </c>
      <c r="C24" s="22">
        <v>0.94</v>
      </c>
    </row>
    <row r="25" spans="1:3" ht="19" x14ac:dyDescent="0.2">
      <c r="A25" s="58"/>
      <c r="B25" s="14" t="s">
        <v>47</v>
      </c>
      <c r="C25" s="22">
        <v>0.91</v>
      </c>
    </row>
    <row r="26" spans="1:3" ht="19" x14ac:dyDescent="0.2">
      <c r="A26" s="50" t="s">
        <v>33</v>
      </c>
      <c r="B26" s="15" t="s">
        <v>44</v>
      </c>
      <c r="C26" s="23">
        <v>1</v>
      </c>
    </row>
    <row r="27" spans="1:3" ht="19" x14ac:dyDescent="0.2">
      <c r="A27" s="50"/>
      <c r="B27" s="15" t="s">
        <v>48</v>
      </c>
      <c r="C27" s="23">
        <v>1</v>
      </c>
    </row>
    <row r="28" spans="1:3" ht="19" x14ac:dyDescent="0.2">
      <c r="A28" s="50"/>
      <c r="B28" s="15" t="s">
        <v>49</v>
      </c>
      <c r="C28" s="23">
        <v>0.97</v>
      </c>
    </row>
    <row r="29" spans="1:3" ht="19" x14ac:dyDescent="0.2">
      <c r="A29" s="50"/>
      <c r="B29" s="15" t="s">
        <v>50</v>
      </c>
      <c r="C29" s="23">
        <v>0.96</v>
      </c>
    </row>
    <row r="30" spans="1:3" ht="19" x14ac:dyDescent="0.2">
      <c r="A30" s="50"/>
      <c r="B30" s="15" t="s">
        <v>51</v>
      </c>
      <c r="C30" s="23">
        <v>0.95</v>
      </c>
    </row>
    <row r="31" spans="1:3" ht="19" x14ac:dyDescent="0.2">
      <c r="A31" s="51" t="s">
        <v>34</v>
      </c>
      <c r="B31" s="16" t="s">
        <v>44</v>
      </c>
      <c r="C31" s="24">
        <v>1</v>
      </c>
    </row>
    <row r="32" spans="1:3" ht="19" x14ac:dyDescent="0.2">
      <c r="A32" s="51"/>
      <c r="B32" s="16" t="s">
        <v>52</v>
      </c>
      <c r="C32" s="24">
        <v>1</v>
      </c>
    </row>
    <row r="33" spans="1:5" ht="19" x14ac:dyDescent="0.2">
      <c r="A33" s="51"/>
      <c r="B33" s="16" t="s">
        <v>53</v>
      </c>
      <c r="C33" s="24">
        <v>0.96</v>
      </c>
    </row>
    <row r="34" spans="1:5" ht="19" x14ac:dyDescent="0.2">
      <c r="A34" s="51"/>
      <c r="B34" s="16" t="s">
        <v>54</v>
      </c>
      <c r="C34" s="24">
        <v>0.92</v>
      </c>
    </row>
    <row r="35" spans="1:5" ht="19" x14ac:dyDescent="0.2">
      <c r="A35" s="52" t="s">
        <v>35</v>
      </c>
      <c r="B35" s="11" t="s">
        <v>44</v>
      </c>
      <c r="C35" s="20">
        <v>1</v>
      </c>
    </row>
    <row r="36" spans="1:5" ht="19" x14ac:dyDescent="0.2">
      <c r="A36" s="52"/>
      <c r="B36" s="11" t="s">
        <v>40</v>
      </c>
      <c r="C36" s="20">
        <v>1.5</v>
      </c>
    </row>
    <row r="37" spans="1:5" ht="19" x14ac:dyDescent="0.2">
      <c r="A37" s="52"/>
      <c r="B37" s="11" t="s">
        <v>55</v>
      </c>
      <c r="C37" s="20">
        <v>1</v>
      </c>
    </row>
    <row r="38" spans="1:5" ht="19" x14ac:dyDescent="0.2">
      <c r="A38" s="52"/>
      <c r="B38" s="11" t="s">
        <v>41</v>
      </c>
      <c r="C38" s="20">
        <v>0.5</v>
      </c>
      <c r="E38" t="s">
        <v>82</v>
      </c>
    </row>
    <row r="39" spans="1:5" ht="22" x14ac:dyDescent="0.3">
      <c r="A39" s="30"/>
      <c r="B39" s="31" t="s">
        <v>44</v>
      </c>
      <c r="C39" s="32">
        <v>-1</v>
      </c>
      <c r="D39" s="32"/>
      <c r="E39" s="32">
        <v>0</v>
      </c>
    </row>
    <row r="40" spans="1:5" ht="19" x14ac:dyDescent="0.2">
      <c r="A40" s="53" t="s">
        <v>57</v>
      </c>
      <c r="B40" s="31" t="s">
        <v>58</v>
      </c>
      <c r="C40" s="32">
        <v>2</v>
      </c>
      <c r="D40" s="32">
        <v>1</v>
      </c>
      <c r="E40" s="32">
        <v>0</v>
      </c>
    </row>
    <row r="41" spans="1:5" ht="19" x14ac:dyDescent="0.2">
      <c r="A41" s="53"/>
      <c r="B41" s="31" t="s">
        <v>59</v>
      </c>
      <c r="C41" s="32">
        <v>3</v>
      </c>
      <c r="D41" s="32">
        <v>1.08</v>
      </c>
      <c r="E41" s="32">
        <v>1</v>
      </c>
    </row>
  </sheetData>
  <mergeCells count="10">
    <mergeCell ref="A26:A30"/>
    <mergeCell ref="A31:A34"/>
    <mergeCell ref="A35:A38"/>
    <mergeCell ref="A40:A41"/>
    <mergeCell ref="A3:A6"/>
    <mergeCell ref="A8:A9"/>
    <mergeCell ref="A11:A13"/>
    <mergeCell ref="A15:A16"/>
    <mergeCell ref="A18:A20"/>
    <mergeCell ref="A21:A2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Row Data</vt:lpstr>
      <vt:lpstr>Meta Data</vt:lpstr>
    </vt:vector>
  </TitlesOfParts>
  <Manager/>
  <Company>TokenFlow</Company>
  <LinksUpToDate>false</LinksUpToDate>
  <SharedDoc>false</SharedDoc>
  <HyperlinkBase>https://www.linkedin.com/feed/update/urn:li:activity:6491297181025259520/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CVSS3</dc:title>
  <dc:subject>Common Vulnerability Scoring System Calculator</dc:subject>
  <dc:creator>Feras Darweesh</dc:creator>
  <cp:keywords>cvss,</cp:keywords>
  <dc:description>This work came in response to linkedin discussion @https://www.linkedin.com/feed/update/urn:li:activity:6491297181025259520/</dc:description>
  <cp:lastModifiedBy>Feras Darwich</cp:lastModifiedBy>
  <dcterms:created xsi:type="dcterms:W3CDTF">2019-01-17T04:45:23Z</dcterms:created>
  <dcterms:modified xsi:type="dcterms:W3CDTF">2019-01-18T11:48:23Z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Feras Darweesh</vt:lpwstr>
  </property>
  <property fmtid="{D5CDD505-2E9C-101B-9397-08002B2CF9AE}" pid="3" name="Source">
    <vt:lpwstr>Open to the Public</vt:lpwstr>
  </property>
</Properties>
</file>