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295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9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8p2certification.sharepoint.com/sites/Projekte/Freigegebene Dokumente/General/000000 Musterordner Projekt/000000 Musterordner Projekt/05_Projectwork/400_PB_AZ/"/>
    </mc:Choice>
  </mc:AlternateContent>
  <xr:revisionPtr revIDLastSave="760" documentId="13_ncr:1_{51C44C17-A54F-4BB4-A81E-76B0F25FF018}" xr6:coauthVersionLast="45" xr6:coauthVersionMax="45" xr10:uidLastSave="{CA53AA59-6810-4827-A19D-90A4E3667D38}"/>
  <bookViews>
    <workbookView xWindow="52680" yWindow="-120" windowWidth="29040" windowHeight="15840" tabRatio="692" activeTab="3" xr2:uid="{00000000-000D-0000-FFFF-FFFF00000000}"/>
  </bookViews>
  <sheets>
    <sheet name="Bericht" sheetId="9" r:id="rId1"/>
    <sheet name="Berechnungen" sheetId="1" r:id="rId2"/>
    <sheet name="Schwingungen" sheetId="2" r:id="rId3"/>
    <sheet name="OS Diagramme" sheetId="7" r:id="rId4"/>
    <sheet name="TFR" sheetId="10" r:id="rId5"/>
    <sheet name="Schutzvorgaben und -grenzen" sheetId="6" r:id="rId6"/>
    <sheet name="Checkliste ext." sheetId="12" r:id="rId7"/>
    <sheet name="Checkliste_Konfi" sheetId="13" r:id="rId8"/>
    <sheet name="EZE_Daten" sheetId="11" r:id="rId9"/>
    <sheet name="Versions-Historie" sheetId="8" r:id="rId10"/>
  </sheets>
  <definedNames>
    <definedName name="_xlnm.Print_Area" localSheetId="7">Checkliste_Konfi!$A$1:$E$55</definedName>
    <definedName name="VDE_EZEName" localSheetId="0">Bericht!$E$189</definedName>
    <definedName name="VDE_EZEZertNR" localSheetId="0">Bericht!$E$191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02" i="1" l="1"/>
  <c r="J100" i="1"/>
  <c r="J110" i="1" l="1"/>
  <c r="K110" i="1" s="1"/>
  <c r="K109" i="1"/>
  <c r="K82" i="1" l="1"/>
  <c r="K81" i="1"/>
  <c r="K80" i="1"/>
  <c r="E98" i="1" l="1"/>
  <c r="E95" i="1"/>
  <c r="E96" i="1"/>
  <c r="E97" i="1"/>
  <c r="E94" i="1"/>
  <c r="K96" i="1" l="1"/>
  <c r="J96" i="1"/>
  <c r="O141" i="2" l="1"/>
  <c r="O139" i="2"/>
  <c r="M86" i="2" l="1"/>
  <c r="M90" i="2"/>
  <c r="M88" i="2"/>
  <c r="M85" i="2"/>
  <c r="M83" i="2"/>
  <c r="M87" i="2"/>
  <c r="M82" i="2"/>
  <c r="M84" i="2"/>
  <c r="M89" i="2"/>
  <c r="M55" i="2"/>
  <c r="M59" i="2"/>
  <c r="M63" i="2"/>
  <c r="M67" i="2"/>
  <c r="M71" i="2"/>
  <c r="M75" i="2"/>
  <c r="M79" i="2"/>
  <c r="M61" i="2"/>
  <c r="M69" i="2"/>
  <c r="M77" i="2"/>
  <c r="M58" i="2"/>
  <c r="M66" i="2"/>
  <c r="M74" i="2"/>
  <c r="M54" i="2"/>
  <c r="M56" i="2"/>
  <c r="M60" i="2"/>
  <c r="M64" i="2"/>
  <c r="M68" i="2"/>
  <c r="M72" i="2"/>
  <c r="M76" i="2"/>
  <c r="M80" i="2"/>
  <c r="M57" i="2"/>
  <c r="M65" i="2"/>
  <c r="M73" i="2"/>
  <c r="M81" i="2"/>
  <c r="M62" i="2"/>
  <c r="M70" i="2"/>
  <c r="M78" i="2"/>
  <c r="AA42" i="2"/>
  <c r="AA43" i="2"/>
  <c r="AA44" i="2"/>
  <c r="AA45" i="2"/>
  <c r="AA46" i="2"/>
  <c r="AA47" i="2"/>
  <c r="AA48" i="2"/>
  <c r="AA49" i="2"/>
  <c r="AA50" i="2"/>
  <c r="AA51" i="2"/>
  <c r="E196" i="9" l="1"/>
  <c r="J112" i="2" l="1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91" i="2"/>
  <c r="J92" i="2"/>
  <c r="E287" i="9"/>
  <c r="E128" i="9"/>
  <c r="H7" i="1" l="1"/>
  <c r="H5" i="1"/>
  <c r="E171" i="9"/>
  <c r="E168" i="9"/>
  <c r="E158" i="9"/>
  <c r="E153" i="9"/>
  <c r="E144" i="9"/>
  <c r="E119" i="9"/>
  <c r="L9" i="1" l="1"/>
  <c r="L8" i="1"/>
  <c r="H13" i="1" l="1"/>
  <c r="B65" i="12" l="1"/>
  <c r="B64" i="12" l="1"/>
  <c r="B82" i="12"/>
  <c r="B81" i="12"/>
  <c r="B80" i="12"/>
  <c r="B58" i="12"/>
  <c r="B74" i="12"/>
  <c r="B73" i="12"/>
  <c r="B72" i="12"/>
  <c r="D60" i="12"/>
  <c r="D55" i="12"/>
  <c r="D46" i="12"/>
  <c r="B54" i="13"/>
  <c r="B53" i="13"/>
  <c r="B53" i="12"/>
  <c r="B45" i="13"/>
  <c r="D7" i="12"/>
  <c r="D10" i="13"/>
  <c r="C2" i="13"/>
  <c r="B60" i="12"/>
  <c r="B59" i="12"/>
  <c r="B54" i="12"/>
  <c r="B52" i="12"/>
  <c r="B45" i="12"/>
  <c r="B44" i="12"/>
  <c r="D2" i="12"/>
  <c r="C2" i="12"/>
  <c r="A87" i="13"/>
  <c r="A86" i="13"/>
  <c r="A85" i="13"/>
  <c r="A84" i="13"/>
  <c r="A83" i="13"/>
  <c r="A81" i="13"/>
  <c r="A80" i="13"/>
  <c r="A79" i="13"/>
  <c r="A78" i="13"/>
  <c r="A75" i="13"/>
  <c r="A74" i="13"/>
  <c r="A73" i="13"/>
  <c r="A72" i="13"/>
  <c r="A71" i="13"/>
  <c r="A69" i="13"/>
  <c r="A68" i="13"/>
  <c r="A67" i="13"/>
  <c r="A66" i="13"/>
  <c r="A65" i="13"/>
  <c r="A63" i="13"/>
  <c r="A62" i="13"/>
  <c r="A61" i="13"/>
  <c r="A60" i="13"/>
  <c r="A59" i="13"/>
  <c r="A58" i="13"/>
  <c r="A54" i="13"/>
  <c r="A53" i="13"/>
  <c r="A52" i="13"/>
  <c r="A50" i="13"/>
  <c r="A49" i="13"/>
  <c r="A48" i="13"/>
  <c r="A47" i="13"/>
  <c r="A46" i="13"/>
  <c r="A45" i="13"/>
  <c r="A44" i="13"/>
  <c r="A42" i="13"/>
  <c r="A41" i="13"/>
  <c r="A40" i="13"/>
  <c r="A38" i="13"/>
  <c r="A37" i="13"/>
  <c r="A36" i="13"/>
  <c r="A35" i="13"/>
  <c r="A34" i="13"/>
  <c r="A31" i="13"/>
  <c r="A30" i="13"/>
  <c r="A29" i="13"/>
  <c r="A28" i="13"/>
  <c r="A27" i="13"/>
  <c r="A26" i="13"/>
  <c r="A25" i="13"/>
  <c r="A24" i="13"/>
  <c r="A22" i="13"/>
  <c r="A21" i="13"/>
  <c r="A20" i="13"/>
  <c r="A19" i="13"/>
  <c r="A18" i="13"/>
  <c r="A17" i="13"/>
  <c r="A16" i="13"/>
  <c r="A15" i="13"/>
  <c r="A14" i="13"/>
  <c r="A13" i="13"/>
  <c r="A10" i="13"/>
  <c r="A9" i="13"/>
  <c r="A8" i="13"/>
  <c r="A7" i="13"/>
  <c r="A9" i="12"/>
  <c r="A11" i="12" s="1"/>
  <c r="A13" i="12" s="1"/>
  <c r="A14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30" i="12" s="1"/>
  <c r="A31" i="12" s="1"/>
  <c r="A33" i="12" s="1"/>
  <c r="A35" i="12" s="1"/>
  <c r="A37" i="12" s="1"/>
  <c r="A38" i="12" s="1"/>
  <c r="A41" i="12" s="1"/>
  <c r="A42" i="12" s="1"/>
  <c r="A43" i="12" s="1"/>
  <c r="A44" i="12" s="1"/>
  <c r="A45" i="12" s="1"/>
  <c r="A46" i="12" s="1"/>
  <c r="A47" i="12" s="1"/>
  <c r="A49" i="12" s="1"/>
  <c r="A50" i="12" s="1"/>
  <c r="A51" i="12" s="1"/>
  <c r="A52" i="12" s="1"/>
  <c r="A53" i="12" s="1"/>
  <c r="A54" i="12" s="1"/>
  <c r="A55" i="12" s="1"/>
  <c r="A57" i="12" s="1"/>
  <c r="A58" i="12" s="1"/>
  <c r="A59" i="12" s="1"/>
  <c r="A60" i="12" s="1"/>
  <c r="A62" i="12" s="1"/>
  <c r="A63" i="12" s="1"/>
  <c r="A64" i="12" s="1"/>
  <c r="A65" i="12" s="1"/>
  <c r="A66" i="12" s="1"/>
  <c r="A67" i="12" s="1"/>
  <c r="A68" i="12" s="1"/>
  <c r="A70" i="12" s="1"/>
  <c r="A71" i="12" s="1"/>
  <c r="A72" i="12" s="1"/>
  <c r="A73" i="12" s="1"/>
  <c r="A74" i="12" s="1"/>
  <c r="A76" i="12" l="1"/>
  <c r="A75" i="12"/>
  <c r="A78" i="12" s="1"/>
  <c r="A79" i="12" s="1"/>
  <c r="A80" i="12" s="1"/>
  <c r="A81" i="12" s="1"/>
  <c r="A82" i="12" s="1"/>
  <c r="A83" i="12" s="1"/>
  <c r="G478" i="2"/>
  <c r="G425" i="2"/>
  <c r="G372" i="2"/>
  <c r="G319" i="2"/>
  <c r="G266" i="2"/>
  <c r="G213" i="2"/>
  <c r="G160" i="2"/>
  <c r="T4" i="2" s="1"/>
  <c r="G107" i="2"/>
  <c r="G54" i="2"/>
  <c r="G1" i="2"/>
  <c r="U4" i="2" l="1"/>
  <c r="U87" i="2"/>
  <c r="U55" i="2"/>
  <c r="U59" i="2"/>
  <c r="U63" i="2"/>
  <c r="U67" i="2"/>
  <c r="U71" i="2"/>
  <c r="U75" i="2"/>
  <c r="U79" i="2"/>
  <c r="U91" i="2"/>
  <c r="U56" i="2"/>
  <c r="U60" i="2"/>
  <c r="U64" i="2"/>
  <c r="U68" i="2"/>
  <c r="U72" i="2"/>
  <c r="U76" i="2"/>
  <c r="U80" i="2"/>
  <c r="U84" i="2"/>
  <c r="U89" i="2"/>
  <c r="U51" i="2"/>
  <c r="U58" i="2"/>
  <c r="U62" i="2"/>
  <c r="U74" i="2"/>
  <c r="U52" i="2"/>
  <c r="U83" i="2"/>
  <c r="U88" i="2"/>
  <c r="U50" i="2"/>
  <c r="U53" i="2"/>
  <c r="U57" i="2"/>
  <c r="U61" i="2"/>
  <c r="U65" i="2"/>
  <c r="U69" i="2"/>
  <c r="U73" i="2"/>
  <c r="U77" i="2"/>
  <c r="U81" i="2"/>
  <c r="U85" i="2"/>
  <c r="U90" i="2"/>
  <c r="U43" i="2"/>
  <c r="U54" i="2"/>
  <c r="U66" i="2"/>
  <c r="U78" i="2"/>
  <c r="U82" i="2"/>
  <c r="U86" i="2"/>
  <c r="U92" i="2"/>
  <c r="U70" i="2"/>
  <c r="Y4" i="2"/>
  <c r="Y81" i="2"/>
  <c r="Y96" i="2"/>
  <c r="Y46" i="2"/>
  <c r="V4" i="2"/>
  <c r="V98" i="2"/>
  <c r="V55" i="2"/>
  <c r="V5" i="2"/>
  <c r="Z4" i="2"/>
  <c r="Z38" i="2"/>
  <c r="Z61" i="2"/>
  <c r="Z47" i="2"/>
  <c r="S12" i="2"/>
  <c r="S4" i="2"/>
  <c r="W4" i="2"/>
  <c r="W95" i="2"/>
  <c r="W58" i="2"/>
  <c r="W5" i="2"/>
  <c r="X4" i="2"/>
  <c r="X3" i="2"/>
  <c r="X95" i="2"/>
  <c r="X55" i="2"/>
  <c r="S95" i="2"/>
  <c r="S99" i="2"/>
  <c r="S103" i="2"/>
  <c r="S107" i="2"/>
  <c r="S111" i="2"/>
  <c r="S115" i="2"/>
  <c r="S119" i="2"/>
  <c r="S123" i="2"/>
  <c r="S53" i="2"/>
  <c r="S57" i="2"/>
  <c r="S61" i="2"/>
  <c r="S65" i="2"/>
  <c r="S69" i="2"/>
  <c r="S73" i="2"/>
  <c r="S77" i="2"/>
  <c r="S81" i="2"/>
  <c r="S85" i="2"/>
  <c r="S89" i="2"/>
  <c r="S50" i="2"/>
  <c r="S47" i="2"/>
  <c r="S8" i="2"/>
  <c r="S17" i="2"/>
  <c r="S21" i="2"/>
  <c r="S25" i="2"/>
  <c r="S29" i="2"/>
  <c r="S33" i="2"/>
  <c r="S37" i="2"/>
  <c r="S41" i="2"/>
  <c r="S45" i="2"/>
  <c r="S3" i="2"/>
  <c r="S68" i="2"/>
  <c r="S88" i="2"/>
  <c r="S7" i="2"/>
  <c r="S24" i="2"/>
  <c r="S36" i="2"/>
  <c r="S92" i="2"/>
  <c r="S96" i="2"/>
  <c r="S100" i="2"/>
  <c r="S104" i="2"/>
  <c r="S108" i="2"/>
  <c r="S112" i="2"/>
  <c r="S116" i="2"/>
  <c r="S120" i="2"/>
  <c r="S124" i="2"/>
  <c r="S54" i="2"/>
  <c r="S58" i="2"/>
  <c r="S62" i="2"/>
  <c r="S66" i="2"/>
  <c r="S70" i="2"/>
  <c r="S74" i="2"/>
  <c r="S78" i="2"/>
  <c r="S82" i="2"/>
  <c r="S86" i="2"/>
  <c r="S90" i="2"/>
  <c r="S48" i="2"/>
  <c r="S5" i="2"/>
  <c r="S9" i="2"/>
  <c r="S13" i="2"/>
  <c r="S18" i="2"/>
  <c r="S22" i="2"/>
  <c r="S26" i="2"/>
  <c r="S30" i="2"/>
  <c r="S34" i="2"/>
  <c r="S38" i="2"/>
  <c r="S42" i="2"/>
  <c r="S102" i="2"/>
  <c r="S110" i="2"/>
  <c r="S122" i="2"/>
  <c r="S56" i="2"/>
  <c r="S64" i="2"/>
  <c r="S72" i="2"/>
  <c r="S80" i="2"/>
  <c r="S51" i="2"/>
  <c r="S16" i="2"/>
  <c r="S15" i="2"/>
  <c r="S28" i="2"/>
  <c r="S40" i="2"/>
  <c r="S93" i="2"/>
  <c r="S97" i="2"/>
  <c r="S101" i="2"/>
  <c r="S105" i="2"/>
  <c r="S109" i="2"/>
  <c r="S113" i="2"/>
  <c r="S117" i="2"/>
  <c r="S121" i="2"/>
  <c r="S125" i="2"/>
  <c r="S55" i="2"/>
  <c r="S59" i="2"/>
  <c r="S63" i="2"/>
  <c r="S67" i="2"/>
  <c r="S71" i="2"/>
  <c r="S75" i="2"/>
  <c r="S79" i="2"/>
  <c r="S83" i="2"/>
  <c r="S87" i="2"/>
  <c r="S52" i="2"/>
  <c r="S49" i="2"/>
  <c r="S6" i="2"/>
  <c r="S10" i="2"/>
  <c r="S14" i="2"/>
  <c r="S19" i="2"/>
  <c r="S23" i="2"/>
  <c r="S27" i="2"/>
  <c r="S31" i="2"/>
  <c r="S35" i="2"/>
  <c r="S39" i="2"/>
  <c r="S43" i="2"/>
  <c r="S94" i="2"/>
  <c r="S98" i="2"/>
  <c r="S106" i="2"/>
  <c r="S114" i="2"/>
  <c r="S118" i="2"/>
  <c r="S91" i="2"/>
  <c r="S60" i="2"/>
  <c r="S76" i="2"/>
  <c r="S84" i="2"/>
  <c r="S46" i="2"/>
  <c r="S11" i="2"/>
  <c r="S20" i="2"/>
  <c r="S32" i="2"/>
  <c r="S44" i="2"/>
  <c r="T56" i="2"/>
  <c r="T91" i="2"/>
  <c r="T90" i="2"/>
  <c r="U94" i="2"/>
  <c r="U95" i="2"/>
  <c r="U99" i="2"/>
  <c r="U103" i="2"/>
  <c r="U107" i="2"/>
  <c r="U111" i="2"/>
  <c r="U115" i="2"/>
  <c r="U119" i="2"/>
  <c r="U123" i="2"/>
  <c r="U5" i="2"/>
  <c r="U9" i="2"/>
  <c r="U13" i="2"/>
  <c r="U17" i="2"/>
  <c r="U21" i="2"/>
  <c r="U25" i="2"/>
  <c r="U29" i="2"/>
  <c r="U33" i="2"/>
  <c r="U37" i="2"/>
  <c r="U41" i="2"/>
  <c r="U45" i="2"/>
  <c r="U49" i="2"/>
  <c r="U125" i="2"/>
  <c r="U96" i="2"/>
  <c r="U100" i="2"/>
  <c r="U104" i="2"/>
  <c r="U108" i="2"/>
  <c r="U112" i="2"/>
  <c r="U116" i="2"/>
  <c r="U120" i="2"/>
  <c r="U124" i="2"/>
  <c r="U6" i="2"/>
  <c r="U10" i="2"/>
  <c r="U14" i="2"/>
  <c r="U18" i="2"/>
  <c r="U22" i="2"/>
  <c r="U26" i="2"/>
  <c r="U30" i="2"/>
  <c r="U34" i="2"/>
  <c r="U38" i="2"/>
  <c r="U42" i="2"/>
  <c r="U46" i="2"/>
  <c r="U97" i="2"/>
  <c r="U101" i="2"/>
  <c r="U105" i="2"/>
  <c r="U109" i="2"/>
  <c r="U113" i="2"/>
  <c r="U117" i="2"/>
  <c r="U121" i="2"/>
  <c r="U3" i="2"/>
  <c r="U7" i="2"/>
  <c r="U11" i="2"/>
  <c r="U15" i="2"/>
  <c r="U19" i="2"/>
  <c r="U23" i="2"/>
  <c r="U27" i="2"/>
  <c r="U31" i="2"/>
  <c r="U35" i="2"/>
  <c r="U39" i="2"/>
  <c r="U47" i="2"/>
  <c r="U93" i="2"/>
  <c r="U98" i="2"/>
  <c r="U102" i="2"/>
  <c r="U106" i="2"/>
  <c r="U110" i="2"/>
  <c r="U114" i="2"/>
  <c r="U118" i="2"/>
  <c r="U122" i="2"/>
  <c r="U8" i="2"/>
  <c r="U12" i="2"/>
  <c r="U16" i="2"/>
  <c r="U20" i="2"/>
  <c r="U24" i="2"/>
  <c r="U28" i="2"/>
  <c r="U32" i="2"/>
  <c r="U36" i="2"/>
  <c r="U40" i="2"/>
  <c r="U44" i="2"/>
  <c r="U48" i="2"/>
  <c r="Y94" i="2"/>
  <c r="Y98" i="2"/>
  <c r="Y102" i="2"/>
  <c r="Y106" i="2"/>
  <c r="Y110" i="2"/>
  <c r="Y114" i="2"/>
  <c r="Y118" i="2"/>
  <c r="Y122" i="2"/>
  <c r="Y91" i="2"/>
  <c r="Y55" i="2"/>
  <c r="Y59" i="2"/>
  <c r="Y63" i="2"/>
  <c r="Y67" i="2"/>
  <c r="Y71" i="2"/>
  <c r="Y75" i="2"/>
  <c r="Y79" i="2"/>
  <c r="Y83" i="2"/>
  <c r="Y87" i="2"/>
  <c r="Y51" i="2"/>
  <c r="Y7" i="2"/>
  <c r="Y11" i="2"/>
  <c r="Y15" i="2"/>
  <c r="Y19" i="2"/>
  <c r="Y23" i="2"/>
  <c r="Y27" i="2"/>
  <c r="Y31" i="2"/>
  <c r="Y35" i="2"/>
  <c r="Y39" i="2"/>
  <c r="Y43" i="2"/>
  <c r="Y47" i="2"/>
  <c r="Y3" i="2"/>
  <c r="Y95" i="2"/>
  <c r="Y99" i="2"/>
  <c r="Y103" i="2"/>
  <c r="Y107" i="2"/>
  <c r="Y111" i="2"/>
  <c r="Y115" i="2"/>
  <c r="Y119" i="2"/>
  <c r="Y123" i="2"/>
  <c r="Y90" i="2"/>
  <c r="Y56" i="2"/>
  <c r="Y60" i="2"/>
  <c r="Y64" i="2"/>
  <c r="Y68" i="2"/>
  <c r="Y72" i="2"/>
  <c r="Y76" i="2"/>
  <c r="Y80" i="2"/>
  <c r="Y84" i="2"/>
  <c r="Y88" i="2"/>
  <c r="Y8" i="2"/>
  <c r="Y12" i="2"/>
  <c r="Y16" i="2"/>
  <c r="Y20" i="2"/>
  <c r="Y24" i="2"/>
  <c r="Y28" i="2"/>
  <c r="Y32" i="2"/>
  <c r="Y36" i="2"/>
  <c r="Y40" i="2"/>
  <c r="Y44" i="2"/>
  <c r="Y48" i="2"/>
  <c r="Y93" i="2"/>
  <c r="Y100" i="2"/>
  <c r="Y104" i="2"/>
  <c r="Y108" i="2"/>
  <c r="Y112" i="2"/>
  <c r="Y116" i="2"/>
  <c r="Y120" i="2"/>
  <c r="Y124" i="2"/>
  <c r="Y53" i="2"/>
  <c r="Y57" i="2"/>
  <c r="Y61" i="2"/>
  <c r="Y65" i="2"/>
  <c r="Y69" i="2"/>
  <c r="Y92" i="2"/>
  <c r="Y97" i="2"/>
  <c r="Y101" i="2"/>
  <c r="Y105" i="2"/>
  <c r="Y109" i="2"/>
  <c r="Y113" i="2"/>
  <c r="Y117" i="2"/>
  <c r="Y121" i="2"/>
  <c r="Y125" i="2"/>
  <c r="Y54" i="2"/>
  <c r="Y58" i="2"/>
  <c r="Y62" i="2"/>
  <c r="Y66" i="2"/>
  <c r="Y70" i="2"/>
  <c r="Y74" i="2"/>
  <c r="Y78" i="2"/>
  <c r="Y82" i="2"/>
  <c r="Y86" i="2"/>
  <c r="Y52" i="2"/>
  <c r="Y6" i="2"/>
  <c r="Y10" i="2"/>
  <c r="Y14" i="2"/>
  <c r="Y18" i="2"/>
  <c r="Y22" i="2"/>
  <c r="Y26" i="2"/>
  <c r="Y30" i="2"/>
  <c r="Y34" i="2"/>
  <c r="Y38" i="2"/>
  <c r="Y42" i="2"/>
  <c r="Y50" i="2"/>
  <c r="Y85" i="2"/>
  <c r="Y13" i="2"/>
  <c r="Y29" i="2"/>
  <c r="Y45" i="2"/>
  <c r="Y73" i="2"/>
  <c r="Y89" i="2"/>
  <c r="Y17" i="2"/>
  <c r="Y33" i="2"/>
  <c r="Y49" i="2"/>
  <c r="Y77" i="2"/>
  <c r="Y5" i="2"/>
  <c r="Y21" i="2"/>
  <c r="Y37" i="2"/>
  <c r="Y41" i="2"/>
  <c r="Y9" i="2"/>
  <c r="Y25" i="2"/>
  <c r="V56" i="2"/>
  <c r="V94" i="2"/>
  <c r="V102" i="2"/>
  <c r="V106" i="2"/>
  <c r="V110" i="2"/>
  <c r="V114" i="2"/>
  <c r="V119" i="2"/>
  <c r="V123" i="2"/>
  <c r="V90" i="2"/>
  <c r="V57" i="2"/>
  <c r="V61" i="2"/>
  <c r="V65" i="2"/>
  <c r="V69" i="2"/>
  <c r="V73" i="2"/>
  <c r="V77" i="2"/>
  <c r="V81" i="2"/>
  <c r="V85" i="2"/>
  <c r="V89" i="2"/>
  <c r="V9" i="2"/>
  <c r="V13" i="2"/>
  <c r="V17" i="2"/>
  <c r="V21" i="2"/>
  <c r="V25" i="2"/>
  <c r="V29" i="2"/>
  <c r="V116" i="2"/>
  <c r="V95" i="2"/>
  <c r="V99" i="2"/>
  <c r="V103" i="2"/>
  <c r="V107" i="2"/>
  <c r="V111" i="2"/>
  <c r="V115" i="2"/>
  <c r="V120" i="2"/>
  <c r="V124" i="2"/>
  <c r="V53" i="2"/>
  <c r="V58" i="2"/>
  <c r="V62" i="2"/>
  <c r="V66" i="2"/>
  <c r="V70" i="2"/>
  <c r="V74" i="2"/>
  <c r="V78" i="2"/>
  <c r="V82" i="2"/>
  <c r="V86" i="2"/>
  <c r="V52" i="2"/>
  <c r="V6" i="2"/>
  <c r="V10" i="2"/>
  <c r="V14" i="2"/>
  <c r="V18" i="2"/>
  <c r="V22" i="2"/>
  <c r="V26" i="2"/>
  <c r="V30" i="2"/>
  <c r="V34" i="2"/>
  <c r="V92" i="2"/>
  <c r="V96" i="2"/>
  <c r="V100" i="2"/>
  <c r="V104" i="2"/>
  <c r="V108" i="2"/>
  <c r="V112" i="2"/>
  <c r="V117" i="2"/>
  <c r="V121" i="2"/>
  <c r="V125" i="2"/>
  <c r="V54" i="2"/>
  <c r="V59" i="2"/>
  <c r="V63" i="2"/>
  <c r="V67" i="2"/>
  <c r="V71" i="2"/>
  <c r="V75" i="2"/>
  <c r="V79" i="2"/>
  <c r="V83" i="2"/>
  <c r="V87" i="2"/>
  <c r="V51" i="2"/>
  <c r="V7" i="2"/>
  <c r="V11" i="2"/>
  <c r="V15" i="2"/>
  <c r="V19" i="2"/>
  <c r="V23" i="2"/>
  <c r="V27" i="2"/>
  <c r="V31" i="2"/>
  <c r="V35" i="2"/>
  <c r="V39" i="2"/>
  <c r="V43" i="2"/>
  <c r="V47" i="2"/>
  <c r="V3" i="2"/>
  <c r="V101" i="2"/>
  <c r="V118" i="2"/>
  <c r="V60" i="2"/>
  <c r="V76" i="2"/>
  <c r="V20" i="2"/>
  <c r="V33" i="2"/>
  <c r="V40" i="2"/>
  <c r="V45" i="2"/>
  <c r="V50" i="2"/>
  <c r="V105" i="2"/>
  <c r="V122" i="2"/>
  <c r="V64" i="2"/>
  <c r="V80" i="2"/>
  <c r="V8" i="2"/>
  <c r="V24" i="2"/>
  <c r="V36" i="2"/>
  <c r="V41" i="2"/>
  <c r="V46" i="2"/>
  <c r="V93" i="2"/>
  <c r="V109" i="2"/>
  <c r="V91" i="2"/>
  <c r="V68" i="2"/>
  <c r="V84" i="2"/>
  <c r="V12" i="2"/>
  <c r="V28" i="2"/>
  <c r="V37" i="2"/>
  <c r="V42" i="2"/>
  <c r="V48" i="2"/>
  <c r="V97" i="2"/>
  <c r="V113" i="2"/>
  <c r="V72" i="2"/>
  <c r="V88" i="2"/>
  <c r="V16" i="2"/>
  <c r="V32" i="2"/>
  <c r="V38" i="2"/>
  <c r="V44" i="2"/>
  <c r="V49" i="2"/>
  <c r="Z92" i="2"/>
  <c r="Z96" i="2"/>
  <c r="Z100" i="2"/>
  <c r="Z104" i="2"/>
  <c r="Z108" i="2"/>
  <c r="Z112" i="2"/>
  <c r="Z116" i="2"/>
  <c r="Z120" i="2"/>
  <c r="Z125" i="2"/>
  <c r="Z54" i="2"/>
  <c r="Z58" i="2"/>
  <c r="Z62" i="2"/>
  <c r="Z66" i="2"/>
  <c r="Z70" i="2"/>
  <c r="Z74" i="2"/>
  <c r="Z78" i="2"/>
  <c r="Z82" i="2"/>
  <c r="Z86" i="2"/>
  <c r="Z52" i="2"/>
  <c r="Z6" i="2"/>
  <c r="Z10" i="2"/>
  <c r="Z14" i="2"/>
  <c r="Z18" i="2"/>
  <c r="Z22" i="2"/>
  <c r="Z26" i="2"/>
  <c r="Z30" i="2"/>
  <c r="Z34" i="2"/>
  <c r="Z42" i="2"/>
  <c r="Z46" i="2"/>
  <c r="Z50" i="2"/>
  <c r="Z93" i="2"/>
  <c r="Z97" i="2"/>
  <c r="Z101" i="2"/>
  <c r="Z105" i="2"/>
  <c r="Z109" i="2"/>
  <c r="Z113" i="2"/>
  <c r="Z117" i="2"/>
  <c r="Z121" i="2"/>
  <c r="Z91" i="2"/>
  <c r="Z55" i="2"/>
  <c r="Z59" i="2"/>
  <c r="Z63" i="2"/>
  <c r="Z67" i="2"/>
  <c r="Z71" i="2"/>
  <c r="Z75" i="2"/>
  <c r="Z79" i="2"/>
  <c r="Z83" i="2"/>
  <c r="Z87" i="2"/>
  <c r="Z51" i="2"/>
  <c r="Z7" i="2"/>
  <c r="Z11" i="2"/>
  <c r="Z15" i="2"/>
  <c r="Z19" i="2"/>
  <c r="Z23" i="2"/>
  <c r="Z27" i="2"/>
  <c r="Z31" i="2"/>
  <c r="Z35" i="2"/>
  <c r="Z39" i="2"/>
  <c r="Z43" i="2"/>
  <c r="Z3" i="2"/>
  <c r="Z94" i="2"/>
  <c r="Z98" i="2"/>
  <c r="Z102" i="2"/>
  <c r="Z106" i="2"/>
  <c r="Z110" i="2"/>
  <c r="Z114" i="2"/>
  <c r="Z118" i="2"/>
  <c r="Z122" i="2"/>
  <c r="Z90" i="2"/>
  <c r="Z56" i="2"/>
  <c r="Z60" i="2"/>
  <c r="Z64" i="2"/>
  <c r="Z68" i="2"/>
  <c r="Z72" i="2"/>
  <c r="Z76" i="2"/>
  <c r="Z80" i="2"/>
  <c r="Z84" i="2"/>
  <c r="Z88" i="2"/>
  <c r="Z8" i="2"/>
  <c r="Z12" i="2"/>
  <c r="Z16" i="2"/>
  <c r="Z20" i="2"/>
  <c r="Z24" i="2"/>
  <c r="Z28" i="2"/>
  <c r="Z32" i="2"/>
  <c r="Z36" i="2"/>
  <c r="Z40" i="2"/>
  <c r="Z44" i="2"/>
  <c r="Z48" i="2"/>
  <c r="Z124" i="2"/>
  <c r="Z95" i="2"/>
  <c r="Z99" i="2"/>
  <c r="Z103" i="2"/>
  <c r="Z107" i="2"/>
  <c r="Z111" i="2"/>
  <c r="Z115" i="2"/>
  <c r="Z119" i="2"/>
  <c r="Z123" i="2"/>
  <c r="Z53" i="2"/>
  <c r="Z57" i="2"/>
  <c r="Z65" i="2"/>
  <c r="Z69" i="2"/>
  <c r="Z73" i="2"/>
  <c r="Z77" i="2"/>
  <c r="Z81" i="2"/>
  <c r="Z85" i="2"/>
  <c r="Z89" i="2"/>
  <c r="Z5" i="2"/>
  <c r="Z9" i="2"/>
  <c r="Z13" i="2"/>
  <c r="Z17" i="2"/>
  <c r="Z21" i="2"/>
  <c r="Z25" i="2"/>
  <c r="Z29" i="2"/>
  <c r="Z33" i="2"/>
  <c r="Z37" i="2"/>
  <c r="Z41" i="2"/>
  <c r="Z45" i="2"/>
  <c r="Z49" i="2"/>
  <c r="W93" i="2"/>
  <c r="W97" i="2"/>
  <c r="W101" i="2"/>
  <c r="W105" i="2"/>
  <c r="W109" i="2"/>
  <c r="W113" i="2"/>
  <c r="W117" i="2"/>
  <c r="W122" i="2"/>
  <c r="W91" i="2"/>
  <c r="W55" i="2"/>
  <c r="W59" i="2"/>
  <c r="W63" i="2"/>
  <c r="W67" i="2"/>
  <c r="W71" i="2"/>
  <c r="W75" i="2"/>
  <c r="W79" i="2"/>
  <c r="W83" i="2"/>
  <c r="W87" i="2"/>
  <c r="W51" i="2"/>
  <c r="W7" i="2"/>
  <c r="W11" i="2"/>
  <c r="W15" i="2"/>
  <c r="W19" i="2"/>
  <c r="W23" i="2"/>
  <c r="W27" i="2"/>
  <c r="W31" i="2"/>
  <c r="W35" i="2"/>
  <c r="W39" i="2"/>
  <c r="W43" i="2"/>
  <c r="W47" i="2"/>
  <c r="W3" i="2"/>
  <c r="W94" i="2"/>
  <c r="W98" i="2"/>
  <c r="W102" i="2"/>
  <c r="W106" i="2"/>
  <c r="W110" i="2"/>
  <c r="W114" i="2"/>
  <c r="W118" i="2"/>
  <c r="W123" i="2"/>
  <c r="W90" i="2"/>
  <c r="W56" i="2"/>
  <c r="W60" i="2"/>
  <c r="W64" i="2"/>
  <c r="W68" i="2"/>
  <c r="W72" i="2"/>
  <c r="W76" i="2"/>
  <c r="W80" i="2"/>
  <c r="W84" i="2"/>
  <c r="W88" i="2"/>
  <c r="W8" i="2"/>
  <c r="W12" i="2"/>
  <c r="W16" i="2"/>
  <c r="W20" i="2"/>
  <c r="W24" i="2"/>
  <c r="W28" i="2"/>
  <c r="W32" i="2"/>
  <c r="W36" i="2"/>
  <c r="W40" i="2"/>
  <c r="W44" i="2"/>
  <c r="W48" i="2"/>
  <c r="W120" i="2"/>
  <c r="W99" i="2"/>
  <c r="W103" i="2"/>
  <c r="W107" i="2"/>
  <c r="W111" i="2"/>
  <c r="W115" i="2"/>
  <c r="W119" i="2"/>
  <c r="W124" i="2"/>
  <c r="W53" i="2"/>
  <c r="W57" i="2"/>
  <c r="W61" i="2"/>
  <c r="W65" i="2"/>
  <c r="W69" i="2"/>
  <c r="W73" i="2"/>
  <c r="W77" i="2"/>
  <c r="W81" i="2"/>
  <c r="W85" i="2"/>
  <c r="W89" i="2"/>
  <c r="W9" i="2"/>
  <c r="W13" i="2"/>
  <c r="W17" i="2"/>
  <c r="W21" i="2"/>
  <c r="W25" i="2"/>
  <c r="W29" i="2"/>
  <c r="W33" i="2"/>
  <c r="W37" i="2"/>
  <c r="W41" i="2"/>
  <c r="W45" i="2"/>
  <c r="W49" i="2"/>
  <c r="W96" i="2"/>
  <c r="W112" i="2"/>
  <c r="W54" i="2"/>
  <c r="W70" i="2"/>
  <c r="W86" i="2"/>
  <c r="W14" i="2"/>
  <c r="W30" i="2"/>
  <c r="W46" i="2"/>
  <c r="W100" i="2"/>
  <c r="W116" i="2"/>
  <c r="W74" i="2"/>
  <c r="W52" i="2"/>
  <c r="W18" i="2"/>
  <c r="W34" i="2"/>
  <c r="W50" i="2"/>
  <c r="W104" i="2"/>
  <c r="W121" i="2"/>
  <c r="W62" i="2"/>
  <c r="W78" i="2"/>
  <c r="W6" i="2"/>
  <c r="W22" i="2"/>
  <c r="W38" i="2"/>
  <c r="W92" i="2"/>
  <c r="W108" i="2"/>
  <c r="W125" i="2"/>
  <c r="W66" i="2"/>
  <c r="W82" i="2"/>
  <c r="W10" i="2"/>
  <c r="W26" i="2"/>
  <c r="W42" i="2"/>
  <c r="X94" i="2"/>
  <c r="X98" i="2"/>
  <c r="X102" i="2"/>
  <c r="X106" i="2"/>
  <c r="X110" i="2"/>
  <c r="X125" i="2"/>
  <c r="X99" i="2"/>
  <c r="X103" i="2"/>
  <c r="X107" i="2"/>
  <c r="X111" i="2"/>
  <c r="X115" i="2"/>
  <c r="X119" i="2"/>
  <c r="X123" i="2"/>
  <c r="X54" i="2"/>
  <c r="X58" i="2"/>
  <c r="X62" i="2"/>
  <c r="X66" i="2"/>
  <c r="X70" i="2"/>
  <c r="X74" i="2"/>
  <c r="X78" i="2"/>
  <c r="X82" i="2"/>
  <c r="X86" i="2"/>
  <c r="X90" i="2"/>
  <c r="X5" i="2"/>
  <c r="X9" i="2"/>
  <c r="X13" i="2"/>
  <c r="X17" i="2"/>
  <c r="X93" i="2"/>
  <c r="X97" i="2"/>
  <c r="X101" i="2"/>
  <c r="X105" i="2"/>
  <c r="X109" i="2"/>
  <c r="X113" i="2"/>
  <c r="X117" i="2"/>
  <c r="X121" i="2"/>
  <c r="X91" i="2"/>
  <c r="X56" i="2"/>
  <c r="X60" i="2"/>
  <c r="X64" i="2"/>
  <c r="X68" i="2"/>
  <c r="X72" i="2"/>
  <c r="X76" i="2"/>
  <c r="X80" i="2"/>
  <c r="X84" i="2"/>
  <c r="X88" i="2"/>
  <c r="X51" i="2"/>
  <c r="X7" i="2"/>
  <c r="X11" i="2"/>
  <c r="X15" i="2"/>
  <c r="X19" i="2"/>
  <c r="X100" i="2"/>
  <c r="X114" i="2"/>
  <c r="X122" i="2"/>
  <c r="X57" i="2"/>
  <c r="X65" i="2"/>
  <c r="X73" i="2"/>
  <c r="X81" i="2"/>
  <c r="X89" i="2"/>
  <c r="X8" i="2"/>
  <c r="X16" i="2"/>
  <c r="X22" i="2"/>
  <c r="X26" i="2"/>
  <c r="X30" i="2"/>
  <c r="X34" i="2"/>
  <c r="X38" i="2"/>
  <c r="X42" i="2"/>
  <c r="X46" i="2"/>
  <c r="X50" i="2"/>
  <c r="X104" i="2"/>
  <c r="X116" i="2"/>
  <c r="X124" i="2"/>
  <c r="X59" i="2"/>
  <c r="X67" i="2"/>
  <c r="X75" i="2"/>
  <c r="X83" i="2"/>
  <c r="X52" i="2"/>
  <c r="X10" i="2"/>
  <c r="X18" i="2"/>
  <c r="X23" i="2"/>
  <c r="X27" i="2"/>
  <c r="X31" i="2"/>
  <c r="X35" i="2"/>
  <c r="X39" i="2"/>
  <c r="X43" i="2"/>
  <c r="X47" i="2"/>
  <c r="X92" i="2"/>
  <c r="X108" i="2"/>
  <c r="X118" i="2"/>
  <c r="X53" i="2"/>
  <c r="X61" i="2"/>
  <c r="X69" i="2"/>
  <c r="X77" i="2"/>
  <c r="X85" i="2"/>
  <c r="X12" i="2"/>
  <c r="X20" i="2"/>
  <c r="X24" i="2"/>
  <c r="X28" i="2"/>
  <c r="X32" i="2"/>
  <c r="X36" i="2"/>
  <c r="X40" i="2"/>
  <c r="X44" i="2"/>
  <c r="X48" i="2"/>
  <c r="X87" i="2"/>
  <c r="X25" i="2"/>
  <c r="X41" i="2"/>
  <c r="X96" i="2"/>
  <c r="X63" i="2"/>
  <c r="X6" i="2"/>
  <c r="X29" i="2"/>
  <c r="X45" i="2"/>
  <c r="X112" i="2"/>
  <c r="X71" i="2"/>
  <c r="X14" i="2"/>
  <c r="X33" i="2"/>
  <c r="X49" i="2"/>
  <c r="X120" i="2"/>
  <c r="X79" i="2"/>
  <c r="X21" i="2"/>
  <c r="X37" i="2"/>
  <c r="J5" i="6"/>
  <c r="J4" i="6"/>
  <c r="H4" i="1" l="1"/>
  <c r="H37" i="6" l="1"/>
  <c r="H38" i="6"/>
  <c r="H39" i="6"/>
  <c r="H40" i="6"/>
  <c r="H41" i="6"/>
  <c r="G37" i="6"/>
  <c r="G38" i="6"/>
  <c r="G39" i="6"/>
  <c r="G40" i="6"/>
  <c r="G41" i="6"/>
  <c r="F37" i="6"/>
  <c r="F38" i="6"/>
  <c r="F39" i="6"/>
  <c r="F40" i="6"/>
  <c r="F41" i="6"/>
  <c r="J77" i="1" l="1"/>
  <c r="J76" i="1"/>
  <c r="L75" i="1"/>
  <c r="M75" i="1" s="1"/>
  <c r="J75" i="1"/>
  <c r="J71" i="1"/>
  <c r="J70" i="1"/>
  <c r="L69" i="1"/>
  <c r="M69" i="1" s="1"/>
  <c r="J69" i="1"/>
  <c r="J65" i="1"/>
  <c r="J64" i="1"/>
  <c r="L63" i="1" s="1"/>
  <c r="M63" i="1" s="1"/>
  <c r="J63" i="1"/>
  <c r="J59" i="1"/>
  <c r="J58" i="1"/>
  <c r="L57" i="1" s="1"/>
  <c r="M57" i="1" s="1"/>
  <c r="J57" i="1"/>
  <c r="J53" i="1"/>
  <c r="J52" i="1"/>
  <c r="L51" i="1" s="1"/>
  <c r="M51" i="1" s="1"/>
  <c r="J51" i="1"/>
  <c r="J47" i="1"/>
  <c r="J46" i="1"/>
  <c r="L45" i="1" s="1"/>
  <c r="M45" i="1" s="1"/>
  <c r="J45" i="1"/>
  <c r="J41" i="1"/>
  <c r="J40" i="1"/>
  <c r="L39" i="1" s="1"/>
  <c r="M39" i="1" s="1"/>
  <c r="J39" i="1"/>
  <c r="J35" i="1"/>
  <c r="J34" i="1"/>
  <c r="L33" i="1" s="1"/>
  <c r="M33" i="1" s="1"/>
  <c r="J33" i="1"/>
  <c r="F14" i="1"/>
  <c r="E272" i="9" s="1"/>
  <c r="E14" i="1"/>
  <c r="C11" i="6"/>
  <c r="Q18" i="1"/>
  <c r="Q19" i="1"/>
  <c r="L5" i="1"/>
  <c r="B34" i="6"/>
  <c r="C10" i="6"/>
  <c r="C9" i="6"/>
  <c r="C8" i="6"/>
  <c r="B478" i="2"/>
  <c r="B425" i="2"/>
  <c r="B372" i="2"/>
  <c r="B319" i="2"/>
  <c r="B266" i="2"/>
  <c r="B213" i="2"/>
  <c r="B160" i="2"/>
  <c r="B107" i="2"/>
  <c r="B54" i="2"/>
  <c r="B1" i="2"/>
  <c r="I478" i="2"/>
  <c r="I425" i="2"/>
  <c r="I372" i="2"/>
  <c r="I319" i="2"/>
  <c r="I266" i="2"/>
  <c r="I213" i="2"/>
  <c r="I160" i="2"/>
  <c r="I107" i="2"/>
  <c r="I54" i="2"/>
  <c r="V251" i="9"/>
  <c r="E11" i="9"/>
  <c r="E4" i="9" s="1"/>
  <c r="Y219" i="9"/>
  <c r="Y218" i="9"/>
  <c r="Y217" i="9"/>
  <c r="Y199" i="9"/>
  <c r="Y198" i="9"/>
  <c r="Y197" i="9"/>
  <c r="Y171" i="9"/>
  <c r="Y168" i="9"/>
  <c r="Y153" i="9"/>
  <c r="Y144" i="9"/>
  <c r="Y128" i="9"/>
  <c r="Y119" i="9"/>
  <c r="Y112" i="9"/>
  <c r="Y105" i="9"/>
  <c r="Y102" i="9"/>
  <c r="Y97" i="9"/>
  <c r="Y83" i="9"/>
  <c r="Y80" i="9"/>
  <c r="Y77" i="9"/>
  <c r="Y11" i="9"/>
  <c r="Y10" i="9"/>
  <c r="Y9" i="9"/>
  <c r="H12" i="1"/>
  <c r="H11" i="1"/>
  <c r="H10" i="1"/>
  <c r="H8" i="1"/>
  <c r="H6" i="1"/>
  <c r="H9" i="1"/>
  <c r="C3" i="10"/>
  <c r="V199" i="9"/>
  <c r="V198" i="9"/>
  <c r="V197" i="9"/>
  <c r="V171" i="9"/>
  <c r="V168" i="9"/>
  <c r="V153" i="9"/>
  <c r="V144" i="9"/>
  <c r="V128" i="9"/>
  <c r="V119" i="9"/>
  <c r="V112" i="9"/>
  <c r="V105" i="9"/>
  <c r="V102" i="9"/>
  <c r="V97" i="9"/>
  <c r="V83" i="9"/>
  <c r="V80" i="9"/>
  <c r="V77" i="9"/>
  <c r="V11" i="9"/>
  <c r="L7" i="1"/>
  <c r="L6" i="1"/>
  <c r="L10" i="1"/>
  <c r="L4" i="1"/>
  <c r="F31" i="6" s="1"/>
  <c r="V93" i="1"/>
  <c r="A28" i="6"/>
  <c r="G10" i="6"/>
  <c r="G9" i="6"/>
  <c r="G8" i="6"/>
  <c r="D11" i="6"/>
  <c r="D9" i="6"/>
  <c r="D10" i="6"/>
  <c r="D8" i="6"/>
  <c r="G11" i="6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93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D14" i="1"/>
  <c r="R4" i="2" l="1"/>
  <c r="R3" i="2"/>
  <c r="N4" i="1"/>
  <c r="D51" i="7"/>
  <c r="I4" i="1"/>
  <c r="I6" i="1"/>
  <c r="E271" i="9"/>
  <c r="H27" i="7"/>
  <c r="D45" i="7"/>
  <c r="D44" i="7"/>
  <c r="D49" i="7"/>
  <c r="J21" i="1"/>
  <c r="J22" i="1"/>
  <c r="L21" i="1" s="1"/>
  <c r="I13" i="1"/>
  <c r="R110" i="2"/>
  <c r="J28" i="1"/>
  <c r="J29" i="1"/>
  <c r="L29" i="1" s="1"/>
  <c r="J98" i="1" s="1"/>
  <c r="J23" i="1"/>
  <c r="L23" i="1" s="1"/>
  <c r="J27" i="1"/>
  <c r="I10" i="1"/>
  <c r="E18" i="1"/>
  <c r="G17" i="1" s="1"/>
  <c r="Y287" i="9"/>
  <c r="D43" i="7"/>
  <c r="I1" i="2"/>
  <c r="Q17" i="1"/>
  <c r="R19" i="1" s="1"/>
  <c r="V95" i="1"/>
  <c r="G31" i="6"/>
  <c r="H31" i="6"/>
  <c r="C6" i="10"/>
  <c r="B28" i="6"/>
  <c r="I11" i="1"/>
  <c r="I9" i="1"/>
  <c r="I8" i="1"/>
  <c r="I5" i="1"/>
  <c r="R117" i="2" s="1"/>
  <c r="D29" i="6"/>
  <c r="G29" i="6" s="1"/>
  <c r="I12" i="1"/>
  <c r="F10" i="10"/>
  <c r="G10" i="10" s="1"/>
  <c r="D30" i="6"/>
  <c r="G30" i="6" s="1"/>
  <c r="I7" i="1"/>
  <c r="N3" i="1"/>
  <c r="L35" i="1"/>
  <c r="L59" i="1"/>
  <c r="V94" i="1"/>
  <c r="L47" i="1"/>
  <c r="L71" i="1"/>
  <c r="L41" i="1"/>
  <c r="L65" i="1"/>
  <c r="L53" i="1"/>
  <c r="L77" i="1"/>
  <c r="E30" i="6"/>
  <c r="H30" i="6" s="1"/>
  <c r="J6" i="6"/>
  <c r="J7" i="6" s="1"/>
  <c r="F10" i="6" s="1"/>
  <c r="C30" i="6"/>
  <c r="F30" i="6" s="1"/>
  <c r="E29" i="6"/>
  <c r="H29" i="6" s="1"/>
  <c r="C29" i="6"/>
  <c r="F29" i="6" s="1"/>
  <c r="Q92" i="2" l="1"/>
  <c r="Q96" i="2"/>
  <c r="Q100" i="2"/>
  <c r="Q104" i="2"/>
  <c r="Q108" i="2"/>
  <c r="Q112" i="2"/>
  <c r="Q116" i="2"/>
  <c r="Q120" i="2"/>
  <c r="Q124" i="2"/>
  <c r="Q54" i="2"/>
  <c r="Q58" i="2"/>
  <c r="Q62" i="2"/>
  <c r="Q66" i="2"/>
  <c r="Q70" i="2"/>
  <c r="Q74" i="2"/>
  <c r="Q78" i="2"/>
  <c r="Q82" i="2"/>
  <c r="Q86" i="2"/>
  <c r="Q90" i="2"/>
  <c r="Q5" i="2"/>
  <c r="Q9" i="2"/>
  <c r="Q13" i="2"/>
  <c r="Q17" i="2"/>
  <c r="Q21" i="2"/>
  <c r="Q25" i="2"/>
  <c r="Q29" i="2"/>
  <c r="Q33" i="2"/>
  <c r="Q37" i="2"/>
  <c r="Q41" i="2"/>
  <c r="Q45" i="2"/>
  <c r="Q49" i="2"/>
  <c r="Q95" i="2"/>
  <c r="Q107" i="2"/>
  <c r="Q115" i="2"/>
  <c r="Q53" i="2"/>
  <c r="Q65" i="2"/>
  <c r="Q77" i="2"/>
  <c r="Q89" i="2"/>
  <c r="Q12" i="2"/>
  <c r="Q28" i="2"/>
  <c r="Q36" i="2"/>
  <c r="Q93" i="2"/>
  <c r="Q97" i="2"/>
  <c r="Q101" i="2"/>
  <c r="Q105" i="2"/>
  <c r="Q109" i="2"/>
  <c r="Q113" i="2"/>
  <c r="Q117" i="2"/>
  <c r="Q121" i="2"/>
  <c r="Q125" i="2"/>
  <c r="Q55" i="2"/>
  <c r="Q59" i="2"/>
  <c r="Q63" i="2"/>
  <c r="Q67" i="2"/>
  <c r="Q71" i="2"/>
  <c r="Q75" i="2"/>
  <c r="Q79" i="2"/>
  <c r="Q83" i="2"/>
  <c r="Q87" i="2"/>
  <c r="Q52" i="2"/>
  <c r="Q6" i="2"/>
  <c r="Q10" i="2"/>
  <c r="Q14" i="2"/>
  <c r="Q18" i="2"/>
  <c r="Q22" i="2"/>
  <c r="Q26" i="2"/>
  <c r="Q30" i="2"/>
  <c r="Q34" i="2"/>
  <c r="Q38" i="2"/>
  <c r="Q42" i="2"/>
  <c r="Q46" i="2"/>
  <c r="Q50" i="2"/>
  <c r="Q103" i="2"/>
  <c r="Q119" i="2"/>
  <c r="Q57" i="2"/>
  <c r="Q69" i="2"/>
  <c r="Q85" i="2"/>
  <c r="Q8" i="2"/>
  <c r="Q20" i="2"/>
  <c r="Q32" i="2"/>
  <c r="Q44" i="2"/>
  <c r="Q94" i="2"/>
  <c r="Q98" i="2"/>
  <c r="Q102" i="2"/>
  <c r="Q106" i="2"/>
  <c r="Q110" i="2"/>
  <c r="Q114" i="2"/>
  <c r="Q118" i="2"/>
  <c r="Q122" i="2"/>
  <c r="Q91" i="2"/>
  <c r="Q56" i="2"/>
  <c r="Q60" i="2"/>
  <c r="Q64" i="2"/>
  <c r="Q68" i="2"/>
  <c r="Q72" i="2"/>
  <c r="Q76" i="2"/>
  <c r="Q80" i="2"/>
  <c r="Q84" i="2"/>
  <c r="Q88" i="2"/>
  <c r="Q51" i="2"/>
  <c r="Q7" i="2"/>
  <c r="Q11" i="2"/>
  <c r="Q15" i="2"/>
  <c r="Q19" i="2"/>
  <c r="Q23" i="2"/>
  <c r="Q27" i="2"/>
  <c r="Q31" i="2"/>
  <c r="Q35" i="2"/>
  <c r="Q39" i="2"/>
  <c r="Q43" i="2"/>
  <c r="Q47" i="2"/>
  <c r="Q3" i="2"/>
  <c r="Q99" i="2"/>
  <c r="Q111" i="2"/>
  <c r="Q123" i="2"/>
  <c r="Q61" i="2"/>
  <c r="Q73" i="2"/>
  <c r="Q81" i="2"/>
  <c r="Q4" i="2"/>
  <c r="AB4" i="2" s="1"/>
  <c r="Q16" i="2"/>
  <c r="Q24" i="2"/>
  <c r="Q40" i="2"/>
  <c r="Q48" i="2"/>
  <c r="M52" i="2"/>
  <c r="AA52" i="2" s="1"/>
  <c r="D53" i="7" s="1"/>
  <c r="M114" i="2"/>
  <c r="AA114" i="2" s="1"/>
  <c r="D115" i="7" s="1"/>
  <c r="AA77" i="2"/>
  <c r="D78" i="7" s="1"/>
  <c r="M124" i="2"/>
  <c r="AA124" i="2" s="1"/>
  <c r="D125" i="7" s="1"/>
  <c r="M119" i="2"/>
  <c r="AA119" i="2" s="1"/>
  <c r="D120" i="7" s="1"/>
  <c r="M113" i="2"/>
  <c r="AA113" i="2" s="1"/>
  <c r="D114" i="7" s="1"/>
  <c r="M109" i="2"/>
  <c r="AA109" i="2" s="1"/>
  <c r="D110" i="7" s="1"/>
  <c r="M105" i="2"/>
  <c r="AA105" i="2" s="1"/>
  <c r="D106" i="7" s="1"/>
  <c r="M100" i="2"/>
  <c r="AA100" i="2" s="1"/>
  <c r="D101" i="7" s="1"/>
  <c r="M96" i="2"/>
  <c r="AA96" i="2" s="1"/>
  <c r="M92" i="2"/>
  <c r="AA92" i="2" s="1"/>
  <c r="AA88" i="2"/>
  <c r="D89" i="7" s="1"/>
  <c r="AA84" i="2"/>
  <c r="D85" i="7" s="1"/>
  <c r="AA80" i="2"/>
  <c r="D81" i="7" s="1"/>
  <c r="AA75" i="2"/>
  <c r="D76" i="7" s="1"/>
  <c r="AA71" i="2"/>
  <c r="D72" i="7" s="1"/>
  <c r="AA67" i="2"/>
  <c r="D68" i="7" s="1"/>
  <c r="AA63" i="2"/>
  <c r="D64" i="7" s="1"/>
  <c r="AA59" i="2"/>
  <c r="D60" i="7" s="1"/>
  <c r="AA55" i="2"/>
  <c r="D56" i="7" s="1"/>
  <c r="M40" i="2"/>
  <c r="AA40" i="2" s="1"/>
  <c r="D41" i="7" s="1"/>
  <c r="M36" i="2"/>
  <c r="AA36" i="2" s="1"/>
  <c r="D37" i="7" s="1"/>
  <c r="M32" i="2"/>
  <c r="AA32" i="2" s="1"/>
  <c r="D33" i="7" s="1"/>
  <c r="M28" i="2"/>
  <c r="AA28" i="2" s="1"/>
  <c r="D29" i="7" s="1"/>
  <c r="M24" i="2"/>
  <c r="AA24" i="2" s="1"/>
  <c r="D25" i="7" s="1"/>
  <c r="M20" i="2"/>
  <c r="AA20" i="2" s="1"/>
  <c r="D21" i="7" s="1"/>
  <c r="M16" i="2"/>
  <c r="AA16" i="2" s="1"/>
  <c r="D17" i="7" s="1"/>
  <c r="M12" i="2"/>
  <c r="AA12" i="2" s="1"/>
  <c r="D13" i="7" s="1"/>
  <c r="M8" i="2"/>
  <c r="AA8" i="2" s="1"/>
  <c r="D9" i="7" s="1"/>
  <c r="M4" i="2"/>
  <c r="AA4" i="2" s="1"/>
  <c r="D5" i="7" s="1"/>
  <c r="M120" i="2"/>
  <c r="AA120" i="2" s="1"/>
  <c r="D121" i="7" s="1"/>
  <c r="M110" i="2"/>
  <c r="AA110" i="2" s="1"/>
  <c r="D111" i="7" s="1"/>
  <c r="M97" i="2"/>
  <c r="AA97" i="2" s="1"/>
  <c r="D98" i="7" s="1"/>
  <c r="AA85" i="2"/>
  <c r="D86" i="7" s="1"/>
  <c r="AA76" i="2"/>
  <c r="D77" i="7" s="1"/>
  <c r="AA64" i="2"/>
  <c r="D65" i="7" s="1"/>
  <c r="M41" i="2"/>
  <c r="AA41" i="2" s="1"/>
  <c r="D42" i="7" s="1"/>
  <c r="M29" i="2"/>
  <c r="AA29" i="2" s="1"/>
  <c r="M21" i="2"/>
  <c r="AA21" i="2" s="1"/>
  <c r="M5" i="2"/>
  <c r="AA5" i="2" s="1"/>
  <c r="D6" i="7" s="1"/>
  <c r="M123" i="2"/>
  <c r="AA123" i="2" s="1"/>
  <c r="D124" i="7" s="1"/>
  <c r="M117" i="2"/>
  <c r="AA117" i="2" s="1"/>
  <c r="D118" i="7" s="1"/>
  <c r="M112" i="2"/>
  <c r="AA112" i="2" s="1"/>
  <c r="D113" i="7" s="1"/>
  <c r="M108" i="2"/>
  <c r="AA108" i="2" s="1"/>
  <c r="D109" i="7" s="1"/>
  <c r="M104" i="2"/>
  <c r="AA104" i="2" s="1"/>
  <c r="D105" i="7" s="1"/>
  <c r="M99" i="2"/>
  <c r="AA99" i="2" s="1"/>
  <c r="D100" i="7" s="1"/>
  <c r="M95" i="2"/>
  <c r="AA95" i="2" s="1"/>
  <c r="D96" i="7" s="1"/>
  <c r="M91" i="2"/>
  <c r="AA91" i="2" s="1"/>
  <c r="D92" i="7" s="1"/>
  <c r="AA87" i="2"/>
  <c r="D88" i="7" s="1"/>
  <c r="AA83" i="2"/>
  <c r="D84" i="7" s="1"/>
  <c r="AA79" i="2"/>
  <c r="D80" i="7" s="1"/>
  <c r="AA74" i="2"/>
  <c r="D75" i="7" s="1"/>
  <c r="AA70" i="2"/>
  <c r="D71" i="7" s="1"/>
  <c r="AA66" i="2"/>
  <c r="D67" i="7" s="1"/>
  <c r="AA62" i="2"/>
  <c r="D63" i="7" s="1"/>
  <c r="AA58" i="2"/>
  <c r="D59" i="7" s="1"/>
  <c r="AA54" i="2"/>
  <c r="D55" i="7" s="1"/>
  <c r="M39" i="2"/>
  <c r="AA39" i="2" s="1"/>
  <c r="H22" i="7" s="1"/>
  <c r="M35" i="2"/>
  <c r="AA35" i="2" s="1"/>
  <c r="M31" i="2"/>
  <c r="AA31" i="2" s="1"/>
  <c r="D32" i="7" s="1"/>
  <c r="M27" i="2"/>
  <c r="AA27" i="2" s="1"/>
  <c r="H16" i="7" s="1"/>
  <c r="M23" i="2"/>
  <c r="AA23" i="2" s="1"/>
  <c r="H14" i="7" s="1"/>
  <c r="M19" i="2"/>
  <c r="AA19" i="2" s="1"/>
  <c r="M15" i="2"/>
  <c r="AA15" i="2" s="1"/>
  <c r="D16" i="7" s="1"/>
  <c r="M11" i="2"/>
  <c r="AA11" i="2" s="1"/>
  <c r="D12" i="7" s="1"/>
  <c r="M7" i="2"/>
  <c r="AA7" i="2" s="1"/>
  <c r="M125" i="2"/>
  <c r="AA125" i="2" s="1"/>
  <c r="D126" i="7" s="1"/>
  <c r="M115" i="2"/>
  <c r="AA115" i="2" s="1"/>
  <c r="D116" i="7" s="1"/>
  <c r="M102" i="2"/>
  <c r="AA102" i="2" s="1"/>
  <c r="D103" i="7" s="1"/>
  <c r="AA89" i="2"/>
  <c r="D90" i="7" s="1"/>
  <c r="AA72" i="2"/>
  <c r="D73" i="7" s="1"/>
  <c r="AA60" i="2"/>
  <c r="D61" i="7" s="1"/>
  <c r="M37" i="2"/>
  <c r="AA37" i="2" s="1"/>
  <c r="H21" i="7" s="1"/>
  <c r="M25" i="2"/>
  <c r="AA25" i="2" s="1"/>
  <c r="M17" i="2"/>
  <c r="AA17" i="2" s="1"/>
  <c r="H11" i="7" s="1"/>
  <c r="M9" i="2"/>
  <c r="AA9" i="2" s="1"/>
  <c r="D10" i="7" s="1"/>
  <c r="M121" i="2"/>
  <c r="AA121" i="2" s="1"/>
  <c r="D122" i="7" s="1"/>
  <c r="M116" i="2"/>
  <c r="AA116" i="2" s="1"/>
  <c r="D117" i="7" s="1"/>
  <c r="M111" i="2"/>
  <c r="AA111" i="2" s="1"/>
  <c r="D112" i="7" s="1"/>
  <c r="M107" i="2"/>
  <c r="AA107" i="2" s="1"/>
  <c r="D108" i="7" s="1"/>
  <c r="M103" i="2"/>
  <c r="AA103" i="2" s="1"/>
  <c r="D104" i="7" s="1"/>
  <c r="M98" i="2"/>
  <c r="AA98" i="2" s="1"/>
  <c r="D99" i="7" s="1"/>
  <c r="M94" i="2"/>
  <c r="AA94" i="2" s="1"/>
  <c r="D95" i="7" s="1"/>
  <c r="AA90" i="2"/>
  <c r="D91" i="7" s="1"/>
  <c r="AA86" i="2"/>
  <c r="D87" i="7" s="1"/>
  <c r="AA82" i="2"/>
  <c r="D83" i="7" s="1"/>
  <c r="AA78" i="2"/>
  <c r="D79" i="7" s="1"/>
  <c r="AA73" i="2"/>
  <c r="D74" i="7" s="1"/>
  <c r="AA69" i="2"/>
  <c r="D70" i="7" s="1"/>
  <c r="AA65" i="2"/>
  <c r="D66" i="7" s="1"/>
  <c r="AA61" i="2"/>
  <c r="D62" i="7" s="1"/>
  <c r="AA57" i="2"/>
  <c r="D58" i="7" s="1"/>
  <c r="M53" i="2"/>
  <c r="AA53" i="2" s="1"/>
  <c r="D54" i="7" s="1"/>
  <c r="M38" i="2"/>
  <c r="AA38" i="2" s="1"/>
  <c r="D39" i="7" s="1"/>
  <c r="M34" i="2"/>
  <c r="AA34" i="2" s="1"/>
  <c r="M30" i="2"/>
  <c r="AA30" i="2" s="1"/>
  <c r="D31" i="7" s="1"/>
  <c r="M26" i="2"/>
  <c r="AA26" i="2" s="1"/>
  <c r="D27" i="7" s="1"/>
  <c r="M22" i="2"/>
  <c r="AA22" i="2" s="1"/>
  <c r="D23" i="7" s="1"/>
  <c r="M18" i="2"/>
  <c r="AA18" i="2" s="1"/>
  <c r="D19" i="7" s="1"/>
  <c r="M14" i="2"/>
  <c r="AA14" i="2" s="1"/>
  <c r="D15" i="7" s="1"/>
  <c r="M10" i="2"/>
  <c r="AA10" i="2" s="1"/>
  <c r="D11" i="7" s="1"/>
  <c r="M6" i="2"/>
  <c r="AA6" i="2" s="1"/>
  <c r="D7" i="7" s="1"/>
  <c r="M101" i="2"/>
  <c r="AA101" i="2" s="1"/>
  <c r="D102" i="7" s="1"/>
  <c r="M106" i="2"/>
  <c r="AA106" i="2" s="1"/>
  <c r="D107" i="7" s="1"/>
  <c r="M93" i="2"/>
  <c r="AA93" i="2" s="1"/>
  <c r="D94" i="7" s="1"/>
  <c r="AA81" i="2"/>
  <c r="D82" i="7" s="1"/>
  <c r="AA68" i="2"/>
  <c r="D69" i="7" s="1"/>
  <c r="AA56" i="2"/>
  <c r="D57" i="7" s="1"/>
  <c r="M33" i="2"/>
  <c r="AA33" i="2" s="1"/>
  <c r="D34" i="7" s="1"/>
  <c r="M13" i="2"/>
  <c r="AA13" i="2" s="1"/>
  <c r="H9" i="7" s="1"/>
  <c r="M122" i="2"/>
  <c r="AA122" i="2" s="1"/>
  <c r="D123" i="7" s="1"/>
  <c r="M118" i="2"/>
  <c r="AA118" i="2" s="1"/>
  <c r="D119" i="7" s="1"/>
  <c r="M3" i="2"/>
  <c r="AA3" i="2" s="1"/>
  <c r="H4" i="7" s="1"/>
  <c r="K98" i="1"/>
  <c r="T120" i="2"/>
  <c r="T46" i="2"/>
  <c r="T97" i="2"/>
  <c r="T49" i="2"/>
  <c r="T73" i="2"/>
  <c r="T8" i="2"/>
  <c r="T107" i="2"/>
  <c r="T23" i="2"/>
  <c r="T122" i="2"/>
  <c r="T82" i="2"/>
  <c r="T93" i="2"/>
  <c r="T21" i="2"/>
  <c r="T68" i="2"/>
  <c r="T86" i="2"/>
  <c r="T53" i="2"/>
  <c r="T60" i="2"/>
  <c r="T51" i="2"/>
  <c r="T102" i="2"/>
  <c r="T38" i="2"/>
  <c r="T62" i="2"/>
  <c r="T104" i="2"/>
  <c r="T95" i="2"/>
  <c r="T29" i="2"/>
  <c r="T119" i="2"/>
  <c r="T39" i="2"/>
  <c r="T81" i="2"/>
  <c r="T92" i="2"/>
  <c r="T16" i="2"/>
  <c r="T115" i="2"/>
  <c r="T31" i="2"/>
  <c r="T55" i="2"/>
  <c r="T52" i="2"/>
  <c r="T101" i="2"/>
  <c r="T83" i="2"/>
  <c r="T14" i="2"/>
  <c r="T33" i="2"/>
  <c r="T57" i="2"/>
  <c r="T80" i="2"/>
  <c r="T7" i="2"/>
  <c r="T106" i="2"/>
  <c r="T42" i="2"/>
  <c r="T66" i="2"/>
  <c r="T61" i="2"/>
  <c r="T3" i="2"/>
  <c r="T96" i="2"/>
  <c r="T103" i="2"/>
  <c r="T75" i="2"/>
  <c r="T22" i="2"/>
  <c r="T121" i="2"/>
  <c r="T27" i="2"/>
  <c r="T30" i="2"/>
  <c r="T85" i="2"/>
  <c r="T36" i="2"/>
  <c r="T41" i="2"/>
  <c r="T65" i="2"/>
  <c r="T88" i="2"/>
  <c r="T99" i="2"/>
  <c r="T15" i="2"/>
  <c r="T114" i="2"/>
  <c r="T50" i="2"/>
  <c r="T74" i="2"/>
  <c r="T44" i="2"/>
  <c r="T84" i="2"/>
  <c r="T70" i="2"/>
  <c r="T17" i="2"/>
  <c r="T116" i="2"/>
  <c r="T64" i="2"/>
  <c r="T79" i="2"/>
  <c r="T26" i="2"/>
  <c r="T125" i="2"/>
  <c r="T11" i="2"/>
  <c r="T45" i="2"/>
  <c r="T59" i="2"/>
  <c r="T6" i="2"/>
  <c r="T105" i="2"/>
  <c r="T37" i="2"/>
  <c r="T12" i="2"/>
  <c r="T67" i="2"/>
  <c r="T113" i="2"/>
  <c r="T69" i="2"/>
  <c r="T35" i="2"/>
  <c r="T25" i="2"/>
  <c r="T124" i="2"/>
  <c r="T72" i="2"/>
  <c r="T87" i="2"/>
  <c r="T98" i="2"/>
  <c r="T34" i="2"/>
  <c r="T58" i="2"/>
  <c r="T5" i="2"/>
  <c r="T111" i="2"/>
  <c r="T54" i="2"/>
  <c r="T40" i="2"/>
  <c r="T89" i="2"/>
  <c r="T100" i="2"/>
  <c r="T24" i="2"/>
  <c r="T123" i="2"/>
  <c r="T63" i="2"/>
  <c r="T10" i="2"/>
  <c r="T109" i="2"/>
  <c r="T48" i="2"/>
  <c r="T28" i="2"/>
  <c r="T110" i="2"/>
  <c r="AB110" i="2" s="1"/>
  <c r="T13" i="2"/>
  <c r="T20" i="2"/>
  <c r="T19" i="2"/>
  <c r="T118" i="2"/>
  <c r="T78" i="2"/>
  <c r="T77" i="2"/>
  <c r="T94" i="2"/>
  <c r="T47" i="2"/>
  <c r="T112" i="2"/>
  <c r="T76" i="2"/>
  <c r="T43" i="2"/>
  <c r="T9" i="2"/>
  <c r="T108" i="2"/>
  <c r="T32" i="2"/>
  <c r="T71" i="2"/>
  <c r="T18" i="2"/>
  <c r="T117" i="2"/>
  <c r="R10" i="2"/>
  <c r="R86" i="2"/>
  <c r="R76" i="2"/>
  <c r="R66" i="2"/>
  <c r="R56" i="2"/>
  <c r="R121" i="2"/>
  <c r="R111" i="2"/>
  <c r="R101" i="2"/>
  <c r="R107" i="2"/>
  <c r="AB107" i="2" s="1"/>
  <c r="R97" i="2"/>
  <c r="R52" i="2"/>
  <c r="R39" i="2"/>
  <c r="R33" i="2"/>
  <c r="R19" i="2"/>
  <c r="R13" i="2"/>
  <c r="R15" i="2"/>
  <c r="R9" i="2"/>
  <c r="R81" i="2"/>
  <c r="R75" i="2"/>
  <c r="R61" i="2"/>
  <c r="R55" i="2"/>
  <c r="R116" i="2"/>
  <c r="R112" i="2"/>
  <c r="R106" i="2"/>
  <c r="R92" i="2"/>
  <c r="R44" i="2"/>
  <c r="R34" i="2"/>
  <c r="R24" i="2"/>
  <c r="R14" i="2"/>
  <c r="R51" i="2"/>
  <c r="Y281" i="9"/>
  <c r="J90" i="1"/>
  <c r="K90" i="1" s="1"/>
  <c r="R85" i="2"/>
  <c r="R96" i="2"/>
  <c r="R80" i="2"/>
  <c r="R79" i="2"/>
  <c r="R48" i="2"/>
  <c r="R70" i="2"/>
  <c r="R43" i="2"/>
  <c r="R65" i="2"/>
  <c r="R38" i="2"/>
  <c r="R60" i="2"/>
  <c r="R37" i="2"/>
  <c r="R59" i="2"/>
  <c r="R28" i="2"/>
  <c r="R125" i="2"/>
  <c r="R23" i="2"/>
  <c r="R120" i="2"/>
  <c r="R18" i="2"/>
  <c r="R115" i="2"/>
  <c r="R17" i="2"/>
  <c r="R114" i="2"/>
  <c r="R8" i="2"/>
  <c r="R105" i="2"/>
  <c r="R89" i="2"/>
  <c r="R100" i="2"/>
  <c r="R84" i="2"/>
  <c r="R95" i="2"/>
  <c r="R83" i="2"/>
  <c r="R94" i="2"/>
  <c r="R74" i="2"/>
  <c r="AB86" i="2"/>
  <c r="R47" i="2"/>
  <c r="R69" i="2"/>
  <c r="R42" i="2"/>
  <c r="R64" i="2"/>
  <c r="R41" i="2"/>
  <c r="R63" i="2"/>
  <c r="R32" i="2"/>
  <c r="R54" i="2"/>
  <c r="AB54" i="2" s="1"/>
  <c r="H10" i="10" s="1"/>
  <c r="R27" i="2"/>
  <c r="R124" i="2"/>
  <c r="R22" i="2"/>
  <c r="R119" i="2"/>
  <c r="R21" i="2"/>
  <c r="R118" i="2"/>
  <c r="R12" i="2"/>
  <c r="R109" i="2"/>
  <c r="R7" i="2"/>
  <c r="R104" i="2"/>
  <c r="R88" i="2"/>
  <c r="R99" i="2"/>
  <c r="R87" i="2"/>
  <c r="R98" i="2"/>
  <c r="R78" i="2"/>
  <c r="R73" i="2"/>
  <c r="R46" i="2"/>
  <c r="R68" i="2"/>
  <c r="R45" i="2"/>
  <c r="R67" i="2"/>
  <c r="R36" i="2"/>
  <c r="R58" i="2"/>
  <c r="N6" i="1"/>
  <c r="R12" i="1" s="1"/>
  <c r="N5" i="1"/>
  <c r="R31" i="2"/>
  <c r="R53" i="2"/>
  <c r="R26" i="2"/>
  <c r="R123" i="2"/>
  <c r="R25" i="2"/>
  <c r="R122" i="2"/>
  <c r="R16" i="2"/>
  <c r="R113" i="2"/>
  <c r="R11" i="2"/>
  <c r="R108" i="2"/>
  <c r="R6" i="2"/>
  <c r="R103" i="2"/>
  <c r="R5" i="2"/>
  <c r="R102" i="2"/>
  <c r="R82" i="2"/>
  <c r="R93" i="2"/>
  <c r="R77" i="2"/>
  <c r="R50" i="2"/>
  <c r="R72" i="2"/>
  <c r="R49" i="2"/>
  <c r="R71" i="2"/>
  <c r="R40" i="2"/>
  <c r="R62" i="2"/>
  <c r="R35" i="2"/>
  <c r="R57" i="2"/>
  <c r="R30" i="2"/>
  <c r="R90" i="2"/>
  <c r="R29" i="2"/>
  <c r="R91" i="2"/>
  <c r="R20" i="2"/>
  <c r="L27" i="1"/>
  <c r="M27" i="1" s="1"/>
  <c r="J92" i="1"/>
  <c r="C96" i="1"/>
  <c r="E303" i="9" s="1"/>
  <c r="G11" i="10"/>
  <c r="C97" i="1" s="1"/>
  <c r="G12" i="10"/>
  <c r="C98" i="1" s="1"/>
  <c r="G8" i="10"/>
  <c r="G9" i="10"/>
  <c r="C95" i="1" s="1"/>
  <c r="D22" i="7"/>
  <c r="D35" i="7"/>
  <c r="D93" i="7"/>
  <c r="H15" i="7"/>
  <c r="D97" i="7"/>
  <c r="D47" i="7"/>
  <c r="B96" i="1"/>
  <c r="E298" i="9" s="1"/>
  <c r="H17" i="7"/>
  <c r="D30" i="7"/>
  <c r="R18" i="1"/>
  <c r="F8" i="10"/>
  <c r="F11" i="10"/>
  <c r="F9" i="10"/>
  <c r="G104" i="1"/>
  <c r="G106" i="1" s="1"/>
  <c r="G18" i="1"/>
  <c r="D40" i="7"/>
  <c r="D50" i="7"/>
  <c r="D18" i="7"/>
  <c r="F12" i="10"/>
  <c r="D24" i="7"/>
  <c r="H24" i="7"/>
  <c r="H28" i="7"/>
  <c r="D52" i="7"/>
  <c r="H26" i="7"/>
  <c r="D48" i="7"/>
  <c r="D20" i="7"/>
  <c r="H12" i="7"/>
  <c r="D8" i="7"/>
  <c r="H6" i="7"/>
  <c r="H18" i="7"/>
  <c r="D46" i="7"/>
  <c r="H25" i="7"/>
  <c r="H20" i="7"/>
  <c r="D36" i="7"/>
  <c r="R5" i="1"/>
  <c r="R8" i="1" s="1"/>
  <c r="N94" i="1"/>
  <c r="H5" i="7"/>
  <c r="F11" i="6"/>
  <c r="C19" i="6" s="1"/>
  <c r="G19" i="6" s="1"/>
  <c r="C18" i="6"/>
  <c r="E18" i="6" s="1"/>
  <c r="C36" i="6"/>
  <c r="F36" i="6" s="1"/>
  <c r="F9" i="6"/>
  <c r="C17" i="6" s="1"/>
  <c r="C20" i="6"/>
  <c r="F8" i="6"/>
  <c r="D36" i="6"/>
  <c r="G36" i="6" s="1"/>
  <c r="E36" i="6"/>
  <c r="H36" i="6" s="1"/>
  <c r="H10" i="7" l="1"/>
  <c r="D14" i="7"/>
  <c r="AB117" i="2"/>
  <c r="D38" i="7"/>
  <c r="AB56" i="2"/>
  <c r="AB90" i="2"/>
  <c r="AB95" i="2"/>
  <c r="D4" i="7"/>
  <c r="AB19" i="2"/>
  <c r="AC4" i="2"/>
  <c r="H23" i="7"/>
  <c r="H8" i="7"/>
  <c r="D28" i="7"/>
  <c r="AB3" i="2"/>
  <c r="AC3" i="2" s="1"/>
  <c r="AD3" i="2" s="1"/>
  <c r="AB82" i="2"/>
  <c r="C83" i="7" s="1"/>
  <c r="AB102" i="2"/>
  <c r="AB31" i="2"/>
  <c r="AB80" i="2"/>
  <c r="C81" i="7" s="1"/>
  <c r="AB15" i="2"/>
  <c r="AB97" i="2"/>
  <c r="AB45" i="2"/>
  <c r="AB75" i="2"/>
  <c r="E279" i="9"/>
  <c r="K92" i="1"/>
  <c r="E278" i="9"/>
  <c r="AB51" i="2"/>
  <c r="AC51" i="2" s="1"/>
  <c r="AE51" i="2" s="1"/>
  <c r="AB73" i="2"/>
  <c r="C74" i="7" s="1"/>
  <c r="AB120" i="2"/>
  <c r="AB109" i="2"/>
  <c r="AB79" i="2"/>
  <c r="C80" i="7" s="1"/>
  <c r="AB58" i="2"/>
  <c r="C59" i="7" s="1"/>
  <c r="AB42" i="2"/>
  <c r="AB105" i="2"/>
  <c r="AB125" i="2"/>
  <c r="AB76" i="2"/>
  <c r="C77" i="7" s="1"/>
  <c r="AB101" i="2"/>
  <c r="AB36" i="2"/>
  <c r="AB104" i="2"/>
  <c r="AC104" i="2" s="1"/>
  <c r="AE104" i="2" s="1"/>
  <c r="AB8" i="2"/>
  <c r="AB96" i="2"/>
  <c r="AC96" i="2" s="1"/>
  <c r="AD96" i="2" s="1"/>
  <c r="AB81" i="2"/>
  <c r="C82" i="7" s="1"/>
  <c r="AB10" i="2"/>
  <c r="AC10" i="2" s="1"/>
  <c r="AD10" i="2" s="1"/>
  <c r="AB14" i="2"/>
  <c r="O5" i="1"/>
  <c r="L82" i="1"/>
  <c r="AB27" i="2"/>
  <c r="AC27" i="2" s="1"/>
  <c r="AD27" i="2" s="1"/>
  <c r="AB112" i="2"/>
  <c r="AB13" i="2"/>
  <c r="AB24" i="2"/>
  <c r="AB52" i="2"/>
  <c r="AB25" i="2"/>
  <c r="AC25" i="2" s="1"/>
  <c r="AD25" i="2" s="1"/>
  <c r="AB28" i="2"/>
  <c r="AB29" i="2"/>
  <c r="AB93" i="2"/>
  <c r="AB113" i="2"/>
  <c r="AB33" i="2"/>
  <c r="AB49" i="2"/>
  <c r="AB118" i="2"/>
  <c r="AB69" i="2"/>
  <c r="C70" i="7" s="1"/>
  <c r="AB38" i="2"/>
  <c r="AB92" i="2"/>
  <c r="AB116" i="2"/>
  <c r="AB70" i="2"/>
  <c r="C71" i="7" s="1"/>
  <c r="AB16" i="2"/>
  <c r="AB124" i="2"/>
  <c r="AB7" i="2"/>
  <c r="AC7" i="2" s="1"/>
  <c r="AE7" i="2" s="1"/>
  <c r="AB47" i="2"/>
  <c r="AC47" i="2" s="1"/>
  <c r="AD47" i="2" s="1"/>
  <c r="AB114" i="2"/>
  <c r="AB65" i="2"/>
  <c r="AB85" i="2"/>
  <c r="C86" i="7" s="1"/>
  <c r="AB121" i="2"/>
  <c r="AB123" i="2"/>
  <c r="AB115" i="2"/>
  <c r="AB60" i="2"/>
  <c r="C61" i="7" s="1"/>
  <c r="AB40" i="2"/>
  <c r="AB108" i="2"/>
  <c r="AB9" i="2"/>
  <c r="AC9" i="2" s="1"/>
  <c r="AD9" i="2" s="1"/>
  <c r="AB55" i="2"/>
  <c r="C56" i="7" s="1"/>
  <c r="AB111" i="2"/>
  <c r="AB119" i="2"/>
  <c r="AB34" i="2"/>
  <c r="AB35" i="2"/>
  <c r="AC35" i="2" s="1"/>
  <c r="AD35" i="2" s="1"/>
  <c r="AB103" i="2"/>
  <c r="AB87" i="2"/>
  <c r="C88" i="7" s="1"/>
  <c r="AB44" i="2"/>
  <c r="AB99" i="2"/>
  <c r="AB64" i="2"/>
  <c r="C65" i="7" s="1"/>
  <c r="AB20" i="2"/>
  <c r="AB50" i="2"/>
  <c r="AB122" i="2"/>
  <c r="AB53" i="2"/>
  <c r="C54" i="7" s="1"/>
  <c r="AB88" i="2"/>
  <c r="C89" i="7" s="1"/>
  <c r="AB12" i="2"/>
  <c r="AC12" i="2" s="1"/>
  <c r="AE12" i="2" s="1"/>
  <c r="AB22" i="2"/>
  <c r="AB32" i="2"/>
  <c r="AB94" i="2"/>
  <c r="AB100" i="2"/>
  <c r="AB59" i="2"/>
  <c r="C60" i="7" s="1"/>
  <c r="AB30" i="2"/>
  <c r="AC30" i="2" s="1"/>
  <c r="AD30" i="2" s="1"/>
  <c r="AB57" i="2"/>
  <c r="C58" i="7" s="1"/>
  <c r="AB46" i="2"/>
  <c r="AB98" i="2"/>
  <c r="AB63" i="2"/>
  <c r="C64" i="7" s="1"/>
  <c r="AB83" i="2"/>
  <c r="C84" i="7" s="1"/>
  <c r="AB89" i="2"/>
  <c r="C90" i="7" s="1"/>
  <c r="AB17" i="2"/>
  <c r="C18" i="7" s="1"/>
  <c r="AB23" i="2"/>
  <c r="AB62" i="2"/>
  <c r="C63" i="7" s="1"/>
  <c r="AB72" i="2"/>
  <c r="C73" i="7" s="1"/>
  <c r="AB6" i="2"/>
  <c r="AB26" i="2"/>
  <c r="AC26" i="2" s="1"/>
  <c r="AE26" i="2" s="1"/>
  <c r="AB67" i="2"/>
  <c r="C68" i="7" s="1"/>
  <c r="AB21" i="2"/>
  <c r="AC21" i="2" s="1"/>
  <c r="AD21" i="2" s="1"/>
  <c r="AB41" i="2"/>
  <c r="AC41" i="2" s="1"/>
  <c r="AD41" i="2" s="1"/>
  <c r="AB37" i="2"/>
  <c r="AB43" i="2"/>
  <c r="AB106" i="2"/>
  <c r="AB61" i="2"/>
  <c r="C62" i="7" s="1"/>
  <c r="AB39" i="2"/>
  <c r="AB66" i="2"/>
  <c r="C67" i="7" s="1"/>
  <c r="AB91" i="2"/>
  <c r="AB71" i="2"/>
  <c r="C72" i="7" s="1"/>
  <c r="AB77" i="2"/>
  <c r="C78" i="7" s="1"/>
  <c r="AB5" i="2"/>
  <c r="AC5" i="2" s="1"/>
  <c r="AE5" i="2" s="1"/>
  <c r="AB11" i="2"/>
  <c r="AC11" i="2" s="1"/>
  <c r="AE11" i="2" s="1"/>
  <c r="AB68" i="2"/>
  <c r="C69" i="7" s="1"/>
  <c r="AB78" i="2"/>
  <c r="C79" i="7" s="1"/>
  <c r="AB74" i="2"/>
  <c r="C75" i="7" s="1"/>
  <c r="AB84" i="2"/>
  <c r="C85" i="7" s="1"/>
  <c r="AB18" i="2"/>
  <c r="AB48" i="2"/>
  <c r="V225" i="9"/>
  <c r="E281" i="9"/>
  <c r="H9" i="10"/>
  <c r="R6" i="1"/>
  <c r="S6" i="1" s="1"/>
  <c r="C4" i="10"/>
  <c r="H11" i="10"/>
  <c r="H8" i="10"/>
  <c r="H12" i="10"/>
  <c r="Q23" i="1"/>
  <c r="R11" i="1"/>
  <c r="R10" i="1" s="1"/>
  <c r="R13" i="1" s="1"/>
  <c r="Q22" i="1"/>
  <c r="L80" i="1"/>
  <c r="L81" i="1"/>
  <c r="M21" i="1"/>
  <c r="J94" i="1"/>
  <c r="V224" i="9" s="1"/>
  <c r="Y278" i="9"/>
  <c r="B97" i="1"/>
  <c r="E299" i="9" s="1"/>
  <c r="V222" i="9"/>
  <c r="V223" i="9"/>
  <c r="B98" i="1"/>
  <c r="E300" i="9" s="1"/>
  <c r="C94" i="1"/>
  <c r="E301" i="9" s="1"/>
  <c r="B94" i="1"/>
  <c r="E296" i="9" s="1"/>
  <c r="H13" i="7"/>
  <c r="B95" i="1"/>
  <c r="E297" i="9" s="1"/>
  <c r="D26" i="7"/>
  <c r="Y279" i="9"/>
  <c r="E304" i="9"/>
  <c r="H7" i="7"/>
  <c r="H19" i="7"/>
  <c r="E302" i="9"/>
  <c r="E305" i="9"/>
  <c r="C66" i="7"/>
  <c r="AC45" i="2"/>
  <c r="AD45" i="2" s="1"/>
  <c r="AC29" i="2"/>
  <c r="AD29" i="2" s="1"/>
  <c r="G10" i="7"/>
  <c r="C76" i="7"/>
  <c r="C87" i="7"/>
  <c r="C91" i="7"/>
  <c r="AC31" i="2"/>
  <c r="AE31" i="2" s="1"/>
  <c r="AC19" i="2"/>
  <c r="AE19" i="2" s="1"/>
  <c r="C14" i="7"/>
  <c r="O6" i="1"/>
  <c r="R7" i="1"/>
  <c r="S7" i="1" s="1"/>
  <c r="E19" i="6"/>
  <c r="N7" i="1"/>
  <c r="C5" i="10"/>
  <c r="G18" i="6"/>
  <c r="N95" i="1"/>
  <c r="N96" i="1"/>
  <c r="Y282" i="9"/>
  <c r="V226" i="9"/>
  <c r="E282" i="9"/>
  <c r="G20" i="6"/>
  <c r="E20" i="6"/>
  <c r="E17" i="6"/>
  <c r="G17" i="6"/>
  <c r="E35" i="6"/>
  <c r="H35" i="6" s="1"/>
  <c r="C35" i="6"/>
  <c r="F35" i="6" s="1"/>
  <c r="C16" i="6"/>
  <c r="D35" i="6"/>
  <c r="G35" i="6" s="1"/>
  <c r="AE4" i="2" l="1"/>
  <c r="AD4" i="2"/>
  <c r="Q21" i="1"/>
  <c r="Q26" i="1" s="1"/>
  <c r="E277" i="9"/>
  <c r="I10" i="10"/>
  <c r="I8" i="10"/>
  <c r="J8" i="10" s="1"/>
  <c r="K8" i="10" s="1"/>
  <c r="L8" i="10" s="1"/>
  <c r="E280" i="9"/>
  <c r="Y280" i="9"/>
  <c r="E276" i="9"/>
  <c r="V219" i="9"/>
  <c r="E275" i="9"/>
  <c r="E315" i="9"/>
  <c r="E311" i="9"/>
  <c r="E314" i="9"/>
  <c r="E313" i="9"/>
  <c r="AD26" i="2"/>
  <c r="C55" i="7"/>
  <c r="D96" i="1"/>
  <c r="C57" i="7"/>
  <c r="D98" i="1"/>
  <c r="C53" i="7"/>
  <c r="D94" i="1"/>
  <c r="D97" i="1"/>
  <c r="C6" i="7"/>
  <c r="G5" i="7"/>
  <c r="C13" i="7"/>
  <c r="C105" i="7"/>
  <c r="C8" i="7"/>
  <c r="C52" i="7"/>
  <c r="C97" i="7"/>
  <c r="C46" i="7"/>
  <c r="G6" i="7"/>
  <c r="AC49" i="2"/>
  <c r="AE49" i="2" s="1"/>
  <c r="G27" i="7"/>
  <c r="AC14" i="2"/>
  <c r="AE14" i="2" s="1"/>
  <c r="C15" i="7"/>
  <c r="AC123" i="2"/>
  <c r="AD123" i="2" s="1"/>
  <c r="C124" i="7"/>
  <c r="AC109" i="2"/>
  <c r="AD109" i="2" s="1"/>
  <c r="C110" i="7"/>
  <c r="AC117" i="2"/>
  <c r="AE117" i="2" s="1"/>
  <c r="C118" i="7"/>
  <c r="AC119" i="2"/>
  <c r="AE119" i="2" s="1"/>
  <c r="C120" i="7"/>
  <c r="AC23" i="2"/>
  <c r="AD23" i="2" s="1"/>
  <c r="G14" i="7"/>
  <c r="AC40" i="2"/>
  <c r="AD40" i="2" s="1"/>
  <c r="C41" i="7"/>
  <c r="AC18" i="2"/>
  <c r="AD18" i="2" s="1"/>
  <c r="C19" i="7"/>
  <c r="AC120" i="2"/>
  <c r="AE120" i="2" s="1"/>
  <c r="C121" i="7"/>
  <c r="AC33" i="2"/>
  <c r="AD33" i="2" s="1"/>
  <c r="C34" i="7"/>
  <c r="AC39" i="2"/>
  <c r="AE39" i="2" s="1"/>
  <c r="G22" i="7"/>
  <c r="AC93" i="2"/>
  <c r="AE93" i="2" s="1"/>
  <c r="C94" i="7"/>
  <c r="C11" i="7"/>
  <c r="C12" i="7"/>
  <c r="G13" i="7"/>
  <c r="C32" i="7"/>
  <c r="G7" i="7"/>
  <c r="C40" i="7"/>
  <c r="G26" i="7"/>
  <c r="C30" i="7"/>
  <c r="AC95" i="2"/>
  <c r="AE95" i="2" s="1"/>
  <c r="C96" i="7"/>
  <c r="AC32" i="2"/>
  <c r="AE32" i="2" s="1"/>
  <c r="C33" i="7"/>
  <c r="AC34" i="2"/>
  <c r="AD34" i="2" s="1"/>
  <c r="C35" i="7"/>
  <c r="AC94" i="2"/>
  <c r="AE94" i="2" s="1"/>
  <c r="C95" i="7"/>
  <c r="AC113" i="2"/>
  <c r="AE113" i="2" s="1"/>
  <c r="C114" i="7"/>
  <c r="AC17" i="2"/>
  <c r="AD17" i="2" s="1"/>
  <c r="G11" i="7"/>
  <c r="AC22" i="2"/>
  <c r="AE22" i="2" s="1"/>
  <c r="C23" i="7"/>
  <c r="AC91" i="2"/>
  <c r="AE91" i="2" s="1"/>
  <c r="C92" i="7"/>
  <c r="AC8" i="2"/>
  <c r="AD8" i="2" s="1"/>
  <c r="C9" i="7"/>
  <c r="AC28" i="2"/>
  <c r="AD28" i="2" s="1"/>
  <c r="C29" i="7"/>
  <c r="AC115" i="2"/>
  <c r="AD115" i="2" s="1"/>
  <c r="C116" i="7"/>
  <c r="AC118" i="2"/>
  <c r="AD118" i="2" s="1"/>
  <c r="C119" i="7"/>
  <c r="AC37" i="2"/>
  <c r="AD37" i="2" s="1"/>
  <c r="G21" i="7"/>
  <c r="AC102" i="2"/>
  <c r="AE102" i="2" s="1"/>
  <c r="C103" i="7"/>
  <c r="AC99" i="2"/>
  <c r="AD99" i="2" s="1"/>
  <c r="C100" i="7"/>
  <c r="AC97" i="2"/>
  <c r="AE97" i="2" s="1"/>
  <c r="C98" i="7"/>
  <c r="C42" i="7"/>
  <c r="C24" i="7"/>
  <c r="C26" i="7"/>
  <c r="G20" i="7"/>
  <c r="G25" i="7"/>
  <c r="C20" i="7"/>
  <c r="C36" i="7"/>
  <c r="C50" i="7"/>
  <c r="C48" i="7"/>
  <c r="AC121" i="2"/>
  <c r="AD121" i="2" s="1"/>
  <c r="C122" i="7"/>
  <c r="AC13" i="2"/>
  <c r="AD13" i="2" s="1"/>
  <c r="G9" i="7"/>
  <c r="AC6" i="2"/>
  <c r="AE6" i="2" s="1"/>
  <c r="C7" i="7"/>
  <c r="AC92" i="2"/>
  <c r="AD92" i="2" s="1"/>
  <c r="C93" i="7"/>
  <c r="AC101" i="2"/>
  <c r="AD101" i="2" s="1"/>
  <c r="C102" i="7"/>
  <c r="AC116" i="2"/>
  <c r="AD116" i="2" s="1"/>
  <c r="C117" i="7"/>
  <c r="AC124" i="2"/>
  <c r="AD124" i="2" s="1"/>
  <c r="C125" i="7"/>
  <c r="AC43" i="2"/>
  <c r="AD43" i="2" s="1"/>
  <c r="C44" i="7"/>
  <c r="AC107" i="2"/>
  <c r="AD107" i="2" s="1"/>
  <c r="C108" i="7"/>
  <c r="AC15" i="2"/>
  <c r="AD15" i="2" s="1"/>
  <c r="C16" i="7"/>
  <c r="AC44" i="2"/>
  <c r="AE44" i="2" s="1"/>
  <c r="C45" i="7"/>
  <c r="AC114" i="2"/>
  <c r="AD114" i="2" s="1"/>
  <c r="C115" i="7"/>
  <c r="C5" i="7"/>
  <c r="AC125" i="2"/>
  <c r="AE125" i="2" s="1"/>
  <c r="C126" i="7"/>
  <c r="AC42" i="2"/>
  <c r="AD42" i="2" s="1"/>
  <c r="C43" i="7"/>
  <c r="AC38" i="2"/>
  <c r="AD38" i="2" s="1"/>
  <c r="C39" i="7"/>
  <c r="AC16" i="2"/>
  <c r="AD16" i="2" s="1"/>
  <c r="C17" i="7"/>
  <c r="AC112" i="2"/>
  <c r="AD112" i="2" s="1"/>
  <c r="C113" i="7"/>
  <c r="C22" i="7"/>
  <c r="C10" i="7"/>
  <c r="G24" i="7"/>
  <c r="G8" i="7"/>
  <c r="G16" i="7"/>
  <c r="AC122" i="2"/>
  <c r="AD122" i="2" s="1"/>
  <c r="C123" i="7"/>
  <c r="AC98" i="2"/>
  <c r="AD98" i="2" s="1"/>
  <c r="C99" i="7"/>
  <c r="AC36" i="2"/>
  <c r="AD36" i="2" s="1"/>
  <c r="C37" i="7"/>
  <c r="AC24" i="2"/>
  <c r="AE24" i="2" s="1"/>
  <c r="C25" i="7"/>
  <c r="AC108" i="2"/>
  <c r="AE108" i="2" s="1"/>
  <c r="C109" i="7"/>
  <c r="AC46" i="2"/>
  <c r="AD46" i="2" s="1"/>
  <c r="C47" i="7"/>
  <c r="AC106" i="2"/>
  <c r="C107" i="7"/>
  <c r="AC50" i="2"/>
  <c r="AD50" i="2" s="1"/>
  <c r="C51" i="7"/>
  <c r="AC111" i="2"/>
  <c r="C112" i="7"/>
  <c r="AC20" i="2"/>
  <c r="C21" i="7"/>
  <c r="AC105" i="2"/>
  <c r="AE105" i="2" s="1"/>
  <c r="C106" i="7"/>
  <c r="AC100" i="2"/>
  <c r="AE100" i="2" s="1"/>
  <c r="C101" i="7"/>
  <c r="AC103" i="2"/>
  <c r="C104" i="7"/>
  <c r="AC110" i="2"/>
  <c r="AE110" i="2" s="1"/>
  <c r="C111" i="7"/>
  <c r="AC48" i="2"/>
  <c r="AE48" i="2" s="1"/>
  <c r="C49" i="7"/>
  <c r="G19" i="7"/>
  <c r="C27" i="7"/>
  <c r="G15" i="7"/>
  <c r="G18" i="7"/>
  <c r="C38" i="7"/>
  <c r="G23" i="7"/>
  <c r="G12" i="7"/>
  <c r="G17" i="7"/>
  <c r="G28" i="7"/>
  <c r="C4" i="7"/>
  <c r="C31" i="7"/>
  <c r="C28" i="7"/>
  <c r="G4" i="7"/>
  <c r="AE96" i="2"/>
  <c r="AE41" i="2"/>
  <c r="AD12" i="2"/>
  <c r="AC53" i="2"/>
  <c r="AD53" i="2" s="1"/>
  <c r="AE53" i="2" s="1"/>
  <c r="AC84" i="2"/>
  <c r="AD84" i="2" s="1"/>
  <c r="AE84" i="2" s="1"/>
  <c r="AE45" i="2"/>
  <c r="AC79" i="2"/>
  <c r="AD79" i="2" s="1"/>
  <c r="AE79" i="2" s="1"/>
  <c r="AC65" i="2"/>
  <c r="AD65" i="2" s="1"/>
  <c r="AE65" i="2" s="1"/>
  <c r="E312" i="9"/>
  <c r="AE21" i="2"/>
  <c r="Y275" i="9"/>
  <c r="AC62" i="2"/>
  <c r="AD62" i="2" s="1"/>
  <c r="AE62" i="2" s="1"/>
  <c r="AC59" i="2"/>
  <c r="AD59" i="2" s="1"/>
  <c r="AE59" i="2" s="1"/>
  <c r="AD11" i="2"/>
  <c r="AC83" i="2"/>
  <c r="AD83" i="2" s="1"/>
  <c r="AE83" i="2" s="1"/>
  <c r="AD51" i="2"/>
  <c r="AC64" i="2"/>
  <c r="AD64" i="2" s="1"/>
  <c r="AE64" i="2" s="1"/>
  <c r="Y276" i="9"/>
  <c r="AC71" i="2"/>
  <c r="AD71" i="2" s="1"/>
  <c r="AE71" i="2" s="1"/>
  <c r="AD104" i="2"/>
  <c r="AC82" i="2"/>
  <c r="AD82" i="2" s="1"/>
  <c r="AE82" i="2" s="1"/>
  <c r="AC67" i="2"/>
  <c r="AD67" i="2" s="1"/>
  <c r="AE67" i="2" s="1"/>
  <c r="AC86" i="2"/>
  <c r="AD86" i="2" s="1"/>
  <c r="AE86" i="2" s="1"/>
  <c r="AE10" i="2"/>
  <c r="AE47" i="2"/>
  <c r="AD19" i="2"/>
  <c r="AE9" i="2"/>
  <c r="AC89" i="2"/>
  <c r="AD89" i="2" s="1"/>
  <c r="AE89" i="2" s="1"/>
  <c r="AE35" i="2"/>
  <c r="AC72" i="2"/>
  <c r="AD72" i="2" s="1"/>
  <c r="AE72" i="2" s="1"/>
  <c r="AC90" i="2"/>
  <c r="AD90" i="2" s="1"/>
  <c r="AE90" i="2" s="1"/>
  <c r="AD31" i="2"/>
  <c r="AE29" i="2"/>
  <c r="AC88" i="2"/>
  <c r="AD88" i="2" s="1"/>
  <c r="AE88" i="2" s="1"/>
  <c r="AC87" i="2"/>
  <c r="AD87" i="2" s="1"/>
  <c r="AE87" i="2" s="1"/>
  <c r="AE25" i="2"/>
  <c r="AC77" i="2"/>
  <c r="AD77" i="2" s="1"/>
  <c r="AE77" i="2" s="1"/>
  <c r="AC68" i="2"/>
  <c r="AD68" i="2" s="1"/>
  <c r="AE68" i="2" s="1"/>
  <c r="AC70" i="2"/>
  <c r="AD70" i="2" s="1"/>
  <c r="AE70" i="2" s="1"/>
  <c r="AC56" i="2"/>
  <c r="AD56" i="2" s="1"/>
  <c r="AE56" i="2" s="1"/>
  <c r="AC55" i="2"/>
  <c r="AD55" i="2" s="1"/>
  <c r="AE55" i="2" s="1"/>
  <c r="AC61" i="2"/>
  <c r="AD61" i="2" s="1"/>
  <c r="AE61" i="2" s="1"/>
  <c r="AE27" i="2"/>
  <c r="AC69" i="2"/>
  <c r="AD69" i="2" s="1"/>
  <c r="AE69" i="2" s="1"/>
  <c r="AC66" i="2"/>
  <c r="AD66" i="2" s="1"/>
  <c r="AE66" i="2" s="1"/>
  <c r="AC63" i="2"/>
  <c r="AD63" i="2" s="1"/>
  <c r="AE63" i="2" s="1"/>
  <c r="AD5" i="2"/>
  <c r="AD7" i="2"/>
  <c r="AE30" i="2"/>
  <c r="AC78" i="2"/>
  <c r="AD78" i="2" s="1"/>
  <c r="AE78" i="2" s="1"/>
  <c r="AC76" i="2"/>
  <c r="AD76" i="2" s="1"/>
  <c r="AE76" i="2" s="1"/>
  <c r="AC80" i="2"/>
  <c r="AD80" i="2" s="1"/>
  <c r="AE80" i="2" s="1"/>
  <c r="AC57" i="2"/>
  <c r="AD57" i="2" s="1"/>
  <c r="AE57" i="2" s="1"/>
  <c r="AC54" i="2"/>
  <c r="AD54" i="2" s="1"/>
  <c r="AE54" i="2" s="1"/>
  <c r="AC52" i="2"/>
  <c r="AD52" i="2" s="1"/>
  <c r="AE52" i="2" s="1"/>
  <c r="AC74" i="2"/>
  <c r="AD74" i="2" s="1"/>
  <c r="AE74" i="2" s="1"/>
  <c r="AC81" i="2"/>
  <c r="AD81" i="2" s="1"/>
  <c r="AE81" i="2" s="1"/>
  <c r="AC58" i="2"/>
  <c r="AD58" i="2" s="1"/>
  <c r="AE58" i="2" s="1"/>
  <c r="AE3" i="2"/>
  <c r="AC75" i="2"/>
  <c r="AD75" i="2" s="1"/>
  <c r="AE75" i="2" s="1"/>
  <c r="AC73" i="2"/>
  <c r="AD73" i="2" s="1"/>
  <c r="AE73" i="2" s="1"/>
  <c r="AC60" i="2"/>
  <c r="AD60" i="2" s="1"/>
  <c r="AE60" i="2" s="1"/>
  <c r="AC85" i="2"/>
  <c r="AD85" i="2" s="1"/>
  <c r="AE85" i="2" s="1"/>
  <c r="I12" i="10"/>
  <c r="J12" i="10" s="1"/>
  <c r="I9" i="10"/>
  <c r="J9" i="10" s="1"/>
  <c r="I11" i="10"/>
  <c r="J11" i="10" s="1"/>
  <c r="V221" i="9"/>
  <c r="V220" i="9"/>
  <c r="Y277" i="9"/>
  <c r="J10" i="10"/>
  <c r="S11" i="1"/>
  <c r="S10" i="1"/>
  <c r="R22" i="1"/>
  <c r="R23" i="1"/>
  <c r="G16" i="6"/>
  <c r="E16" i="6"/>
  <c r="K10" i="10" l="1"/>
  <c r="L10" i="10" s="1"/>
  <c r="K11" i="10"/>
  <c r="L11" i="10" s="1"/>
  <c r="K9" i="10"/>
  <c r="L9" i="10" s="1"/>
  <c r="D95" i="1"/>
  <c r="E307" i="9" s="1"/>
  <c r="K12" i="10"/>
  <c r="L12" i="10" s="1"/>
  <c r="E309" i="9"/>
  <c r="F97" i="1"/>
  <c r="E319" i="9" s="1"/>
  <c r="E310" i="9"/>
  <c r="F98" i="1"/>
  <c r="E320" i="9" s="1"/>
  <c r="F94" i="1"/>
  <c r="E316" i="9" s="1"/>
  <c r="E306" i="9"/>
  <c r="E308" i="9"/>
  <c r="F96" i="1"/>
  <c r="E318" i="9" s="1"/>
  <c r="AE99" i="2"/>
  <c r="AE37" i="2"/>
  <c r="AD94" i="2"/>
  <c r="AE98" i="2"/>
  <c r="AE33" i="2"/>
  <c r="AD117" i="2"/>
  <c r="AD108" i="2"/>
  <c r="AE28" i="2"/>
  <c r="AE18" i="2"/>
  <c r="AD120" i="2"/>
  <c r="AD49" i="2"/>
  <c r="AD119" i="2"/>
  <c r="AD93" i="2"/>
  <c r="AE118" i="2"/>
  <c r="AE17" i="2"/>
  <c r="AD91" i="2"/>
  <c r="AD102" i="2"/>
  <c r="AE109" i="2"/>
  <c r="AD24" i="2"/>
  <c r="AD32" i="2"/>
  <c r="AE40" i="2"/>
  <c r="AE121" i="2"/>
  <c r="AD44" i="2"/>
  <c r="AE46" i="2"/>
  <c r="AD95" i="2"/>
  <c r="AD22" i="2"/>
  <c r="AE115" i="2"/>
  <c r="AE107" i="2"/>
  <c r="AD39" i="2"/>
  <c r="AD14" i="2"/>
  <c r="AD110" i="2"/>
  <c r="AD113" i="2"/>
  <c r="AE16" i="2"/>
  <c r="AE50" i="2"/>
  <c r="AE92" i="2"/>
  <c r="AE34" i="2"/>
  <c r="AE8" i="2"/>
  <c r="AE42" i="2"/>
  <c r="AD100" i="2"/>
  <c r="AE43" i="2"/>
  <c r="AE15" i="2"/>
  <c r="AD103" i="2"/>
  <c r="AE103" i="2"/>
  <c r="AE111" i="2"/>
  <c r="AD111" i="2"/>
  <c r="AD106" i="2"/>
  <c r="AE106" i="2"/>
  <c r="AE116" i="2"/>
  <c r="AE13" i="2"/>
  <c r="AE123" i="2"/>
  <c r="AE23" i="2"/>
  <c r="AD125" i="2"/>
  <c r="AE36" i="2"/>
  <c r="AE114" i="2"/>
  <c r="AD48" i="2"/>
  <c r="AD6" i="2"/>
  <c r="AE38" i="2"/>
  <c r="AE101" i="2"/>
  <c r="AE122" i="2"/>
  <c r="AE124" i="2"/>
  <c r="AD97" i="2"/>
  <c r="AD105" i="2"/>
  <c r="AE112" i="2"/>
  <c r="AE20" i="2"/>
  <c r="AD20" i="2"/>
  <c r="T129" i="2" l="1"/>
  <c r="M12" i="1" s="1"/>
  <c r="T130" i="2"/>
  <c r="M14" i="1" s="1"/>
  <c r="F95" i="1"/>
  <c r="E317" i="9" s="1"/>
  <c r="J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 Les</author>
  </authors>
  <commentList>
    <comment ref="E48" authorId="0" shapeId="0" xr:uid="{D0E4A261-E466-427E-B97D-EA39D51A3A38}">
      <text>
        <r>
          <rPr>
            <b/>
            <sz val="16"/>
            <color indexed="81"/>
            <rFont val="Tahoma"/>
            <family val="2"/>
          </rPr>
          <t>Johan Les: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Wenn kein Sges vom NB vorgegeben, dann Snetz = Sges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Malte-Christian Spahn</author>
  </authors>
  <commentList>
    <comment ref="Q3" authorId="0" shapeId="0" xr:uid="{7F07DB13-F8DC-4690-B275-CDD41A3C2C65}">
      <text>
        <r>
          <rPr>
            <b/>
            <sz val="9"/>
            <color indexed="81"/>
            <rFont val="Tahoma"/>
            <family val="2"/>
          </rPr>
          <t>Malte-Christian Spahn:</t>
        </r>
        <r>
          <rPr>
            <sz val="9"/>
            <color indexed="81"/>
            <rFont val="Tahoma"/>
            <family val="2"/>
          </rPr>
          <t xml:space="preserve">
=Berechnungen!$C$3*POTENZ((Berechnungen!$F$3/Berechnungen!$J$4)*Berechnungen!$G$3*Schwingungen!C3/100;2)</t>
        </r>
      </text>
    </comment>
  </commentList>
</comments>
</file>

<file path=xl/sharedStrings.xml><?xml version="1.0" encoding="utf-8"?>
<sst xmlns="http://schemas.openxmlformats.org/spreadsheetml/2006/main" count="2356" uniqueCount="1141">
  <si>
    <t>Σ</t>
  </si>
  <si>
    <t>Netzdaten</t>
  </si>
  <si>
    <t>X/R</t>
  </si>
  <si>
    <r>
      <t>k</t>
    </r>
    <r>
      <rPr>
        <vertAlign val="subscript"/>
        <sz val="11"/>
        <color theme="1"/>
        <rFont val="Calibri"/>
        <family val="2"/>
        <scheme val="minor"/>
      </rPr>
      <t>f</t>
    </r>
  </si>
  <si>
    <r>
      <t>k</t>
    </r>
    <r>
      <rPr>
        <vertAlign val="subscript"/>
        <sz val="11"/>
        <color theme="1"/>
        <rFont val="Calibri"/>
        <family val="2"/>
        <scheme val="minor"/>
      </rPr>
      <t>u</t>
    </r>
  </si>
  <si>
    <r>
      <t>k</t>
    </r>
    <r>
      <rPr>
        <vertAlign val="subscript"/>
        <sz val="11"/>
        <color theme="1"/>
        <rFont val="Calibri"/>
        <family val="2"/>
        <scheme val="minor"/>
      </rPr>
      <t>i,max</t>
    </r>
  </si>
  <si>
    <t>Einheitenzertifikat Nr.</t>
  </si>
  <si>
    <t>Werte für Einschaltvorgang bei Nennwind</t>
  </si>
  <si>
    <r>
      <t>N</t>
    </r>
    <r>
      <rPr>
        <vertAlign val="subscript"/>
        <sz val="11"/>
        <color theme="1"/>
        <rFont val="Calibri"/>
        <family val="2"/>
        <scheme val="minor"/>
      </rPr>
      <t>10m</t>
    </r>
  </si>
  <si>
    <r>
      <t>N</t>
    </r>
    <r>
      <rPr>
        <vertAlign val="subscript"/>
        <sz val="11"/>
        <color theme="1"/>
        <rFont val="Calibri"/>
        <family val="2"/>
        <scheme val="minor"/>
      </rPr>
      <t>120m</t>
    </r>
  </si>
  <si>
    <t>c</t>
  </si>
  <si>
    <t>Interpol. kf</t>
  </si>
  <si>
    <t>Interpol. ku</t>
  </si>
  <si>
    <t>Interpol. C</t>
  </si>
  <si>
    <t>Δtmin[s]</t>
  </si>
  <si>
    <t>schnelle Spannungsänderung EZA</t>
  </si>
  <si>
    <t>Leistung des vorgelagerten Netztransformators</t>
  </si>
  <si>
    <t>Leistung für Oberschwingungsbewertung</t>
  </si>
  <si>
    <r>
      <t>Δu</t>
    </r>
    <r>
      <rPr>
        <vertAlign val="subscript"/>
        <sz val="11"/>
        <color rgb="FF3F3F76"/>
        <rFont val="Calibri"/>
        <family val="2"/>
        <scheme val="minor"/>
      </rPr>
      <t>ers</t>
    </r>
  </si>
  <si>
    <t>schnelle Spannungsänderung EZE</t>
  </si>
  <si>
    <t>Alle EZE:</t>
  </si>
  <si>
    <t>Langzeitflicker im Dauerbetrieb EZE</t>
  </si>
  <si>
    <t>Ordnung</t>
  </si>
  <si>
    <t>Harmonische Ordnung</t>
  </si>
  <si>
    <t>Zwischen-harmonische f(Hz)</t>
  </si>
  <si>
    <r>
      <t>i</t>
    </r>
    <r>
      <rPr>
        <b/>
        <vertAlign val="subscript"/>
        <sz val="11"/>
        <color theme="1"/>
        <rFont val="Calibri"/>
        <family val="2"/>
      </rPr>
      <t>ν tat</t>
    </r>
    <r>
      <rPr>
        <b/>
        <sz val="11"/>
        <color theme="1"/>
        <rFont val="Calibri"/>
        <family val="2"/>
        <scheme val="minor"/>
      </rPr>
      <t xml:space="preserve"> </t>
    </r>
  </si>
  <si>
    <r>
      <t>i</t>
    </r>
    <r>
      <rPr>
        <b/>
        <vertAlign val="subscript"/>
        <sz val="11"/>
        <color theme="1"/>
        <rFont val="Calibri"/>
        <family val="2"/>
      </rPr>
      <t>μ tat</t>
    </r>
    <r>
      <rPr>
        <b/>
        <sz val="11"/>
        <color theme="1"/>
        <rFont val="Calibri"/>
        <family val="2"/>
        <scheme val="minor"/>
      </rPr>
      <t xml:space="preserve"> </t>
    </r>
  </si>
  <si>
    <t>Hochfrequente f(kHz)</t>
  </si>
  <si>
    <t>Zwischen-harmonische f[Hz]</t>
  </si>
  <si>
    <t>Hochfrequente f[kHz]</t>
  </si>
  <si>
    <t>Harmonische Ordnung (Faktor)</t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</si>
  <si>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1</t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</si>
  <si>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2</t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</si>
  <si>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3</t>
    </r>
  </si>
  <si>
    <t>i=0,18/µ</t>
  </si>
  <si>
    <t>i=0,06/µ</t>
  </si>
  <si>
    <t>i=0,09/µ</t>
  </si>
  <si>
    <t>cosPHI</t>
  </si>
  <si>
    <t>Phasenwinkel bei Netzrückwirkungsbetrachtung</t>
  </si>
  <si>
    <t>NAP</t>
  </si>
  <si>
    <t>U&gt;&gt;</t>
  </si>
  <si>
    <t>U&lt;</t>
  </si>
  <si>
    <t>U&gt;</t>
  </si>
  <si>
    <t>EZE</t>
  </si>
  <si>
    <t>Anzahl Überschreitungen:</t>
  </si>
  <si>
    <r>
      <t xml:space="preserve">↓ Ausgeblendete Felder bei mehreren EZE verschiedener Typen einblenden! </t>
    </r>
    <r>
      <rPr>
        <sz val="11"/>
        <color theme="1"/>
        <rFont val="Calibri"/>
        <family val="2"/>
      </rPr>
      <t>↓</t>
    </r>
  </si>
  <si>
    <t>tatsächlich</t>
  </si>
  <si>
    <t>zulässig</t>
  </si>
  <si>
    <t>Die Werte Links der Trennung werden aus dem OS-Tabellenblatt geholt. Werte kopieren und nach Spalte F sortieren, Diagramme werden automatisch erstellt.</t>
  </si>
  <si>
    <t>U&lt;&lt;</t>
  </si>
  <si>
    <t>gewünschte Spannung:</t>
  </si>
  <si>
    <t>am NAP</t>
  </si>
  <si>
    <t>Zf=</t>
  </si>
  <si>
    <t>Rf=</t>
  </si>
  <si>
    <t>Xf=</t>
  </si>
  <si>
    <t>Absolut</t>
  </si>
  <si>
    <t>cosϕ = 1</t>
  </si>
  <si>
    <t xml:space="preserve"> PF Simulation BDEW</t>
  </si>
  <si>
    <t>Relativ</t>
  </si>
  <si>
    <r>
      <t>cos</t>
    </r>
    <r>
      <rPr>
        <sz val="11"/>
        <color theme="1"/>
        <rFont val="Calibri"/>
        <family val="2"/>
      </rPr>
      <t>ϕ</t>
    </r>
    <r>
      <rPr>
        <sz val="11"/>
        <color theme="1"/>
        <rFont val="Calibri"/>
        <family val="2"/>
        <scheme val="minor"/>
      </rPr>
      <t xml:space="preserve"> = 0,95u</t>
    </r>
  </si>
  <si>
    <t>cosϕ = 0,95ü</t>
  </si>
  <si>
    <t>OS</t>
  </si>
  <si>
    <t>V</t>
  </si>
  <si>
    <t>US</t>
  </si>
  <si>
    <r>
      <t>U</t>
    </r>
    <r>
      <rPr>
        <vertAlign val="subscript"/>
        <sz val="11"/>
        <color theme="1"/>
        <rFont val="Calibri"/>
        <family val="2"/>
        <scheme val="minor"/>
      </rPr>
      <t>N,EZE</t>
    </r>
  </si>
  <si>
    <t>ü</t>
  </si>
  <si>
    <t>Schutzeinstellwerte auf EZE-Seite</t>
  </si>
  <si>
    <t>eingestelltes Übersetzungsverhältnis am Transformator</t>
  </si>
  <si>
    <t>Spannungshaltung am NAP und an EZE-Klemmen
Schutzgrenzen und betriebliche Spannungsänderungen</t>
  </si>
  <si>
    <r>
      <t>Δu</t>
    </r>
    <r>
      <rPr>
        <vertAlign val="subscript"/>
        <sz val="11"/>
        <color rgb="FF3F3F76"/>
        <rFont val="Calibri"/>
        <family val="2"/>
        <scheme val="minor"/>
      </rPr>
      <t>a;1</t>
    </r>
  </si>
  <si>
    <t>Ergebnis</t>
  </si>
  <si>
    <t>Frequenz</t>
  </si>
  <si>
    <t>-</t>
  </si>
  <si>
    <t>Zulässiger ges. Strom in A</t>
  </si>
  <si>
    <t>Errechneter ges. Strom in A</t>
  </si>
  <si>
    <r>
      <t>I</t>
    </r>
    <r>
      <rPr>
        <vertAlign val="subscript"/>
        <sz val="11"/>
        <color theme="1"/>
        <rFont val="Calibri"/>
        <family val="2"/>
        <scheme val="minor"/>
      </rPr>
      <t>NS</t>
    </r>
    <r>
      <rPr>
        <sz val="11"/>
        <color theme="1"/>
        <rFont val="Calibri"/>
        <family val="2"/>
        <scheme val="minor"/>
      </rPr>
      <t xml:space="preserve"> in A</t>
    </r>
  </si>
  <si>
    <t>Rundsteuerfrequenz in Hz</t>
  </si>
  <si>
    <r>
      <t>S</t>
    </r>
    <r>
      <rPr>
        <vertAlign val="subscript"/>
        <sz val="11"/>
        <color theme="1"/>
        <rFont val="Calibri"/>
        <family val="2"/>
        <scheme val="minor"/>
      </rPr>
      <t>NAP</t>
    </r>
    <r>
      <rPr>
        <sz val="11"/>
        <color theme="1"/>
        <rFont val="Calibri"/>
        <family val="2"/>
        <scheme val="minor"/>
      </rPr>
      <t xml:space="preserve"> in MVA</t>
    </r>
  </si>
  <si>
    <r>
      <t>S</t>
    </r>
    <r>
      <rPr>
        <vertAlign val="subscript"/>
        <sz val="11"/>
        <color theme="1"/>
        <rFont val="Calibri"/>
        <family val="2"/>
        <scheme val="minor"/>
      </rPr>
      <t>Verlust</t>
    </r>
    <r>
      <rPr>
        <sz val="11"/>
        <color theme="1"/>
        <rFont val="Calibri"/>
        <family val="2"/>
        <scheme val="minor"/>
      </rPr>
      <t xml:space="preserve"> in MVA</t>
    </r>
  </si>
  <si>
    <r>
      <t>I</t>
    </r>
    <r>
      <rPr>
        <vertAlign val="subscript"/>
        <sz val="11"/>
        <color theme="1"/>
        <rFont val="Calibri"/>
        <family val="2"/>
        <scheme val="minor"/>
      </rPr>
      <t>EZA</t>
    </r>
    <r>
      <rPr>
        <sz val="11"/>
        <color theme="1"/>
        <rFont val="Calibri"/>
        <family val="2"/>
        <scheme val="minor"/>
      </rPr>
      <t xml:space="preserve"> in A</t>
    </r>
  </si>
  <si>
    <r>
      <t>I</t>
    </r>
    <r>
      <rPr>
        <vertAlign val="subscript"/>
        <sz val="11"/>
        <color theme="1"/>
        <rFont val="Calibri"/>
        <family val="2"/>
        <scheme val="minor"/>
      </rPr>
      <t>EZE</t>
    </r>
    <r>
      <rPr>
        <sz val="11"/>
        <color theme="1"/>
        <rFont val="Calibri"/>
        <family val="2"/>
        <scheme val="minor"/>
      </rPr>
      <t xml:space="preserve"> in A*</t>
    </r>
  </si>
  <si>
    <r>
      <t>I</t>
    </r>
    <r>
      <rPr>
        <vertAlign val="subscript"/>
        <sz val="11"/>
        <color theme="1"/>
        <rFont val="Calibri"/>
        <family val="2"/>
        <scheme val="minor"/>
      </rPr>
      <t>kV</t>
    </r>
    <r>
      <rPr>
        <sz val="11"/>
        <color theme="1"/>
        <rFont val="Calibri"/>
        <family val="2"/>
        <scheme val="minor"/>
      </rPr>
      <t xml:space="preserve"> in kA</t>
    </r>
  </si>
  <si>
    <r>
      <t xml:space="preserve">Z in </t>
    </r>
    <r>
      <rPr>
        <sz val="11"/>
        <color theme="1"/>
        <rFont val="Calibri"/>
        <family val="2"/>
      </rPr>
      <t>Ω</t>
    </r>
  </si>
  <si>
    <t>R in Ω</t>
  </si>
  <si>
    <t>X in Ω</t>
  </si>
  <si>
    <t>Max. Spannungsänderung EZA</t>
  </si>
  <si>
    <t>zeitl. Abstand zwischen Schalten</t>
  </si>
  <si>
    <r>
      <t>S</t>
    </r>
    <r>
      <rPr>
        <vertAlign val="subscript"/>
        <sz val="11"/>
        <color theme="1"/>
        <rFont val="Calibri"/>
        <family val="2"/>
        <scheme val="minor"/>
      </rPr>
      <t>kV</t>
    </r>
    <r>
      <rPr>
        <sz val="11"/>
        <color theme="1"/>
        <rFont val="Calibri"/>
        <family val="2"/>
        <scheme val="minor"/>
      </rPr>
      <t xml:space="preserve"> in MVA</t>
    </r>
  </si>
  <si>
    <t>Netzimpedanzwinkel in °</t>
  </si>
  <si>
    <r>
      <t>Bezogen auf
U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oder U</t>
    </r>
    <r>
      <rPr>
        <vertAlign val="subscript"/>
        <sz val="11"/>
        <color theme="1"/>
        <rFont val="Calibri"/>
        <family val="2"/>
        <scheme val="minor"/>
      </rPr>
      <t>NS</t>
    </r>
    <r>
      <rPr>
        <sz val="11"/>
        <color theme="1"/>
        <rFont val="Calibri"/>
        <family val="2"/>
        <scheme val="minor"/>
      </rPr>
      <t>?</t>
    </r>
  </si>
  <si>
    <r>
      <t>Bezogen auf
U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oder U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?</t>
    </r>
  </si>
  <si>
    <t>EZA-Komponenten</t>
  </si>
  <si>
    <t>Schutzvorgaben des Netzbetreibers</t>
  </si>
  <si>
    <t>V (LE)             =</t>
  </si>
  <si>
    <t>V (LL)             =</t>
  </si>
  <si>
    <r>
      <t>Δu</t>
    </r>
    <r>
      <rPr>
        <vertAlign val="subscript"/>
        <sz val="11"/>
        <color rgb="FF3F3F76"/>
        <rFont val="Calibri"/>
        <family val="2"/>
        <scheme val="minor"/>
      </rPr>
      <t>a;0,95untererregt</t>
    </r>
  </si>
  <si>
    <r>
      <t>Δu</t>
    </r>
    <r>
      <rPr>
        <vertAlign val="subscript"/>
        <sz val="11"/>
        <color rgb="FF3F3F76"/>
        <rFont val="Calibri"/>
        <family val="2"/>
        <scheme val="minor"/>
      </rPr>
      <t>a;0,95überrerregt</t>
    </r>
  </si>
  <si>
    <r>
      <t>Wiederzuschaltgrenze bei mind. bei 0,95 U</t>
    </r>
    <r>
      <rPr>
        <vertAlign val="subscript"/>
        <sz val="11"/>
        <color theme="1"/>
        <rFont val="Calibri"/>
        <family val="2"/>
        <scheme val="minor"/>
      </rPr>
      <t>C</t>
    </r>
  </si>
  <si>
    <t>ODER</t>
  </si>
  <si>
    <t>↕</t>
  </si>
  <si>
    <t>Kurzschlussstrom der BestandsEZE</t>
  </si>
  <si>
    <r>
      <t>I</t>
    </r>
    <r>
      <rPr>
        <vertAlign val="subscript"/>
        <sz val="11"/>
        <color theme="1"/>
        <rFont val="Calibri"/>
        <family val="2"/>
        <scheme val="minor"/>
      </rPr>
      <t>N</t>
    </r>
  </si>
  <si>
    <t>kA</t>
  </si>
  <si>
    <r>
      <t>I</t>
    </r>
    <r>
      <rPr>
        <vertAlign val="subscript"/>
        <sz val="11"/>
        <color theme="1"/>
        <rFont val="Calibri"/>
        <family val="2"/>
        <scheme val="minor"/>
      </rPr>
      <t>K</t>
    </r>
  </si>
  <si>
    <t>Gem. BDEW</t>
  </si>
  <si>
    <t>-fache des Bemessungsstroms</t>
  </si>
  <si>
    <t>BDEW Kapitel 2.5.2</t>
  </si>
  <si>
    <t xml:space="preserve">Auswertung der zwischenharmonischen Ströme
um die betriebliche Rundsteuerfrequenz </t>
  </si>
  <si>
    <r>
      <t>U</t>
    </r>
    <r>
      <rPr>
        <vertAlign val="subscript"/>
        <sz val="11"/>
        <color theme="1"/>
        <rFont val="Calibri"/>
        <family val="2"/>
        <scheme val="minor"/>
      </rPr>
      <t>N,EZE</t>
    </r>
    <r>
      <rPr>
        <sz val="11"/>
        <color theme="1"/>
        <rFont val="Calibri"/>
        <family val="2"/>
        <scheme val="minor"/>
      </rPr>
      <t xml:space="preserve"> =</t>
    </r>
  </si>
  <si>
    <r>
      <t>cos</t>
    </r>
    <r>
      <rPr>
        <sz val="11"/>
        <color theme="1"/>
        <rFont val="Calibri"/>
        <family val="2"/>
      </rPr>
      <t>ϕ</t>
    </r>
    <r>
      <rPr>
        <sz val="11"/>
        <color theme="1"/>
        <rFont val="Calibri"/>
        <family val="2"/>
        <scheme val="minor"/>
      </rPr>
      <t xml:space="preserve"> = 0,95 untererregt</t>
    </r>
  </si>
  <si>
    <t>cosϕ = 0,95 übererregt</t>
  </si>
  <si>
    <r>
      <t>I</t>
    </r>
    <r>
      <rPr>
        <vertAlign val="subscript"/>
        <sz val="11"/>
        <color theme="1"/>
        <rFont val="Calibri"/>
        <family val="2"/>
        <scheme val="minor"/>
      </rPr>
      <t>NS</t>
    </r>
    <r>
      <rPr>
        <sz val="11"/>
        <color theme="1"/>
        <rFont val="Calibri"/>
        <family val="2"/>
        <scheme val="minor"/>
      </rPr>
      <t xml:space="preserve"> auf MS in A</t>
    </r>
  </si>
  <si>
    <t>--</t>
  </si>
  <si>
    <t>Z2=</t>
  </si>
  <si>
    <t>Kurzschlussstrom der EZEneu</t>
  </si>
  <si>
    <t>Gem. EHZ</t>
  </si>
  <si>
    <t>Versuche mit Fehlern im übergeordneten Netz</t>
  </si>
  <si>
    <t>Z1 in Ω</t>
  </si>
  <si>
    <t>R1 in Ω</t>
  </si>
  <si>
    <t>p.u.</t>
  </si>
  <si>
    <t>X1 in Ω</t>
  </si>
  <si>
    <t>Z3 in Ω</t>
  </si>
  <si>
    <t>R3 in Ω</t>
  </si>
  <si>
    <t>X3 in Ω</t>
  </si>
  <si>
    <t>S1 in MVA</t>
  </si>
  <si>
    <t>S3 in MVA</t>
  </si>
  <si>
    <t>Versuche mit Fehlern im gleichen Netz</t>
  </si>
  <si>
    <r>
      <t>Z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in Ω</t>
    </r>
  </si>
  <si>
    <r>
      <t>R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in Ω</t>
    </r>
  </si>
  <si>
    <r>
      <t>X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in Ω</t>
    </r>
  </si>
  <si>
    <t>Z1in Ω</t>
  </si>
  <si>
    <r>
      <t>S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in MVA</t>
    </r>
  </si>
  <si>
    <t>Zulässig nach BDEW sind maximal 6 zulässige Überschreitungen.</t>
  </si>
  <si>
    <r>
      <t xml:space="preserve">davon </t>
    </r>
    <r>
      <rPr>
        <b/>
        <sz val="11"/>
        <color rgb="FFFF0000"/>
        <rFont val="Calibri"/>
        <family val="2"/>
        <scheme val="minor"/>
      </rPr>
      <t>unzulässige</t>
    </r>
    <r>
      <rPr>
        <sz val="11"/>
        <color theme="1"/>
        <rFont val="Calibri"/>
        <family val="2"/>
        <scheme val="minor"/>
      </rPr>
      <t xml:space="preserve"> Überschreitungen:</t>
    </r>
  </si>
  <si>
    <t>Anzahl der OS-Überschreitungen:</t>
  </si>
  <si>
    <t>Datum</t>
  </si>
  <si>
    <t>Versions-Historie</t>
  </si>
  <si>
    <t>überprüft</t>
  </si>
  <si>
    <t>erstellt</t>
  </si>
  <si>
    <t>Änderungsbeschreibung</t>
  </si>
  <si>
    <r>
      <t>U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in kV</t>
    </r>
  </si>
  <si>
    <r>
      <t>U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in kV</t>
    </r>
  </si>
  <si>
    <r>
      <t>S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in MVA</t>
    </r>
  </si>
  <si>
    <t>Anzahl</t>
  </si>
  <si>
    <t>Kategorie</t>
  </si>
  <si>
    <t>Zu Übeprüfen</t>
  </si>
  <si>
    <t>Kriterium</t>
  </si>
  <si>
    <t>Erfüllt</t>
  </si>
  <si>
    <t>Kommentar oder Finaler Wert</t>
  </si>
  <si>
    <t>Bezeichnung Textfeld</t>
  </si>
  <si>
    <t>Beschreibung</t>
  </si>
  <si>
    <t>Organisation</t>
  </si>
  <si>
    <t>Betreiber</t>
  </si>
  <si>
    <t>Projektnummer</t>
  </si>
  <si>
    <t>Projekt_Nr</t>
  </si>
  <si>
    <t>Projekttitel</t>
  </si>
  <si>
    <t>EZA-Betreiber</t>
  </si>
  <si>
    <t>Name</t>
  </si>
  <si>
    <t>EZA_Betreiber_Name</t>
  </si>
  <si>
    <t>Antrag auf Zertifizierung (kaufm. Abwickl\Vde oder \Antrag auf Zert)</t>
  </si>
  <si>
    <t>Straße, Nummer</t>
  </si>
  <si>
    <t>EZA_Betreiber_StrNr</t>
  </si>
  <si>
    <t>PLZ, Ort</t>
  </si>
  <si>
    <t>EZA_Betreiber_PlzOrt</t>
  </si>
  <si>
    <t>Ansprechpartner</t>
  </si>
  <si>
    <t>EZA_Betreiber_Anspre</t>
  </si>
  <si>
    <t>Telefon</t>
  </si>
  <si>
    <t>EZA_Betreiber_Tel</t>
  </si>
  <si>
    <t>Email</t>
  </si>
  <si>
    <t>Anlagenzertifikat Nummer</t>
  </si>
  <si>
    <t>Anlagenzert_Nr</t>
  </si>
  <si>
    <t>Netzbetreiberbogen</t>
  </si>
  <si>
    <t>TR8 Revision</t>
  </si>
  <si>
    <t>VDE_TR8_Rev</t>
  </si>
  <si>
    <t>EZA-Bezeichnung</t>
  </si>
  <si>
    <t>Straße, Nummer oder Flur Nummer</t>
  </si>
  <si>
    <t>EZA_StrNr</t>
  </si>
  <si>
    <t>PLZ, Ort oder Gemarkung</t>
  </si>
  <si>
    <t>EZA_PlzOrt</t>
  </si>
  <si>
    <t>Ist diese ausreichend?
Abgleich mit EZA-Leistung</t>
  </si>
  <si>
    <t>Netzbetreiber</t>
  </si>
  <si>
    <t>Ansprechpartner NB</t>
  </si>
  <si>
    <t>Abrechnungszählpunkt-Nr.</t>
  </si>
  <si>
    <t>AbrechnungsNr_NB</t>
  </si>
  <si>
    <t>Optional</t>
  </si>
  <si>
    <t>Adresse und Bezeichnung Verknüpfungspunkt</t>
  </si>
  <si>
    <t>BezeichnungNAP_NB</t>
  </si>
  <si>
    <t>Registrier Nummer NB</t>
  </si>
  <si>
    <t>Registriernummer_NB</t>
  </si>
  <si>
    <t>VDE_Uc</t>
  </si>
  <si>
    <t>VDE_S_Gesamt</t>
  </si>
  <si>
    <t>VDE_Netzwink</t>
  </si>
  <si>
    <t>LVRT-Modus</t>
  </si>
  <si>
    <t>Machbar? Sonst Absprache mit NB!</t>
  </si>
  <si>
    <t>LVRT_Modus</t>
  </si>
  <si>
    <t>K-Faktor</t>
  </si>
  <si>
    <t>Verschiebungsfaktor-vorgabe des Netzbetreibers</t>
  </si>
  <si>
    <t>VDE_cosphi_Bereich</t>
  </si>
  <si>
    <t>VDE_Rundfrequ</t>
  </si>
  <si>
    <t>Distanzschutz NAP</t>
  </si>
  <si>
    <t>I&gt;&gt;</t>
  </si>
  <si>
    <t>VDE_NAP_Igg_Dist</t>
  </si>
  <si>
    <t>I&gt;</t>
  </si>
  <si>
    <t>VDE_NAP_Ig_Dist</t>
  </si>
  <si>
    <t>VDE_NAP_Uk_Dist</t>
  </si>
  <si>
    <t>IE&gt;</t>
  </si>
  <si>
    <t>VDE_NAP_Ieg_Dist</t>
  </si>
  <si>
    <t>UNE&gt;</t>
  </si>
  <si>
    <t>VDE_NAP_Unek_Dist</t>
  </si>
  <si>
    <t>Überstromzeitschutz NAP</t>
  </si>
  <si>
    <t>VDE_NAP_Igg_UMZ</t>
  </si>
  <si>
    <t>tI&gt;&gt;</t>
  </si>
  <si>
    <t>VDE_NAP_tIgg_UMZ</t>
  </si>
  <si>
    <t>VDE_NAP_Ig_UMZ</t>
  </si>
  <si>
    <t>VDE_NAP_tIg_UMZ</t>
  </si>
  <si>
    <t>Erdschlussschutz NAP</t>
  </si>
  <si>
    <t>IE&gt;&gt;</t>
  </si>
  <si>
    <t>VDE_NAP_Iegg_ERD</t>
  </si>
  <si>
    <t>tIE&gt;&gt;</t>
  </si>
  <si>
    <t>VDE_NAP_tIgg_ERD</t>
  </si>
  <si>
    <t>VDE_NAP_Ig_ERD</t>
  </si>
  <si>
    <t>VDE_NAP_tIg_ERD</t>
  </si>
  <si>
    <t>VDE_NAP_Ug_ERD</t>
  </si>
  <si>
    <t>VDE_NAP_tUg_ERD</t>
  </si>
  <si>
    <t>Spannungssteigerungsschutz NAP</t>
  </si>
  <si>
    <t>VDE_NAP_Ugg</t>
  </si>
  <si>
    <t>VDE_NAP_tUgg</t>
  </si>
  <si>
    <t>VDE_NAP_Ug</t>
  </si>
  <si>
    <t>VDE_NAP_tUg</t>
  </si>
  <si>
    <t>Spannungsrückgangsschutz NAP</t>
  </si>
  <si>
    <t>VDE_NAP_Uk</t>
  </si>
  <si>
    <t>VDE_NAP_tUk</t>
  </si>
  <si>
    <t>VDE_NAP_Ukk</t>
  </si>
  <si>
    <t>VDE_NAP_tUkk</t>
  </si>
  <si>
    <t>VDE_NAP_fg</t>
  </si>
  <si>
    <t>VDE_NAP_tfg</t>
  </si>
  <si>
    <t>VDE_NAP_fk</t>
  </si>
  <si>
    <t>VDE_NAP_tfk</t>
  </si>
  <si>
    <t>VDE_NAP_U_QU</t>
  </si>
  <si>
    <t>VDE_NAP_t1_QU</t>
  </si>
  <si>
    <t>t2</t>
  </si>
  <si>
    <t>VDE_NAP_t2_QU</t>
  </si>
  <si>
    <t>VDE_EZE_Ugg</t>
  </si>
  <si>
    <t>VDE_EZE_tUgg</t>
  </si>
  <si>
    <t>VDE_EZE_Ug</t>
  </si>
  <si>
    <t>VDE_EZE_tUg</t>
  </si>
  <si>
    <t>VDE_EZE_Uk</t>
  </si>
  <si>
    <t>VDE_EZE_tUk</t>
  </si>
  <si>
    <t>VDE_EZE_Ukk</t>
  </si>
  <si>
    <t>VDE_EZE_tUkk</t>
  </si>
  <si>
    <t>VDE_EZE_fg</t>
  </si>
  <si>
    <t>VDE_EZE_tfg</t>
  </si>
  <si>
    <t>VDE_EZE_fk</t>
  </si>
  <si>
    <t>VDE_EZE_tfk</t>
  </si>
  <si>
    <t>VDE_EZE_U_QU</t>
  </si>
  <si>
    <t>VDE_EZE_t1_QU</t>
  </si>
  <si>
    <t>VDE_EZE_t2_QU</t>
  </si>
  <si>
    <t>Vorhanden?</t>
  </si>
  <si>
    <t>Siehe Zellen I 36 - 65</t>
  </si>
  <si>
    <t>Alle Vorhanden?</t>
  </si>
  <si>
    <t>Siehe Zellen I 66 - 80</t>
  </si>
  <si>
    <t>SLD</t>
  </si>
  <si>
    <t>Schaltanlage NAP
Hersteller &amp; Typ</t>
  </si>
  <si>
    <t>VDE_EZA_Schaltanl</t>
  </si>
  <si>
    <t>VDE_SchaltNAP_Id</t>
  </si>
  <si>
    <t>VDE_SchaltNAP_Ik</t>
  </si>
  <si>
    <t>Schaltanlage NAP
Nennspannung</t>
  </si>
  <si>
    <t>VDE_SchaltNAP_Un</t>
  </si>
  <si>
    <t>Schutzgerät NAP</t>
  </si>
  <si>
    <t>VDE_EZA_Schutzge</t>
  </si>
  <si>
    <t>Schutzklasse ausreichend?</t>
  </si>
  <si>
    <t>Worauf wirkt das Schutzgerät für den Entkupplungsschutz?</t>
  </si>
  <si>
    <t>EZE_Schaltanlagetyp</t>
  </si>
  <si>
    <t>VDE_SchaltEZE_Id</t>
  </si>
  <si>
    <t>VDE_SchaltEZE_Ik</t>
  </si>
  <si>
    <t>VDE_SchaltEZE_Un</t>
  </si>
  <si>
    <t>Schutzgerät EZE</t>
  </si>
  <si>
    <t>VDE_Trafo</t>
  </si>
  <si>
    <t>VDE_TrafoÜber</t>
  </si>
  <si>
    <t>Stimmt die Leistung? Stimmen die Spannungen?</t>
  </si>
  <si>
    <t>Vorhanden? Stimmt dies mit EZA Daten überein?</t>
  </si>
  <si>
    <t>Kabellänge</t>
  </si>
  <si>
    <t>Kabeltyp</t>
  </si>
  <si>
    <t>VDE_Kabeltyp</t>
  </si>
  <si>
    <t>Kommunikationsplan</t>
  </si>
  <si>
    <t>Reglerdaten</t>
  </si>
  <si>
    <t>Hersteller und Typ</t>
  </si>
  <si>
    <t>FWA</t>
  </si>
  <si>
    <t>VDE_Regler</t>
  </si>
  <si>
    <t>Leitungen</t>
  </si>
  <si>
    <t>Erzeugungsmanagement</t>
  </si>
  <si>
    <t>EZE-Typ Neu</t>
  </si>
  <si>
    <t>VDE_EZE1_Name</t>
  </si>
  <si>
    <t>VDE_EZE1_ZertNR</t>
  </si>
  <si>
    <t>VDE_EZE1_S</t>
  </si>
  <si>
    <t>Bemessungswirkleistung</t>
  </si>
  <si>
    <t>VDE_EZE1_P</t>
  </si>
  <si>
    <t>Anzahl der EZE</t>
  </si>
  <si>
    <t>Flicker step factor kf (ψk)</t>
  </si>
  <si>
    <t>VDE_k_f</t>
  </si>
  <si>
    <t>Flickerkoeffizient c (ψk)</t>
  </si>
  <si>
    <t>VDE_c</t>
  </si>
  <si>
    <t>Voltage step factor ku (ψk)</t>
  </si>
  <si>
    <t>VDE_ku</t>
  </si>
  <si>
    <t>Max. Schalthandlungen N120</t>
  </si>
  <si>
    <t>Inbetriebnahmedatum</t>
  </si>
  <si>
    <t>Weitere EZE-Bestand</t>
  </si>
  <si>
    <t>Anzahl Bestands-BHKW</t>
  </si>
  <si>
    <t>EZE_Name_ALT</t>
  </si>
  <si>
    <t>P_EZE_ALT</t>
  </si>
  <si>
    <t>FIELD not found</t>
  </si>
  <si>
    <t>Motortyp für VKM</t>
  </si>
  <si>
    <t>Generatortyp für VKM</t>
  </si>
  <si>
    <t>Insgesamt anschließbare Scheinleistung am NAP in MVA</t>
  </si>
  <si>
    <t>Vereinbarte Versorgungsspannung Uc in kV</t>
  </si>
  <si>
    <t>Reglersollspannung
U_soll in kV</t>
  </si>
  <si>
    <t>Netzimpedanzwinkel Ѱ in °</t>
  </si>
  <si>
    <t>IE&gt; in A</t>
  </si>
  <si>
    <t>tEnd&gt; in s</t>
  </si>
  <si>
    <t>I&gt;&gt; in A</t>
  </si>
  <si>
    <t>tI&gt;&gt; in S</t>
  </si>
  <si>
    <t>I&gt; in A</t>
  </si>
  <si>
    <t>tI&gt; in s</t>
  </si>
  <si>
    <t>U&gt;&gt; in kV</t>
  </si>
  <si>
    <t>U&gt; in kV</t>
  </si>
  <si>
    <t>tU&gt; in s</t>
  </si>
  <si>
    <t>U&lt; in kV</t>
  </si>
  <si>
    <t>tU&lt; in s</t>
  </si>
  <si>
    <t>U&lt;&lt; in kV</t>
  </si>
  <si>
    <t>tU&lt;&lt; in s</t>
  </si>
  <si>
    <t>f&gt; in Hz</t>
  </si>
  <si>
    <t>f&lt; in Hz</t>
  </si>
  <si>
    <t>U in kV</t>
  </si>
  <si>
    <t>U&gt;&gt; in V</t>
  </si>
  <si>
    <t>U&lt; in V</t>
  </si>
  <si>
    <t>U&lt;&lt; in V</t>
  </si>
  <si>
    <t>Bemessungsscheinleistung in MVA</t>
  </si>
  <si>
    <t>Bemessungswirkleistung in MW</t>
  </si>
  <si>
    <t>Spannungsänderungen</t>
  </si>
  <si>
    <t>in %</t>
  </si>
  <si>
    <t>VDE_Trafo_P</t>
  </si>
  <si>
    <t>test</t>
  </si>
  <si>
    <t>Einstellgenauigkeit
Blindleistung</t>
  </si>
  <si>
    <t>Blindleistungs-Übergangsfunktion</t>
  </si>
  <si>
    <t>Wiederzuschaltungs-verhalten</t>
  </si>
  <si>
    <t>VDE_Q_genau</t>
  </si>
  <si>
    <t>VDE_Q_ügang</t>
  </si>
  <si>
    <t>VDE_wieder_zu</t>
  </si>
  <si>
    <t>VDE_N120</t>
  </si>
  <si>
    <t>VDE_NAP_tIgg_Dist</t>
  </si>
  <si>
    <t>VDE_NAP_Ieg_UMZ</t>
  </si>
  <si>
    <t>VDE_NAP_tEnd_UMZ</t>
  </si>
  <si>
    <t>VDE_NAP_Uen_UMZ</t>
  </si>
  <si>
    <t>U&gt; in V</t>
  </si>
  <si>
    <t>t1 in s</t>
  </si>
  <si>
    <t>t2 in s</t>
  </si>
  <si>
    <t>U in V</t>
  </si>
  <si>
    <t>Schaltanlage NAP Typ</t>
  </si>
  <si>
    <t>Schutzgerät NAP Hersteller</t>
  </si>
  <si>
    <t>Schutzgerät NAP Typ</t>
  </si>
  <si>
    <t>VDE_Schutzgerättyp</t>
  </si>
  <si>
    <t>Schutzgerät EZE Hersteller</t>
  </si>
  <si>
    <t>Schutzgerät EZE Typ</t>
  </si>
  <si>
    <t>VDE_Trafohersteller</t>
  </si>
  <si>
    <t>VDE_Trafotyp</t>
  </si>
  <si>
    <t>VDE_TrafoOber</t>
  </si>
  <si>
    <t>VDE_TrafoUnter</t>
  </si>
  <si>
    <t>VDE_Schutzgerätherst</t>
  </si>
  <si>
    <t>VDE_Schutz_EZE_H</t>
  </si>
  <si>
    <t>VDE_Schutz_EZE_T</t>
  </si>
  <si>
    <t>Dateiname:</t>
  </si>
  <si>
    <t>angeben</t>
  </si>
  <si>
    <t>wird generiert</t>
  </si>
  <si>
    <t>Projekt_Name</t>
  </si>
  <si>
    <t>NB_Name</t>
  </si>
  <si>
    <t>NB_Ansprech</t>
  </si>
  <si>
    <t>VDE_UNkV</t>
  </si>
  <si>
    <t>VDE_RT</t>
  </si>
  <si>
    <t>VDE_XT</t>
  </si>
  <si>
    <t>VDE_Trafo_Prüf</t>
  </si>
  <si>
    <t>VDE_Leitungen</t>
  </si>
  <si>
    <t>VDE_FWA</t>
  </si>
  <si>
    <t>VDE_Erzeugerman</t>
  </si>
  <si>
    <t>VDE_InDate</t>
  </si>
  <si>
    <t>Hersteller der EZE</t>
  </si>
  <si>
    <t>EZE_Bestand_Zahl</t>
  </si>
  <si>
    <t>EZA_Betreiber_Mail</t>
  </si>
  <si>
    <t>Projekt_Date</t>
  </si>
  <si>
    <t>EZE_Herst_Alt</t>
  </si>
  <si>
    <t>Bezeichnung der EZE</t>
  </si>
  <si>
    <t>Typ der EZE</t>
  </si>
  <si>
    <t>EZE_Typ_Alt</t>
  </si>
  <si>
    <t>VDE_EZE_Ug_Uns</t>
  </si>
  <si>
    <t>VDE_EZE_Ukk_Uns</t>
  </si>
  <si>
    <t>VDE_EZE_Ugg_UNS</t>
  </si>
  <si>
    <t>UQ in V Uns</t>
  </si>
  <si>
    <t>VDE_EZE_UQ_UNS</t>
  </si>
  <si>
    <t>VDE_Trafo_kurz</t>
  </si>
  <si>
    <t>VDE_Trafo_schalt</t>
  </si>
  <si>
    <t>VDE_Schalteranlagety</t>
  </si>
  <si>
    <t>EZE_Schaltanlagehers</t>
  </si>
  <si>
    <t>Schaltanlage NAP
Hersteller</t>
  </si>
  <si>
    <t>VDE_Schaltanlagether</t>
  </si>
  <si>
    <t>xx Uc</t>
  </si>
  <si>
    <t>VDE_NAP_Ukk_UC</t>
  </si>
  <si>
    <t>xxUc</t>
  </si>
  <si>
    <t>VDE_NAP_Uk_UC</t>
  </si>
  <si>
    <t>xx UC</t>
  </si>
  <si>
    <t>VDE_NAP_Ug_UC</t>
  </si>
  <si>
    <t>VDE_NAP_UQ_UC</t>
  </si>
  <si>
    <t>Schaltanlage NAP
maximaler Kurzschlussstrom in kA</t>
  </si>
  <si>
    <t>Schaltanlage NAP
maximaler Dauerstrom in kA</t>
  </si>
  <si>
    <t>(Neu + Bestand + Alt)</t>
  </si>
  <si>
    <t>S_EZE_Alt</t>
  </si>
  <si>
    <t>V = UN,EZE</t>
  </si>
  <si>
    <t>UNS</t>
  </si>
  <si>
    <t>max. untererregt</t>
  </si>
  <si>
    <t>max. übererregt</t>
  </si>
  <si>
    <t>VDE_S_Netz</t>
  </si>
  <si>
    <t>VDE_P_AV</t>
  </si>
  <si>
    <t>Projektname</t>
  </si>
  <si>
    <t>in s</t>
  </si>
  <si>
    <t>in % Pn/min</t>
  </si>
  <si>
    <t>vorher: VDE_EZEName</t>
  </si>
  <si>
    <t xml:space="preserve">Gesamtanzahl EZE </t>
  </si>
  <si>
    <t>Bemessungsscheinleistung der ges. EZA SA, MVA</t>
  </si>
  <si>
    <t>alle EZE zusammenrechnen</t>
  </si>
  <si>
    <t>neuer Wert</t>
  </si>
  <si>
    <t>Geforderter Blindleistungsbereich</t>
  </si>
  <si>
    <t>VDE_Qvorgabe</t>
  </si>
  <si>
    <t>Vorher VDE_cosphi_Bereich</t>
  </si>
  <si>
    <t>Vereinbarte Anschlussleistung in MW</t>
  </si>
  <si>
    <t>VDE_EZA_Sa</t>
  </si>
  <si>
    <t>VDE_EZE1_MotorVKM</t>
  </si>
  <si>
    <t>VDE_EZE1_Generator</t>
  </si>
  <si>
    <t>VDE_EZE1_Schaltanl</t>
  </si>
  <si>
    <t>VDE_EZE1_Schutzge</t>
  </si>
  <si>
    <t>VDE_k_Faktor</t>
  </si>
  <si>
    <t>VDE_Usoll</t>
  </si>
  <si>
    <t>VDE_SkV</t>
  </si>
  <si>
    <t>EZA_P_NAB</t>
  </si>
  <si>
    <t>Gesamtanschlusswirkleistung EZA, MW</t>
  </si>
  <si>
    <t>EZA_Pa</t>
  </si>
  <si>
    <t>Pit</t>
  </si>
  <si>
    <t>Pit_res</t>
  </si>
  <si>
    <t>Uers_EZA</t>
  </si>
  <si>
    <t>Uers_EZE</t>
  </si>
  <si>
    <t>Ua_95ü</t>
  </si>
  <si>
    <t>Ua_1</t>
  </si>
  <si>
    <t>Ua_95u</t>
  </si>
  <si>
    <t>VDE_delta_tmin</t>
  </si>
  <si>
    <t>Modell und PQ Diagramm</t>
  </si>
  <si>
    <t>Wirkleistungssprung 
100 auf 50 %</t>
  </si>
  <si>
    <t>EZE1_WirkSprung</t>
  </si>
  <si>
    <t>EZE1_SollAbw</t>
  </si>
  <si>
    <t>Uns</t>
  </si>
  <si>
    <t>Mischpark Verschiebungsfaktor Real</t>
  </si>
  <si>
    <t>Cosphi_Bereich_real</t>
  </si>
  <si>
    <t>VDE_Anzahl_EZE1</t>
  </si>
  <si>
    <t>VDE_EZE1_Herst</t>
  </si>
  <si>
    <t>VDE_EZE1_Typ</t>
  </si>
  <si>
    <t>VDE_EZA_Name</t>
  </si>
  <si>
    <t>VDE_Anzahl_EZEges</t>
  </si>
  <si>
    <t>Schutzprüf-protokolle</t>
  </si>
  <si>
    <t>Blindleistungsunter-spannungsschutz NAP</t>
  </si>
  <si>
    <t>r</t>
  </si>
  <si>
    <t>s</t>
  </si>
  <si>
    <t>a</t>
  </si>
  <si>
    <t>VDE_NAP_Ugg_uc</t>
  </si>
  <si>
    <t>Stromwandler NAP Typ</t>
  </si>
  <si>
    <t>Stromwandler NAP Hersteller</t>
  </si>
  <si>
    <t>StrWand_NAP_T</t>
  </si>
  <si>
    <t>StrWand_NAP_H</t>
  </si>
  <si>
    <t>Spannungswandler NAP Typ</t>
  </si>
  <si>
    <t>Spannungswandler NAP Hersteller</t>
  </si>
  <si>
    <t>SpgWand_NAP_T</t>
  </si>
  <si>
    <t>SpgWand_NAP_H</t>
  </si>
  <si>
    <t>LS_NAP_T</t>
  </si>
  <si>
    <t>LS_NAP_H</t>
  </si>
  <si>
    <t>tIE&gt; in s</t>
  </si>
  <si>
    <t>UE&gt; in kV</t>
  </si>
  <si>
    <t>tUE&gt; in s</t>
  </si>
  <si>
    <t>tU&gt;&gt; in s</t>
  </si>
  <si>
    <t>tf&gt; in s</t>
  </si>
  <si>
    <t>tf&lt; in s</t>
  </si>
  <si>
    <t>I_v Azul_1</t>
  </si>
  <si>
    <t>I_v_tats_Gesamt</t>
  </si>
  <si>
    <t>I_v Azul_Gesamt</t>
  </si>
  <si>
    <t>OS für ein WR</t>
  </si>
  <si>
    <t>Bestand/Neuerrichtung</t>
  </si>
  <si>
    <t>Tonfrequenz</t>
  </si>
  <si>
    <t>f_TFR</t>
  </si>
  <si>
    <t>[Hz]</t>
  </si>
  <si>
    <t>R_kV</t>
  </si>
  <si>
    <t>X_kV</t>
  </si>
  <si>
    <t>[kV]</t>
  </si>
  <si>
    <t>Rundsteuerfrequenz</t>
  </si>
  <si>
    <t>NB-Vorgabe</t>
  </si>
  <si>
    <t>Bewertung</t>
  </si>
  <si>
    <t>X</t>
  </si>
  <si>
    <t>Z</t>
  </si>
  <si>
    <t>OS-Strom</t>
  </si>
  <si>
    <t>[A]</t>
  </si>
  <si>
    <t>[V]</t>
  </si>
  <si>
    <t>[%]</t>
  </si>
  <si>
    <t>-100 Hz</t>
  </si>
  <si>
    <t>TFR - Frequenz</t>
  </si>
  <si>
    <t xml:space="preserve"> +100 Hz</t>
  </si>
  <si>
    <t>UV</t>
  </si>
  <si>
    <t>uv in % von UN</t>
  </si>
  <si>
    <t>Uv 
Grenzwert</t>
  </si>
  <si>
    <t>[Ω]</t>
  </si>
  <si>
    <t>UN</t>
  </si>
  <si>
    <t>Ausblenden der nach BDEW / VDN nicht benötigten Ordnungszahlen 
 Ausblenden (1) /Anzeigen (0)</t>
  </si>
  <si>
    <t>Δ</t>
  </si>
  <si>
    <t>Überschreitung 
Ja (1) / Nein(0)</t>
  </si>
  <si>
    <t>Überschreitung
Unzulässig (1) /
Zulässig (0)</t>
  </si>
  <si>
    <t>Anzahl unzulässiger Überschreitungen:</t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</si>
  <si>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4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</si>
  <si>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5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</si>
  <si>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6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</si>
  <si>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7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</si>
  <si>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8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</si>
  <si>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9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</si>
  <si>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10</t>
    </r>
    <r>
      <rPr>
        <sz val="11"/>
        <color theme="1"/>
        <rFont val="Calibri"/>
        <family val="2"/>
        <scheme val="minor"/>
      </rPr>
      <t/>
    </r>
  </si>
  <si>
    <t>in V</t>
  </si>
  <si>
    <t>Zert_Part</t>
  </si>
  <si>
    <t>Firma</t>
  </si>
  <si>
    <t>Zert_Firm</t>
  </si>
  <si>
    <t>Str, HausNr.</t>
  </si>
  <si>
    <t>Zert_Nr</t>
  </si>
  <si>
    <t>Zert_PLZ</t>
  </si>
  <si>
    <t>Zert_Tel</t>
  </si>
  <si>
    <t>Fax</t>
  </si>
  <si>
    <t>Zert_Fax</t>
  </si>
  <si>
    <t>E-Mail</t>
  </si>
  <si>
    <t>Zert_Mail</t>
  </si>
  <si>
    <t>Zertifikatsinhaber</t>
  </si>
  <si>
    <t>Prüfung</t>
  </si>
  <si>
    <t>wer</t>
  </si>
  <si>
    <t>wann</t>
  </si>
  <si>
    <t>Bemerkung</t>
  </si>
  <si>
    <t>Check-Liste</t>
  </si>
  <si>
    <t>Modell</t>
  </si>
  <si>
    <t>Prüfbericht</t>
  </si>
  <si>
    <t>VDE_EZE1_Herst2</t>
  </si>
  <si>
    <t>VDE_EZE1_Typ2</t>
  </si>
  <si>
    <t>VDE_EZE1_Name2</t>
  </si>
  <si>
    <t>VDE_EZE1_ZertNR2</t>
  </si>
  <si>
    <t>VDE_EZE1_MotorVKM2</t>
  </si>
  <si>
    <t>VDE_EZE1_Generator2</t>
  </si>
  <si>
    <t>VDE_EZE1_S2</t>
  </si>
  <si>
    <t>VDE_EZE1_P2</t>
  </si>
  <si>
    <t>VDE_Anzahl_EZE2</t>
  </si>
  <si>
    <t>VDE_k_f2</t>
  </si>
  <si>
    <t>VDE_c2</t>
  </si>
  <si>
    <t>VDE_ku2</t>
  </si>
  <si>
    <t>VDE_N1202</t>
  </si>
  <si>
    <t>VDE_Q_genau2</t>
  </si>
  <si>
    <t>VDE_Q_ügang2</t>
  </si>
  <si>
    <t>VDE_wieder_zu2</t>
  </si>
  <si>
    <t>EZE1_WirkSprung2</t>
  </si>
  <si>
    <t>EZE1_SollAbw2</t>
  </si>
  <si>
    <t>VDE_InDate2</t>
  </si>
  <si>
    <t>EZE_Bestand_Zahl2</t>
  </si>
  <si>
    <t>EZE_Herst_Alt2</t>
  </si>
  <si>
    <t>EZE_Typ_Alt2</t>
  </si>
  <si>
    <t>EZE_Name_ALT2</t>
  </si>
  <si>
    <t>S_EZE_Alt2</t>
  </si>
  <si>
    <t>P_EZE_ALT2</t>
  </si>
  <si>
    <t>EZE_Bestand_Zahl3</t>
  </si>
  <si>
    <t>EZE_Herst_Alt3</t>
  </si>
  <si>
    <t>EZE_Typ_Alt3</t>
  </si>
  <si>
    <t>EZE_Name_ALT3</t>
  </si>
  <si>
    <t>S_EZE_Alt3</t>
  </si>
  <si>
    <t>P_EZE_ALT3</t>
  </si>
  <si>
    <t>Jenbacher</t>
  </si>
  <si>
    <t>44 797 13137905</t>
  </si>
  <si>
    <t>mittel 5,54, maximal 5,67</t>
  </si>
  <si>
    <r>
      <t>Max. Sollwertabweichung der EZE</t>
    </r>
    <r>
      <rPr>
        <b/>
        <vertAlign val="subscript"/>
        <sz val="10"/>
        <color theme="1"/>
        <rFont val="Calibri"/>
        <family val="2"/>
        <scheme val="minor"/>
      </rPr>
      <t>Neu</t>
    </r>
  </si>
  <si>
    <t>ZN:</t>
  </si>
  <si>
    <t>Schlüssel-ID</t>
  </si>
  <si>
    <t>&gt;0,5</t>
  </si>
  <si>
    <t>44 797 13137906</t>
  </si>
  <si>
    <t>Bemerkung:</t>
  </si>
  <si>
    <t>MTU</t>
  </si>
  <si>
    <t>MOE 12-0786-13</t>
  </si>
  <si>
    <t>MTU Onsite Energy GmbH</t>
  </si>
  <si>
    <t>U16-0264</t>
  </si>
  <si>
    <t>KACO</t>
  </si>
  <si>
    <t>KACO new energy GmbH</t>
  </si>
  <si>
    <t>Dreyer &amp; Bosse</t>
  </si>
  <si>
    <t>ABE-E-303-2015</t>
  </si>
  <si>
    <t>0,9 Uc</t>
  </si>
  <si>
    <t>1,0 Uc</t>
  </si>
  <si>
    <t>1,1 Uc</t>
  </si>
  <si>
    <t>SMA Solar Technology AG</t>
  </si>
  <si>
    <t>MOE 12-0786-27</t>
  </si>
  <si>
    <t>MOE 15-0135-27</t>
  </si>
  <si>
    <t>61407/04</t>
  </si>
  <si>
    <t>Elektro Hagl KG</t>
  </si>
  <si>
    <t>&lt;5%</t>
  </si>
  <si>
    <t>Weitere EZE-Alt</t>
  </si>
  <si>
    <t>EZE_Bestand_Zahl4</t>
  </si>
  <si>
    <t>EZE_Herst_Alt4</t>
  </si>
  <si>
    <t>EZE_Typ_Alt4</t>
  </si>
  <si>
    <t>EZE_Name_ALT4</t>
  </si>
  <si>
    <t>S_EZE_Alt4</t>
  </si>
  <si>
    <t>P_EZE_ALT4</t>
  </si>
  <si>
    <t>EZE_Bestand_Zahl5</t>
  </si>
  <si>
    <t>EZE_Herst_Alt5</t>
  </si>
  <si>
    <t>EZE_Typ_Alt5</t>
  </si>
  <si>
    <t>EZE_Name_ALT5</t>
  </si>
  <si>
    <t>S_EZE_Alt5</t>
  </si>
  <si>
    <t>P_EZE_ALT5</t>
  </si>
  <si>
    <t>EZE_Bestand_Zahl6</t>
  </si>
  <si>
    <t>EZE_Herst_Alt6</t>
  </si>
  <si>
    <t>EZE_Typ_Alt6</t>
  </si>
  <si>
    <t>EZE_Name_ALT6</t>
  </si>
  <si>
    <t>S_EZE_Alt6</t>
  </si>
  <si>
    <t>P_EZE_ALT6</t>
  </si>
  <si>
    <t>U&gt;&gt; in p.u.</t>
  </si>
  <si>
    <t>U&gt; in p.u.</t>
  </si>
  <si>
    <t>U&lt; in p.u.</t>
  </si>
  <si>
    <t>U&lt;&lt; in p.u.</t>
  </si>
  <si>
    <t>Uc Uqu&lt; in p.u.</t>
  </si>
  <si>
    <t>Blindleistungsunter-spannungsschutz EZE</t>
  </si>
  <si>
    <t>Betriebsführungs TYP</t>
  </si>
  <si>
    <t>Betriebsführungs Software</t>
  </si>
  <si>
    <t>Spannungsregler TYP</t>
  </si>
  <si>
    <t>Spannungsregler Software</t>
  </si>
  <si>
    <t>Regler_Typ</t>
  </si>
  <si>
    <t>Regler_Soft</t>
  </si>
  <si>
    <t>BFS_Soft</t>
  </si>
  <si>
    <t>BFS_Typ</t>
  </si>
  <si>
    <t>P_inbe_ALT</t>
  </si>
  <si>
    <t>P_inbe_ALT2</t>
  </si>
  <si>
    <t>P_inbe_ALT3</t>
  </si>
  <si>
    <t>P_inbe_ALT4</t>
  </si>
  <si>
    <t>P_inbe_ALT5</t>
  </si>
  <si>
    <t>P_inbe_ALT6</t>
  </si>
  <si>
    <t>Kurzschlussstrom Berechnet in kA</t>
  </si>
  <si>
    <t>Dauerstrom Berechnet in kA</t>
  </si>
  <si>
    <t>VDE_berchEZE_Id</t>
  </si>
  <si>
    <t>VDE_berchEZE_Ik</t>
  </si>
  <si>
    <t>Bemessungsspannung</t>
  </si>
  <si>
    <t>VDE_BemessungsU</t>
  </si>
  <si>
    <t>VDE_berechNAP_Id</t>
  </si>
  <si>
    <t>VDE_berechNAP_Ik</t>
  </si>
  <si>
    <t>LS_NAP_BS</t>
  </si>
  <si>
    <t>LS_NAP_BSS</t>
  </si>
  <si>
    <t>LS_NAP_IK</t>
  </si>
  <si>
    <t>LS_NAP_IKB</t>
  </si>
  <si>
    <t>LS_NAP_BU</t>
  </si>
  <si>
    <t>Stromwandler NAP Übersetzungsverhätnis</t>
  </si>
  <si>
    <t>Stromwandler NAP Klasse/Bürde</t>
  </si>
  <si>
    <t>Spannungswandler NAP Übersetzungsverhältnis</t>
  </si>
  <si>
    <t>Spannungswandler NAP Klasse/Bürde</t>
  </si>
  <si>
    <t>StrWand_NAP_ver</t>
  </si>
  <si>
    <t>StrWand_NAP_BÜ</t>
  </si>
  <si>
    <t>SpgWand_NAP_ver</t>
  </si>
  <si>
    <t>SpgWand_NAP_BÜ</t>
  </si>
  <si>
    <t>Transformator T1</t>
  </si>
  <si>
    <t>Transformatorhersteller T1</t>
  </si>
  <si>
    <t>Transformatortyp T1</t>
  </si>
  <si>
    <t>Transformator Übersetzungsverhältnis T1</t>
  </si>
  <si>
    <t>Transformator Oberspannung in kV T1</t>
  </si>
  <si>
    <t>Transformator Unterspannung in kV T1</t>
  </si>
  <si>
    <t>Transformator rel. Kurzschluss in % T1</t>
  </si>
  <si>
    <t>Transformatordaten in kVA T1</t>
  </si>
  <si>
    <t>Transformator Schaltgruppe  T1</t>
  </si>
  <si>
    <t>Transformatorprüfprotokoll T1</t>
  </si>
  <si>
    <t>Transformator T2</t>
  </si>
  <si>
    <t>Transformatorhersteller T2</t>
  </si>
  <si>
    <t>Transformatortyp T2</t>
  </si>
  <si>
    <t>Transformator Übersetzungsverhältnis T2</t>
  </si>
  <si>
    <t>Transformator Oberspannung in kV T2</t>
  </si>
  <si>
    <t>Transformator Unterspannung in kV T2</t>
  </si>
  <si>
    <t>Transformator rel. Kurzschluss in % T2</t>
  </si>
  <si>
    <t>Transformatordaten in kVA T2</t>
  </si>
  <si>
    <t>Transformator Schaltgruppe T2</t>
  </si>
  <si>
    <t>Transformatorprüfprotokoll T2</t>
  </si>
  <si>
    <t>VDE_Trafo2</t>
  </si>
  <si>
    <t>VDE_Trafohersteller2</t>
  </si>
  <si>
    <t>VDE_Trafotyp2</t>
  </si>
  <si>
    <t>VDE_TrafoÜber2</t>
  </si>
  <si>
    <t>VDE_TrafoOber2</t>
  </si>
  <si>
    <t>VDE_TrafoUnter2</t>
  </si>
  <si>
    <t>VDE_Trafo_kurz2</t>
  </si>
  <si>
    <t>VDE_Trafo_P2</t>
  </si>
  <si>
    <t>VDE_Trafo_schalt2</t>
  </si>
  <si>
    <t>VDE_Trafo_Prüf2</t>
  </si>
  <si>
    <t>Im Zweifel die Firma</t>
  </si>
  <si>
    <r>
      <t>Nominale Betriebsspannung
U</t>
    </r>
    <r>
      <rPr>
        <b/>
        <vertAlign val="subscript"/>
        <sz val="18"/>
        <color theme="1"/>
        <rFont val="Arial"/>
        <family val="2"/>
      </rPr>
      <t xml:space="preserve">N </t>
    </r>
    <r>
      <rPr>
        <b/>
        <sz val="18"/>
        <color theme="1"/>
        <rFont val="Arial"/>
        <family val="2"/>
      </rPr>
      <t>in kV</t>
    </r>
  </si>
  <si>
    <r>
      <t>S</t>
    </r>
    <r>
      <rPr>
        <b/>
        <vertAlign val="subscript"/>
        <sz val="18"/>
        <color theme="1"/>
        <rFont val="Arial"/>
        <family val="2"/>
      </rPr>
      <t>Netz</t>
    </r>
    <r>
      <rPr>
        <b/>
        <sz val="18"/>
        <color theme="1"/>
        <rFont val="Arial"/>
        <family val="2"/>
      </rPr>
      <t xml:space="preserve"> in MVA</t>
    </r>
  </si>
  <si>
    <r>
      <t>R</t>
    </r>
    <r>
      <rPr>
        <b/>
        <vertAlign val="subscript"/>
        <sz val="18"/>
        <color theme="1"/>
        <rFont val="Arial"/>
        <family val="2"/>
      </rPr>
      <t>T</t>
    </r>
    <r>
      <rPr>
        <b/>
        <sz val="18"/>
        <color theme="1"/>
        <rFont val="Arial"/>
        <family val="2"/>
      </rPr>
      <t xml:space="preserve"> in Ohm</t>
    </r>
  </si>
  <si>
    <r>
      <t>X</t>
    </r>
    <r>
      <rPr>
        <b/>
        <vertAlign val="subscript"/>
        <sz val="18"/>
        <color theme="1"/>
        <rFont val="Arial"/>
        <family val="2"/>
      </rPr>
      <t>T</t>
    </r>
    <r>
      <rPr>
        <b/>
        <sz val="18"/>
        <color theme="1"/>
        <rFont val="Arial"/>
        <family val="2"/>
      </rPr>
      <t xml:space="preserve"> in Ohm</t>
    </r>
  </si>
  <si>
    <r>
      <t>S</t>
    </r>
    <r>
      <rPr>
        <b/>
        <vertAlign val="subscript"/>
        <sz val="18"/>
        <color theme="1"/>
        <rFont val="Arial"/>
        <family val="2"/>
      </rPr>
      <t>Gesamt</t>
    </r>
    <r>
      <rPr>
        <b/>
        <sz val="18"/>
        <color theme="1"/>
        <rFont val="Arial"/>
        <family val="2"/>
      </rPr>
      <t xml:space="preserve"> in MVA </t>
    </r>
  </si>
  <si>
    <r>
      <t>Netzkurzschlussleistung
S</t>
    </r>
    <r>
      <rPr>
        <b/>
        <vertAlign val="subscript"/>
        <sz val="18"/>
        <color theme="1"/>
        <rFont val="Arial"/>
        <family val="2"/>
      </rPr>
      <t xml:space="preserve">kV </t>
    </r>
    <r>
      <rPr>
        <b/>
        <sz val="18"/>
        <color theme="1"/>
        <rFont val="Arial"/>
        <family val="2"/>
      </rPr>
      <t>in MVA</t>
    </r>
  </si>
  <si>
    <r>
      <t>UEN &gt; oder 3U</t>
    </r>
    <r>
      <rPr>
        <b/>
        <vertAlign val="subscript"/>
        <sz val="18"/>
        <color theme="1"/>
        <rFont val="Arial"/>
        <family val="2"/>
      </rPr>
      <t>0</t>
    </r>
    <r>
      <rPr>
        <b/>
        <sz val="18"/>
        <color theme="1"/>
        <rFont val="Arial"/>
        <family val="2"/>
      </rPr>
      <t xml:space="preserve"> in kV</t>
    </r>
  </si>
  <si>
    <r>
      <t>Max. Sollwertabweichung der EZE</t>
    </r>
    <r>
      <rPr>
        <b/>
        <vertAlign val="subscript"/>
        <sz val="18"/>
        <color theme="1"/>
        <rFont val="Arial"/>
        <family val="2"/>
      </rPr>
      <t>Neu</t>
    </r>
  </si>
  <si>
    <r>
      <t>Δu</t>
    </r>
    <r>
      <rPr>
        <b/>
        <vertAlign val="subscript"/>
        <sz val="18"/>
        <color rgb="FF3F3F76"/>
        <rFont val="Arial"/>
        <family val="2"/>
      </rPr>
      <t>a;0,95untererregt</t>
    </r>
  </si>
  <si>
    <r>
      <t>Δu</t>
    </r>
    <r>
      <rPr>
        <b/>
        <vertAlign val="subscript"/>
        <sz val="18"/>
        <color rgb="FF3F3F76"/>
        <rFont val="Arial"/>
        <family val="2"/>
      </rPr>
      <t>a;1</t>
    </r>
  </si>
  <si>
    <r>
      <t>Δu</t>
    </r>
    <r>
      <rPr>
        <b/>
        <vertAlign val="subscript"/>
        <sz val="18"/>
        <color rgb="FF3F3F76"/>
        <rFont val="Arial"/>
        <family val="2"/>
      </rPr>
      <t>a;0,95überrerregt</t>
    </r>
  </si>
  <si>
    <r>
      <t>Δu</t>
    </r>
    <r>
      <rPr>
        <b/>
        <vertAlign val="subscript"/>
        <sz val="18"/>
        <color rgb="FF3F3F76"/>
        <rFont val="Arial"/>
        <family val="2"/>
      </rPr>
      <t>ers EZA</t>
    </r>
  </si>
  <si>
    <r>
      <t>Δu</t>
    </r>
    <r>
      <rPr>
        <b/>
        <vertAlign val="subscript"/>
        <sz val="18"/>
        <color rgb="FF3F3F76"/>
        <rFont val="Arial"/>
        <family val="2"/>
      </rPr>
      <t>ersEZE</t>
    </r>
  </si>
  <si>
    <r>
      <t>P</t>
    </r>
    <r>
      <rPr>
        <b/>
        <vertAlign val="subscript"/>
        <sz val="18"/>
        <color theme="1"/>
        <rFont val="Arial"/>
        <family val="2"/>
      </rPr>
      <t>lt</t>
    </r>
  </si>
  <si>
    <r>
      <t>P</t>
    </r>
    <r>
      <rPr>
        <b/>
        <vertAlign val="subscript"/>
        <sz val="18"/>
        <color theme="1"/>
        <rFont val="Arial"/>
        <family val="2"/>
      </rPr>
      <t>lt,res</t>
    </r>
  </si>
  <si>
    <r>
      <rPr>
        <sz val="18"/>
        <color rgb="FFFF0000"/>
        <rFont val="Arial"/>
        <family val="2"/>
      </rPr>
      <t>xx</t>
    </r>
    <r>
      <rPr>
        <sz val="18"/>
        <color theme="1"/>
        <rFont val="Arial"/>
        <family val="2"/>
      </rPr>
      <t xml:space="preserve"> Uc</t>
    </r>
  </si>
  <si>
    <r>
      <rPr>
        <sz val="18"/>
        <color rgb="FFFF0000"/>
        <rFont val="Arial"/>
        <family val="2"/>
      </rPr>
      <t>xx</t>
    </r>
    <r>
      <rPr>
        <sz val="18"/>
        <color theme="1"/>
        <rFont val="Arial"/>
        <family val="2"/>
      </rPr>
      <t xml:space="preserve"> Uns</t>
    </r>
  </si>
  <si>
    <t>Spannungssteigerungs-schutz EZE</t>
  </si>
  <si>
    <t>Spannungsrückgangs-schutz EZE</t>
  </si>
  <si>
    <t>Frequenz-steigerungs-schutz EZE</t>
  </si>
  <si>
    <t>Frequenz-rückgangsschutz EZE</t>
  </si>
  <si>
    <t>Frequenzrück-gangsschutz NAP</t>
  </si>
  <si>
    <t>Frequenzstei-gerungsschutz NAP</t>
  </si>
  <si>
    <t>Δuers</t>
  </si>
  <si>
    <t>Plt</t>
  </si>
  <si>
    <t>\\Srvhh01\82ag\BU_915_Grid\Projekte\000000 Musterordner Projekt\Konformitätserklärung\Vorlagen\20170721_8p2_Vorlage_Konfi_BHKW_JOL_Rev01.docx</t>
  </si>
  <si>
    <t>Parkbezeichnung aus AZ</t>
  </si>
  <si>
    <t>Vorlage</t>
  </si>
  <si>
    <t>Speicherpfad</t>
  </si>
  <si>
    <t>OVRT 1,1 Un</t>
  </si>
  <si>
    <t>LVRT 0,9 Un</t>
  </si>
  <si>
    <t>Straße</t>
  </si>
  <si>
    <t>NB_Str</t>
  </si>
  <si>
    <t>NB_PLZ</t>
  </si>
  <si>
    <t>NB_Tel</t>
  </si>
  <si>
    <t>NB_Fax</t>
  </si>
  <si>
    <t>NB_Mail</t>
  </si>
  <si>
    <t>Parkbezeichnung</t>
  </si>
  <si>
    <t>EZA_Bezeichnung</t>
  </si>
  <si>
    <t>Un</t>
  </si>
  <si>
    <t>Leistungsschalter Transformator Hersteller</t>
  </si>
  <si>
    <t>Leistungsschalter Transformator Typ</t>
  </si>
  <si>
    <t>Leistungsschalter Transformator Bemessungsstrom</t>
  </si>
  <si>
    <t>Leistungsschalter Transformator Bemessungsstrom berechnet</t>
  </si>
  <si>
    <t>Leistungsschalter Transformator Kurzschlussstrom</t>
  </si>
  <si>
    <t>Leistungsschalter Transformator Kurzschlussstrom berechnung</t>
  </si>
  <si>
    <t>Leistungsschalter Transformator Bemessungsspannung</t>
  </si>
  <si>
    <t>JOL</t>
  </si>
  <si>
    <t>TDZ</t>
  </si>
  <si>
    <t>Neues Tool</t>
  </si>
  <si>
    <t>Revision</t>
  </si>
  <si>
    <t>SGesamt in MVA</t>
  </si>
  <si>
    <t>SNetz in MVA</t>
  </si>
  <si>
    <t>Schaltanlage WEA / Leistungsschalter BHKW</t>
  </si>
  <si>
    <t>Schaltanlage WEA / Leistungsschalter BHKW Hersteller</t>
  </si>
  <si>
    <t>Schaltanlage WEA / Leistungsschalter BHKW Typ</t>
  </si>
  <si>
    <t>Schaltanlage WEA / Leistungsschalter BHKW
maximaler Dauerstrom in kA</t>
  </si>
  <si>
    <t>Schaltanlage WEA / Leistungsschalter BHKW
maximaler Kurzschlussstrom in kA</t>
  </si>
  <si>
    <t>Schaltanlage WEA / Leistungsschalter BHKW
Nennspannung</t>
  </si>
  <si>
    <t>Frequenz in Hz</t>
  </si>
  <si>
    <t>Hz</t>
  </si>
  <si>
    <t>kHz</t>
  </si>
  <si>
    <t>Korrektur Reiter "Berechnung"</t>
  </si>
  <si>
    <t>FGH-E-2014-007</t>
  </si>
  <si>
    <t>Korrektur Bericht und EZE-Daten erweitert um 2g</t>
  </si>
  <si>
    <t>LPA</t>
  </si>
  <si>
    <t>44 797 13180003</t>
  </si>
  <si>
    <t>avus 500plus BG / EG</t>
  </si>
  <si>
    <t>MWM TCG 2020</t>
  </si>
  <si>
    <t>FHG-E-2014-013-2</t>
  </si>
  <si>
    <r>
      <t>P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in MW</t>
    </r>
  </si>
  <si>
    <t>-50 Hz</t>
  </si>
  <si>
    <t xml:space="preserve"> +50 Hz</t>
  </si>
  <si>
    <t>Erweiterung der Zwischenharmonische auf +-50Hz</t>
  </si>
  <si>
    <t>MDU</t>
  </si>
  <si>
    <t>Fronius</t>
  </si>
  <si>
    <t>Fronius International GmbH</t>
  </si>
  <si>
    <t>entfällt für PV</t>
  </si>
  <si>
    <t>Dürr Cyplan Ltd.</t>
  </si>
  <si>
    <t>17-0100_0</t>
  </si>
  <si>
    <t>Dürr Cyplan Ltd. Clean Technology Systems</t>
  </si>
  <si>
    <t>max. 9,65</t>
  </si>
  <si>
    <t>Schnell</t>
  </si>
  <si>
    <t>Schnell Motoren AG</t>
  </si>
  <si>
    <t>12-0801-07</t>
  </si>
  <si>
    <t>12-0801-08</t>
  </si>
  <si>
    <t>12-0801-09</t>
  </si>
  <si>
    <t>5,66s</t>
  </si>
  <si>
    <t>7s</t>
  </si>
  <si>
    <t>8,99s</t>
  </si>
  <si>
    <t>21,2s</t>
  </si>
  <si>
    <t>25,4s</t>
  </si>
  <si>
    <t>32,6s</t>
  </si>
  <si>
    <t>2G Energietechnik GmbH</t>
  </si>
  <si>
    <t>&lt;10s</t>
  </si>
  <si>
    <t>Korrektur "Höher"frequente</t>
  </si>
  <si>
    <t>VDE_EZE_Bestand_Zahl</t>
  </si>
  <si>
    <t>VDE_EZE_Herst_Alt</t>
  </si>
  <si>
    <t>VDE_EZE_Typ_Alt</t>
  </si>
  <si>
    <t>VDE_EZE_Name_ALT</t>
  </si>
  <si>
    <t>VDE_S_EZE_Alt</t>
  </si>
  <si>
    <t>VDE_P_EZE_ALT</t>
  </si>
  <si>
    <t>VDE_P_inbe_ALT</t>
  </si>
  <si>
    <t>VDE_EZE_Herst_Alt2</t>
  </si>
  <si>
    <t>VDE_EZE_Typ_Alt2</t>
  </si>
  <si>
    <t>VDE_EZE_Name_ALT2</t>
  </si>
  <si>
    <t>VDE_S_EZE_Alt2</t>
  </si>
  <si>
    <t>VDE_P_EZE_ALT2</t>
  </si>
  <si>
    <t>VDE_P_inbe_ALT2</t>
  </si>
  <si>
    <t>VDE_EZE_Herst_Alt3</t>
  </si>
  <si>
    <t>VDE_EZE_Typ_Alt3</t>
  </si>
  <si>
    <t>VDE_EZE_Name_ALT3</t>
  </si>
  <si>
    <t>VDE_S_EZE_Alt3</t>
  </si>
  <si>
    <t>VDE_P_EZE_ALT3</t>
  </si>
  <si>
    <t>VDE_P_inbe_ALT3</t>
  </si>
  <si>
    <t>VDE_EZE_BestandZahl2</t>
  </si>
  <si>
    <t>VDE_EZE_BestandZahl3</t>
  </si>
  <si>
    <t>VDE_EZE_BestandZahl4</t>
  </si>
  <si>
    <t>VDE_EZE_Herst_Alt4</t>
  </si>
  <si>
    <t>VDE_EZE_Typ_Alt4</t>
  </si>
  <si>
    <t>VDE_EZE_Name_ALT4</t>
  </si>
  <si>
    <t>VDE_S_EZE_Alt4</t>
  </si>
  <si>
    <t>VDE_P_EZE_ALT4</t>
  </si>
  <si>
    <t>VDE_P_inbe_ALT4</t>
  </si>
  <si>
    <t>VDE_EZE_BestandZahl5</t>
  </si>
  <si>
    <t>VDE_EZE_Herst_Alt5</t>
  </si>
  <si>
    <t>VDE_EZE_Typ_Alt5</t>
  </si>
  <si>
    <t>VDE_EZE_Name_ALT5</t>
  </si>
  <si>
    <t>VDE_S_EZE_Alt5</t>
  </si>
  <si>
    <t>VDE_P_EZE_ALT5</t>
  </si>
  <si>
    <t>VDE_P_inbe_ALT5</t>
  </si>
  <si>
    <t>VDE_EZE_BestandZahl6</t>
  </si>
  <si>
    <t>VDE_EZE_Herst_Alt6</t>
  </si>
  <si>
    <t>VDE_EZE_Typ_Alt6</t>
  </si>
  <si>
    <t>VDE_EZE_Name_ALT6</t>
  </si>
  <si>
    <t>VDE_S_EZE_Alt6</t>
  </si>
  <si>
    <t>VDE_P_EZE_ALT6</t>
  </si>
  <si>
    <t>VDE_P_inbe_ALT6</t>
  </si>
  <si>
    <t>VDE_EZE1_Motor</t>
  </si>
  <si>
    <t>VDE_EZE1_Motor2</t>
  </si>
  <si>
    <t>VDE_EZA_Pa</t>
  </si>
  <si>
    <t>VDE_EZA_P_NAB</t>
  </si>
  <si>
    <t>VDE_Ua_95u</t>
  </si>
  <si>
    <t>VDE_Ua_1</t>
  </si>
  <si>
    <t>VDE_Ua_95ü</t>
  </si>
  <si>
    <t>VDE_Uers_EZA</t>
  </si>
  <si>
    <t>VDE_Uers_EZE</t>
  </si>
  <si>
    <t>VDE_Pit</t>
  </si>
  <si>
    <t>VDE_Pit_res</t>
  </si>
  <si>
    <t>VDE_LVRT_Modus</t>
  </si>
  <si>
    <t>VDE_Bemessungsstrom</t>
  </si>
  <si>
    <t>VDE_Ik2</t>
  </si>
  <si>
    <t>VDE_EZE1_WirkSprung</t>
  </si>
  <si>
    <t>VDE_EZE1_SollAbw</t>
  </si>
  <si>
    <t>VDE_EZE1_WirkSprung2</t>
  </si>
  <si>
    <t>VDE_EZE1_SollAbw2</t>
  </si>
  <si>
    <t>VDE_Uns</t>
  </si>
  <si>
    <t>VDE_LS_NAP_H</t>
  </si>
  <si>
    <t>VDE_LS_NAP_T</t>
  </si>
  <si>
    <t>Einfügen der neuen TM</t>
  </si>
  <si>
    <t>Korrektur Oberschwingung: Achsen in Diag. In A</t>
  </si>
  <si>
    <t>VDE_SW_1</t>
  </si>
  <si>
    <t>VDE_SW_2</t>
  </si>
  <si>
    <t>VDE_SW_3</t>
  </si>
  <si>
    <t>VDE_SW_4</t>
  </si>
  <si>
    <t>VDE_SW_5</t>
  </si>
  <si>
    <t>VDE_SW_6</t>
  </si>
  <si>
    <t>VDE_SW_7</t>
  </si>
  <si>
    <t>VDE_SW_8</t>
  </si>
  <si>
    <t>VDE_SW_9</t>
  </si>
  <si>
    <t>VDE_SW_10</t>
  </si>
  <si>
    <t>VDE_SW_11</t>
  </si>
  <si>
    <t>VDE_SW_12</t>
  </si>
  <si>
    <t>VDE_SW_13</t>
  </si>
  <si>
    <t>VDE_SW_14</t>
  </si>
  <si>
    <t>VDE_SW_15</t>
  </si>
  <si>
    <t>VDE_SW_16</t>
  </si>
  <si>
    <t>VDE_SW_17</t>
  </si>
  <si>
    <t>VDE_SW_18</t>
  </si>
  <si>
    <t>VDE_SW_19</t>
  </si>
  <si>
    <t>VDE_SW_20</t>
  </si>
  <si>
    <t>VDE_SW_21</t>
  </si>
  <si>
    <t>VDE_SW_22</t>
  </si>
  <si>
    <t>VDE_SW_23</t>
  </si>
  <si>
    <t>VDE_SW_24</t>
  </si>
  <si>
    <t>VDE_SW_25</t>
  </si>
  <si>
    <t>Auswertung der zwischenharmonischen Ströme um die betriebliche Rundsteuerfrequenz</t>
  </si>
  <si>
    <t>VDE_EZA_Pa_rech</t>
  </si>
  <si>
    <t>Gesamtanschlusswirkleistung rechnerich EZA, MW</t>
  </si>
  <si>
    <t>inkl Verlust</t>
  </si>
  <si>
    <t>VDE_cosphi_Ber_real</t>
  </si>
  <si>
    <t>GE Jenbacher GmbH &amp; Co OG</t>
  </si>
  <si>
    <r>
      <t>Dreyer</t>
    </r>
    <r>
      <rPr>
        <sz val="11"/>
        <color theme="1"/>
        <rFont val="Calibri"/>
        <family val="2"/>
        <scheme val="minor"/>
      </rPr>
      <t xml:space="preserve"> und Bosse Kraftwerke GmbH</t>
    </r>
  </si>
  <si>
    <t>Caterpillar Energy Solutions GmbH</t>
  </si>
  <si>
    <t>Für Prüfbericht</t>
  </si>
  <si>
    <t>Alle anderen Dokumente</t>
  </si>
  <si>
    <t>44 797 13137907</t>
  </si>
  <si>
    <t>56,73s</t>
  </si>
  <si>
    <t xml:space="preserve">
</t>
  </si>
  <si>
    <t>Übergeordnete Angaben und Daten</t>
  </si>
  <si>
    <t>Nr</t>
  </si>
  <si>
    <t>Information / Dokument</t>
  </si>
  <si>
    <t>Unterkategorie</t>
  </si>
  <si>
    <t>Kommentar / Inhalt</t>
  </si>
  <si>
    <t>Elektroplanung</t>
  </si>
  <si>
    <t>Regelungs - / Steuerungsplanung</t>
  </si>
  <si>
    <r>
      <t>Hersteller EZE</t>
    </r>
    <r>
      <rPr>
        <sz val="9"/>
        <color theme="1"/>
        <rFont val="Calibri"/>
        <family val="2"/>
        <scheme val="minor"/>
      </rPr>
      <t>neu</t>
    </r>
  </si>
  <si>
    <t>Lageplan</t>
  </si>
  <si>
    <t>Antrag auf Zertifizierung</t>
  </si>
  <si>
    <t>Ausfüllen und unterschreiben</t>
  </si>
  <si>
    <t>Ausgefüllte TR 8 Anhänge</t>
  </si>
  <si>
    <t>Betreiberfragebogen</t>
  </si>
  <si>
    <t>Anhang C Teil A</t>
  </si>
  <si>
    <t>Netzbetreiberfragebogen</t>
  </si>
  <si>
    <t>Anhang C Teil B</t>
  </si>
  <si>
    <t>Technische Unterlagen</t>
  </si>
  <si>
    <r>
      <rPr>
        <b/>
        <sz val="14"/>
        <color theme="1"/>
        <rFont val="Calibri"/>
        <family val="2"/>
        <scheme val="minor"/>
      </rPr>
      <t>Single Line Diagramm</t>
    </r>
    <r>
      <rPr>
        <sz val="11"/>
        <color theme="1"/>
        <rFont val="Calibri"/>
        <family val="2"/>
        <scheme val="minor"/>
      </rPr>
      <t xml:space="preserve">
(Einpoliger Übersichtsschaltplan)
</t>
    </r>
    <r>
      <rPr>
        <i/>
        <sz val="11"/>
        <color theme="1"/>
        <rFont val="Calibri"/>
        <family val="2"/>
        <scheme val="minor"/>
      </rPr>
      <t xml:space="preserve">Nebenstehende Daten müssen </t>
    </r>
    <r>
      <rPr>
        <b/>
        <i/>
        <u/>
        <sz val="11"/>
        <color theme="1"/>
        <rFont val="Calibri"/>
        <family val="2"/>
        <scheme val="minor"/>
      </rPr>
      <t>im</t>
    </r>
    <r>
      <rPr>
        <i/>
        <sz val="11"/>
        <color theme="1"/>
        <rFont val="Calibri"/>
        <family val="2"/>
        <scheme val="minor"/>
      </rPr>
      <t xml:space="preserve"> Single Line Diagramm enthalten sein.</t>
    </r>
  </si>
  <si>
    <t>Übersichtsschaltplan vorhanden</t>
  </si>
  <si>
    <t>Erzeugungseinheiten 
(BHKW, PV, WEA)</t>
  </si>
  <si>
    <t xml:space="preserve">Hersteller / Typ / Leistung / Inbetriebnahmedatum </t>
  </si>
  <si>
    <t>Transformatoren</t>
  </si>
  <si>
    <t>Hersteller / Typ / Leistung</t>
  </si>
  <si>
    <t>Schaltanlage Mittelspannung</t>
  </si>
  <si>
    <r>
      <t>Hersteller / Typ / Kenngrößen (I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, I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, U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</si>
  <si>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t>Schaltanlage Niederspannung</t>
  </si>
  <si>
    <t>Leistungsschalter</t>
  </si>
  <si>
    <r>
      <t>Hersteller / Typen / Einstellung / Kenngrößen (I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, I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)</t>
    </r>
  </si>
  <si>
    <t>Kabel</t>
  </si>
  <si>
    <t>Typ / Querschnitt / Länge / Anzahl Systeme</t>
  </si>
  <si>
    <t>Schutzgeräte Mittelspannung</t>
  </si>
  <si>
    <t>Hersteller / Typ / Wirklinie</t>
  </si>
  <si>
    <t>Schutzgeräte Niederspannung</t>
  </si>
  <si>
    <t>Schutzwandler</t>
  </si>
  <si>
    <t>Hersteller / Typ / Klasse / Übersetzungverhältnis</t>
  </si>
  <si>
    <t>USV-Einrichtungen</t>
  </si>
  <si>
    <t>Kennzeichnung des Netzanschlusspunktes</t>
  </si>
  <si>
    <t>Transformator(en)</t>
  </si>
  <si>
    <t>Transformatorprüfschein/e</t>
  </si>
  <si>
    <t>Stufenschalterposition/en</t>
  </si>
  <si>
    <t>Schutzkonzept</t>
  </si>
  <si>
    <t>Umsetzung der Schutzanforderungen</t>
  </si>
  <si>
    <t>Welcher Schutz wirkt auf welchen Leistungsschalter</t>
  </si>
  <si>
    <r>
      <t>Kapazität / Hersteller (Übergabestation und EZE</t>
    </r>
    <r>
      <rPr>
        <vertAlign val="subscript"/>
        <sz val="11"/>
        <color theme="1"/>
        <rFont val="Calibri"/>
        <family val="2"/>
        <scheme val="minor"/>
      </rPr>
      <t>Neu</t>
    </r>
    <r>
      <rPr>
        <sz val="11"/>
        <color theme="1"/>
        <rFont val="Calibri"/>
        <family val="2"/>
        <scheme val="minor"/>
      </rPr>
      <t>)</t>
    </r>
  </si>
  <si>
    <t>Anlagenregelung</t>
  </si>
  <si>
    <t>Regelungskonzept</t>
  </si>
  <si>
    <t>Wie werden die Wirk- und Blindleistungsanforderungen des Netzbetreibers innerhalb der Anlage umgesetzt? (Blockschaltbild)</t>
  </si>
  <si>
    <t>Anlagenregler</t>
  </si>
  <si>
    <t>Herstellererklärung</t>
  </si>
  <si>
    <t>Daten der Erzeugungseinheiten</t>
  </si>
  <si>
    <t xml:space="preserve">Bezeichnung </t>
  </si>
  <si>
    <t>Datenblatt BHKW</t>
  </si>
  <si>
    <t>Technische Beschreibung</t>
  </si>
  <si>
    <t>Datenblatt Generator</t>
  </si>
  <si>
    <t>Einheitenzertifikat</t>
  </si>
  <si>
    <t>Fotos der Typenschilder</t>
  </si>
  <si>
    <t>GenSet, Motor, Generator (bei Lieferung)</t>
  </si>
  <si>
    <t>(geplantes) Inbetriebnahmedatum</t>
  </si>
  <si>
    <t>Inbetriebnahmeprotokoll
(falls bereits in Betrieb)</t>
  </si>
  <si>
    <t>Bezeichnung</t>
  </si>
  <si>
    <t>Blindleistungsvermögen</t>
  </si>
  <si>
    <r>
      <t>Max. mögliche Unter- bzw. Übererregung im 
Spannungsband U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± 10 %</t>
    </r>
  </si>
  <si>
    <t>Eingestellte Blindleistungsfahrweise</t>
  </si>
  <si>
    <t>GenSet, Motor, Generator</t>
  </si>
  <si>
    <t>Anzahl Wechselrichter</t>
  </si>
  <si>
    <t>Datenblatt Wechselrichter</t>
  </si>
  <si>
    <r>
      <rPr>
        <b/>
        <sz val="14"/>
        <color theme="1"/>
        <rFont val="Calibri"/>
        <family val="2"/>
        <scheme val="minor"/>
      </rPr>
      <t>PV</t>
    </r>
    <r>
      <rPr>
        <b/>
        <vertAlign val="subscript"/>
        <sz val="14"/>
        <color theme="1"/>
        <rFont val="Calibri"/>
        <family val="2"/>
        <scheme val="minor"/>
      </rPr>
      <t>Neu</t>
    </r>
  </si>
  <si>
    <t>Fotos der WR-Typenschilder</t>
  </si>
  <si>
    <t>Eines je Typ</t>
  </si>
  <si>
    <t>Schaltplan PV-Anlage</t>
  </si>
  <si>
    <t>Falls zu komplex für Single Line Diagramm</t>
  </si>
  <si>
    <r>
      <rPr>
        <b/>
        <sz val="14"/>
        <color theme="1"/>
        <rFont val="Calibri"/>
        <family val="2"/>
        <scheme val="minor"/>
      </rPr>
      <t>PV</t>
    </r>
    <r>
      <rPr>
        <b/>
        <vertAlign val="subscript"/>
        <sz val="14"/>
        <color theme="1"/>
        <rFont val="Calibri"/>
        <family val="2"/>
        <scheme val="minor"/>
      </rPr>
      <t>Bestand</t>
    </r>
  </si>
  <si>
    <r>
      <rPr>
        <b/>
        <sz val="14"/>
        <color theme="1"/>
        <rFont val="Calibri"/>
        <family val="2"/>
        <scheme val="minor"/>
      </rPr>
      <t>PV</t>
    </r>
    <r>
      <rPr>
        <b/>
        <vertAlign val="subscript"/>
        <sz val="14"/>
        <color theme="1"/>
        <rFont val="Calibri"/>
        <family val="2"/>
        <scheme val="minor"/>
      </rPr>
      <t>Alt</t>
    </r>
  </si>
  <si>
    <t>Ihre Vorbereitung zur Konformitätsprüfung</t>
  </si>
  <si>
    <t>Interne Kommentare, nicht sichbar für den Kunden</t>
  </si>
  <si>
    <t>Ablaufdatum Anlagenzertifikat</t>
  </si>
  <si>
    <t>Notwendige Teilnehmer vor Ort</t>
  </si>
  <si>
    <t>E-Planer</t>
  </si>
  <si>
    <t>Steuerungs / Regelungserrichter</t>
  </si>
  <si>
    <t>Anlagenbetreiber</t>
  </si>
  <si>
    <t>Muss Sicherheitsunterweisung durchführen</t>
  </si>
  <si>
    <t>Service-Techniker der neuen EZE</t>
  </si>
  <si>
    <t>Hinweis: Um die spezifischen Einstellwerte des BHKW einsehen zu können, 
sind entsprechende Passwörter und Rechte erforderlich. Aus diesem Grund ist es zwingend erforderlich, dass die Konformitätsprüfung durch einen elektrotechnisch versierten
Service-Monteur des Herstellers begleitet wird.</t>
  </si>
  <si>
    <t>Vorab zur Verfügung zu stellen</t>
  </si>
  <si>
    <t>Dokumente</t>
  </si>
  <si>
    <t>Aktuellstes Single-Line-Diagramm</t>
  </si>
  <si>
    <t>Inbetriebnahmeprotokoll der Übergabestation / EZA</t>
  </si>
  <si>
    <t>bdew MSR Anhang F.4</t>
  </si>
  <si>
    <t>Inbetriebnahmeprotokoll des neuen BHKW</t>
  </si>
  <si>
    <t>bdew MSR Anhang F.5</t>
  </si>
  <si>
    <t>Schutzprüfprotokoll des Schutzgeräts am Netzverknüpfungspunkt</t>
  </si>
  <si>
    <t>Mit Schutzeinstellungen entsprechend dem Netzbetreiberfragebogen</t>
  </si>
  <si>
    <t>Schutzprüfprotokoll des Schutzgeräts am neuen BHKW</t>
  </si>
  <si>
    <t>Inbetriebnahmeprotokoll der Fernwirkanlage mit Überprüfung der Wirk- und Blindleistungsfahrweise</t>
  </si>
  <si>
    <t>Sofern es nicht gleichzeitig mit der Konformitätsbegehung geprüft werden soll</t>
  </si>
  <si>
    <t>Transformatorprüfprotokoll</t>
  </si>
  <si>
    <t>Wenn nicht schon vorhanden</t>
  </si>
  <si>
    <t>Wandlerbeistellung bzw. Lieferschein der Schutzwandler</t>
  </si>
  <si>
    <t xml:space="preserve">Bsp. Siehe SLD Seite 10 </t>
  </si>
  <si>
    <t>Bestätigung der Funktionsweise der Regelung</t>
  </si>
  <si>
    <t>Es wird empfohlen im Vorhinein der Konformitätsprüfung eine Überprüfung der gesamten Wirkungskette zur Wirkleistungsregelung und ggf. der Blindleistungsregelung durch den Netzbetreiber durchzuführen.</t>
  </si>
  <si>
    <t>8 Stunden Bestätigung der USV am Netzverknüpfungspunkt</t>
  </si>
  <si>
    <t>Notwendige Zugänglichkeiten / Berechtigungen / Betrieb der Anlage</t>
  </si>
  <si>
    <t>Zugänglichkeiten</t>
  </si>
  <si>
    <t>Übergabestation / Netzverknüpfungspunkt</t>
  </si>
  <si>
    <t>Zugang zu den Mittelspannungsschaltanlagen, Wandler-Typenschilder, Schaltanlage, USV</t>
  </si>
  <si>
    <t>Transformatorstation/en mit Zugang zum Stufensteller</t>
  </si>
  <si>
    <t>Zugang zu den Typenschildern der Transformatoren, Stufenstellern, Leistungsschaltern</t>
  </si>
  <si>
    <t>Sämtliche Erzeugungseinheiten (BHKW, PV)</t>
  </si>
  <si>
    <t>Insbesondere PV-Wechselrichter wenn vorhanden. Ggf. Leiter bereitstellen
Ferner zu allen Typenschilder der BHKW, USV</t>
  </si>
  <si>
    <t>Berechtigungen</t>
  </si>
  <si>
    <t>Schutzeinstellungen an den neuen EZE (BHKW / PV)</t>
  </si>
  <si>
    <t>Leseberechtigung und ggf. Schreibberechtigung in der Betriebssoftware / im Schutzgerät</t>
  </si>
  <si>
    <t>Schutzeinstellungen am NAP</t>
  </si>
  <si>
    <t>Leseberechtigung</t>
  </si>
  <si>
    <t>Betrieb der Anlage</t>
  </si>
  <si>
    <t>Alle BHKW sollten betriebsbereit sein und gleichzeitig am Netz betrieben werden können</t>
  </si>
  <si>
    <t>Ausreichend Gas für mindestens 2h Betrieb aller BHKW</t>
  </si>
  <si>
    <t>Direktvermarkter muss informiert werden</t>
  </si>
  <si>
    <t>Nichtbetrieb eines BHKW</t>
  </si>
  <si>
    <t>Mindestens das Signal zur Wirkleistungsregelung / Blindleistungsregelung einsehbar</t>
  </si>
  <si>
    <t>Überprüfung vor Ort durch 8.2</t>
  </si>
  <si>
    <t>Schutzgerät und Einstellwerte</t>
  </si>
  <si>
    <t>Prüfklemmleiste für die Schutzprüfung</t>
  </si>
  <si>
    <t>Übergabestation</t>
  </si>
  <si>
    <t>USV des Schutzgerätes</t>
  </si>
  <si>
    <t>Typenschilder der Schutzwandler</t>
  </si>
  <si>
    <t>Kann man die Typenschilder direkt ablesen?</t>
  </si>
  <si>
    <t>Typenschilder der MS-Schaltanlage</t>
  </si>
  <si>
    <t>Transformatorstation/en</t>
  </si>
  <si>
    <t>Typenschild des Transformators</t>
  </si>
  <si>
    <t>Übersetzungsverhältnis (Stufensteller)</t>
  </si>
  <si>
    <t>Niederspannungs-Leistungsschalter</t>
  </si>
  <si>
    <t>EZEneu</t>
  </si>
  <si>
    <t xml:space="preserve">Typenschilder </t>
  </si>
  <si>
    <t>Motor, Generator, Genset bei BHKW
Wechselrichter bei PV</t>
  </si>
  <si>
    <t xml:space="preserve">Hilfsaggregate bei BHKW </t>
  </si>
  <si>
    <t>(Pumpen, Lüfter, Frequenzumrichter…)</t>
  </si>
  <si>
    <t>FRT-Test der Hilfsaggregate bei BHKW</t>
  </si>
  <si>
    <t>Überprüfung des Verbleibs des BHKW am Netz bei kurzzeitigem Netzausfall (2,5s) an den Hilfssystemen</t>
  </si>
  <si>
    <t>USV / Unterbrechungsfreie Stromversorgung</t>
  </si>
  <si>
    <t>- Schutzeinstellungen für den Netzschutz
- Einstellwerte der frequenzabhängigen Wirkleistungsregelung 
(Start- / Rückkehr- / Abschaltfrequenz, Reduzierungsrampe)
- Wiederzuschaltgrenzwerte (Über-/ Unterfrequenz, Spannungsgrenze, Steigerungsrampe)</t>
  </si>
  <si>
    <t>Prüfklemmleiste Schutzgerät</t>
  </si>
  <si>
    <t>Typenschilder und Bemessungsgrößen, sowie Auslöung</t>
  </si>
  <si>
    <t>ggf. Wirkleistungsregelung</t>
  </si>
  <si>
    <r>
      <t>EZE</t>
    </r>
    <r>
      <rPr>
        <b/>
        <sz val="9"/>
        <color theme="1"/>
        <rFont val="Calibri"/>
        <family val="2"/>
        <scheme val="minor"/>
      </rPr>
      <t>alt</t>
    </r>
    <r>
      <rPr>
        <b/>
        <sz val="14"/>
        <color theme="1"/>
        <rFont val="Calibri"/>
        <family val="2"/>
        <scheme val="minor"/>
      </rPr>
      <t xml:space="preserve"> </t>
    </r>
  </si>
  <si>
    <t>Typenschilder</t>
  </si>
  <si>
    <t>ggf. Blindleistungsregelung</t>
  </si>
  <si>
    <t>Besonderheiten aus dem Anlagenzertifikat</t>
  </si>
  <si>
    <t>Bsp.: Regelung</t>
  </si>
  <si>
    <t>Bsp.: Blindleistungsregelung</t>
  </si>
  <si>
    <t xml:space="preserve">Bsp.: Die Q(U)-Kennlinie ist auf den NAP zu regeln </t>
  </si>
  <si>
    <t xml:space="preserve">Projekt Nr.: </t>
  </si>
  <si>
    <t>Projektname &amp; Standort:</t>
  </si>
  <si>
    <r>
      <t>EZE</t>
    </r>
    <r>
      <rPr>
        <b/>
        <sz val="10"/>
        <color theme="1"/>
        <rFont val="Calibri"/>
        <family val="2"/>
        <scheme val="minor"/>
      </rPr>
      <t>Neu</t>
    </r>
  </si>
  <si>
    <r>
      <rPr>
        <b/>
        <sz val="12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EZE</t>
    </r>
    <r>
      <rPr>
        <b/>
        <vertAlign val="subscript"/>
        <sz val="14"/>
        <color theme="1"/>
        <rFont val="Calibri"/>
        <family val="2"/>
        <scheme val="minor"/>
      </rPr>
      <t>Bestand</t>
    </r>
  </si>
  <si>
    <r>
      <rPr>
        <b/>
        <sz val="12"/>
        <color theme="1"/>
        <rFont val="Calibri"/>
        <family val="2"/>
        <scheme val="minor"/>
      </rPr>
      <t>EZE</t>
    </r>
    <r>
      <rPr>
        <b/>
        <vertAlign val="subscript"/>
        <sz val="14"/>
        <color theme="1"/>
        <rFont val="Calibri"/>
        <family val="2"/>
        <scheme val="minor"/>
      </rPr>
      <t>Alt</t>
    </r>
  </si>
  <si>
    <t>Projekt Nr.:</t>
  </si>
  <si>
    <t>DB Nr.</t>
  </si>
  <si>
    <t>Leer</t>
  </si>
  <si>
    <t>Jenbacher BR 6</t>
  </si>
  <si>
    <t>Schnell 800 kW</t>
  </si>
  <si>
    <t>Schnell 200 kW</t>
  </si>
  <si>
    <t>Schnell 60 kW</t>
  </si>
  <si>
    <t>Dürr ORC 70 HT</t>
  </si>
  <si>
    <t xml:space="preserve">Dürr ORC 120 HT </t>
  </si>
  <si>
    <t>Fronius Symo 15-20</t>
  </si>
  <si>
    <t>MWM 1 MW - 2,1 MW</t>
  </si>
  <si>
    <t>KACO 60.0 TL3 - XL</t>
  </si>
  <si>
    <t>SMA 15000 - 25000 TL-30</t>
  </si>
  <si>
    <t>Hagl</t>
  </si>
  <si>
    <t>2G</t>
  </si>
  <si>
    <t>MTU BR 400 / bei &gt; 185 kw</t>
  </si>
  <si>
    <t>MTU BR 400 / bei &lt; 240 kw</t>
  </si>
  <si>
    <t>Dreyer &amp; Bosse Vita &amp; Terra</t>
  </si>
  <si>
    <t>MTU BR 4000</t>
  </si>
  <si>
    <t>Jenbacher BR 4</t>
  </si>
  <si>
    <t>Jenbacher BR 3</t>
  </si>
  <si>
    <t>Dropdown Funktion in Berechnungen und Checklisten eingefügt</t>
  </si>
  <si>
    <t>Dürr ORC 50 HT</t>
  </si>
  <si>
    <t xml:space="preserve">Folgende Elemente konnten nicht gefunden werden:_x000D_
Zertifikatzsinhaber_x000D_
</t>
  </si>
  <si>
    <r>
      <t xml:space="preserve">Biogas Bohmstedt
</t>
    </r>
    <r>
      <rPr>
        <b/>
        <sz val="8"/>
        <color theme="1"/>
        <rFont val="Calibri"/>
        <family val="2"/>
        <scheme val="minor"/>
      </rPr>
      <t>25853 Bohmstedt
Langacker 4</t>
    </r>
  </si>
  <si>
    <t>Gunnar Jürgensen / Mauderer Elektrotechnik GmbH</t>
  </si>
  <si>
    <t>Rasche &amp; Wessler GmbH</t>
  </si>
  <si>
    <t>Qualität</t>
  </si>
  <si>
    <t>Größe</t>
  </si>
  <si>
    <t>Dateigröße</t>
  </si>
  <si>
    <t>[-]</t>
  </si>
  <si>
    <t>[pixel]</t>
  </si>
  <si>
    <t>[KB]</t>
  </si>
  <si>
    <t>426x303</t>
  </si>
  <si>
    <t>851x606</t>
  </si>
  <si>
    <t>1278x909</t>
  </si>
  <si>
    <t>1703x1211</t>
  </si>
  <si>
    <t>2129x1515</t>
  </si>
  <si>
    <t>Kostal Solar Electric GmbH</t>
  </si>
  <si>
    <t>17-253-02</t>
  </si>
  <si>
    <t>Pico 36</t>
  </si>
  <si>
    <t>Bayern BHKW</t>
  </si>
  <si>
    <t>MOE 13-0593-22</t>
  </si>
  <si>
    <t>MNW 530BG MAN</t>
  </si>
  <si>
    <t>Bayern BHKW GmbH</t>
  </si>
  <si>
    <t>42,74s</t>
  </si>
  <si>
    <t>MWM TCG 2016</t>
  </si>
  <si>
    <t>FGH-E-2014-007-1</t>
  </si>
  <si>
    <t>max 9,78</t>
  </si>
  <si>
    <t>4,69kW</t>
  </si>
  <si>
    <t>MWM Caterpillar</t>
  </si>
  <si>
    <t>Samil Power Co. Ltd.</t>
  </si>
  <si>
    <t>13-073</t>
  </si>
  <si>
    <t>Solarlake 10000TL</t>
  </si>
  <si>
    <t>Solarlake 17000TL</t>
  </si>
  <si>
    <t>Enercon</t>
  </si>
  <si>
    <t>E115</t>
  </si>
  <si>
    <t>FGH-E-2016-015</t>
  </si>
  <si>
    <t>E70  E4</t>
  </si>
  <si>
    <t>FGH-E-2015-006</t>
  </si>
  <si>
    <t>0,22s</t>
  </si>
  <si>
    <t>LT</t>
  </si>
  <si>
    <t>EZE 2</t>
  </si>
  <si>
    <t>EZE 3</t>
  </si>
  <si>
    <t>EZE 4</t>
  </si>
  <si>
    <t>EZE 5</t>
  </si>
  <si>
    <t>EZE 6</t>
  </si>
  <si>
    <t>EZE 7</t>
  </si>
  <si>
    <t>EZE 8</t>
  </si>
  <si>
    <t>EZE 9</t>
  </si>
  <si>
    <t>EZE 10</t>
  </si>
  <si>
    <t>kb</t>
  </si>
  <si>
    <t>Zwischenharmonische</t>
  </si>
  <si>
    <t>Eingabe</t>
  </si>
  <si>
    <t>Alternativ</t>
  </si>
  <si>
    <t>Formelbezug</t>
  </si>
  <si>
    <t>Supraharmonische</t>
  </si>
  <si>
    <t>OS-Berechnung + Netzrückwirkungen nach VDE, Berechnung Z mit Uc</t>
  </si>
  <si>
    <t>Plt_1</t>
  </si>
  <si>
    <r>
      <t>P</t>
    </r>
    <r>
      <rPr>
        <vertAlign val="subscript"/>
        <sz val="11"/>
        <color theme="1"/>
        <rFont val="Calibri"/>
        <family val="2"/>
        <scheme val="minor"/>
      </rPr>
      <t>lt</t>
    </r>
    <r>
      <rPr>
        <sz val="11"/>
        <color theme="1"/>
        <rFont val="Calibri"/>
        <family val="2"/>
        <scheme val="minor"/>
      </rPr>
      <t>_res</t>
    </r>
  </si>
  <si>
    <t>Langzeitflicker im Dauerbetrieb</t>
  </si>
  <si>
    <t>Flicker_EZE</t>
  </si>
  <si>
    <t>JSE</t>
  </si>
  <si>
    <t>Berechnung mit Uc</t>
  </si>
  <si>
    <t>Erforderliche Netzkurzschlussleistung:</t>
  </si>
  <si>
    <r>
      <t>S</t>
    </r>
    <r>
      <rPr>
        <vertAlign val="subscript"/>
        <sz val="11"/>
        <color theme="1"/>
        <rFont val="Calibri"/>
        <family val="2"/>
        <scheme val="minor"/>
      </rPr>
      <t>kMS-SS</t>
    </r>
    <r>
      <rPr>
        <sz val="11"/>
        <color theme="1"/>
        <rFont val="Calibri"/>
        <family val="2"/>
        <scheme val="minor"/>
      </rPr>
      <t xml:space="preserve">/ </t>
    </r>
    <r>
      <rPr>
        <sz val="11"/>
        <color theme="1"/>
        <rFont val="Courier New"/>
        <family val="3"/>
      </rPr>
      <t>Σ</t>
    </r>
    <r>
      <rPr>
        <sz val="11"/>
        <color theme="1"/>
        <rFont val="Calibri"/>
        <family val="2"/>
        <scheme val="minor"/>
      </rPr>
      <t>S</t>
    </r>
    <r>
      <rPr>
        <vertAlign val="subscript"/>
        <sz val="11"/>
        <color theme="1"/>
        <rFont val="Calibri"/>
        <family val="2"/>
        <scheme val="minor"/>
      </rPr>
      <t>Amax</t>
    </r>
  </si>
  <si>
    <r>
      <t>S</t>
    </r>
    <r>
      <rPr>
        <vertAlign val="subscript"/>
        <sz val="11"/>
        <color theme="1"/>
        <rFont val="Calibri"/>
        <family val="2"/>
        <scheme val="minor"/>
      </rPr>
      <t>kv-NAP</t>
    </r>
    <r>
      <rPr>
        <sz val="11"/>
        <color theme="1"/>
        <rFont val="Calibri"/>
        <family val="2"/>
        <scheme val="minor"/>
      </rPr>
      <t>/ S</t>
    </r>
    <r>
      <rPr>
        <vertAlign val="subscript"/>
        <sz val="11"/>
        <color theme="1"/>
        <rFont val="Calibri"/>
        <family val="2"/>
        <scheme val="minor"/>
      </rPr>
      <t>Amax,NAP</t>
    </r>
  </si>
  <si>
    <t>Häufigkeit</t>
  </si>
  <si>
    <t>n</t>
  </si>
  <si>
    <t>minimale Pausenzeit</t>
  </si>
  <si>
    <t>z [s]</t>
  </si>
  <si>
    <t>ZW Anpassung ab 30.5 Ordnung; erf. Netzkurzschl. Eingefügt; n + 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</si>
</sst>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0.000"/>
    <numFmt numFmtId="165" formatCode="0.0000"/>
    <numFmt numFmtId="166" formatCode="0.0"/>
    <numFmt numFmtId="167" formatCode="0.000000"/>
    <numFmt numFmtId="168" formatCode="yyyymmdd"/>
    <numFmt numFmtId="169" formatCode="[$-407]d/\ mmmm\ yyyy;@"/>
  </numFmts>
  <fonts count="8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rgb="FF3F3F76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9C6500"/>
      <name val="Calibri"/>
      <family val="2"/>
      <scheme val="minor"/>
    </font>
    <font>
      <sz val="18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 tint="-0.499984740745262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b/>
      <sz val="18"/>
      <color indexed="8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28"/>
      <color theme="1"/>
      <name val="Webdings"/>
      <family val="1"/>
      <charset val="2"/>
    </font>
    <font>
      <b/>
      <sz val="28"/>
      <color indexed="9"/>
      <name val="Webdings"/>
      <family val="1"/>
      <charset val="2"/>
    </font>
    <font>
      <b/>
      <sz val="28"/>
      <color indexed="8"/>
      <name val="Webdings"/>
      <family val="1"/>
      <charset val="2"/>
    </font>
    <font>
      <sz val="11"/>
      <color theme="0"/>
      <name val="Calibri"/>
      <family val="2"/>
      <scheme val="minor"/>
    </font>
    <font>
      <i/>
      <sz val="10"/>
      <color theme="1"/>
      <name val="Arial"/>
      <family val="2"/>
    </font>
    <font>
      <sz val="11"/>
      <color theme="1"/>
      <name val="Arial"/>
      <family val="2"/>
    </font>
    <font>
      <b/>
      <sz val="20"/>
      <color theme="0"/>
      <name val="Arial"/>
      <family val="2"/>
    </font>
    <font>
      <b/>
      <sz val="20"/>
      <color theme="1"/>
      <name val="Arial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8"/>
      <color theme="1"/>
      <name val="Arial"/>
      <family val="2"/>
    </font>
    <font>
      <b/>
      <vertAlign val="subscript"/>
      <sz val="18"/>
      <color rgb="FF3F3F76"/>
      <name val="Arial"/>
      <family val="2"/>
    </font>
    <font>
      <sz val="18"/>
      <color theme="1"/>
      <name val="Arial"/>
      <family val="2"/>
    </font>
    <font>
      <sz val="18"/>
      <color rgb="FFFF0000"/>
      <name val="Arial"/>
      <family val="2"/>
    </font>
    <font>
      <u/>
      <sz val="18"/>
      <color theme="10"/>
      <name val="Arial"/>
      <family val="2"/>
    </font>
    <font>
      <sz val="18"/>
      <name val="Arial"/>
      <family val="2"/>
    </font>
    <font>
      <sz val="18"/>
      <color rgb="FF9C6500"/>
      <name val="Arial"/>
      <family val="2"/>
    </font>
    <font>
      <b/>
      <sz val="48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36"/>
      <color theme="1"/>
      <name val="Arial"/>
      <family val="2"/>
    </font>
    <font>
      <b/>
      <sz val="24"/>
      <color theme="1"/>
      <name val="Arial"/>
      <family val="2"/>
    </font>
    <font>
      <sz val="22"/>
      <color theme="1"/>
      <name val="Arial"/>
      <family val="2"/>
    </font>
    <font>
      <u/>
      <sz val="18"/>
      <color theme="10"/>
      <name val="Calibri"/>
      <family val="2"/>
      <scheme val="minor"/>
    </font>
    <font>
      <sz val="18"/>
      <color rgb="FF3F3F76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8"/>
      <color rgb="FF000000"/>
      <name val="Tahoma"/>
      <family val="2"/>
    </font>
    <font>
      <b/>
      <sz val="16"/>
      <color indexed="81"/>
      <name val="Tahoma"/>
      <family val="2"/>
    </font>
    <font>
      <sz val="9"/>
      <color indexed="81"/>
      <name val="Tahoma"/>
      <family val="2"/>
    </font>
    <font>
      <sz val="16"/>
      <color indexed="81"/>
      <name val="Tahoma"/>
      <family val="2"/>
    </font>
    <font>
      <i/>
      <sz val="11"/>
      <color rgb="FF7F7F7F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ourier New"/>
      <family val="3"/>
    </font>
    <font>
      <b/>
      <strike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trike/>
      <sz val="11"/>
      <color theme="3"/>
      <name val="Calibri"/>
      <family val="2"/>
      <scheme val="minor"/>
    </font>
    <font>
      <b/>
      <strike/>
      <sz val="11"/>
      <color rgb="FFFA7D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darkUp"/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lightGray">
        <bgColor theme="0" tint="-4.9989318521683403E-2"/>
      </patternFill>
    </fill>
    <fill>
      <patternFill patternType="lightGray">
        <bgColor theme="9" tint="0.59999389629810485"/>
      </patternFill>
    </fill>
    <fill>
      <patternFill patternType="lightGray">
        <bgColor theme="0" tint="-0.249977111117893"/>
      </patternFill>
    </fill>
    <fill>
      <patternFill patternType="lightGray">
        <bgColor theme="6" tint="0.59999389629810485"/>
      </patternFill>
    </fill>
    <fill>
      <patternFill patternType="lightGray">
        <bgColor theme="0"/>
      </patternFill>
    </fill>
    <fill>
      <patternFill patternType="solid">
        <fgColor indexed="3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lightGray">
        <bgColor rgb="FFFFCC99"/>
      </patternFill>
    </fill>
  </fills>
  <borders count="18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rgb="FF7F7F7F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auto="1"/>
      </right>
      <top style="thick">
        <color indexed="64"/>
      </top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medium">
        <color indexed="64"/>
      </right>
      <top style="medium">
        <color auto="1"/>
      </top>
      <bottom/>
      <diagonal/>
    </border>
    <border>
      <left style="thick">
        <color auto="1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indexed="64"/>
      </left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rgb="FF7F7F7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 style="thin">
        <color rgb="FF7F7F7F"/>
      </bottom>
      <diagonal/>
    </border>
    <border>
      <left/>
      <right style="thin">
        <color theme="1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 style="thin">
        <color rgb="FF7F7F7F"/>
      </top>
      <bottom style="thin">
        <color rgb="FF7F7F7F"/>
      </bottom>
      <diagonal/>
    </border>
    <border>
      <left/>
      <right style="thin">
        <color theme="1"/>
      </right>
      <top style="thin">
        <color rgb="FF7F7F7F"/>
      </top>
      <bottom/>
      <diagonal/>
    </border>
    <border>
      <left/>
      <right style="thin">
        <color theme="1"/>
      </right>
      <top/>
      <bottom style="thin">
        <color rgb="FF7F7F7F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 style="thin">
        <color theme="1"/>
      </right>
      <top style="thin">
        <color rgb="FF7F7F7F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rgb="FF7F7F7F"/>
      </top>
      <bottom style="thin">
        <color theme="0" tint="-0.499984740745262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indexed="64"/>
      </right>
      <top style="thin">
        <color theme="0" tint="-0.499984740745262"/>
      </top>
      <bottom style="thin">
        <color rgb="FF7F7F7F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</borders>
  <cellStyleXfs count="12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16" fillId="18" borderId="0" applyNumberFormat="0" applyBorder="0" applyAlignment="0" applyProtection="0"/>
    <xf numFmtId="0" fontId="20" fillId="0" borderId="0" applyNumberFormat="0" applyFill="0" applyBorder="0" applyAlignment="0" applyProtection="0"/>
    <xf numFmtId="0" fontId="25" fillId="3" borderId="57" applyNumberFormat="0" applyAlignment="0" applyProtection="0"/>
    <xf numFmtId="169" fontId="6" fillId="0" borderId="0"/>
    <xf numFmtId="0" fontId="37" fillId="33" borderId="0" applyNumberFormat="0" applyBorder="0" applyAlignment="0" applyProtection="0"/>
    <xf numFmtId="0" fontId="6" fillId="0" borderId="0"/>
    <xf numFmtId="0" fontId="81" fillId="0" borderId="0" applyNumberFormat="0" applyFill="0" applyBorder="0" applyAlignment="0" applyProtection="0"/>
  </cellStyleXfs>
  <cellXfs count="1062">
    <xf numFmtId="0" fontId="0" fillId="0" borderId="0" xfId="0"/>
    <xf numFmtId="0" fontId="0" fillId="4" borderId="6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3" fillId="4" borderId="2" xfId="0" applyFont="1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quotePrefix="1" applyAlignment="1">
      <alignment horizontal="left" vertical="center" wrapText="1"/>
    </xf>
    <xf numFmtId="0" fontId="0" fillId="4" borderId="2" xfId="0" applyFill="1" applyBorder="1" applyAlignment="1">
      <alignment vertical="center"/>
    </xf>
    <xf numFmtId="0" fontId="0" fillId="0" borderId="0" xfId="0"/>
    <xf numFmtId="0" fontId="0" fillId="0" borderId="0" xfId="0"/>
    <xf numFmtId="0" fontId="0" fillId="0" borderId="0" xfId="0" applyFill="1" applyBorder="1"/>
    <xf numFmtId="0" fontId="0" fillId="5" borderId="9" xfId="0" applyFill="1" applyBorder="1"/>
    <xf numFmtId="0" fontId="0" fillId="6" borderId="9" xfId="0" applyFill="1" applyBorder="1"/>
    <xf numFmtId="0" fontId="0" fillId="7" borderId="9" xfId="0" applyFill="1" applyBorder="1"/>
    <xf numFmtId="0" fontId="0" fillId="0" borderId="0" xfId="0" applyAlignment="1">
      <alignment horizontal="center"/>
    </xf>
    <xf numFmtId="0" fontId="0" fillId="5" borderId="21" xfId="0" applyFill="1" applyBorder="1"/>
    <xf numFmtId="0" fontId="0" fillId="7" borderId="22" xfId="0" applyFill="1" applyBorder="1"/>
    <xf numFmtId="0" fontId="0" fillId="8" borderId="0" xfId="0" applyFill="1"/>
    <xf numFmtId="0" fontId="0" fillId="0" borderId="0" xfId="0"/>
    <xf numFmtId="0" fontId="3" fillId="11" borderId="28" xfId="0" applyFont="1" applyFill="1" applyBorder="1" applyAlignment="1">
      <alignment horizontal="center"/>
    </xf>
    <xf numFmtId="0" fontId="0" fillId="12" borderId="30" xfId="0" applyFill="1" applyBorder="1" applyAlignment="1">
      <alignment horizontal="left" vertical="center" wrapText="1"/>
    </xf>
    <xf numFmtId="164" fontId="0" fillId="12" borderId="27" xfId="0" applyNumberFormat="1" applyFill="1" applyBorder="1" applyAlignment="1">
      <alignment horizontal="left" vertical="center" wrapText="1"/>
    </xf>
    <xf numFmtId="2" fontId="0" fillId="12" borderId="27" xfId="0" applyNumberFormat="1" applyFill="1" applyBorder="1" applyAlignment="1">
      <alignment horizontal="left" vertical="center" wrapText="1"/>
    </xf>
    <xf numFmtId="164" fontId="0" fillId="12" borderId="34" xfId="0" applyNumberFormat="1" applyFill="1" applyBorder="1" applyAlignment="1">
      <alignment horizontal="left" vertical="center" wrapText="1"/>
    </xf>
    <xf numFmtId="2" fontId="0" fillId="12" borderId="30" xfId="0" applyNumberFormat="1" applyFill="1" applyBorder="1" applyAlignment="1">
      <alignment horizontal="left" vertical="center" wrapText="1"/>
    </xf>
    <xf numFmtId="165" fontId="0" fillId="12" borderId="27" xfId="0" applyNumberFormat="1" applyFill="1" applyBorder="1" applyAlignment="1">
      <alignment horizontal="left" vertical="center" wrapText="1"/>
    </xf>
    <xf numFmtId="165" fontId="0" fillId="12" borderId="34" xfId="0" applyNumberForma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3" fillId="0" borderId="2" xfId="0" applyFont="1" applyFill="1" applyBorder="1"/>
    <xf numFmtId="0" fontId="3" fillId="0" borderId="2" xfId="0" applyFont="1" applyFill="1" applyBorder="1" applyAlignment="1">
      <alignment horizontal="center" vertical="top" wrapText="1"/>
    </xf>
    <xf numFmtId="0" fontId="0" fillId="0" borderId="2" xfId="0" applyBorder="1"/>
    <xf numFmtId="0" fontId="0" fillId="15" borderId="0" xfId="0" applyFill="1"/>
    <xf numFmtId="0" fontId="0" fillId="0" borderId="7" xfId="0" applyBorder="1"/>
    <xf numFmtId="0" fontId="3" fillId="9" borderId="29" xfId="0" applyFont="1" applyFill="1" applyBorder="1" applyAlignment="1">
      <alignment horizontal="center"/>
    </xf>
    <xf numFmtId="0" fontId="0" fillId="0" borderId="0" xfId="0" applyBorder="1"/>
    <xf numFmtId="0" fontId="0" fillId="0" borderId="0" xfId="0"/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Border="1" applyAlignment="1"/>
    <xf numFmtId="0" fontId="0" fillId="0" borderId="0" xfId="0" applyFill="1" applyAlignment="1"/>
    <xf numFmtId="0" fontId="6" fillId="0" borderId="0" xfId="0" applyFont="1" applyFill="1" applyBorder="1" applyAlignment="1">
      <alignment vertical="center"/>
    </xf>
    <xf numFmtId="2" fontId="2" fillId="3" borderId="2" xfId="2" applyNumberFormat="1" applyBorder="1" applyAlignment="1">
      <alignment horizontal="center" vertical="center"/>
    </xf>
    <xf numFmtId="164" fontId="2" fillId="3" borderId="2" xfId="2" applyNumberFormat="1" applyBorder="1" applyAlignment="1">
      <alignment horizontal="center" vertical="center"/>
    </xf>
    <xf numFmtId="166" fontId="2" fillId="3" borderId="2" xfId="2" applyNumberFormat="1" applyBorder="1" applyAlignment="1">
      <alignment horizontal="center" vertical="center"/>
    </xf>
    <xf numFmtId="166" fontId="2" fillId="3" borderId="2" xfId="2" applyNumberFormat="1" applyBorder="1" applyAlignment="1">
      <alignment horizontal="center"/>
    </xf>
    <xf numFmtId="164" fontId="2" fillId="3" borderId="2" xfId="2" applyNumberFormat="1" applyBorder="1" applyAlignment="1">
      <alignment horizontal="center"/>
    </xf>
    <xf numFmtId="0" fontId="1" fillId="0" borderId="0" xfId="1" applyFill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37" xfId="0" applyBorder="1" applyAlignment="1">
      <alignment horizontal="right" vertical="center"/>
    </xf>
    <xf numFmtId="0" fontId="0" fillId="0" borderId="0" xfId="0" applyAlignment="1">
      <alignment vertical="center" wrapText="1"/>
    </xf>
    <xf numFmtId="0" fontId="0" fillId="8" borderId="0" xfId="0" applyFill="1" applyAlignment="1"/>
    <xf numFmtId="164" fontId="0" fillId="9" borderId="18" xfId="0" applyNumberFormat="1" applyFill="1" applyBorder="1"/>
    <xf numFmtId="164" fontId="0" fillId="10" borderId="14" xfId="0" applyNumberFormat="1" applyFill="1" applyBorder="1"/>
    <xf numFmtId="164" fontId="0" fillId="11" borderId="25" xfId="0" applyNumberFormat="1" applyFill="1" applyBorder="1"/>
    <xf numFmtId="164" fontId="0" fillId="9" borderId="7" xfId="0" applyNumberFormat="1" applyFill="1" applyBorder="1"/>
    <xf numFmtId="164" fontId="0" fillId="11" borderId="17" xfId="0" applyNumberFormat="1" applyFill="1" applyBorder="1"/>
    <xf numFmtId="164" fontId="0" fillId="11" borderId="20" xfId="0" applyNumberFormat="1" applyFill="1" applyBorder="1"/>
    <xf numFmtId="164" fontId="0" fillId="9" borderId="14" xfId="0" applyNumberFormat="1" applyFill="1" applyBorder="1"/>
    <xf numFmtId="10" fontId="2" fillId="3" borderId="2" xfId="2" applyNumberFormat="1" applyBorder="1" applyAlignment="1">
      <alignment horizontal="center" vertical="center" wrapText="1"/>
    </xf>
    <xf numFmtId="2" fontId="2" fillId="3" borderId="2" xfId="2" applyNumberFormat="1" applyBorder="1" applyAlignment="1">
      <alignment horizontal="center" vertical="center" wrapText="1"/>
    </xf>
    <xf numFmtId="2" fontId="2" fillId="3" borderId="2" xfId="2" applyNumberFormat="1" applyBorder="1" applyAlignment="1">
      <alignment horizontal="left" vertical="center" wrapText="1"/>
    </xf>
    <xf numFmtId="1" fontId="2" fillId="3" borderId="2" xfId="2" applyNumberFormat="1" applyBorder="1" applyAlignment="1">
      <alignment horizontal="center" vertical="center" wrapText="1"/>
    </xf>
    <xf numFmtId="166" fontId="2" fillId="3" borderId="2" xfId="2" applyNumberFormat="1" applyBorder="1" applyAlignment="1">
      <alignment horizontal="center" vertical="center" wrapText="1"/>
    </xf>
    <xf numFmtId="0" fontId="0" fillId="4" borderId="10" xfId="0" applyFill="1" applyBorder="1" applyAlignment="1">
      <alignment horizontal="left" vertical="center" wrapText="1"/>
    </xf>
    <xf numFmtId="0" fontId="0" fillId="4" borderId="2" xfId="0" applyFill="1" applyBorder="1"/>
    <xf numFmtId="0" fontId="0" fillId="4" borderId="2" xfId="0" applyFill="1" applyBorder="1" applyAlignment="1">
      <alignment horizontal="right"/>
    </xf>
    <xf numFmtId="0" fontId="0" fillId="4" borderId="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0" fontId="2" fillId="3" borderId="2" xfId="2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2" xfId="0" applyFont="1" applyFill="1" applyBorder="1" applyAlignment="1">
      <alignment horizontal="right" vertical="center"/>
    </xf>
    <xf numFmtId="0" fontId="6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5" fillId="4" borderId="47" xfId="0" applyFont="1" applyFill="1" applyBorder="1" applyAlignment="1">
      <alignment horizontal="center" vertical="center" wrapText="1"/>
    </xf>
    <xf numFmtId="0" fontId="2" fillId="3" borderId="47" xfId="2" applyBorder="1" applyAlignment="1">
      <alignment horizontal="center" vertical="center" wrapText="1"/>
    </xf>
    <xf numFmtId="164" fontId="2" fillId="3" borderId="47" xfId="2" applyNumberFormat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0" borderId="0" xfId="0" applyBorder="1" applyAlignment="1">
      <alignment horizontal="right" vertical="center"/>
    </xf>
    <xf numFmtId="0" fontId="0" fillId="0" borderId="0" xfId="0" applyFill="1"/>
    <xf numFmtId="167" fontId="2" fillId="3" borderId="2" xfId="2" applyNumberFormat="1" applyBorder="1" applyAlignment="1">
      <alignment horizontal="center" vertical="center" wrapText="1"/>
    </xf>
    <xf numFmtId="167" fontId="2" fillId="3" borderId="2" xfId="2" applyNumberFormat="1" applyBorder="1" applyAlignment="1">
      <alignment horizontal="center" vertical="center"/>
    </xf>
    <xf numFmtId="0" fontId="5" fillId="8" borderId="0" xfId="0" applyFont="1" applyFill="1" applyAlignment="1">
      <alignment horizontal="right"/>
    </xf>
    <xf numFmtId="0" fontId="3" fillId="8" borderId="0" xfId="0" applyFont="1" applyFill="1" applyAlignment="1"/>
    <xf numFmtId="0" fontId="13" fillId="0" borderId="0" xfId="0" applyFont="1" applyAlignment="1">
      <alignment horizontal="left" wrapText="1"/>
    </xf>
    <xf numFmtId="0" fontId="0" fillId="4" borderId="2" xfId="0" applyFill="1" applyBorder="1" applyAlignment="1">
      <alignment horizontal="center" vertical="center" wrapText="1"/>
    </xf>
    <xf numFmtId="1" fontId="2" fillId="3" borderId="2" xfId="2" applyNumberFormat="1" applyBorder="1" applyAlignment="1">
      <alignment horizontal="center" vertical="center"/>
    </xf>
    <xf numFmtId="0" fontId="0" fillId="4" borderId="2" xfId="0" applyFill="1" applyBorder="1" applyAlignment="1">
      <alignment horizontal="right" vertical="center"/>
    </xf>
    <xf numFmtId="0" fontId="0" fillId="4" borderId="2" xfId="0" applyFill="1" applyBorder="1" applyAlignment="1">
      <alignment horizontal="center" vertical="center" wrapText="1"/>
    </xf>
    <xf numFmtId="164" fontId="2" fillId="3" borderId="2" xfId="2" applyNumberFormat="1" applyBorder="1" applyAlignment="1">
      <alignment horizontal="center" vertical="center" wrapText="1"/>
    </xf>
    <xf numFmtId="0" fontId="0" fillId="4" borderId="36" xfId="0" applyFill="1" applyBorder="1" applyAlignment="1">
      <alignment horizontal="center" vertical="center"/>
    </xf>
    <xf numFmtId="0" fontId="0" fillId="4" borderId="40" xfId="0" applyFill="1" applyBorder="1" applyAlignment="1">
      <alignment vertical="center"/>
    </xf>
    <xf numFmtId="0" fontId="0" fillId="4" borderId="48" xfId="0" applyFill="1" applyBorder="1" applyAlignment="1">
      <alignment horizontal="center" vertical="center"/>
    </xf>
    <xf numFmtId="0" fontId="0" fillId="4" borderId="17" xfId="0" quotePrefix="1" applyFill="1" applyBorder="1" applyAlignment="1">
      <alignment vertical="center"/>
    </xf>
    <xf numFmtId="0" fontId="0" fillId="4" borderId="26" xfId="0" applyFill="1" applyBorder="1" applyAlignment="1">
      <alignment horizontal="center" vertical="center"/>
    </xf>
    <xf numFmtId="2" fontId="2" fillId="3" borderId="24" xfId="2" applyNumberFormat="1" applyBorder="1" applyAlignment="1">
      <alignment horizontal="center" vertical="center"/>
    </xf>
    <xf numFmtId="0" fontId="0" fillId="4" borderId="20" xfId="0" applyFill="1" applyBorder="1" applyAlignment="1">
      <alignment vertical="center"/>
    </xf>
    <xf numFmtId="0" fontId="0" fillId="4" borderId="18" xfId="0" applyFill="1" applyBorder="1" applyAlignment="1">
      <alignment horizontal="center" vertical="center"/>
    </xf>
    <xf numFmtId="0" fontId="0" fillId="0" borderId="0" xfId="0"/>
    <xf numFmtId="0" fontId="0" fillId="4" borderId="11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/>
    </xf>
    <xf numFmtId="164" fontId="2" fillId="3" borderId="14" xfId="2" applyNumberFormat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 wrapText="1"/>
    </xf>
    <xf numFmtId="167" fontId="0" fillId="0" borderId="0" xfId="0" applyNumberFormat="1" applyAlignment="1">
      <alignment horizontal="left" vertical="center" wrapText="1"/>
    </xf>
    <xf numFmtId="0" fontId="0" fillId="4" borderId="2" xfId="0" applyFill="1" applyBorder="1" applyAlignment="1">
      <alignment horizontal="center" vertical="center"/>
    </xf>
    <xf numFmtId="167" fontId="2" fillId="3" borderId="10" xfId="2" applyNumberFormat="1" applyBorder="1" applyAlignment="1">
      <alignment horizontal="center" vertical="center" wrapText="1"/>
    </xf>
    <xf numFmtId="164" fontId="2" fillId="3" borderId="13" xfId="2" applyNumberFormat="1" applyBorder="1" applyAlignment="1">
      <alignment horizontal="center" vertical="center" wrapText="1"/>
    </xf>
    <xf numFmtId="2" fontId="2" fillId="3" borderId="14" xfId="2" applyNumberFormat="1" applyBorder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6" borderId="2" xfId="0" applyFill="1" applyBorder="1"/>
    <xf numFmtId="0" fontId="25" fillId="3" borderId="57" xfId="7" applyAlignment="1">
      <alignment horizontal="center" vertical="center"/>
    </xf>
    <xf numFmtId="0" fontId="25" fillId="3" borderId="57" xfId="7" applyAlignment="1">
      <alignment horizontal="center" vertical="center" wrapText="1"/>
    </xf>
    <xf numFmtId="164" fontId="25" fillId="3" borderId="57" xfId="7" applyNumberFormat="1" applyAlignment="1">
      <alignment horizontal="center" vertical="center" wrapText="1"/>
    </xf>
    <xf numFmtId="164" fontId="25" fillId="3" borderId="57" xfId="7" applyNumberFormat="1" applyAlignment="1">
      <alignment horizontal="center" vertical="center"/>
    </xf>
    <xf numFmtId="10" fontId="27" fillId="3" borderId="2" xfId="3" applyNumberFormat="1" applyFont="1" applyFill="1" applyBorder="1" applyAlignment="1">
      <alignment horizontal="center" vertical="center"/>
    </xf>
    <xf numFmtId="2" fontId="27" fillId="3" borderId="2" xfId="2" applyNumberFormat="1" applyFont="1" applyBorder="1" applyAlignment="1">
      <alignment horizontal="center" vertical="center" wrapText="1"/>
    </xf>
    <xf numFmtId="0" fontId="19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17" fillId="19" borderId="39" xfId="0" applyFont="1" applyFill="1" applyBorder="1" applyAlignment="1" applyProtection="1">
      <alignment horizontal="center"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22" fillId="18" borderId="2" xfId="5" applyFont="1" applyBorder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protection locked="0"/>
    </xf>
    <xf numFmtId="0" fontId="17" fillId="19" borderId="14" xfId="0" applyFont="1" applyFill="1" applyBorder="1" applyAlignment="1" applyProtection="1">
      <alignment horizontal="center" wrapText="1"/>
      <protection locked="0"/>
    </xf>
    <xf numFmtId="0" fontId="22" fillId="18" borderId="24" xfId="5" applyFont="1" applyBorder="1" applyAlignment="1" applyProtection="1">
      <alignment horizontal="center" vertical="center" wrapText="1"/>
      <protection locked="0"/>
    </xf>
    <xf numFmtId="0" fontId="17" fillId="17" borderId="14" xfId="0" applyFont="1" applyFill="1" applyBorder="1" applyAlignment="1" applyProtection="1">
      <alignment wrapText="1"/>
      <protection locked="0"/>
    </xf>
    <xf numFmtId="0" fontId="17" fillId="17" borderId="2" xfId="0" applyFont="1" applyFill="1" applyBorder="1" applyAlignment="1" applyProtection="1">
      <alignment horizontal="center" wrapText="1"/>
      <protection locked="0"/>
    </xf>
    <xf numFmtId="0" fontId="22" fillId="17" borderId="2" xfId="5" applyFont="1" applyFill="1" applyBorder="1" applyAlignment="1" applyProtection="1">
      <alignment horizontal="center" vertical="center" wrapText="1"/>
      <protection locked="0"/>
    </xf>
    <xf numFmtId="0" fontId="22" fillId="17" borderId="3" xfId="5" applyFont="1" applyFill="1" applyBorder="1" applyAlignment="1" applyProtection="1">
      <alignment horizontal="center" vertical="center" wrapText="1"/>
      <protection locked="0"/>
    </xf>
    <xf numFmtId="0" fontId="17" fillId="17" borderId="3" xfId="0" applyFont="1" applyFill="1" applyBorder="1" applyAlignment="1" applyProtection="1">
      <alignment horizontal="center" wrapText="1"/>
      <protection locked="0"/>
    </xf>
    <xf numFmtId="0" fontId="17" fillId="17" borderId="24" xfId="0" applyFont="1" applyFill="1" applyBorder="1" applyAlignment="1" applyProtection="1">
      <alignment horizontal="center" wrapText="1"/>
      <protection locked="0"/>
    </xf>
    <xf numFmtId="0" fontId="17" fillId="9" borderId="52" xfId="0" applyFont="1" applyFill="1" applyBorder="1" applyAlignment="1" applyProtection="1">
      <alignment horizontal="center" wrapText="1"/>
      <protection locked="0"/>
    </xf>
    <xf numFmtId="0" fontId="22" fillId="9" borderId="2" xfId="5" applyFont="1" applyFill="1" applyBorder="1" applyAlignment="1" applyProtection="1">
      <alignment horizontal="center" vertical="center" wrapText="1"/>
      <protection locked="0"/>
    </xf>
    <xf numFmtId="0" fontId="17" fillId="9" borderId="2" xfId="0" applyFont="1" applyFill="1" applyBorder="1" applyAlignment="1" applyProtection="1">
      <alignment horizontal="center" wrapText="1"/>
      <protection locked="0"/>
    </xf>
    <xf numFmtId="0" fontId="0" fillId="16" borderId="0" xfId="0" applyFill="1" applyProtection="1">
      <protection locked="0"/>
    </xf>
    <xf numFmtId="0" fontId="17" fillId="9" borderId="3" xfId="0" applyFont="1" applyFill="1" applyBorder="1" applyAlignment="1" applyProtection="1">
      <alignment horizontal="center" wrapText="1"/>
      <protection locked="0"/>
    </xf>
    <xf numFmtId="0" fontId="17" fillId="9" borderId="39" xfId="0" applyFont="1" applyFill="1" applyBorder="1" applyAlignment="1" applyProtection="1">
      <alignment horizontal="center" wrapText="1"/>
      <protection locked="0"/>
    </xf>
    <xf numFmtId="0" fontId="24" fillId="0" borderId="0" xfId="0" applyFont="1" applyProtection="1">
      <protection locked="0"/>
    </xf>
    <xf numFmtId="0" fontId="17" fillId="9" borderId="14" xfId="0" applyFont="1" applyFill="1" applyBorder="1" applyAlignment="1" applyProtection="1">
      <alignment horizontal="center" wrapText="1"/>
      <protection locked="0"/>
    </xf>
    <xf numFmtId="0" fontId="17" fillId="9" borderId="24" xfId="0" applyFont="1" applyFill="1" applyBorder="1" applyAlignment="1" applyProtection="1">
      <alignment horizontal="center" wrapText="1"/>
      <protection locked="0"/>
    </xf>
    <xf numFmtId="0" fontId="17" fillId="22" borderId="0" xfId="0" applyFont="1" applyFill="1" applyAlignment="1" applyProtection="1">
      <alignment horizontal="center" vertical="center"/>
      <protection locked="0"/>
    </xf>
    <xf numFmtId="0" fontId="22" fillId="22" borderId="2" xfId="5" applyFont="1" applyFill="1" applyBorder="1" applyAlignment="1" applyProtection="1">
      <alignment horizontal="center" vertical="center" wrapText="1"/>
      <protection locked="0"/>
    </xf>
    <xf numFmtId="0" fontId="17" fillId="22" borderId="27" xfId="0" applyFont="1" applyFill="1" applyBorder="1" applyAlignment="1" applyProtection="1">
      <alignment horizontal="center" vertical="center"/>
      <protection locked="0"/>
    </xf>
    <xf numFmtId="0" fontId="22" fillId="22" borderId="24" xfId="5" applyFont="1" applyFill="1" applyBorder="1" applyAlignment="1" applyProtection="1">
      <alignment horizontal="center" vertical="center" wrapText="1"/>
      <protection locked="0"/>
    </xf>
    <xf numFmtId="0" fontId="22" fillId="22" borderId="14" xfId="5" applyFont="1" applyFill="1" applyBorder="1" applyAlignment="1" applyProtection="1">
      <alignment horizontal="center" vertical="center" wrapText="1"/>
      <protection locked="0"/>
    </xf>
    <xf numFmtId="0" fontId="0" fillId="4" borderId="0" xfId="0" applyFill="1" applyProtection="1">
      <protection locked="0"/>
    </xf>
    <xf numFmtId="0" fontId="17" fillId="22" borderId="2" xfId="0" applyFont="1" applyFill="1" applyBorder="1" applyAlignment="1" applyProtection="1">
      <alignment horizontal="center" wrapText="1"/>
      <protection locked="0"/>
    </xf>
    <xf numFmtId="0" fontId="17" fillId="21" borderId="0" xfId="0" applyFont="1" applyFill="1" applyAlignment="1" applyProtection="1">
      <alignment horizontal="center" vertical="center"/>
      <protection locked="0"/>
    </xf>
    <xf numFmtId="0" fontId="22" fillId="21" borderId="2" xfId="5" applyFont="1" applyFill="1" applyBorder="1" applyAlignment="1" applyProtection="1">
      <alignment horizontal="center" vertical="center" wrapText="1"/>
      <protection locked="0"/>
    </xf>
    <xf numFmtId="0" fontId="17" fillId="23" borderId="0" xfId="0" applyFont="1" applyFill="1" applyAlignment="1" applyProtection="1">
      <alignment horizontal="center" vertical="center"/>
      <protection locked="0"/>
    </xf>
    <xf numFmtId="0" fontId="26" fillId="23" borderId="2" xfId="0" applyFont="1" applyFill="1" applyBorder="1" applyAlignment="1" applyProtection="1">
      <alignment horizontal="center" vertical="center"/>
      <protection locked="0"/>
    </xf>
    <xf numFmtId="0" fontId="29" fillId="18" borderId="2" xfId="5" applyFont="1" applyBorder="1" applyAlignment="1" applyProtection="1">
      <alignment horizontal="center" vertical="center" wrapText="1"/>
      <protection locked="0"/>
    </xf>
    <xf numFmtId="0" fontId="30" fillId="9" borderId="2" xfId="5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Protection="1">
      <protection locked="0"/>
    </xf>
    <xf numFmtId="0" fontId="31" fillId="21" borderId="2" xfId="5" applyFont="1" applyFill="1" applyBorder="1" applyAlignment="1" applyProtection="1">
      <alignment horizontal="center" vertical="center" wrapText="1"/>
      <protection locked="0"/>
    </xf>
    <xf numFmtId="0" fontId="17" fillId="22" borderId="11" xfId="0" applyFont="1" applyFill="1" applyBorder="1" applyAlignment="1" applyProtection="1">
      <alignment horizontal="center" wrapText="1"/>
      <protection locked="0"/>
    </xf>
    <xf numFmtId="0" fontId="17" fillId="22" borderId="40" xfId="0" applyFont="1" applyFill="1" applyBorder="1" applyAlignment="1" applyProtection="1">
      <alignment horizontal="center" wrapText="1"/>
      <protection locked="0"/>
    </xf>
    <xf numFmtId="0" fontId="17" fillId="22" borderId="20" xfId="0" applyFont="1" applyFill="1" applyBorder="1" applyAlignment="1" applyProtection="1">
      <alignment horizontal="center" wrapText="1"/>
      <protection locked="0"/>
    </xf>
    <xf numFmtId="0" fontId="17" fillId="9" borderId="9" xfId="0" applyFont="1" applyFill="1" applyBorder="1" applyAlignment="1" applyProtection="1">
      <alignment horizontal="center" wrapText="1"/>
      <protection locked="0"/>
    </xf>
    <xf numFmtId="0" fontId="17" fillId="9" borderId="11" xfId="0" applyFont="1" applyFill="1" applyBorder="1" applyAlignment="1" applyProtection="1">
      <alignment horizontal="center" wrapText="1"/>
      <protection locked="0"/>
    </xf>
    <xf numFmtId="0" fontId="22" fillId="9" borderId="3" xfId="5" applyFont="1" applyFill="1" applyBorder="1" applyAlignment="1" applyProtection="1">
      <alignment horizontal="center" vertical="center" wrapText="1"/>
      <protection locked="0"/>
    </xf>
    <xf numFmtId="0" fontId="22" fillId="9" borderId="40" xfId="5" applyFont="1" applyFill="1" applyBorder="1" applyAlignment="1" applyProtection="1">
      <alignment horizontal="center" vertical="center" wrapText="1"/>
      <protection locked="0"/>
    </xf>
    <xf numFmtId="0" fontId="22" fillId="9" borderId="20" xfId="5" applyFont="1" applyFill="1" applyBorder="1" applyAlignment="1" applyProtection="1">
      <alignment horizontal="center" vertical="center" wrapText="1"/>
      <protection locked="0"/>
    </xf>
    <xf numFmtId="0" fontId="22" fillId="9" borderId="14" xfId="5" applyFont="1" applyFill="1" applyBorder="1" applyAlignment="1" applyProtection="1">
      <alignment horizontal="center" vertical="center" wrapText="1"/>
      <protection locked="0"/>
    </xf>
    <xf numFmtId="0" fontId="22" fillId="9" borderId="24" xfId="5" applyFont="1" applyFill="1" applyBorder="1" applyAlignment="1" applyProtection="1">
      <alignment horizontal="center" vertical="center" wrapText="1"/>
      <protection locked="0"/>
    </xf>
    <xf numFmtId="0" fontId="22" fillId="9" borderId="39" xfId="5" applyFont="1" applyFill="1" applyBorder="1" applyAlignment="1" applyProtection="1">
      <alignment horizontal="center" vertical="center" wrapText="1"/>
      <protection locked="0"/>
    </xf>
    <xf numFmtId="0" fontId="17" fillId="17" borderId="9" xfId="0" applyFont="1" applyFill="1" applyBorder="1" applyAlignment="1" applyProtection="1">
      <alignment horizontal="center" wrapText="1"/>
      <protection locked="0"/>
    </xf>
    <xf numFmtId="0" fontId="17" fillId="19" borderId="11" xfId="0" applyFont="1" applyFill="1" applyBorder="1" applyAlignment="1" applyProtection="1">
      <alignment horizontal="center" wrapText="1"/>
      <protection locked="0"/>
    </xf>
    <xf numFmtId="0" fontId="22" fillId="22" borderId="3" xfId="5" applyFont="1" applyFill="1" applyBorder="1" applyAlignment="1" applyProtection="1">
      <alignment horizontal="center" vertical="center" wrapText="1"/>
      <protection locked="0"/>
    </xf>
    <xf numFmtId="0" fontId="22" fillId="21" borderId="39" xfId="5" applyFont="1" applyFill="1" applyBorder="1" applyAlignment="1" applyProtection="1">
      <alignment horizontal="center" vertical="center" wrapText="1"/>
      <protection locked="0"/>
    </xf>
    <xf numFmtId="0" fontId="0" fillId="0" borderId="32" xfId="0" applyBorder="1" applyProtection="1">
      <protection locked="0"/>
    </xf>
    <xf numFmtId="0" fontId="26" fillId="23" borderId="9" xfId="0" applyFont="1" applyFill="1" applyBorder="1" applyAlignment="1" applyProtection="1">
      <alignment horizontal="center" vertical="center"/>
      <protection locked="0"/>
    </xf>
    <xf numFmtId="0" fontId="22" fillId="18" borderId="14" xfId="5" applyFont="1" applyBorder="1" applyAlignment="1" applyProtection="1">
      <alignment horizontal="center" vertical="center" wrapText="1"/>
      <protection locked="0"/>
    </xf>
    <xf numFmtId="0" fontId="19" fillId="0" borderId="27" xfId="0" applyFont="1" applyBorder="1" applyAlignment="1" applyProtection="1">
      <alignment wrapText="1"/>
      <protection locked="0"/>
    </xf>
    <xf numFmtId="0" fontId="28" fillId="16" borderId="45" xfId="0" applyFont="1" applyFill="1" applyBorder="1" applyAlignment="1" applyProtection="1">
      <alignment wrapText="1"/>
      <protection locked="0"/>
    </xf>
    <xf numFmtId="0" fontId="17" fillId="22" borderId="70" xfId="0" applyFont="1" applyFill="1" applyBorder="1" applyAlignment="1" applyProtection="1">
      <alignment horizontal="center" vertical="center"/>
      <protection locked="0"/>
    </xf>
    <xf numFmtId="0" fontId="17" fillId="0" borderId="52" xfId="0" applyFont="1" applyBorder="1" applyAlignment="1" applyProtection="1">
      <alignment horizontal="center" vertical="center"/>
      <protection locked="0"/>
    </xf>
    <xf numFmtId="0" fontId="0" fillId="4" borderId="46" xfId="0" applyFill="1" applyBorder="1" applyProtection="1"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32" fillId="30" borderId="36" xfId="0" applyFont="1" applyFill="1" applyBorder="1" applyAlignment="1" applyProtection="1">
      <alignment horizontal="center" vertical="center"/>
      <protection locked="0"/>
    </xf>
    <xf numFmtId="0" fontId="32" fillId="30" borderId="23" xfId="0" applyFont="1" applyFill="1" applyBorder="1" applyAlignment="1" applyProtection="1">
      <alignment horizontal="center" vertical="center"/>
      <protection locked="0"/>
    </xf>
    <xf numFmtId="0" fontId="32" fillId="30" borderId="55" xfId="0" applyFont="1" applyFill="1" applyBorder="1" applyAlignment="1" applyProtection="1">
      <alignment horizontal="center" vertical="center"/>
      <protection locked="0"/>
    </xf>
    <xf numFmtId="0" fontId="32" fillId="30" borderId="26" xfId="0" applyFont="1" applyFill="1" applyBorder="1" applyAlignment="1" applyProtection="1">
      <alignment horizontal="center" vertical="center"/>
      <protection locked="0"/>
    </xf>
    <xf numFmtId="0" fontId="33" fillId="29" borderId="23" xfId="0" applyFont="1" applyFill="1" applyBorder="1" applyAlignment="1" applyProtection="1">
      <alignment horizontal="center" vertical="center"/>
      <protection locked="0"/>
    </xf>
    <xf numFmtId="0" fontId="36" fillId="30" borderId="17" xfId="0" applyFont="1" applyFill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6" fillId="30" borderId="40" xfId="0" applyFont="1" applyFill="1" applyBorder="1" applyAlignment="1" applyProtection="1">
      <alignment horizontal="center" vertical="center"/>
      <protection locked="0"/>
    </xf>
    <xf numFmtId="0" fontId="36" fillId="30" borderId="38" xfId="0" applyFont="1" applyFill="1" applyBorder="1" applyAlignment="1" applyProtection="1">
      <alignment horizontal="center" vertical="center"/>
      <protection locked="0"/>
    </xf>
    <xf numFmtId="0" fontId="36" fillId="30" borderId="23" xfId="0" applyFont="1" applyFill="1" applyBorder="1" applyAlignment="1" applyProtection="1">
      <alignment horizontal="center" vertical="center"/>
      <protection locked="0"/>
    </xf>
    <xf numFmtId="0" fontId="36" fillId="30" borderId="20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37" fillId="0" borderId="0" xfId="0" applyFont="1" applyAlignment="1" applyProtection="1">
      <alignment horizontal="center" vertical="center"/>
      <protection locked="0"/>
    </xf>
    <xf numFmtId="0" fontId="37" fillId="0" borderId="0" xfId="0" applyFont="1" applyFill="1" applyAlignment="1" applyProtection="1">
      <alignment horizontal="center" vertical="center"/>
      <protection locked="0"/>
    </xf>
    <xf numFmtId="0" fontId="37" fillId="0" borderId="0" xfId="0" applyFont="1" applyProtection="1">
      <protection locked="0"/>
    </xf>
    <xf numFmtId="14" fontId="37" fillId="0" borderId="0" xfId="0" applyNumberFormat="1" applyFont="1" applyProtection="1">
      <protection locked="0"/>
    </xf>
    <xf numFmtId="0" fontId="37" fillId="0" borderId="0" xfId="0" applyFont="1" applyFill="1" applyProtection="1">
      <protection locked="0"/>
    </xf>
    <xf numFmtId="2" fontId="37" fillId="0" borderId="0" xfId="0" applyNumberFormat="1" applyFont="1" applyProtection="1">
      <protection locked="0"/>
    </xf>
    <xf numFmtId="0" fontId="35" fillId="29" borderId="17" xfId="0" applyFont="1" applyFill="1" applyBorder="1" applyAlignment="1" applyProtection="1">
      <alignment horizontal="center" vertical="center"/>
      <protection locked="0"/>
    </xf>
    <xf numFmtId="0" fontId="32" fillId="31" borderId="23" xfId="0" applyFont="1" applyFill="1" applyBorder="1" applyAlignment="1" applyProtection="1">
      <alignment horizontal="center" vertical="center"/>
      <protection locked="0"/>
    </xf>
    <xf numFmtId="0" fontId="36" fillId="31" borderId="17" xfId="0" applyFont="1" applyFill="1" applyBorder="1" applyAlignment="1" applyProtection="1">
      <alignment horizontal="center" vertical="center"/>
      <protection locked="0"/>
    </xf>
    <xf numFmtId="0" fontId="36" fillId="31" borderId="25" xfId="0" applyFont="1" applyFill="1" applyBorder="1" applyAlignment="1" applyProtection="1">
      <alignment horizontal="center" vertical="center"/>
      <protection locked="0"/>
    </xf>
    <xf numFmtId="0" fontId="32" fillId="31" borderId="18" xfId="0" applyFont="1" applyFill="1" applyBorder="1" applyAlignment="1" applyProtection="1">
      <alignment horizontal="center" vertical="center"/>
      <protection locked="0"/>
    </xf>
    <xf numFmtId="0" fontId="35" fillId="29" borderId="25" xfId="0" applyFont="1" applyFill="1" applyBorder="1" applyAlignment="1" applyProtection="1">
      <alignment horizontal="center" vertical="center"/>
      <protection locked="0"/>
    </xf>
    <xf numFmtId="0" fontId="33" fillId="29" borderId="18" xfId="0" applyFont="1" applyFill="1" applyBorder="1" applyAlignment="1" applyProtection="1">
      <alignment horizontal="center" vertical="center"/>
      <protection locked="0"/>
    </xf>
    <xf numFmtId="0" fontId="36" fillId="30" borderId="17" xfId="5" applyFont="1" applyFill="1" applyBorder="1" applyAlignment="1" applyProtection="1">
      <alignment horizontal="center" vertical="center"/>
      <protection locked="0"/>
    </xf>
    <xf numFmtId="0" fontId="38" fillId="23" borderId="76" xfId="0" applyNumberFormat="1" applyFont="1" applyFill="1" applyBorder="1" applyAlignment="1" applyProtection="1">
      <alignment horizontal="center" vertical="top" wrapText="1"/>
    </xf>
    <xf numFmtId="0" fontId="12" fillId="14" borderId="77" xfId="0" applyFont="1" applyFill="1" applyBorder="1" applyAlignment="1">
      <alignment horizontal="center"/>
    </xf>
    <xf numFmtId="0" fontId="11" fillId="13" borderId="78" xfId="0" applyFont="1" applyFill="1" applyBorder="1" applyAlignment="1">
      <alignment horizontal="center" vertical="center"/>
    </xf>
    <xf numFmtId="0" fontId="25" fillId="3" borderId="57" xfId="7"/>
    <xf numFmtId="0" fontId="40" fillId="35" borderId="0" xfId="0" applyNumberFormat="1" applyFont="1" applyFill="1" applyAlignment="1"/>
    <xf numFmtId="0" fontId="41" fillId="35" borderId="0" xfId="0" applyNumberFormat="1" applyFont="1" applyFill="1" applyAlignment="1"/>
    <xf numFmtId="0" fontId="41" fillId="0" borderId="0" xfId="0" applyNumberFormat="1" applyFont="1" applyFill="1" applyAlignment="1"/>
    <xf numFmtId="0" fontId="39" fillId="0" borderId="0" xfId="10" applyFont="1"/>
    <xf numFmtId="0" fontId="39" fillId="0" borderId="0" xfId="10" applyFont="1" applyFill="1" applyBorder="1"/>
    <xf numFmtId="0" fontId="39" fillId="0" borderId="0" xfId="10" applyFont="1" applyFill="1" applyBorder="1" applyProtection="1"/>
    <xf numFmtId="0" fontId="42" fillId="0" borderId="0" xfId="10" applyFont="1" applyFill="1" applyBorder="1" applyAlignment="1">
      <alignment horizontal="center" vertical="center"/>
    </xf>
    <xf numFmtId="0" fontId="39" fillId="0" borderId="0" xfId="10" applyFont="1" applyFill="1"/>
    <xf numFmtId="0" fontId="42" fillId="0" borderId="0" xfId="10" applyFont="1" applyFill="1" applyBorder="1" applyAlignment="1">
      <alignment horizontal="center" vertical="center" wrapText="1"/>
    </xf>
    <xf numFmtId="0" fontId="39" fillId="0" borderId="0" xfId="10" applyFont="1" applyFill="1" applyBorder="1" applyAlignment="1">
      <alignment horizontal="center" vertical="center"/>
    </xf>
    <xf numFmtId="164" fontId="39" fillId="0" borderId="0" xfId="10" applyNumberFormat="1" applyFont="1" applyFill="1" applyBorder="1" applyAlignment="1">
      <alignment horizontal="center" vertical="center"/>
    </xf>
    <xf numFmtId="0" fontId="39" fillId="0" borderId="0" xfId="10" applyFont="1" applyFill="1" applyBorder="1" applyAlignment="1">
      <alignment vertical="center"/>
    </xf>
    <xf numFmtId="0" fontId="43" fillId="34" borderId="76" xfId="10" applyFont="1" applyFill="1" applyBorder="1" applyAlignment="1">
      <alignment horizontal="center" vertical="center"/>
    </xf>
    <xf numFmtId="0" fontId="39" fillId="34" borderId="103" xfId="10" quotePrefix="1" applyFont="1" applyFill="1" applyBorder="1" applyAlignment="1">
      <alignment horizontal="center" vertical="center"/>
    </xf>
    <xf numFmtId="164" fontId="39" fillId="8" borderId="79" xfId="10" applyNumberFormat="1" applyFont="1" applyFill="1" applyBorder="1" applyAlignment="1">
      <alignment horizontal="center" vertical="center"/>
    </xf>
    <xf numFmtId="164" fontId="39" fillId="8" borderId="80" xfId="10" applyNumberFormat="1" applyFont="1" applyFill="1" applyBorder="1" applyAlignment="1">
      <alignment horizontal="center" vertical="center"/>
    </xf>
    <xf numFmtId="2" fontId="39" fillId="8" borderId="104" xfId="10" applyNumberFormat="1" applyFont="1" applyFill="1" applyBorder="1" applyAlignment="1">
      <alignment horizontal="center" vertical="center"/>
    </xf>
    <xf numFmtId="164" fontId="39" fillId="8" borderId="94" xfId="10" applyNumberFormat="1" applyFont="1" applyFill="1" applyBorder="1" applyAlignment="1">
      <alignment horizontal="center" vertical="center"/>
    </xf>
    <xf numFmtId="0" fontId="43" fillId="34" borderId="81" xfId="10" applyFont="1" applyFill="1" applyBorder="1" applyAlignment="1">
      <alignment horizontal="center" vertical="center"/>
    </xf>
    <xf numFmtId="0" fontId="39" fillId="34" borderId="99" xfId="10" applyFont="1" applyFill="1" applyBorder="1" applyAlignment="1">
      <alignment vertical="center"/>
    </xf>
    <xf numFmtId="164" fontId="39" fillId="8" borderId="82" xfId="10" applyNumberFormat="1" applyFont="1" applyFill="1" applyBorder="1" applyAlignment="1">
      <alignment horizontal="center" vertical="center"/>
    </xf>
    <xf numFmtId="164" fontId="39" fillId="8" borderId="2" xfId="10" applyNumberFormat="1" applyFont="1" applyFill="1" applyBorder="1" applyAlignment="1">
      <alignment horizontal="center" vertical="center"/>
    </xf>
    <xf numFmtId="2" fontId="39" fillId="8" borderId="9" xfId="10" applyNumberFormat="1" applyFont="1" applyFill="1" applyBorder="1" applyAlignment="1">
      <alignment horizontal="center" vertical="center"/>
    </xf>
    <xf numFmtId="164" fontId="39" fillId="8" borderId="23" xfId="10" applyNumberFormat="1" applyFont="1" applyFill="1" applyBorder="1" applyAlignment="1">
      <alignment horizontal="center" vertical="center"/>
    </xf>
    <xf numFmtId="0" fontId="39" fillId="34" borderId="105" xfId="10" applyFont="1" applyFill="1" applyBorder="1" applyAlignment="1">
      <alignment horizontal="center" vertical="center"/>
    </xf>
    <xf numFmtId="164" fontId="39" fillId="8" borderId="83" xfId="10" applyNumberFormat="1" applyFont="1" applyFill="1" applyBorder="1" applyAlignment="1">
      <alignment horizontal="center" vertical="center"/>
    </xf>
    <xf numFmtId="164" fontId="39" fillId="8" borderId="84" xfId="10" applyNumberFormat="1" applyFont="1" applyFill="1" applyBorder="1" applyAlignment="1">
      <alignment horizontal="center" vertical="center"/>
    </xf>
    <xf numFmtId="2" fontId="39" fillId="8" borderId="107" xfId="10" applyNumberFormat="1" applyFont="1" applyFill="1" applyBorder="1" applyAlignment="1">
      <alignment horizontal="center" vertical="center"/>
    </xf>
    <xf numFmtId="164" fontId="39" fillId="8" borderId="106" xfId="10" applyNumberFormat="1" applyFont="1" applyFill="1" applyBorder="1" applyAlignment="1">
      <alignment horizontal="center" vertical="center"/>
    </xf>
    <xf numFmtId="0" fontId="43" fillId="34" borderId="85" xfId="10" applyFont="1" applyFill="1" applyBorder="1" applyAlignment="1">
      <alignment horizontal="center" vertical="center"/>
    </xf>
    <xf numFmtId="0" fontId="41" fillId="20" borderId="0" xfId="0" applyNumberFormat="1" applyFont="1" applyFill="1" applyAlignment="1"/>
    <xf numFmtId="0" fontId="40" fillId="20" borderId="0" xfId="0" applyNumberFormat="1" applyFont="1" applyFill="1" applyAlignment="1">
      <alignment horizontal="right"/>
    </xf>
    <xf numFmtId="0" fontId="37" fillId="33" borderId="0" xfId="9" applyAlignment="1">
      <alignment horizontal="center" vertical="center"/>
    </xf>
    <xf numFmtId="0" fontId="37" fillId="33" borderId="23" xfId="9" applyBorder="1" applyAlignment="1">
      <alignment horizontal="center" vertical="center" wrapText="1"/>
    </xf>
    <xf numFmtId="0" fontId="37" fillId="33" borderId="76" xfId="9" applyBorder="1" applyAlignment="1">
      <alignment horizontal="center" vertical="center" wrapText="1"/>
    </xf>
    <xf numFmtId="0" fontId="37" fillId="33" borderId="99" xfId="9" applyBorder="1" applyAlignment="1">
      <alignment horizontal="center" vertical="center"/>
    </xf>
    <xf numFmtId="0" fontId="37" fillId="33" borderId="23" xfId="9" applyBorder="1" applyAlignment="1">
      <alignment horizontal="center" vertical="center"/>
    </xf>
    <xf numFmtId="0" fontId="37" fillId="33" borderId="76" xfId="9" applyBorder="1" applyAlignment="1">
      <alignment horizontal="center" vertical="center"/>
    </xf>
    <xf numFmtId="0" fontId="37" fillId="33" borderId="9" xfId="9" applyBorder="1" applyAlignment="1">
      <alignment horizontal="center" vertical="center"/>
    </xf>
    <xf numFmtId="0" fontId="37" fillId="33" borderId="17" xfId="9" applyBorder="1" applyAlignment="1">
      <alignment horizontal="center" vertical="center"/>
    </xf>
    <xf numFmtId="0" fontId="37" fillId="33" borderId="100" xfId="9" applyBorder="1" applyAlignment="1">
      <alignment horizontal="center" vertical="center"/>
    </xf>
    <xf numFmtId="0" fontId="37" fillId="33" borderId="55" xfId="9" applyBorder="1" applyAlignment="1">
      <alignment horizontal="center" vertical="center"/>
    </xf>
    <xf numFmtId="0" fontId="37" fillId="33" borderId="101" xfId="9" applyBorder="1" applyAlignment="1">
      <alignment horizontal="center" vertical="center"/>
    </xf>
    <xf numFmtId="164" fontId="37" fillId="33" borderId="102" xfId="9" applyNumberFormat="1" applyBorder="1" applyAlignment="1">
      <alignment horizontal="center" vertical="center"/>
    </xf>
    <xf numFmtId="164" fontId="37" fillId="33" borderId="3" xfId="9" applyNumberFormat="1" applyBorder="1" applyAlignment="1">
      <alignment horizontal="center" vertical="center"/>
    </xf>
    <xf numFmtId="0" fontId="37" fillId="33" borderId="38" xfId="9" applyBorder="1" applyAlignment="1">
      <alignment horizontal="center" vertical="center"/>
    </xf>
    <xf numFmtId="0" fontId="37" fillId="33" borderId="79" xfId="9" applyBorder="1" applyAlignment="1">
      <alignment horizontal="left" indent="1"/>
    </xf>
    <xf numFmtId="0" fontId="37" fillId="33" borderId="80" xfId="9" applyBorder="1" applyAlignment="1">
      <alignment horizontal="left" indent="1"/>
    </xf>
    <xf numFmtId="0" fontId="37" fillId="33" borderId="82" xfId="9" applyBorder="1" applyAlignment="1">
      <alignment horizontal="left" indent="1"/>
    </xf>
    <xf numFmtId="0" fontId="37" fillId="33" borderId="2" xfId="9" applyBorder="1" applyAlignment="1">
      <alignment horizontal="left" indent="1"/>
    </xf>
    <xf numFmtId="0" fontId="37" fillId="33" borderId="83" xfId="9" applyBorder="1" applyAlignment="1">
      <alignment horizontal="left" indent="1"/>
    </xf>
    <xf numFmtId="0" fontId="37" fillId="33" borderId="84" xfId="9" applyBorder="1" applyAlignment="1">
      <alignment horizontal="left" indent="1"/>
    </xf>
    <xf numFmtId="0" fontId="25" fillId="3" borderId="57" xfId="7" applyNumberFormat="1" applyAlignment="1">
      <alignment horizontal="right" indent="1"/>
    </xf>
    <xf numFmtId="2" fontId="25" fillId="3" borderId="57" xfId="7" applyNumberFormat="1" applyAlignment="1">
      <alignment horizontal="right" indent="1"/>
    </xf>
    <xf numFmtId="0" fontId="2" fillId="3" borderId="1" xfId="2" applyAlignment="1">
      <alignment horizontal="center" vertical="center"/>
    </xf>
    <xf numFmtId="0" fontId="37" fillId="33" borderId="91" xfId="9" applyBorder="1" applyAlignment="1">
      <alignment horizontal="center" vertical="top"/>
    </xf>
    <xf numFmtId="0" fontId="37" fillId="33" borderId="92" xfId="9" applyBorder="1" applyAlignment="1">
      <alignment horizontal="center" vertical="top"/>
    </xf>
    <xf numFmtId="0" fontId="37" fillId="33" borderId="93" xfId="9" applyBorder="1" applyAlignment="1">
      <alignment horizontal="center" vertical="top"/>
    </xf>
    <xf numFmtId="0" fontId="37" fillId="33" borderId="94" xfId="9" applyBorder="1" applyAlignment="1">
      <alignment horizontal="center" vertical="top" wrapText="1"/>
    </xf>
    <xf numFmtId="0" fontId="37" fillId="33" borderId="95" xfId="9" applyBorder="1" applyAlignment="1">
      <alignment horizontal="center" vertical="top" wrapText="1"/>
    </xf>
    <xf numFmtId="0" fontId="37" fillId="33" borderId="97" xfId="9" applyBorder="1" applyAlignment="1">
      <alignment horizontal="center" vertical="top"/>
    </xf>
    <xf numFmtId="0" fontId="37" fillId="33" borderId="14" xfId="9" applyBorder="1" applyAlignment="1">
      <alignment horizontal="center" vertical="top"/>
    </xf>
    <xf numFmtId="0" fontId="37" fillId="33" borderId="25" xfId="9" applyBorder="1" applyAlignment="1">
      <alignment horizontal="center" vertical="top"/>
    </xf>
    <xf numFmtId="0" fontId="37" fillId="33" borderId="18" xfId="9" applyBorder="1" applyAlignment="1">
      <alignment horizontal="center" vertical="top" wrapText="1"/>
    </xf>
    <xf numFmtId="0" fontId="37" fillId="33" borderId="98" xfId="9" applyBorder="1" applyAlignment="1">
      <alignment horizontal="center" vertical="top"/>
    </xf>
    <xf numFmtId="0" fontId="44" fillId="0" borderId="0" xfId="10" applyFont="1" applyFill="1" applyAlignment="1"/>
    <xf numFmtId="0" fontId="39" fillId="0" borderId="0" xfId="10" applyFont="1" applyFill="1" applyBorder="1" applyAlignment="1">
      <alignment horizontal="center" vertical="center" wrapText="1"/>
    </xf>
    <xf numFmtId="0" fontId="39" fillId="0" borderId="0" xfId="10" applyFont="1" applyFill="1" applyBorder="1" applyAlignment="1">
      <alignment horizontal="right" vertical="center" indent="1"/>
    </xf>
    <xf numFmtId="0" fontId="43" fillId="0" borderId="0" xfId="10" applyFont="1" applyFill="1" applyBorder="1" applyAlignment="1"/>
    <xf numFmtId="12" fontId="25" fillId="3" borderId="57" xfId="7" applyNumberFormat="1" applyAlignment="1">
      <alignment horizontal="right" indent="1"/>
    </xf>
    <xf numFmtId="0" fontId="0" fillId="6" borderId="35" xfId="0" applyFill="1" applyBorder="1"/>
    <xf numFmtId="2" fontId="0" fillId="0" borderId="0" xfId="0" applyNumberFormat="1" applyFill="1" applyBorder="1" applyAlignment="1">
      <alignment horizontal="center" vertical="center"/>
    </xf>
    <xf numFmtId="0" fontId="0" fillId="17" borderId="13" xfId="0" applyFill="1" applyBorder="1"/>
    <xf numFmtId="0" fontId="0" fillId="8" borderId="0" xfId="0" applyFill="1" applyBorder="1"/>
    <xf numFmtId="0" fontId="0" fillId="8" borderId="13" xfId="0" applyNumberFormat="1" applyFont="1" applyFill="1" applyBorder="1"/>
    <xf numFmtId="0" fontId="39" fillId="8" borderId="13" xfId="0" applyNumberFormat="1" applyFont="1" applyFill="1" applyBorder="1"/>
    <xf numFmtId="0" fontId="0" fillId="4" borderId="22" xfId="0" applyFill="1" applyBorder="1" applyAlignment="1">
      <alignment horizontal="left" vertical="center"/>
    </xf>
    <xf numFmtId="0" fontId="0" fillId="4" borderId="50" xfId="0" applyFill="1" applyBorder="1" applyAlignment="1">
      <alignment horizontal="left" vertical="center"/>
    </xf>
    <xf numFmtId="0" fontId="0" fillId="4" borderId="9" xfId="0" quotePrefix="1" applyFill="1" applyBorder="1" applyAlignment="1">
      <alignment horizontal="left" vertical="center"/>
    </xf>
    <xf numFmtId="0" fontId="3" fillId="4" borderId="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12" borderId="32" xfId="0" applyFill="1" applyBorder="1" applyAlignment="1">
      <alignment horizontal="center" vertical="center"/>
    </xf>
    <xf numFmtId="0" fontId="0" fillId="12" borderId="33" xfId="0" applyFill="1" applyBorder="1" applyAlignment="1">
      <alignment horizontal="center" vertical="center"/>
    </xf>
    <xf numFmtId="0" fontId="7" fillId="0" borderId="7" xfId="0" applyFont="1" applyBorder="1" applyAlignment="1">
      <alignment horizontal="left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164" fontId="0" fillId="7" borderId="18" xfId="0" applyNumberFormat="1" applyFill="1" applyBorder="1"/>
    <xf numFmtId="165" fontId="0" fillId="7" borderId="18" xfId="0" applyNumberFormat="1" applyFill="1" applyBorder="1"/>
    <xf numFmtId="0" fontId="0" fillId="7" borderId="11" xfId="0" applyNumberFormat="1" applyFill="1" applyBorder="1"/>
    <xf numFmtId="164" fontId="0" fillId="9" borderId="2" xfId="0" applyNumberFormat="1" applyFill="1" applyBorder="1"/>
    <xf numFmtId="164" fontId="0" fillId="10" borderId="2" xfId="0" applyNumberFormat="1" applyFill="1" applyBorder="1"/>
    <xf numFmtId="164" fontId="14" fillId="9" borderId="35" xfId="0" applyNumberFormat="1" applyFont="1" applyFill="1" applyBorder="1"/>
    <xf numFmtId="0" fontId="0" fillId="6" borderId="17" xfId="0" applyFill="1" applyBorder="1"/>
    <xf numFmtId="0" fontId="3" fillId="4" borderId="31" xfId="0" applyFont="1" applyFill="1" applyBorder="1" applyAlignment="1">
      <alignment horizontal="center" vertical="center" wrapText="1"/>
    </xf>
    <xf numFmtId="0" fontId="3" fillId="4" borderId="32" xfId="0" applyFont="1" applyFill="1" applyBorder="1" applyAlignment="1">
      <alignment horizontal="center" vertical="center" wrapText="1"/>
    </xf>
    <xf numFmtId="0" fontId="3" fillId="4" borderId="33" xfId="0" applyFont="1" applyFill="1" applyBorder="1" applyAlignment="1">
      <alignment horizontal="center" vertical="center" wrapText="1"/>
    </xf>
    <xf numFmtId="0" fontId="3" fillId="4" borderId="30" xfId="0" applyFont="1" applyFill="1" applyBorder="1" applyAlignment="1">
      <alignment horizontal="center" vertical="center" wrapText="1"/>
    </xf>
    <xf numFmtId="0" fontId="3" fillId="4" borderId="27" xfId="0" applyFont="1" applyFill="1" applyBorder="1" applyAlignment="1">
      <alignment horizontal="center" vertical="center" wrapText="1"/>
    </xf>
    <xf numFmtId="0" fontId="3" fillId="4" borderId="34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0" fillId="4" borderId="49" xfId="0" quotePrefix="1" applyFill="1" applyBorder="1" applyAlignment="1">
      <alignment horizontal="left" vertical="center"/>
    </xf>
    <xf numFmtId="0" fontId="0" fillId="4" borderId="21" xfId="0" applyFill="1" applyBorder="1" applyAlignment="1">
      <alignment horizontal="left" vertical="center"/>
    </xf>
    <xf numFmtId="0" fontId="0" fillId="4" borderId="54" xfId="0" applyFill="1" applyBorder="1" applyAlignment="1">
      <alignment horizontal="left" vertical="center"/>
    </xf>
    <xf numFmtId="0" fontId="0" fillId="0" borderId="4" xfId="0" applyBorder="1"/>
    <xf numFmtId="164" fontId="0" fillId="39" borderId="37" xfId="0" applyNumberFormat="1" applyFill="1" applyBorder="1" applyAlignment="1">
      <alignment horizontal="right"/>
    </xf>
    <xf numFmtId="0" fontId="0" fillId="10" borderId="41" xfId="0" applyFill="1" applyBorder="1"/>
    <xf numFmtId="164" fontId="14" fillId="0" borderId="0" xfId="1" applyNumberFormat="1" applyFont="1" applyFill="1" applyBorder="1" applyAlignment="1">
      <alignment horizontal="center" vertical="center"/>
    </xf>
    <xf numFmtId="0" fontId="14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42" fillId="0" borderId="0" xfId="1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1" fontId="0" fillId="0" borderId="0" xfId="0" applyNumberFormat="1" applyFill="1" applyBorder="1"/>
    <xf numFmtId="12" fontId="0" fillId="0" borderId="0" xfId="0" applyNumberFormat="1" applyFill="1" applyBorder="1" applyAlignment="1">
      <alignment horizontal="center"/>
    </xf>
    <xf numFmtId="0" fontId="0" fillId="0" borderId="0" xfId="0" applyAlignment="1">
      <alignment vertical="top"/>
    </xf>
    <xf numFmtId="166" fontId="2" fillId="0" borderId="0" xfId="2" applyNumberFormat="1" applyFill="1" applyBorder="1" applyAlignment="1">
      <alignment horizontal="center" vertical="center" wrapText="1"/>
    </xf>
    <xf numFmtId="1" fontId="2" fillId="0" borderId="0" xfId="2" applyNumberFormat="1" applyFill="1" applyBorder="1" applyAlignment="1">
      <alignment horizontal="center" vertical="center" wrapText="1"/>
    </xf>
    <xf numFmtId="2" fontId="2" fillId="0" borderId="0" xfId="2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0" fillId="0" borderId="2" xfId="0" applyBorder="1"/>
    <xf numFmtId="0" fontId="17" fillId="19" borderId="2" xfId="0" applyFont="1" applyFill="1" applyBorder="1" applyAlignment="1" applyProtection="1">
      <alignment horizontal="center" wrapText="1"/>
      <protection locked="0"/>
    </xf>
    <xf numFmtId="0" fontId="19" fillId="0" borderId="2" xfId="0" applyFont="1" applyFill="1" applyBorder="1" applyAlignment="1" applyProtection="1">
      <alignment horizontal="center"/>
      <protection locked="0"/>
    </xf>
    <xf numFmtId="0" fontId="36" fillId="31" borderId="38" xfId="0" applyFont="1" applyFill="1" applyBorder="1" applyAlignment="1" applyProtection="1">
      <alignment horizontal="center" vertical="center"/>
      <protection locked="0"/>
    </xf>
    <xf numFmtId="0" fontId="32" fillId="31" borderId="55" xfId="0" applyFont="1" applyFill="1" applyBorder="1" applyAlignment="1" applyProtection="1">
      <alignment horizontal="center" vertical="center"/>
      <protection locked="0"/>
    </xf>
    <xf numFmtId="0" fontId="36" fillId="31" borderId="53" xfId="0" applyFont="1" applyFill="1" applyBorder="1" applyAlignment="1" applyProtection="1">
      <alignment horizontal="center" vertical="center"/>
      <protection locked="0"/>
    </xf>
    <xf numFmtId="0" fontId="32" fillId="31" borderId="16" xfId="0" applyFont="1" applyFill="1" applyBorder="1" applyAlignment="1" applyProtection="1">
      <alignment horizontal="center" vertical="center"/>
      <protection locked="0"/>
    </xf>
    <xf numFmtId="0" fontId="36" fillId="31" borderId="40" xfId="0" applyFont="1" applyFill="1" applyBorder="1" applyAlignment="1" applyProtection="1">
      <alignment horizontal="center" vertical="center"/>
      <protection locked="0"/>
    </xf>
    <xf numFmtId="0" fontId="32" fillId="31" borderId="36" xfId="0" applyFont="1" applyFill="1" applyBorder="1" applyAlignment="1" applyProtection="1">
      <alignment horizontal="center" vertical="center"/>
      <protection locked="0"/>
    </xf>
    <xf numFmtId="0" fontId="36" fillId="31" borderId="23" xfId="0" applyFont="1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46" fillId="21" borderId="10" xfId="0" applyFont="1" applyFill="1" applyBorder="1" applyAlignment="1" applyProtection="1">
      <protection locked="0"/>
    </xf>
    <xf numFmtId="0" fontId="0" fillId="12" borderId="31" xfId="0" applyFill="1" applyBorder="1" applyAlignment="1">
      <alignment horizontal="left" vertical="center"/>
    </xf>
    <xf numFmtId="0" fontId="17" fillId="22" borderId="3" xfId="0" applyFont="1" applyFill="1" applyBorder="1" applyAlignment="1" applyProtection="1">
      <alignment horizontal="center" wrapText="1"/>
      <protection locked="0"/>
    </xf>
    <xf numFmtId="0" fontId="17" fillId="22" borderId="24" xfId="0" applyFont="1" applyFill="1" applyBorder="1" applyAlignment="1" applyProtection="1">
      <alignment horizontal="center" wrapText="1"/>
      <protection locked="0"/>
    </xf>
    <xf numFmtId="168" fontId="37" fillId="0" borderId="0" xfId="0" applyNumberFormat="1" applyFont="1" applyProtection="1">
      <protection locked="0"/>
    </xf>
    <xf numFmtId="0" fontId="14" fillId="2" borderId="8" xfId="1" applyFont="1" applyBorder="1" applyAlignment="1" applyProtection="1">
      <alignment horizontal="center" vertical="center"/>
      <protection locked="0"/>
    </xf>
    <xf numFmtId="0" fontId="14" fillId="2" borderId="1" xfId="1" applyFont="1" applyAlignment="1" applyProtection="1">
      <alignment horizontal="center" vertical="center"/>
      <protection locked="0"/>
    </xf>
    <xf numFmtId="0" fontId="26" fillId="42" borderId="2" xfId="0" applyFont="1" applyFill="1" applyBorder="1" applyAlignment="1" applyProtection="1">
      <alignment horizontal="center" vertical="center"/>
      <protection locked="0"/>
    </xf>
    <xf numFmtId="0" fontId="17" fillId="23" borderId="69" xfId="0" applyFont="1" applyFill="1" applyBorder="1" applyAlignment="1" applyProtection="1">
      <alignment horizontal="center" vertical="center"/>
      <protection locked="0"/>
    </xf>
    <xf numFmtId="0" fontId="22" fillId="23" borderId="14" xfId="5" applyFont="1" applyFill="1" applyBorder="1" applyAlignment="1" applyProtection="1">
      <alignment horizontal="center" vertical="center" wrapText="1"/>
      <protection locked="0"/>
    </xf>
    <xf numFmtId="0" fontId="22" fillId="23" borderId="2" xfId="5" applyFont="1" applyFill="1" applyBorder="1" applyAlignment="1" applyProtection="1">
      <alignment horizontal="center" vertical="center" wrapText="1"/>
      <protection locked="0"/>
    </xf>
    <xf numFmtId="0" fontId="22" fillId="23" borderId="3" xfId="5" applyFont="1" applyFill="1" applyBorder="1" applyAlignment="1" applyProtection="1">
      <alignment horizontal="center" vertical="center" wrapText="1"/>
      <protection locked="0"/>
    </xf>
    <xf numFmtId="0" fontId="17" fillId="23" borderId="39" xfId="0" applyFont="1" applyFill="1" applyBorder="1" applyAlignment="1" applyProtection="1">
      <alignment horizontal="center" wrapText="1"/>
      <protection locked="0"/>
    </xf>
    <xf numFmtId="0" fontId="22" fillId="23" borderId="40" xfId="5" applyFont="1" applyFill="1" applyBorder="1" applyAlignment="1" applyProtection="1">
      <alignment horizontal="center" vertical="center" wrapText="1"/>
      <protection locked="0"/>
    </xf>
    <xf numFmtId="0" fontId="17" fillId="23" borderId="2" xfId="0" applyFont="1" applyFill="1" applyBorder="1" applyAlignment="1" applyProtection="1">
      <alignment horizontal="center" wrapText="1"/>
      <protection locked="0"/>
    </xf>
    <xf numFmtId="0" fontId="17" fillId="23" borderId="24" xfId="0" applyFont="1" applyFill="1" applyBorder="1" applyAlignment="1" applyProtection="1">
      <alignment horizontal="center" wrapText="1"/>
      <protection locked="0"/>
    </xf>
    <xf numFmtId="0" fontId="17" fillId="23" borderId="14" xfId="0" applyFont="1" applyFill="1" applyBorder="1" applyAlignment="1" applyProtection="1">
      <alignment horizontal="center" wrapText="1"/>
      <protection locked="0"/>
    </xf>
    <xf numFmtId="0" fontId="17" fillId="23" borderId="3" xfId="0" applyFont="1" applyFill="1" applyBorder="1" applyAlignment="1" applyProtection="1">
      <alignment horizontal="center" wrapText="1"/>
      <protection locked="0"/>
    </xf>
    <xf numFmtId="0" fontId="22" fillId="23" borderId="20" xfId="5" applyFont="1" applyFill="1" applyBorder="1" applyAlignment="1" applyProtection="1">
      <alignment horizontal="center" vertical="center" wrapText="1"/>
      <protection locked="0"/>
    </xf>
    <xf numFmtId="0" fontId="17" fillId="23" borderId="9" xfId="0" applyFont="1" applyFill="1" applyBorder="1" applyAlignment="1" applyProtection="1">
      <alignment horizontal="center" wrapText="1"/>
      <protection locked="0"/>
    </xf>
    <xf numFmtId="0" fontId="17" fillId="22" borderId="0" xfId="0" applyFont="1" applyFill="1" applyBorder="1" applyAlignment="1" applyProtection="1">
      <alignment horizontal="center" vertical="center"/>
      <protection locked="0"/>
    </xf>
    <xf numFmtId="0" fontId="36" fillId="31" borderId="40" xfId="5" applyFont="1" applyFill="1" applyBorder="1" applyAlignment="1" applyProtection="1">
      <alignment horizontal="center" vertical="center"/>
      <protection locked="0"/>
    </xf>
    <xf numFmtId="0" fontId="35" fillId="29" borderId="17" xfId="5" applyFont="1" applyFill="1" applyBorder="1" applyAlignment="1" applyProtection="1">
      <alignment horizontal="center" vertical="center"/>
      <protection locked="0"/>
    </xf>
    <xf numFmtId="0" fontId="36" fillId="31" borderId="17" xfId="5" applyFont="1" applyFill="1" applyBorder="1" applyAlignment="1" applyProtection="1">
      <alignment horizontal="center" vertical="center"/>
      <protection locked="0"/>
    </xf>
    <xf numFmtId="0" fontId="36" fillId="31" borderId="38" xfId="5" applyFont="1" applyFill="1" applyBorder="1" applyAlignment="1" applyProtection="1">
      <alignment horizontal="center" vertical="center"/>
      <protection locked="0"/>
    </xf>
    <xf numFmtId="3" fontId="32" fillId="30" borderId="23" xfId="0" applyNumberFormat="1" applyFont="1" applyFill="1" applyBorder="1" applyAlignment="1" applyProtection="1">
      <alignment horizontal="center" vertical="center"/>
      <protection locked="0"/>
    </xf>
    <xf numFmtId="0" fontId="22" fillId="17" borderId="44" xfId="5" applyFont="1" applyFill="1" applyBorder="1" applyAlignment="1" applyProtection="1">
      <alignment horizontal="center" vertical="center" wrapText="1"/>
      <protection locked="0"/>
    </xf>
    <xf numFmtId="0" fontId="0" fillId="0" borderId="130" xfId="0" applyBorder="1" applyProtection="1">
      <protection locked="0"/>
    </xf>
    <xf numFmtId="0" fontId="17" fillId="22" borderId="58" xfId="0" applyFont="1" applyFill="1" applyBorder="1" applyAlignment="1" applyProtection="1">
      <alignment horizontal="center" vertical="center"/>
      <protection locked="0"/>
    </xf>
    <xf numFmtId="0" fontId="17" fillId="22" borderId="133" xfId="0" applyFont="1" applyFill="1" applyBorder="1" applyAlignment="1" applyProtection="1">
      <alignment horizontal="center" vertical="center"/>
      <protection locked="0"/>
    </xf>
    <xf numFmtId="0" fontId="17" fillId="22" borderId="136" xfId="0" applyFont="1" applyFill="1" applyBorder="1" applyAlignment="1" applyProtection="1">
      <alignment horizontal="center" vertical="center"/>
      <protection locked="0"/>
    </xf>
    <xf numFmtId="0" fontId="17" fillId="22" borderId="137" xfId="0" applyFont="1" applyFill="1" applyBorder="1" applyAlignment="1" applyProtection="1">
      <alignment horizontal="center" vertical="center"/>
      <protection locked="0"/>
    </xf>
    <xf numFmtId="0" fontId="17" fillId="22" borderId="143" xfId="0" applyFont="1" applyFill="1" applyBorder="1" applyAlignment="1" applyProtection="1">
      <alignment horizontal="center" vertical="center"/>
      <protection locked="0"/>
    </xf>
    <xf numFmtId="0" fontId="17" fillId="22" borderId="144" xfId="0" applyFont="1" applyFill="1" applyBorder="1" applyAlignment="1" applyProtection="1">
      <alignment horizontal="center" vertical="center"/>
      <protection locked="0"/>
    </xf>
    <xf numFmtId="0" fontId="17" fillId="22" borderId="146" xfId="0" applyFont="1" applyFill="1" applyBorder="1" applyAlignment="1" applyProtection="1">
      <alignment horizontal="center" vertical="center"/>
      <protection locked="0"/>
    </xf>
    <xf numFmtId="0" fontId="17" fillId="21" borderId="136" xfId="0" applyFont="1" applyFill="1" applyBorder="1" applyAlignment="1" applyProtection="1">
      <alignment horizontal="center" vertical="center"/>
      <protection locked="0"/>
    </xf>
    <xf numFmtId="0" fontId="17" fillId="23" borderId="146" xfId="0" applyFont="1" applyFill="1" applyBorder="1" applyAlignment="1" applyProtection="1">
      <alignment horizontal="center" vertical="center"/>
      <protection locked="0"/>
    </xf>
    <xf numFmtId="0" fontId="17" fillId="0" borderId="136" xfId="0" applyFont="1" applyBorder="1" applyAlignment="1" applyProtection="1">
      <alignment horizontal="center" vertical="center"/>
      <protection locked="0"/>
    </xf>
    <xf numFmtId="0" fontId="17" fillId="23" borderId="133" xfId="0" applyFont="1" applyFill="1" applyBorder="1" applyAlignment="1" applyProtection="1">
      <alignment horizontal="center" vertical="center"/>
      <protection locked="0"/>
    </xf>
    <xf numFmtId="0" fontId="17" fillId="23" borderId="136" xfId="0" applyFont="1" applyFill="1" applyBorder="1" applyAlignment="1" applyProtection="1">
      <alignment horizontal="center" vertical="center"/>
      <protection locked="0"/>
    </xf>
    <xf numFmtId="0" fontId="17" fillId="23" borderId="137" xfId="0" applyFont="1" applyFill="1" applyBorder="1" applyAlignment="1" applyProtection="1">
      <alignment horizontal="center" vertical="center"/>
      <protection locked="0"/>
    </xf>
    <xf numFmtId="0" fontId="17" fillId="22" borderId="149" xfId="0" applyFont="1" applyFill="1" applyBorder="1" applyAlignment="1" applyProtection="1">
      <alignment horizontal="center" vertical="center"/>
      <protection locked="0"/>
    </xf>
    <xf numFmtId="0" fontId="17" fillId="22" borderId="151" xfId="0" applyFont="1" applyFill="1" applyBorder="1" applyAlignment="1" applyProtection="1">
      <alignment horizontal="center" vertical="center"/>
      <protection locked="0"/>
    </xf>
    <xf numFmtId="0" fontId="17" fillId="22" borderId="37" xfId="0" applyFont="1" applyFill="1" applyBorder="1" applyAlignment="1" applyProtection="1">
      <alignment horizontal="center" vertical="center"/>
      <protection locked="0"/>
    </xf>
    <xf numFmtId="0" fontId="28" fillId="16" borderId="154" xfId="0" applyFont="1" applyFill="1" applyBorder="1" applyAlignment="1" applyProtection="1">
      <alignment wrapText="1"/>
      <protection locked="0"/>
    </xf>
    <xf numFmtId="0" fontId="17" fillId="23" borderId="58" xfId="0" applyFont="1" applyFill="1" applyBorder="1" applyAlignment="1" applyProtection="1">
      <alignment horizontal="center" vertical="center"/>
      <protection locked="0"/>
    </xf>
    <xf numFmtId="0" fontId="17" fillId="9" borderId="158" xfId="0" applyFont="1" applyFill="1" applyBorder="1" applyAlignment="1" applyProtection="1">
      <alignment horizontal="center" wrapText="1"/>
      <protection locked="0"/>
    </xf>
    <xf numFmtId="0" fontId="17" fillId="9" borderId="143" xfId="0" applyFont="1" applyFill="1" applyBorder="1" applyAlignment="1" applyProtection="1">
      <alignment horizontal="center" wrapText="1"/>
      <protection locked="0"/>
    </xf>
    <xf numFmtId="0" fontId="17" fillId="9" borderId="162" xfId="0" applyFont="1" applyFill="1" applyBorder="1" applyAlignment="1" applyProtection="1">
      <alignment horizontal="center" wrapText="1"/>
      <protection locked="0"/>
    </xf>
    <xf numFmtId="0" fontId="0" fillId="4" borderId="166" xfId="0" applyFill="1" applyBorder="1" applyProtection="1">
      <protection locked="0"/>
    </xf>
    <xf numFmtId="0" fontId="17" fillId="4" borderId="129" xfId="0" applyFont="1" applyFill="1" applyBorder="1" applyAlignment="1" applyProtection="1">
      <alignment horizontal="center" vertical="center"/>
      <protection locked="0"/>
    </xf>
    <xf numFmtId="0" fontId="17" fillId="4" borderId="168" xfId="0" applyFont="1" applyFill="1" applyBorder="1" applyAlignment="1" applyProtection="1">
      <alignment horizontal="center" vertical="center"/>
      <protection locked="0"/>
    </xf>
    <xf numFmtId="0" fontId="0" fillId="0" borderId="169" xfId="0" applyBorder="1" applyProtection="1">
      <protection locked="0"/>
    </xf>
    <xf numFmtId="0" fontId="17" fillId="4" borderId="17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171" xfId="0" applyBorder="1" applyProtection="1">
      <protection locked="0"/>
    </xf>
    <xf numFmtId="0" fontId="44" fillId="0" borderId="0" xfId="0" applyFont="1" applyAlignment="1" applyProtection="1">
      <alignment wrapText="1"/>
      <protection locked="0"/>
    </xf>
    <xf numFmtId="0" fontId="44" fillId="16" borderId="58" xfId="0" applyFont="1" applyFill="1" applyBorder="1" applyAlignment="1" applyProtection="1">
      <alignment wrapText="1"/>
      <protection locked="0"/>
    </xf>
    <xf numFmtId="0" fontId="44" fillId="16" borderId="10" xfId="0" applyFont="1" applyFill="1" applyBorder="1" applyAlignment="1" applyProtection="1">
      <alignment wrapText="1"/>
      <protection locked="0"/>
    </xf>
    <xf numFmtId="0" fontId="44" fillId="16" borderId="45" xfId="0" applyFont="1" applyFill="1" applyBorder="1" applyAlignment="1" applyProtection="1">
      <alignment wrapText="1"/>
      <protection locked="0"/>
    </xf>
    <xf numFmtId="0" fontId="44" fillId="17" borderId="12" xfId="0" applyFont="1" applyFill="1" applyBorder="1" applyAlignment="1" applyProtection="1">
      <alignment wrapText="1"/>
      <protection locked="0"/>
    </xf>
    <xf numFmtId="0" fontId="44" fillId="17" borderId="10" xfId="0" applyFont="1" applyFill="1" applyBorder="1" applyAlignment="1" applyProtection="1">
      <alignment wrapText="1"/>
      <protection locked="0"/>
    </xf>
    <xf numFmtId="0" fontId="44" fillId="17" borderId="6" xfId="0" applyFont="1" applyFill="1" applyBorder="1" applyAlignment="1" applyProtection="1">
      <alignment wrapText="1"/>
      <protection locked="0"/>
    </xf>
    <xf numFmtId="0" fontId="44" fillId="17" borderId="45" xfId="0" applyFont="1" applyFill="1" applyBorder="1" applyAlignment="1" applyProtection="1">
      <alignment wrapText="1"/>
      <protection locked="0"/>
    </xf>
    <xf numFmtId="0" fontId="44" fillId="9" borderId="51" xfId="0" applyFont="1" applyFill="1" applyBorder="1" applyAlignment="1" applyProtection="1">
      <alignment wrapText="1"/>
      <protection locked="0"/>
    </xf>
    <xf numFmtId="0" fontId="44" fillId="9" borderId="10" xfId="0" applyFont="1" applyFill="1" applyBorder="1" applyAlignment="1" applyProtection="1">
      <alignment wrapText="1"/>
      <protection locked="0"/>
    </xf>
    <xf numFmtId="0" fontId="44" fillId="9" borderId="6" xfId="0" applyFont="1" applyFill="1" applyBorder="1" applyAlignment="1" applyProtection="1">
      <alignment wrapText="1"/>
      <protection locked="0"/>
    </xf>
    <xf numFmtId="0" fontId="44" fillId="23" borderId="51" xfId="0" applyFont="1" applyFill="1" applyBorder="1" applyAlignment="1" applyProtection="1">
      <alignment wrapText="1"/>
      <protection locked="0"/>
    </xf>
    <xf numFmtId="0" fontId="44" fillId="23" borderId="10" xfId="0" applyFont="1" applyFill="1" applyBorder="1" applyAlignment="1" applyProtection="1">
      <alignment wrapText="1"/>
      <protection locked="0"/>
    </xf>
    <xf numFmtId="0" fontId="44" fillId="23" borderId="6" xfId="0" applyFont="1" applyFill="1" applyBorder="1" applyAlignment="1" applyProtection="1">
      <alignment wrapText="1"/>
      <protection locked="0"/>
    </xf>
    <xf numFmtId="0" fontId="44" fillId="23" borderId="45" xfId="0" applyFont="1" applyFill="1" applyBorder="1" applyAlignment="1" applyProtection="1">
      <alignment wrapText="1"/>
      <protection locked="0"/>
    </xf>
    <xf numFmtId="0" fontId="44" fillId="23" borderId="12" xfId="0" applyFont="1" applyFill="1" applyBorder="1" applyAlignment="1" applyProtection="1">
      <alignment wrapText="1"/>
      <protection locked="0"/>
    </xf>
    <xf numFmtId="0" fontId="44" fillId="9" borderId="12" xfId="0" applyFont="1" applyFill="1" applyBorder="1" applyAlignment="1" applyProtection="1">
      <alignment wrapText="1"/>
      <protection locked="0"/>
    </xf>
    <xf numFmtId="0" fontId="44" fillId="9" borderId="45" xfId="0" applyFont="1" applyFill="1" applyBorder="1" applyAlignment="1" applyProtection="1">
      <alignment wrapText="1"/>
      <protection locked="0"/>
    </xf>
    <xf numFmtId="0" fontId="44" fillId="22" borderId="36" xfId="0" applyFont="1" applyFill="1" applyBorder="1" applyAlignment="1" applyProtection="1">
      <alignment wrapText="1"/>
      <protection locked="0"/>
    </xf>
    <xf numFmtId="0" fontId="44" fillId="22" borderId="42" xfId="0" applyFont="1" applyFill="1" applyBorder="1" applyAlignment="1" applyProtection="1">
      <alignment wrapText="1"/>
      <protection locked="0"/>
    </xf>
    <xf numFmtId="0" fontId="44" fillId="22" borderId="12" xfId="0" applyFont="1" applyFill="1" applyBorder="1" applyAlignment="1" applyProtection="1">
      <alignment wrapText="1"/>
      <protection locked="0"/>
    </xf>
    <xf numFmtId="0" fontId="44" fillId="22" borderId="10" xfId="0" applyFont="1" applyFill="1" applyBorder="1" applyAlignment="1" applyProtection="1">
      <alignment wrapText="1"/>
      <protection locked="0"/>
    </xf>
    <xf numFmtId="0" fontId="44" fillId="22" borderId="6" xfId="0" applyFont="1" applyFill="1" applyBorder="1" applyAlignment="1" applyProtection="1">
      <alignment wrapText="1"/>
      <protection locked="0"/>
    </xf>
    <xf numFmtId="0" fontId="44" fillId="22" borderId="45" xfId="0" applyFont="1" applyFill="1" applyBorder="1" applyAlignment="1" applyProtection="1">
      <alignment wrapText="1"/>
      <protection locked="0"/>
    </xf>
    <xf numFmtId="0" fontId="44" fillId="22" borderId="51" xfId="0" applyFont="1" applyFill="1" applyBorder="1" applyAlignment="1" applyProtection="1">
      <alignment wrapText="1"/>
      <protection locked="0"/>
    </xf>
    <xf numFmtId="0" fontId="44" fillId="21" borderId="51" xfId="0" applyFont="1" applyFill="1" applyBorder="1" applyAlignment="1" applyProtection="1">
      <alignment wrapText="1"/>
      <protection locked="0"/>
    </xf>
    <xf numFmtId="0" fontId="44" fillId="21" borderId="12" xfId="0" applyFont="1" applyFill="1" applyBorder="1" applyAlignment="1" applyProtection="1">
      <alignment wrapText="1"/>
      <protection locked="0"/>
    </xf>
    <xf numFmtId="0" fontId="44" fillId="21" borderId="10" xfId="0" applyFont="1" applyFill="1" applyBorder="1" applyAlignment="1" applyProtection="1">
      <alignment wrapText="1"/>
      <protection locked="0"/>
    </xf>
    <xf numFmtId="0" fontId="44" fillId="42" borderId="51" xfId="0" applyFont="1" applyFill="1" applyBorder="1" applyAlignment="1" applyProtection="1">
      <alignment wrapText="1"/>
      <protection locked="0"/>
    </xf>
    <xf numFmtId="0" fontId="44" fillId="42" borderId="10" xfId="0" applyFont="1" applyFill="1" applyBorder="1" applyAlignment="1" applyProtection="1">
      <alignment wrapText="1"/>
      <protection locked="0"/>
    </xf>
    <xf numFmtId="0" fontId="44" fillId="42" borderId="6" xfId="0" applyFont="1" applyFill="1" applyBorder="1" applyAlignment="1" applyProtection="1">
      <alignment wrapText="1"/>
      <protection locked="0"/>
    </xf>
    <xf numFmtId="0" fontId="44" fillId="20" borderId="51" xfId="0" applyFont="1" applyFill="1" applyBorder="1" applyAlignment="1" applyProtection="1">
      <alignment wrapText="1"/>
      <protection locked="0"/>
    </xf>
    <xf numFmtId="0" fontId="44" fillId="20" borderId="10" xfId="0" applyFont="1" applyFill="1" applyBorder="1" applyAlignment="1" applyProtection="1">
      <alignment wrapText="1"/>
      <protection locked="0"/>
    </xf>
    <xf numFmtId="0" fontId="44" fillId="20" borderId="6" xfId="0" applyFont="1" applyFill="1" applyBorder="1" applyAlignment="1" applyProtection="1">
      <alignment wrapText="1"/>
      <protection locked="0"/>
    </xf>
    <xf numFmtId="0" fontId="44" fillId="4" borderId="10" xfId="0" applyFont="1" applyFill="1" applyBorder="1" applyAlignment="1" applyProtection="1">
      <alignment horizontal="center" vertical="center"/>
      <protection locked="0"/>
    </xf>
    <xf numFmtId="0" fontId="44" fillId="4" borderId="10" xfId="0" applyFont="1" applyFill="1" applyBorder="1" applyAlignment="1" applyProtection="1">
      <alignment horizontal="center"/>
      <protection locked="0"/>
    </xf>
    <xf numFmtId="0" fontId="44" fillId="4" borderId="45" xfId="0" applyFont="1" applyFill="1" applyBorder="1" applyAlignment="1" applyProtection="1">
      <alignment horizontal="center" vertical="center"/>
      <protection locked="0"/>
    </xf>
    <xf numFmtId="0" fontId="44" fillId="20" borderId="0" xfId="0" applyFont="1" applyFill="1" applyProtection="1">
      <protection locked="0"/>
    </xf>
    <xf numFmtId="0" fontId="44" fillId="23" borderId="10" xfId="0" applyFont="1" applyFill="1" applyBorder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44" fillId="0" borderId="2" xfId="0" applyFont="1" applyFill="1" applyBorder="1" applyAlignment="1" applyProtection="1">
      <alignment horizontal="center"/>
      <protection locked="0"/>
    </xf>
    <xf numFmtId="0" fontId="50" fillId="39" borderId="2" xfId="0" applyFont="1" applyFill="1" applyBorder="1" applyAlignment="1" applyProtection="1">
      <alignment horizontal="center" wrapText="1"/>
      <protection locked="0"/>
    </xf>
    <xf numFmtId="0" fontId="50" fillId="16" borderId="52" xfId="0" applyFont="1" applyFill="1" applyBorder="1" applyAlignment="1" applyProtection="1">
      <alignment wrapText="1"/>
      <protection locked="0"/>
    </xf>
    <xf numFmtId="0" fontId="50" fillId="16" borderId="2" xfId="0" applyFont="1" applyFill="1" applyBorder="1" applyAlignment="1" applyProtection="1">
      <alignment wrapText="1"/>
      <protection locked="0"/>
    </xf>
    <xf numFmtId="0" fontId="50" fillId="16" borderId="24" xfId="0" applyFont="1" applyFill="1" applyBorder="1" applyAlignment="1" applyProtection="1">
      <alignment wrapText="1"/>
      <protection locked="0"/>
    </xf>
    <xf numFmtId="0" fontId="50" fillId="17" borderId="14" xfId="0" applyFont="1" applyFill="1" applyBorder="1" applyAlignment="1" applyProtection="1">
      <alignment wrapText="1"/>
      <protection locked="0"/>
    </xf>
    <xf numFmtId="0" fontId="50" fillId="17" borderId="2" xfId="0" applyFont="1" applyFill="1" applyBorder="1" applyAlignment="1" applyProtection="1">
      <alignment wrapText="1"/>
      <protection locked="0"/>
    </xf>
    <xf numFmtId="0" fontId="50" fillId="17" borderId="3" xfId="0" applyFont="1" applyFill="1" applyBorder="1" applyAlignment="1" applyProtection="1">
      <alignment wrapText="1"/>
      <protection locked="0"/>
    </xf>
    <xf numFmtId="0" fontId="50" fillId="17" borderId="24" xfId="0" applyFont="1" applyFill="1" applyBorder="1" applyAlignment="1" applyProtection="1">
      <alignment wrapText="1"/>
      <protection locked="0"/>
    </xf>
    <xf numFmtId="0" fontId="50" fillId="9" borderId="52" xfId="0" applyFont="1" applyFill="1" applyBorder="1" applyAlignment="1" applyProtection="1">
      <alignment wrapText="1"/>
      <protection locked="0"/>
    </xf>
    <xf numFmtId="0" fontId="50" fillId="9" borderId="2" xfId="0" applyFont="1" applyFill="1" applyBorder="1" applyAlignment="1" applyProtection="1">
      <alignment wrapText="1"/>
      <protection locked="0"/>
    </xf>
    <xf numFmtId="0" fontId="50" fillId="9" borderId="3" xfId="0" applyFont="1" applyFill="1" applyBorder="1" applyAlignment="1" applyProtection="1">
      <alignment wrapText="1"/>
      <protection locked="0"/>
    </xf>
    <xf numFmtId="0" fontId="50" fillId="23" borderId="39" xfId="0" applyFont="1" applyFill="1" applyBorder="1" applyAlignment="1" applyProtection="1">
      <alignment wrapText="1"/>
      <protection locked="0"/>
    </xf>
    <xf numFmtId="0" fontId="50" fillId="23" borderId="14" xfId="0" applyFont="1" applyFill="1" applyBorder="1" applyAlignment="1" applyProtection="1">
      <alignment wrapText="1"/>
      <protection locked="0"/>
    </xf>
    <xf numFmtId="0" fontId="50" fillId="23" borderId="2" xfId="0" applyFont="1" applyFill="1" applyBorder="1" applyAlignment="1" applyProtection="1">
      <alignment wrapText="1"/>
      <protection locked="0"/>
    </xf>
    <xf numFmtId="0" fontId="50" fillId="23" borderId="24" xfId="0" applyFont="1" applyFill="1" applyBorder="1" applyAlignment="1" applyProtection="1">
      <alignment wrapText="1"/>
      <protection locked="0"/>
    </xf>
    <xf numFmtId="0" fontId="50" fillId="23" borderId="3" xfId="0" applyFont="1" applyFill="1" applyBorder="1" applyAlignment="1" applyProtection="1">
      <alignment wrapText="1"/>
      <protection locked="0"/>
    </xf>
    <xf numFmtId="0" fontId="50" fillId="9" borderId="39" xfId="0" applyFont="1" applyFill="1" applyBorder="1" applyAlignment="1" applyProtection="1">
      <alignment wrapText="1"/>
      <protection locked="0"/>
    </xf>
    <xf numFmtId="0" fontId="50" fillId="9" borderId="14" xfId="0" applyFont="1" applyFill="1" applyBorder="1" applyAlignment="1" applyProtection="1">
      <alignment wrapText="1"/>
      <protection locked="0"/>
    </xf>
    <xf numFmtId="0" fontId="50" fillId="9" borderId="24" xfId="0" applyFont="1" applyFill="1" applyBorder="1" applyAlignment="1" applyProtection="1">
      <alignment wrapText="1"/>
      <protection locked="0"/>
    </xf>
    <xf numFmtId="0" fontId="50" fillId="22" borderId="39" xfId="0" applyFont="1" applyFill="1" applyBorder="1" applyAlignment="1" applyProtection="1">
      <alignment wrapText="1"/>
      <protection locked="0"/>
    </xf>
    <xf numFmtId="0" fontId="50" fillId="22" borderId="24" xfId="0" applyFont="1" applyFill="1" applyBorder="1" applyAlignment="1" applyProtection="1">
      <alignment wrapText="1"/>
      <protection locked="0"/>
    </xf>
    <xf numFmtId="0" fontId="50" fillId="22" borderId="14" xfId="0" applyFont="1" applyFill="1" applyBorder="1" applyAlignment="1" applyProtection="1">
      <alignment wrapText="1"/>
      <protection locked="0"/>
    </xf>
    <xf numFmtId="0" fontId="50" fillId="22" borderId="2" xfId="0" applyFont="1" applyFill="1" applyBorder="1" applyAlignment="1" applyProtection="1">
      <alignment wrapText="1"/>
      <protection locked="0"/>
    </xf>
    <xf numFmtId="0" fontId="50" fillId="22" borderId="3" xfId="0" applyFont="1" applyFill="1" applyBorder="1" applyAlignment="1" applyProtection="1">
      <alignment wrapText="1"/>
      <protection locked="0"/>
    </xf>
    <xf numFmtId="0" fontId="50" fillId="21" borderId="39" xfId="0" applyFont="1" applyFill="1" applyBorder="1" applyAlignment="1" applyProtection="1">
      <alignment wrapText="1"/>
      <protection locked="0"/>
    </xf>
    <xf numFmtId="0" fontId="50" fillId="21" borderId="14" xfId="0" applyFont="1" applyFill="1" applyBorder="1" applyAlignment="1" applyProtection="1">
      <alignment wrapText="1"/>
      <protection locked="0"/>
    </xf>
    <xf numFmtId="0" fontId="50" fillId="21" borderId="2" xfId="0" applyFont="1" applyFill="1" applyBorder="1" applyAlignment="1" applyProtection="1">
      <alignment wrapText="1"/>
      <protection locked="0"/>
    </xf>
    <xf numFmtId="0" fontId="50" fillId="21" borderId="3" xfId="0" applyFont="1" applyFill="1" applyBorder="1" applyAlignment="1" applyProtection="1">
      <alignment wrapText="1"/>
      <protection locked="0"/>
    </xf>
    <xf numFmtId="0" fontId="50" fillId="23" borderId="165" xfId="0" applyFont="1" applyFill="1" applyBorder="1" applyAlignment="1" applyProtection="1">
      <alignment wrapText="1"/>
      <protection locked="0"/>
    </xf>
    <xf numFmtId="0" fontId="50" fillId="23" borderId="163" xfId="0" applyFont="1" applyFill="1" applyBorder="1" applyAlignment="1" applyProtection="1">
      <alignment wrapText="1"/>
      <protection locked="0"/>
    </xf>
    <xf numFmtId="0" fontId="50" fillId="23" borderId="164" xfId="0" applyFont="1" applyFill="1" applyBorder="1" applyAlignment="1" applyProtection="1">
      <alignment wrapText="1"/>
      <protection locked="0"/>
    </xf>
    <xf numFmtId="0" fontId="50" fillId="42" borderId="39" xfId="0" applyFont="1" applyFill="1" applyBorder="1" applyAlignment="1" applyProtection="1">
      <alignment wrapText="1"/>
      <protection locked="0"/>
    </xf>
    <xf numFmtId="0" fontId="50" fillId="42" borderId="14" xfId="0" applyFont="1" applyFill="1" applyBorder="1" applyAlignment="1" applyProtection="1">
      <alignment wrapText="1"/>
      <protection locked="0"/>
    </xf>
    <xf numFmtId="0" fontId="50" fillId="42" borderId="2" xfId="0" applyFont="1" applyFill="1" applyBorder="1" applyAlignment="1" applyProtection="1">
      <alignment wrapText="1"/>
      <protection locked="0"/>
    </xf>
    <xf numFmtId="0" fontId="50" fillId="42" borderId="3" xfId="0" applyFont="1" applyFill="1" applyBorder="1" applyAlignment="1" applyProtection="1">
      <alignment wrapText="1"/>
      <protection locked="0"/>
    </xf>
    <xf numFmtId="0" fontId="50" fillId="42" borderId="165" xfId="0" applyFont="1" applyFill="1" applyBorder="1" applyAlignment="1" applyProtection="1">
      <alignment wrapText="1"/>
      <protection locked="0"/>
    </xf>
    <xf numFmtId="0" fontId="50" fillId="20" borderId="14" xfId="0" applyFont="1" applyFill="1" applyBorder="1" applyAlignment="1" applyProtection="1">
      <alignment wrapText="1"/>
      <protection locked="0"/>
    </xf>
    <xf numFmtId="0" fontId="50" fillId="20" borderId="2" xfId="0" applyFont="1" applyFill="1" applyBorder="1" applyAlignment="1" applyProtection="1">
      <alignment wrapText="1"/>
      <protection locked="0"/>
    </xf>
    <xf numFmtId="0" fontId="50" fillId="20" borderId="3" xfId="0" applyFont="1" applyFill="1" applyBorder="1" applyAlignment="1" applyProtection="1">
      <alignment wrapText="1"/>
      <protection locked="0"/>
    </xf>
    <xf numFmtId="0" fontId="50" fillId="4" borderId="9" xfId="0" applyFont="1" applyFill="1" applyBorder="1" applyAlignment="1" applyProtection="1">
      <alignment wrapText="1"/>
      <protection locked="0"/>
    </xf>
    <xf numFmtId="0" fontId="50" fillId="4" borderId="2" xfId="0" applyFont="1" applyFill="1" applyBorder="1" applyAlignment="1" applyProtection="1">
      <alignment wrapText="1"/>
      <protection locked="0"/>
    </xf>
    <xf numFmtId="0" fontId="50" fillId="4" borderId="24" xfId="0" applyFont="1" applyFill="1" applyBorder="1" applyAlignment="1" applyProtection="1">
      <alignment wrapText="1"/>
      <protection locked="0"/>
    </xf>
    <xf numFmtId="0" fontId="50" fillId="0" borderId="0" xfId="0" applyFont="1" applyProtection="1">
      <protection locked="0"/>
    </xf>
    <xf numFmtId="0" fontId="50" fillId="23" borderId="2" xfId="0" applyFont="1" applyFill="1" applyBorder="1" applyAlignment="1" applyProtection="1">
      <alignment horizontal="center" vertical="center"/>
      <protection locked="0"/>
    </xf>
    <xf numFmtId="0" fontId="50" fillId="41" borderId="2" xfId="0" applyFont="1" applyFill="1" applyBorder="1" applyProtection="1">
      <protection locked="0"/>
    </xf>
    <xf numFmtId="0" fontId="44" fillId="0" borderId="27" xfId="0" applyFont="1" applyBorder="1" applyAlignment="1" applyProtection="1">
      <alignment wrapText="1"/>
      <protection locked="0"/>
    </xf>
    <xf numFmtId="0" fontId="44" fillId="0" borderId="2" xfId="0" applyFont="1" applyFill="1" applyBorder="1" applyAlignment="1" applyProtection="1">
      <alignment horizontal="center" vertical="center"/>
      <protection locked="0"/>
    </xf>
    <xf numFmtId="0" fontId="50" fillId="21" borderId="2" xfId="0" applyFont="1" applyFill="1" applyBorder="1" applyAlignment="1" applyProtection="1">
      <alignment horizontal="center" vertical="center"/>
      <protection locked="0"/>
    </xf>
    <xf numFmtId="44" fontId="53" fillId="0" borderId="14" xfId="4" applyFont="1" applyBorder="1" applyAlignment="1" applyProtection="1">
      <alignment horizontal="center" vertical="center"/>
      <protection locked="0"/>
    </xf>
    <xf numFmtId="0" fontId="50" fillId="0" borderId="14" xfId="0" applyFont="1" applyBorder="1" applyAlignment="1" applyProtection="1">
      <alignment horizontal="center" vertical="center"/>
      <protection locked="0"/>
    </xf>
    <xf numFmtId="0" fontId="52" fillId="0" borderId="2" xfId="6" applyFont="1" applyBorder="1" applyAlignment="1" applyProtection="1">
      <alignment horizontal="center" vertical="center"/>
      <protection locked="0"/>
    </xf>
    <xf numFmtId="0" fontId="50" fillId="0" borderId="2" xfId="0" applyFont="1" applyBorder="1" applyAlignment="1" applyProtection="1">
      <alignment horizontal="center" vertical="center"/>
      <protection locked="0"/>
    </xf>
    <xf numFmtId="0" fontId="50" fillId="0" borderId="24" xfId="0" applyFont="1" applyBorder="1" applyAlignment="1" applyProtection="1">
      <alignment horizontal="center" vertical="center"/>
      <protection locked="0"/>
    </xf>
    <xf numFmtId="0" fontId="50" fillId="17" borderId="14" xfId="0" applyFont="1" applyFill="1" applyBorder="1" applyAlignment="1" applyProtection="1">
      <alignment horizontal="center" vertical="center" wrapText="1"/>
      <protection locked="0"/>
    </xf>
    <xf numFmtId="0" fontId="50" fillId="17" borderId="2" xfId="0" applyFont="1" applyFill="1" applyBorder="1" applyAlignment="1" applyProtection="1">
      <alignment horizontal="center" vertical="center"/>
      <protection locked="0"/>
    </xf>
    <xf numFmtId="0" fontId="50" fillId="17" borderId="9" xfId="0" applyFont="1" applyFill="1" applyBorder="1" applyAlignment="1" applyProtection="1">
      <alignment horizontal="center" vertical="center"/>
      <protection locked="0"/>
    </xf>
    <xf numFmtId="0" fontId="50" fillId="17" borderId="24" xfId="0" applyFont="1" applyFill="1" applyBorder="1" applyAlignment="1" applyProtection="1">
      <alignment horizontal="center" vertical="center"/>
      <protection locked="0"/>
    </xf>
    <xf numFmtId="0" fontId="50" fillId="9" borderId="39" xfId="0" applyFont="1" applyFill="1" applyBorder="1" applyAlignment="1" applyProtection="1">
      <alignment horizontal="center" vertical="center"/>
      <protection locked="0"/>
    </xf>
    <xf numFmtId="0" fontId="50" fillId="9" borderId="2" xfId="0" applyFont="1" applyFill="1" applyBorder="1" applyAlignment="1" applyProtection="1">
      <alignment horizontal="center" vertical="center"/>
      <protection locked="0"/>
    </xf>
    <xf numFmtId="0" fontId="50" fillId="9" borderId="3" xfId="0" applyFont="1" applyFill="1" applyBorder="1" applyAlignment="1" applyProtection="1">
      <alignment horizontal="center" vertical="center"/>
      <protection locked="0"/>
    </xf>
    <xf numFmtId="0" fontId="50" fillId="23" borderId="39" xfId="0" applyFont="1" applyFill="1" applyBorder="1" applyAlignment="1" applyProtection="1">
      <alignment horizontal="center" vertical="center"/>
      <protection locked="0"/>
    </xf>
    <xf numFmtId="0" fontId="50" fillId="23" borderId="3" xfId="0" applyFont="1" applyFill="1" applyBorder="1" applyAlignment="1" applyProtection="1">
      <alignment horizontal="center" vertical="center"/>
      <protection locked="0"/>
    </xf>
    <xf numFmtId="0" fontId="50" fillId="23" borderId="24" xfId="0" applyFont="1" applyFill="1" applyBorder="1" applyAlignment="1" applyProtection="1">
      <alignment horizontal="center" vertical="center"/>
      <protection locked="0"/>
    </xf>
    <xf numFmtId="0" fontId="50" fillId="23" borderId="14" xfId="0" applyFont="1" applyFill="1" applyBorder="1" applyAlignment="1" applyProtection="1">
      <alignment horizontal="center" vertical="center"/>
      <protection locked="0"/>
    </xf>
    <xf numFmtId="0" fontId="50" fillId="9" borderId="14" xfId="0" applyFont="1" applyFill="1" applyBorder="1" applyAlignment="1" applyProtection="1">
      <alignment horizontal="center" vertical="center"/>
      <protection locked="0"/>
    </xf>
    <xf numFmtId="0" fontId="50" fillId="9" borderId="24" xfId="0" applyFont="1" applyFill="1" applyBorder="1" applyAlignment="1" applyProtection="1">
      <alignment horizontal="center" vertical="center"/>
      <protection locked="0"/>
    </xf>
    <xf numFmtId="0" fontId="50" fillId="22" borderId="14" xfId="0" applyFont="1" applyFill="1" applyBorder="1" applyAlignment="1" applyProtection="1">
      <alignment horizontal="center" vertical="center"/>
      <protection locked="0"/>
    </xf>
    <xf numFmtId="0" fontId="50" fillId="22" borderId="24" xfId="0" applyFont="1" applyFill="1" applyBorder="1" applyAlignment="1" applyProtection="1">
      <alignment horizontal="center" vertical="center"/>
      <protection locked="0"/>
    </xf>
    <xf numFmtId="0" fontId="50" fillId="22" borderId="2" xfId="0" applyFont="1" applyFill="1" applyBorder="1" applyAlignment="1" applyProtection="1">
      <alignment horizontal="center" vertical="center"/>
      <protection locked="0"/>
    </xf>
    <xf numFmtId="0" fontId="50" fillId="22" borderId="2" xfId="0" applyFont="1" applyFill="1" applyBorder="1" applyAlignment="1" applyProtection="1">
      <alignment horizontal="center" vertical="center" wrapText="1"/>
      <protection locked="0"/>
    </xf>
    <xf numFmtId="0" fontId="50" fillId="22" borderId="3" xfId="0" applyFont="1" applyFill="1" applyBorder="1" applyAlignment="1" applyProtection="1">
      <alignment horizontal="center" vertical="center"/>
      <protection locked="0"/>
    </xf>
    <xf numFmtId="0" fontId="50" fillId="22" borderId="39" xfId="0" applyFont="1" applyFill="1" applyBorder="1" applyAlignment="1" applyProtection="1">
      <alignment horizontal="center" vertical="center"/>
      <protection locked="0"/>
    </xf>
    <xf numFmtId="0" fontId="50" fillId="21" borderId="39" xfId="0" applyFont="1" applyFill="1" applyBorder="1" applyAlignment="1" applyProtection="1">
      <alignment horizontal="center" vertical="center"/>
      <protection locked="0"/>
    </xf>
    <xf numFmtId="0" fontId="54" fillId="21" borderId="2" xfId="5" applyFont="1" applyFill="1" applyBorder="1" applyAlignment="1" applyProtection="1">
      <alignment horizontal="center" vertical="center" wrapText="1"/>
      <protection locked="0"/>
    </xf>
    <xf numFmtId="0" fontId="50" fillId="42" borderId="2" xfId="0" applyFont="1" applyFill="1" applyBorder="1" applyAlignment="1" applyProtection="1">
      <alignment horizontal="center" vertical="center"/>
      <protection locked="0"/>
    </xf>
    <xf numFmtId="0" fontId="50" fillId="20" borderId="13" xfId="0" applyFont="1" applyFill="1" applyBorder="1" applyAlignment="1" applyProtection="1">
      <alignment horizontal="center" vertical="center"/>
      <protection locked="0"/>
    </xf>
    <xf numFmtId="0" fontId="50" fillId="20" borderId="2" xfId="0" applyFont="1" applyFill="1" applyBorder="1" applyAlignment="1" applyProtection="1">
      <alignment horizontal="center" vertical="center"/>
      <protection locked="0"/>
    </xf>
    <xf numFmtId="0" fontId="50" fillId="0" borderId="167" xfId="0" applyFont="1" applyBorder="1" applyProtection="1">
      <protection locked="0"/>
    </xf>
    <xf numFmtId="0" fontId="50" fillId="4" borderId="168" xfId="0" applyFont="1" applyFill="1" applyBorder="1" applyAlignment="1" applyProtection="1">
      <alignment horizontal="center" vertical="center"/>
      <protection locked="0"/>
    </xf>
    <xf numFmtId="0" fontId="50" fillId="4" borderId="129" xfId="0" applyFont="1" applyFill="1" applyBorder="1" applyAlignment="1" applyProtection="1">
      <alignment horizontal="center" vertical="center"/>
      <protection locked="0"/>
    </xf>
    <xf numFmtId="0" fontId="50" fillId="4" borderId="170" xfId="0" applyFont="1" applyFill="1" applyBorder="1" applyAlignment="1" applyProtection="1">
      <alignment horizontal="center" vertical="center"/>
      <protection locked="0"/>
    </xf>
    <xf numFmtId="0" fontId="50" fillId="0" borderId="0" xfId="0" applyFont="1" applyFill="1" applyBorder="1" applyAlignment="1" applyProtection="1">
      <alignment horizontal="center" vertical="center"/>
      <protection locked="0"/>
    </xf>
    <xf numFmtId="0" fontId="50" fillId="9" borderId="2" xfId="0" applyFont="1" applyFill="1" applyBorder="1"/>
    <xf numFmtId="0" fontId="50" fillId="16" borderId="172" xfId="0" applyFont="1" applyFill="1" applyBorder="1" applyAlignment="1" applyProtection="1">
      <alignment wrapText="1"/>
      <protection locked="0"/>
    </xf>
    <xf numFmtId="0" fontId="44" fillId="16" borderId="173" xfId="0" applyFont="1" applyFill="1" applyBorder="1" applyAlignment="1" applyProtection="1">
      <alignment wrapText="1"/>
      <protection locked="0"/>
    </xf>
    <xf numFmtId="0" fontId="41" fillId="0" borderId="0" xfId="0" applyFont="1" applyAlignment="1" applyProtection="1">
      <alignment wrapText="1"/>
      <protection locked="0"/>
    </xf>
    <xf numFmtId="0" fontId="39" fillId="0" borderId="0" xfId="0" applyFont="1" applyProtection="1">
      <protection locked="0"/>
    </xf>
    <xf numFmtId="0" fontId="0" fillId="4" borderId="2" xfId="0" applyFill="1" applyBorder="1" applyAlignment="1">
      <alignment horizontal="center" vertical="center" wrapText="1"/>
    </xf>
    <xf numFmtId="0" fontId="17" fillId="17" borderId="14" xfId="0" applyFont="1" applyFill="1" applyBorder="1" applyAlignment="1" applyProtection="1">
      <alignment horizontal="center" wrapText="1"/>
      <protection locked="0"/>
    </xf>
    <xf numFmtId="0" fontId="50" fillId="17" borderId="14" xfId="0" applyFont="1" applyFill="1" applyBorder="1" applyAlignment="1" applyProtection="1">
      <alignment horizontal="center" vertical="center"/>
      <protection locked="0"/>
    </xf>
    <xf numFmtId="0" fontId="22" fillId="17" borderId="14" xfId="5" applyFont="1" applyFill="1" applyBorder="1" applyAlignment="1" applyProtection="1">
      <alignment horizontal="center" vertical="center" wrapText="1"/>
      <protection locked="0"/>
    </xf>
    <xf numFmtId="0" fontId="44" fillId="17" borderId="26" xfId="0" applyFont="1" applyFill="1" applyBorder="1" applyAlignment="1" applyProtection="1">
      <alignment wrapText="1"/>
      <protection locked="0"/>
    </xf>
    <xf numFmtId="0" fontId="22" fillId="17" borderId="24" xfId="5" applyFont="1" applyFill="1" applyBorder="1" applyAlignment="1" applyProtection="1">
      <alignment horizontal="center" vertical="center" wrapText="1"/>
      <protection locked="0"/>
    </xf>
    <xf numFmtId="0" fontId="50" fillId="17" borderId="2" xfId="0" applyFont="1" applyFill="1" applyBorder="1" applyAlignment="1" applyProtection="1">
      <alignment horizontal="center" vertical="center" wrapText="1"/>
      <protection locked="0"/>
    </xf>
    <xf numFmtId="0" fontId="22" fillId="17" borderId="39" xfId="5" applyFont="1" applyFill="1" applyBorder="1" applyAlignment="1" applyProtection="1">
      <alignment horizontal="center" vertical="center" wrapText="1"/>
      <protection locked="0"/>
    </xf>
    <xf numFmtId="0" fontId="23" fillId="0" borderId="37" xfId="0" applyFont="1" applyBorder="1" applyAlignment="1" applyProtection="1">
      <protection locked="0"/>
    </xf>
    <xf numFmtId="0" fontId="23" fillId="0" borderId="0" xfId="0" applyFont="1" applyBorder="1" applyAlignment="1" applyProtection="1">
      <protection locked="0"/>
    </xf>
    <xf numFmtId="0" fontId="1" fillId="2" borderId="2" xfId="1" applyBorder="1" applyAlignment="1" applyProtection="1">
      <alignment horizontal="center" vertical="center" wrapText="1"/>
      <protection locked="0"/>
    </xf>
    <xf numFmtId="0" fontId="1" fillId="2" borderId="2" xfId="1" applyBorder="1" applyAlignment="1" applyProtection="1">
      <alignment horizontal="center" vertical="center"/>
      <protection locked="0"/>
    </xf>
    <xf numFmtId="164" fontId="1" fillId="2" borderId="2" xfId="1" applyNumberFormat="1" applyBorder="1" applyAlignment="1" applyProtection="1">
      <alignment horizontal="center" vertical="center" wrapText="1"/>
      <protection locked="0"/>
    </xf>
    <xf numFmtId="2" fontId="25" fillId="3" borderId="57" xfId="7" applyNumberFormat="1" applyAlignment="1" applyProtection="1">
      <alignment horizontal="center" vertical="center"/>
      <protection locked="0"/>
    </xf>
    <xf numFmtId="0" fontId="1" fillId="2" borderId="2" xfId="1" quotePrefix="1" applyBorder="1" applyAlignment="1" applyProtection="1">
      <alignment horizontal="center" vertical="center" wrapText="1"/>
      <protection locked="0"/>
    </xf>
    <xf numFmtId="164" fontId="14" fillId="2" borderId="8" xfId="1" applyNumberFormat="1" applyFont="1" applyBorder="1" applyAlignment="1" applyProtection="1">
      <alignment horizontal="center" vertical="center"/>
      <protection locked="0"/>
    </xf>
    <xf numFmtId="164" fontId="14" fillId="2" borderId="1" xfId="1" applyNumberFormat="1" applyFont="1" applyAlignment="1" applyProtection="1">
      <alignment horizontal="center" vertical="center"/>
      <protection locked="0"/>
    </xf>
    <xf numFmtId="2" fontId="1" fillId="2" borderId="2" xfId="1" applyNumberForma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1" fillId="2" borderId="1" xfId="1" applyProtection="1">
      <protection locked="0"/>
    </xf>
    <xf numFmtId="0" fontId="1" fillId="2" borderId="1" xfId="1" applyNumberFormat="1" applyAlignment="1" applyProtection="1">
      <alignment horizontal="left" vertical="top" indent="1"/>
      <protection locked="0"/>
    </xf>
    <xf numFmtId="164" fontId="1" fillId="2" borderId="8" xfId="1" applyNumberFormat="1" applyBorder="1" applyProtection="1">
      <protection locked="0"/>
    </xf>
    <xf numFmtId="164" fontId="1" fillId="2" borderId="1" xfId="1" applyNumberFormat="1" applyProtection="1">
      <protection locked="0"/>
    </xf>
    <xf numFmtId="164" fontId="1" fillId="39" borderId="1" xfId="1" applyNumberFormat="1" applyFill="1" applyProtection="1"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 wrapText="1"/>
      <protection locked="0"/>
    </xf>
    <xf numFmtId="164" fontId="14" fillId="2" borderId="68" xfId="1" applyNumberFormat="1" applyFont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 wrapText="1"/>
      <protection locked="0"/>
    </xf>
    <xf numFmtId="0" fontId="0" fillId="4" borderId="9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7" fillId="22" borderId="14" xfId="0" applyFont="1" applyFill="1" applyBorder="1" applyAlignment="1" applyProtection="1">
      <alignment horizontal="center" wrapText="1"/>
      <protection locked="0"/>
    </xf>
    <xf numFmtId="0" fontId="50" fillId="21" borderId="14" xfId="0" applyFont="1" applyFill="1" applyBorder="1" applyAlignment="1" applyProtection="1">
      <alignment horizontal="center" vertical="center"/>
      <protection locked="0"/>
    </xf>
    <xf numFmtId="0" fontId="22" fillId="21" borderId="14" xfId="5" applyFont="1" applyFill="1" applyBorder="1" applyAlignment="1" applyProtection="1">
      <alignment horizontal="center" vertical="center" wrapText="1"/>
      <protection locked="0"/>
    </xf>
    <xf numFmtId="0" fontId="17" fillId="0" borderId="137" xfId="0" applyFont="1" applyBorder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22" fillId="0" borderId="24" xfId="5" applyFont="1" applyFill="1" applyBorder="1" applyAlignment="1" applyProtection="1">
      <alignment horizontal="center" vertical="center" wrapText="1"/>
      <protection locked="0"/>
    </xf>
    <xf numFmtId="0" fontId="26" fillId="23" borderId="14" xfId="0" applyFont="1" applyFill="1" applyBorder="1" applyAlignment="1" applyProtection="1">
      <alignment horizontal="center" vertical="center"/>
      <protection locked="0"/>
    </xf>
    <xf numFmtId="0" fontId="17" fillId="22" borderId="174" xfId="0" applyFont="1" applyFill="1" applyBorder="1" applyAlignment="1" applyProtection="1">
      <alignment horizontal="center" vertical="center"/>
      <protection locked="0"/>
    </xf>
    <xf numFmtId="0" fontId="22" fillId="21" borderId="3" xfId="5" applyFont="1" applyFill="1" applyBorder="1" applyAlignment="1" applyProtection="1">
      <alignment horizontal="center" vertical="center" wrapText="1"/>
      <protection locked="0"/>
    </xf>
    <xf numFmtId="0" fontId="0" fillId="0" borderId="22" xfId="0" applyBorder="1" applyProtection="1">
      <protection locked="0"/>
    </xf>
    <xf numFmtId="0" fontId="26" fillId="23" borderId="24" xfId="0" applyFont="1" applyFill="1" applyBorder="1" applyAlignment="1" applyProtection="1">
      <alignment horizontal="center" vertical="center"/>
      <protection locked="0"/>
    </xf>
    <xf numFmtId="0" fontId="17" fillId="23" borderId="160" xfId="0" applyFont="1" applyFill="1" applyBorder="1" applyAlignment="1" applyProtection="1">
      <alignment horizontal="center" vertical="center"/>
      <protection locked="0"/>
    </xf>
    <xf numFmtId="0" fontId="50" fillId="42" borderId="14" xfId="0" applyFont="1" applyFill="1" applyBorder="1" applyAlignment="1" applyProtection="1">
      <alignment horizontal="center" vertical="center"/>
      <protection locked="0"/>
    </xf>
    <xf numFmtId="0" fontId="26" fillId="42" borderId="14" xfId="0" applyFont="1" applyFill="1" applyBorder="1" applyAlignment="1" applyProtection="1">
      <alignment horizontal="center" vertical="center"/>
      <protection locked="0"/>
    </xf>
    <xf numFmtId="0" fontId="17" fillId="23" borderId="175" xfId="0" applyFont="1" applyFill="1" applyBorder="1" applyAlignment="1" applyProtection="1">
      <alignment horizontal="center" vertical="center"/>
      <protection locked="0"/>
    </xf>
    <xf numFmtId="0" fontId="50" fillId="42" borderId="24" xfId="0" applyFont="1" applyFill="1" applyBorder="1" applyAlignment="1" applyProtection="1">
      <alignment horizontal="center" vertical="center"/>
      <protection locked="0"/>
    </xf>
    <xf numFmtId="0" fontId="26" fillId="42" borderId="24" xfId="0" applyFont="1" applyFill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center" vertical="center"/>
      <protection locked="0"/>
    </xf>
    <xf numFmtId="1" fontId="2" fillId="3" borderId="2" xfId="2" applyNumberFormat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2" fontId="1" fillId="2" borderId="14" xfId="1" applyNumberFormat="1" applyBorder="1" applyAlignment="1" applyProtection="1">
      <alignment horizontal="center" vertical="center"/>
      <protection locked="0"/>
    </xf>
    <xf numFmtId="1" fontId="1" fillId="2" borderId="2" xfId="1" applyNumberFormat="1" applyBorder="1" applyAlignment="1" applyProtection="1">
      <alignment horizontal="center" vertical="center"/>
      <protection locked="0"/>
    </xf>
    <xf numFmtId="2" fontId="1" fillId="2" borderId="39" xfId="1" applyNumberFormat="1" applyBorder="1" applyAlignment="1" applyProtection="1">
      <alignment horizontal="center" vertical="center"/>
      <protection locked="0"/>
    </xf>
    <xf numFmtId="166" fontId="1" fillId="2" borderId="2" xfId="1" applyNumberFormat="1" applyBorder="1" applyAlignment="1" applyProtection="1">
      <alignment horizontal="center" vertical="center"/>
      <protection locked="0"/>
    </xf>
    <xf numFmtId="0" fontId="0" fillId="8" borderId="0" xfId="0" applyFill="1" applyProtection="1">
      <protection locked="0"/>
    </xf>
    <xf numFmtId="0" fontId="43" fillId="34" borderId="101" xfId="10" applyFont="1" applyFill="1" applyBorder="1" applyAlignment="1">
      <alignment horizontal="center" vertical="center"/>
    </xf>
    <xf numFmtId="0" fontId="14" fillId="2" borderId="1" xfId="1" applyFont="1" applyAlignment="1" applyProtection="1">
      <alignment horizontal="center" vertical="center"/>
      <protection locked="0"/>
    </xf>
    <xf numFmtId="164" fontId="14" fillId="2" borderId="1" xfId="1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64" fontId="14" fillId="2" borderId="68" xfId="1" applyNumberFormat="1" applyFont="1" applyBorder="1" applyAlignment="1" applyProtection="1">
      <alignment horizontal="center" vertical="center"/>
      <protection locked="0"/>
    </xf>
    <xf numFmtId="164" fontId="14" fillId="2" borderId="68" xfId="1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61" fillId="2" borderId="1" xfId="6" applyFont="1" applyFill="1" applyBorder="1" applyAlignment="1" applyProtection="1">
      <alignment horizontal="center" vertical="center" wrapText="1"/>
      <protection locked="0"/>
    </xf>
    <xf numFmtId="0" fontId="18" fillId="0" borderId="27" xfId="0" applyFont="1" applyBorder="1" applyAlignment="1" applyProtection="1">
      <alignment wrapText="1"/>
      <protection locked="0"/>
    </xf>
    <xf numFmtId="0" fontId="62" fillId="2" borderId="8" xfId="1" applyFont="1" applyBorder="1" applyAlignment="1" applyProtection="1">
      <alignment horizontal="center" vertical="center" wrapText="1"/>
      <protection locked="0"/>
    </xf>
    <xf numFmtId="0" fontId="61" fillId="24" borderId="59" xfId="6" applyFont="1" applyFill="1" applyBorder="1" applyAlignment="1" applyProtection="1">
      <alignment horizontal="center" vertical="center" wrapText="1"/>
    </xf>
    <xf numFmtId="0" fontId="63" fillId="0" borderId="2" xfId="0" applyFont="1" applyBorder="1" applyAlignment="1" applyProtection="1">
      <alignment horizontal="center" vertical="center"/>
      <protection locked="0"/>
    </xf>
    <xf numFmtId="0" fontId="62" fillId="2" borderId="71" xfId="1" applyFont="1" applyBorder="1" applyAlignment="1" applyProtection="1">
      <alignment horizontal="center" vertical="center" wrapText="1"/>
    </xf>
    <xf numFmtId="0" fontId="62" fillId="2" borderId="60" xfId="1" applyFont="1" applyBorder="1" applyAlignment="1" applyProtection="1">
      <alignment horizontal="center" vertical="center"/>
    </xf>
    <xf numFmtId="14" fontId="63" fillId="25" borderId="59" xfId="0" applyNumberFormat="1" applyFont="1" applyFill="1" applyBorder="1" applyAlignment="1" applyProtection="1">
      <alignment horizontal="center" vertical="center"/>
    </xf>
    <xf numFmtId="0" fontId="62" fillId="2" borderId="1" xfId="1" applyFont="1" applyAlignment="1" applyProtection="1">
      <alignment horizontal="center" vertical="center"/>
      <protection locked="0"/>
    </xf>
    <xf numFmtId="0" fontId="62" fillId="2" borderId="1" xfId="1" quotePrefix="1" applyFont="1" applyAlignment="1" applyProtection="1">
      <alignment horizontal="center" vertical="center"/>
      <protection locked="0"/>
    </xf>
    <xf numFmtId="0" fontId="62" fillId="2" borderId="8" xfId="1" applyFont="1" applyBorder="1" applyAlignment="1" applyProtection="1">
      <alignment horizontal="center" vertical="center"/>
      <protection locked="0"/>
    </xf>
    <xf numFmtId="0" fontId="62" fillId="2" borderId="65" xfId="1" applyNumberFormat="1" applyFont="1" applyBorder="1" applyAlignment="1" applyProtection="1">
      <alignment horizontal="center" vertical="center"/>
      <protection locked="0"/>
    </xf>
    <xf numFmtId="0" fontId="62" fillId="2" borderId="133" xfId="1" applyNumberFormat="1" applyFont="1" applyBorder="1" applyAlignment="1" applyProtection="1">
      <alignment horizontal="center" vertical="center"/>
      <protection locked="0"/>
    </xf>
    <xf numFmtId="0" fontId="62" fillId="2" borderId="155" xfId="1" applyNumberFormat="1" applyFont="1" applyBorder="1" applyAlignment="1" applyProtection="1">
      <alignment horizontal="center" vertical="center"/>
      <protection locked="0"/>
    </xf>
    <xf numFmtId="0" fontId="62" fillId="2" borderId="156" xfId="1" applyNumberFormat="1" applyFont="1" applyBorder="1" applyAlignment="1" applyProtection="1">
      <alignment horizontal="center" vertical="center"/>
      <protection locked="0"/>
    </xf>
    <xf numFmtId="0" fontId="62" fillId="2" borderId="157" xfId="1" applyNumberFormat="1" applyFont="1" applyBorder="1" applyAlignment="1" applyProtection="1">
      <alignment horizontal="center" vertical="center"/>
      <protection locked="0"/>
    </xf>
    <xf numFmtId="0" fontId="62" fillId="2" borderId="124" xfId="1" applyNumberFormat="1" applyFont="1" applyBorder="1" applyAlignment="1" applyProtection="1">
      <alignment horizontal="center" vertical="center"/>
      <protection locked="0"/>
    </xf>
    <xf numFmtId="0" fontId="62" fillId="2" borderId="123" xfId="1" applyNumberFormat="1" applyFont="1" applyBorder="1" applyAlignment="1" applyProtection="1">
      <alignment horizontal="center" vertical="center"/>
      <protection locked="0"/>
    </xf>
    <xf numFmtId="0" fontId="62" fillId="2" borderId="126" xfId="1" applyNumberFormat="1" applyFont="1" applyBorder="1" applyAlignment="1" applyProtection="1">
      <alignment horizontal="center" vertical="center"/>
      <protection locked="0"/>
    </xf>
    <xf numFmtId="0" fontId="62" fillId="2" borderId="125" xfId="1" applyNumberFormat="1" applyFont="1" applyBorder="1" applyAlignment="1" applyProtection="1">
      <alignment horizontal="center" vertical="center"/>
      <protection locked="0"/>
    </xf>
    <xf numFmtId="0" fontId="62" fillId="2" borderId="122" xfId="1" applyNumberFormat="1" applyFont="1" applyBorder="1" applyAlignment="1" applyProtection="1">
      <alignment horizontal="center" vertical="center"/>
      <protection locked="0"/>
    </xf>
    <xf numFmtId="164" fontId="62" fillId="2" borderId="160" xfId="1" applyNumberFormat="1" applyFont="1" applyBorder="1" applyAlignment="1" applyProtection="1">
      <alignment horizontal="center" vertical="center"/>
      <protection locked="0"/>
    </xf>
    <xf numFmtId="164" fontId="62" fillId="2" borderId="1" xfId="1" applyNumberFormat="1" applyFont="1" applyAlignment="1" applyProtection="1">
      <alignment horizontal="center" vertical="center"/>
      <protection locked="0"/>
    </xf>
    <xf numFmtId="164" fontId="62" fillId="2" borderId="122" xfId="1" applyNumberFormat="1" applyFont="1" applyBorder="1" applyAlignment="1" applyProtection="1">
      <alignment horizontal="center" vertical="center"/>
      <protection locked="0"/>
    </xf>
    <xf numFmtId="164" fontId="62" fillId="2" borderId="159" xfId="1" applyNumberFormat="1" applyFont="1" applyBorder="1" applyAlignment="1" applyProtection="1">
      <alignment horizontal="center" vertical="center"/>
      <protection locked="0"/>
    </xf>
    <xf numFmtId="164" fontId="62" fillId="2" borderId="161" xfId="1" applyNumberFormat="1" applyFont="1" applyBorder="1" applyAlignment="1" applyProtection="1">
      <alignment horizontal="center" vertical="center"/>
      <protection locked="0"/>
    </xf>
    <xf numFmtId="164" fontId="62" fillId="2" borderId="64" xfId="1" applyNumberFormat="1" applyFont="1" applyBorder="1" applyAlignment="1" applyProtection="1">
      <alignment horizontal="center" vertical="center"/>
      <protection locked="0"/>
    </xf>
    <xf numFmtId="164" fontId="62" fillId="2" borderId="118" xfId="1" applyNumberFormat="1" applyFont="1" applyBorder="1" applyAlignment="1" applyProtection="1">
      <alignment horizontal="center" vertical="center"/>
      <protection locked="0"/>
    </xf>
    <xf numFmtId="164" fontId="62" fillId="2" borderId="65" xfId="1" applyNumberFormat="1" applyFont="1" applyBorder="1" applyAlignment="1" applyProtection="1">
      <alignment horizontal="center" vertical="center"/>
      <protection locked="0"/>
    </xf>
    <xf numFmtId="164" fontId="62" fillId="2" borderId="60" xfId="1" applyNumberFormat="1" applyFont="1" applyBorder="1" applyAlignment="1" applyProtection="1">
      <alignment horizontal="center" vertical="center"/>
      <protection locked="0"/>
    </xf>
    <xf numFmtId="164" fontId="62" fillId="2" borderId="68" xfId="1" applyNumberFormat="1" applyFont="1" applyBorder="1" applyAlignment="1" applyProtection="1">
      <alignment horizontal="center" vertical="center"/>
      <protection locked="0"/>
    </xf>
    <xf numFmtId="164" fontId="62" fillId="2" borderId="131" xfId="1" applyNumberFormat="1" applyFont="1" applyBorder="1" applyAlignment="1" applyProtection="1">
      <alignment horizontal="center" vertical="center"/>
      <protection locked="0"/>
    </xf>
    <xf numFmtId="164" fontId="62" fillId="2" borderId="8" xfId="1" applyNumberFormat="1" applyFont="1" applyBorder="1" applyAlignment="1" applyProtection="1">
      <alignment horizontal="center" vertical="center"/>
      <protection locked="0"/>
    </xf>
    <xf numFmtId="0" fontId="64" fillId="22" borderId="54" xfId="0" applyFont="1" applyFill="1" applyBorder="1" applyAlignment="1" applyProtection="1">
      <alignment horizontal="center" vertical="center"/>
      <protection locked="0"/>
    </xf>
    <xf numFmtId="0" fontId="64" fillId="22" borderId="50" xfId="0" applyFont="1" applyFill="1" applyBorder="1" applyAlignment="1" applyProtection="1">
      <alignment horizontal="center" vertical="center"/>
      <protection locked="0"/>
    </xf>
    <xf numFmtId="0" fontId="62" fillId="2" borderId="60" xfId="1" applyFont="1" applyBorder="1" applyAlignment="1" applyProtection="1">
      <alignment horizontal="center" vertical="center"/>
      <protection locked="0"/>
    </xf>
    <xf numFmtId="0" fontId="63" fillId="26" borderId="59" xfId="0" applyFont="1" applyFill="1" applyBorder="1" applyAlignment="1" applyProtection="1">
      <alignment horizontal="center" vertical="center"/>
    </xf>
    <xf numFmtId="0" fontId="62" fillId="2" borderId="132" xfId="1" applyFont="1" applyBorder="1" applyAlignment="1" applyProtection="1">
      <alignment horizontal="center" vertical="center"/>
      <protection locked="0"/>
    </xf>
    <xf numFmtId="0" fontId="62" fillId="2" borderId="75" xfId="1" applyFont="1" applyBorder="1" applyAlignment="1" applyProtection="1">
      <alignment horizontal="center" vertical="center"/>
      <protection locked="0"/>
    </xf>
    <xf numFmtId="0" fontId="62" fillId="2" borderId="134" xfId="1" applyFont="1" applyBorder="1" applyAlignment="1" applyProtection="1">
      <alignment horizontal="center" vertical="center"/>
      <protection locked="0"/>
    </xf>
    <xf numFmtId="0" fontId="62" fillId="2" borderId="135" xfId="1" applyFont="1" applyBorder="1" applyAlignment="1" applyProtection="1">
      <alignment horizontal="center" vertical="center"/>
      <protection locked="0"/>
    </xf>
    <xf numFmtId="0" fontId="62" fillId="2" borderId="138" xfId="1" applyFont="1" applyBorder="1" applyAlignment="1" applyProtection="1">
      <alignment horizontal="center" vertical="center" wrapText="1"/>
      <protection locked="0"/>
    </xf>
    <xf numFmtId="0" fontId="62" fillId="2" borderId="140" xfId="1" applyFont="1" applyBorder="1" applyAlignment="1" applyProtection="1">
      <alignment horizontal="center" vertical="center"/>
      <protection locked="0"/>
    </xf>
    <xf numFmtId="0" fontId="62" fillId="2" borderId="138" xfId="1" applyFont="1" applyBorder="1" applyAlignment="1" applyProtection="1">
      <alignment horizontal="center" vertical="center"/>
      <protection locked="0"/>
    </xf>
    <xf numFmtId="0" fontId="62" fillId="2" borderId="139" xfId="1" applyFont="1" applyBorder="1" applyAlignment="1" applyProtection="1">
      <alignment horizontal="center" vertical="center"/>
      <protection locked="0"/>
    </xf>
    <xf numFmtId="0" fontId="62" fillId="40" borderId="140" xfId="1" applyFont="1" applyFill="1" applyBorder="1" applyAlignment="1" applyProtection="1">
      <alignment horizontal="center" vertical="center"/>
      <protection locked="0"/>
    </xf>
    <xf numFmtId="0" fontId="62" fillId="40" borderId="138" xfId="1" applyFont="1" applyFill="1" applyBorder="1" applyAlignment="1" applyProtection="1">
      <alignment horizontal="center" vertical="center"/>
      <protection locked="0"/>
    </xf>
    <xf numFmtId="0" fontId="62" fillId="40" borderId="139" xfId="1" applyFont="1" applyFill="1" applyBorder="1" applyAlignment="1" applyProtection="1">
      <alignment horizontal="center" vertical="center"/>
      <protection locked="0"/>
    </xf>
    <xf numFmtId="0" fontId="62" fillId="40" borderId="135" xfId="1" applyFont="1" applyFill="1" applyBorder="1" applyAlignment="1" applyProtection="1">
      <alignment horizontal="center" vertical="center"/>
      <protection locked="0"/>
    </xf>
    <xf numFmtId="0" fontId="62" fillId="2" borderId="141" xfId="1" applyFont="1" applyBorder="1" applyAlignment="1" applyProtection="1">
      <alignment horizontal="center" vertical="center"/>
      <protection locked="0"/>
    </xf>
    <xf numFmtId="0" fontId="62" fillId="2" borderId="142" xfId="1" applyFont="1" applyBorder="1" applyAlignment="1" applyProtection="1">
      <alignment horizontal="center" vertical="center"/>
      <protection locked="0"/>
    </xf>
    <xf numFmtId="0" fontId="62" fillId="2" borderId="145" xfId="1" applyFont="1" applyBorder="1" applyAlignment="1" applyProtection="1">
      <alignment horizontal="center" vertical="center"/>
      <protection locked="0"/>
    </xf>
    <xf numFmtId="0" fontId="63" fillId="27" borderId="127" xfId="0" applyNumberFormat="1" applyFont="1" applyFill="1" applyBorder="1" applyAlignment="1" applyProtection="1">
      <alignment horizontal="center" vertical="center"/>
      <protection locked="0"/>
    </xf>
    <xf numFmtId="2" fontId="63" fillId="27" borderId="67" xfId="0" applyNumberFormat="1" applyFont="1" applyFill="1" applyBorder="1" applyAlignment="1" applyProtection="1">
      <alignment horizontal="center" vertical="center"/>
      <protection locked="0"/>
    </xf>
    <xf numFmtId="0" fontId="62" fillId="2" borderId="128" xfId="1" applyFont="1" applyBorder="1" applyAlignment="1" applyProtection="1">
      <alignment horizontal="center" vertical="center"/>
      <protection locked="0"/>
    </xf>
    <xf numFmtId="2" fontId="63" fillId="27" borderId="61" xfId="0" applyNumberFormat="1" applyFont="1" applyFill="1" applyBorder="1" applyAlignment="1" applyProtection="1">
      <alignment horizontal="center" vertical="center"/>
      <protection locked="0"/>
    </xf>
    <xf numFmtId="2" fontId="63" fillId="27" borderId="62" xfId="0" applyNumberFormat="1" applyFont="1" applyFill="1" applyBorder="1" applyAlignment="1" applyProtection="1">
      <alignment horizontal="center" vertical="center"/>
      <protection locked="0"/>
    </xf>
    <xf numFmtId="2" fontId="63" fillId="27" borderId="63" xfId="0" applyNumberFormat="1" applyFont="1" applyFill="1" applyBorder="1" applyAlignment="1" applyProtection="1">
      <alignment horizontal="center" vertical="center"/>
      <protection locked="0"/>
    </xf>
    <xf numFmtId="0" fontId="63" fillId="27" borderId="72" xfId="0" applyNumberFormat="1" applyFont="1" applyFill="1" applyBorder="1" applyAlignment="1" applyProtection="1">
      <alignment horizontal="center" vertical="center"/>
      <protection locked="0"/>
    </xf>
    <xf numFmtId="2" fontId="63" fillId="27" borderId="127" xfId="0" applyNumberFormat="1" applyFont="1" applyFill="1" applyBorder="1" applyAlignment="1" applyProtection="1">
      <alignment horizontal="center" vertical="center"/>
      <protection locked="0"/>
    </xf>
    <xf numFmtId="2" fontId="62" fillId="2" borderId="138" xfId="1" applyNumberFormat="1" applyFont="1" applyBorder="1" applyAlignment="1" applyProtection="1">
      <alignment horizontal="center" vertical="center"/>
      <protection locked="0"/>
    </xf>
    <xf numFmtId="0" fontId="62" fillId="2" borderId="147" xfId="1" applyFont="1" applyBorder="1" applyAlignment="1" applyProtection="1">
      <alignment horizontal="center" vertical="center"/>
      <protection locked="0"/>
    </xf>
    <xf numFmtId="0" fontId="62" fillId="2" borderId="65" xfId="1" applyFont="1" applyBorder="1" applyAlignment="1" applyProtection="1">
      <alignment horizontal="center" vertical="center"/>
      <protection locked="0"/>
    </xf>
    <xf numFmtId="0" fontId="62" fillId="2" borderId="148" xfId="1" applyFont="1" applyBorder="1" applyAlignment="1" applyProtection="1">
      <alignment horizontal="center" vertical="center"/>
      <protection locked="0"/>
    </xf>
    <xf numFmtId="2" fontId="63" fillId="28" borderId="61" xfId="0" applyNumberFormat="1" applyFont="1" applyFill="1" applyBorder="1" applyAlignment="1" applyProtection="1">
      <alignment horizontal="center" vertical="center"/>
      <protection locked="0"/>
    </xf>
    <xf numFmtId="2" fontId="63" fillId="28" borderId="62" xfId="0" applyNumberFormat="1" applyFont="1" applyFill="1" applyBorder="1" applyAlignment="1" applyProtection="1">
      <alignment horizontal="center" vertical="center"/>
      <protection locked="0"/>
    </xf>
    <xf numFmtId="2" fontId="63" fillId="28" borderId="63" xfId="0" applyNumberFormat="1" applyFont="1" applyFill="1" applyBorder="1" applyAlignment="1" applyProtection="1">
      <alignment horizontal="center" vertical="center"/>
      <protection locked="0"/>
    </xf>
    <xf numFmtId="0" fontId="63" fillId="0" borderId="0" xfId="0" applyFont="1" applyProtection="1">
      <protection locked="0"/>
    </xf>
    <xf numFmtId="0" fontId="23" fillId="0" borderId="0" xfId="0" applyFont="1" applyProtection="1">
      <protection locked="0"/>
    </xf>
    <xf numFmtId="0" fontId="18" fillId="0" borderId="2" xfId="0" applyFont="1" applyFill="1" applyBorder="1" applyAlignment="1" applyProtection="1">
      <alignment horizontal="center" vertical="center"/>
      <protection locked="0"/>
    </xf>
    <xf numFmtId="0" fontId="63" fillId="21" borderId="2" xfId="0" applyFont="1" applyFill="1" applyBorder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 vertical="center"/>
      <protection locked="0"/>
    </xf>
    <xf numFmtId="0" fontId="44" fillId="0" borderId="0" xfId="0" applyFont="1" applyAlignment="1" applyProtection="1">
      <protection locked="0"/>
    </xf>
    <xf numFmtId="0" fontId="3" fillId="0" borderId="0" xfId="0" applyFont="1"/>
    <xf numFmtId="0" fontId="0" fillId="4" borderId="14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vertical="top" wrapText="1"/>
    </xf>
    <xf numFmtId="0" fontId="3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center"/>
    </xf>
    <xf numFmtId="0" fontId="3" fillId="36" borderId="9" xfId="0" applyFont="1" applyFill="1" applyBorder="1" applyAlignment="1">
      <alignment horizontal="center" vertical="center" wrapText="1"/>
    </xf>
    <xf numFmtId="0" fontId="3" fillId="36" borderId="35" xfId="0" applyFont="1" applyFill="1" applyBorder="1" applyAlignment="1">
      <alignment horizontal="center" vertical="center" wrapText="1"/>
    </xf>
    <xf numFmtId="0" fontId="3" fillId="36" borderId="35" xfId="0" applyFont="1" applyFill="1" applyBorder="1" applyAlignment="1">
      <alignment horizontal="center" vertical="center"/>
    </xf>
    <xf numFmtId="0" fontId="3" fillId="36" borderId="10" xfId="0" applyFont="1" applyFill="1" applyBorder="1" applyAlignment="1">
      <alignment horizontal="center" vertical="center" textRotation="90" wrapText="1"/>
    </xf>
    <xf numFmtId="0" fontId="0" fillId="16" borderId="2" xfId="0" applyFill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Fill="1" applyBorder="1" applyAlignment="1">
      <alignment horizontal="center" vertical="center"/>
    </xf>
    <xf numFmtId="0" fontId="0" fillId="16" borderId="0" xfId="0" applyFill="1" applyAlignment="1">
      <alignment horizontal="left" vertical="center"/>
    </xf>
    <xf numFmtId="0" fontId="0" fillId="0" borderId="35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 wrapText="1"/>
    </xf>
    <xf numFmtId="14" fontId="0" fillId="0" borderId="35" xfId="0" applyNumberFormat="1" applyFill="1" applyBorder="1" applyAlignment="1">
      <alignment vertical="center" wrapText="1"/>
    </xf>
    <xf numFmtId="14" fontId="0" fillId="0" borderId="35" xfId="0" applyNumberFormat="1" applyFill="1" applyBorder="1" applyAlignment="1">
      <alignment horizontal="left" vertical="center" wrapText="1"/>
    </xf>
    <xf numFmtId="0" fontId="28" fillId="4" borderId="7" xfId="0" applyFont="1" applyFill="1" applyBorder="1" applyAlignment="1">
      <alignment horizontal="left" vertical="center" wrapText="1"/>
    </xf>
    <xf numFmtId="0" fontId="28" fillId="4" borderId="2" xfId="0" applyFont="1" applyFill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 wrapText="1"/>
    </xf>
    <xf numFmtId="14" fontId="0" fillId="0" borderId="5" xfId="0" applyNumberFormat="1" applyFill="1" applyBorder="1" applyAlignment="1">
      <alignment vertical="center" wrapText="1"/>
    </xf>
    <xf numFmtId="14" fontId="0" fillId="0" borderId="5" xfId="0" applyNumberFormat="1" applyFill="1" applyBorder="1" applyAlignment="1">
      <alignment horizontal="left" vertical="center" wrapText="1"/>
    </xf>
    <xf numFmtId="0" fontId="0" fillId="0" borderId="7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16" borderId="14" xfId="0" applyFill="1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20" fillId="0" borderId="0" xfId="6"/>
    <xf numFmtId="0" fontId="0" fillId="16" borderId="2" xfId="0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16" borderId="3" xfId="0" applyFill="1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67" fillId="0" borderId="7" xfId="0" applyFont="1" applyBorder="1" applyAlignment="1"/>
    <xf numFmtId="0" fontId="0" fillId="4" borderId="3" xfId="0" applyFill="1" applyBorder="1" applyAlignment="1">
      <alignment vertical="center" wrapText="1"/>
    </xf>
    <xf numFmtId="14" fontId="0" fillId="16" borderId="2" xfId="0" applyNumberFormat="1" applyFill="1" applyBorder="1" applyAlignment="1">
      <alignment vertical="center" wrapText="1"/>
    </xf>
    <xf numFmtId="14" fontId="0" fillId="0" borderId="2" xfId="0" applyNumberFormat="1" applyBorder="1" applyAlignment="1">
      <alignment horizontal="left" vertical="center" wrapText="1"/>
    </xf>
    <xf numFmtId="0" fontId="0" fillId="4" borderId="13" xfId="0" applyFill="1" applyBorder="1" applyAlignment="1">
      <alignment vertical="center" wrapText="1"/>
    </xf>
    <xf numFmtId="0" fontId="28" fillId="4" borderId="13" xfId="0" applyFont="1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14" fontId="0" fillId="0" borderId="0" xfId="0" applyNumberFormat="1" applyFill="1" applyBorder="1" applyAlignment="1">
      <alignment vertical="center" wrapText="1"/>
    </xf>
    <xf numFmtId="14" fontId="0" fillId="0" borderId="0" xfId="0" applyNumberFormat="1" applyFill="1" applyBorder="1" applyAlignment="1">
      <alignment horizontal="left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16" borderId="3" xfId="0" applyNumberFormat="1" applyFill="1" applyBorder="1" applyAlignment="1">
      <alignment vertical="center" wrapText="1"/>
    </xf>
    <xf numFmtId="14" fontId="0" fillId="0" borderId="3" xfId="0" applyNumberFormat="1" applyBorder="1" applyAlignment="1">
      <alignment horizontal="left" vertical="center" wrapText="1"/>
    </xf>
    <xf numFmtId="14" fontId="0" fillId="16" borderId="14" xfId="0" applyNumberFormat="1" applyFill="1" applyBorder="1" applyAlignment="1">
      <alignment vertical="center" wrapText="1"/>
    </xf>
    <xf numFmtId="14" fontId="0" fillId="0" borderId="14" xfId="0" applyNumberFormat="1" applyBorder="1" applyAlignment="1">
      <alignment horizontal="left" vertical="center" wrapText="1"/>
    </xf>
    <xf numFmtId="0" fontId="0" fillId="16" borderId="2" xfId="0" applyFill="1" applyBorder="1" applyAlignment="1">
      <alignment horizontal="left"/>
    </xf>
    <xf numFmtId="14" fontId="0" fillId="0" borderId="0" xfId="0" applyNumberFormat="1"/>
    <xf numFmtId="14" fontId="0" fillId="0" borderId="2" xfId="0" applyNumberFormat="1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9" xfId="0" applyBorder="1" applyAlignment="1">
      <alignment horizontal="center" vertical="center"/>
    </xf>
    <xf numFmtId="0" fontId="0" fillId="0" borderId="37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65" fillId="0" borderId="0" xfId="0" applyFont="1" applyBorder="1" applyAlignment="1">
      <alignment vertical="top" wrapText="1"/>
    </xf>
    <xf numFmtId="0" fontId="65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 wrapText="1"/>
    </xf>
    <xf numFmtId="0" fontId="0" fillId="0" borderId="7" xfId="0" applyFont="1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36" borderId="11" xfId="0" applyFont="1" applyFill="1" applyBorder="1" applyAlignment="1">
      <alignment horizontal="center" vertical="center" wrapText="1"/>
    </xf>
    <xf numFmtId="0" fontId="0" fillId="0" borderId="37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7" fillId="0" borderId="14" xfId="0" applyFont="1" applyBorder="1" applyAlignment="1">
      <alignment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35" xfId="0" applyFont="1" applyBorder="1" applyAlignment="1">
      <alignment horizontal="center" vertical="center" wrapText="1"/>
    </xf>
    <xf numFmtId="0" fontId="67" fillId="0" borderId="7" xfId="0" applyFont="1" applyBorder="1" applyAlignment="1">
      <alignment wrapText="1"/>
    </xf>
    <xf numFmtId="0" fontId="0" fillId="0" borderId="14" xfId="0" applyFont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0" fillId="0" borderId="35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left" vertical="center" wrapText="1"/>
    </xf>
    <xf numFmtId="0" fontId="0" fillId="16" borderId="2" xfId="0" applyFill="1" applyBorder="1" applyAlignment="1">
      <alignment horizontal="left" wrapText="1"/>
    </xf>
    <xf numFmtId="0" fontId="17" fillId="4" borderId="14" xfId="0" applyFont="1" applyFill="1" applyBorder="1" applyAlignment="1">
      <alignment horizontal="center" vertical="center" wrapText="1"/>
    </xf>
    <xf numFmtId="0" fontId="28" fillId="4" borderId="3" xfId="0" applyFont="1" applyFill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72" fillId="0" borderId="2" xfId="0" applyFont="1" applyBorder="1" applyAlignment="1">
      <alignment horizontal="center" vertical="center" wrapText="1"/>
    </xf>
    <xf numFmtId="0" fontId="0" fillId="16" borderId="2" xfId="0" applyFill="1" applyBorder="1" applyAlignment="1">
      <alignment wrapText="1"/>
    </xf>
    <xf numFmtId="0" fontId="0" fillId="0" borderId="2" xfId="0" applyBorder="1" applyAlignment="1">
      <alignment wrapText="1"/>
    </xf>
    <xf numFmtId="0" fontId="0" fillId="0" borderId="35" xfId="0" applyBorder="1" applyAlignment="1">
      <alignment wrapText="1"/>
    </xf>
    <xf numFmtId="0" fontId="0" fillId="0" borderId="10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65" fillId="0" borderId="0" xfId="0" applyFont="1" applyBorder="1" applyAlignment="1">
      <alignment horizontal="left" vertical="center" wrapText="1"/>
    </xf>
    <xf numFmtId="0" fontId="65" fillId="0" borderId="0" xfId="0" applyFont="1" applyAlignment="1">
      <alignment horizontal="left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1" fillId="2" borderId="2" xfId="1" applyBorder="1" applyAlignment="1" applyProtection="1">
      <alignment horizontal="center" vertical="center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46" fillId="21" borderId="12" xfId="0" applyFont="1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3" fillId="4" borderId="2" xfId="0" applyFont="1" applyFill="1" applyBorder="1" applyAlignment="1">
      <alignment horizontal="center" vertical="center" wrapText="1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27" xfId="0" applyFont="1" applyFill="1" applyBorder="1" applyAlignment="1" applyProtection="1">
      <alignment horizontal="center" vertical="center"/>
      <protection locked="0"/>
    </xf>
    <xf numFmtId="0" fontId="0" fillId="16" borderId="2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 wrapText="1"/>
    </xf>
    <xf numFmtId="0" fontId="39" fillId="0" borderId="33" xfId="0" applyFont="1" applyBorder="1" applyAlignment="1" applyProtection="1">
      <alignment horizontal="right"/>
      <protection locked="0"/>
    </xf>
    <xf numFmtId="0" fontId="39" fillId="0" borderId="66" xfId="0" applyFont="1" applyBorder="1" applyAlignment="1" applyProtection="1">
      <alignment horizontal="right"/>
      <protection locked="0"/>
    </xf>
    <xf numFmtId="0" fontId="60" fillId="23" borderId="17" xfId="0" applyFont="1" applyFill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/>
      <protection locked="0"/>
    </xf>
    <xf numFmtId="0" fontId="39" fillId="0" borderId="0" xfId="0" applyFont="1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62" fillId="2" borderId="1" xfId="1" applyFont="1" applyAlignment="1" applyProtection="1">
      <alignment horizontal="center" vertical="center" wrapText="1"/>
      <protection locked="0"/>
    </xf>
    <xf numFmtId="0" fontId="62" fillId="2" borderId="1" xfId="1" applyNumberFormat="1" applyFont="1" applyAlignment="1" applyProtection="1">
      <alignment horizontal="center" vertical="center"/>
      <protection locked="0"/>
    </xf>
    <xf numFmtId="0" fontId="62" fillId="40" borderId="1" xfId="1" applyFont="1" applyFill="1" applyAlignment="1" applyProtection="1">
      <alignment horizontal="center" vertical="center"/>
      <protection locked="0"/>
    </xf>
    <xf numFmtId="2" fontId="62" fillId="2" borderId="1" xfId="1" applyNumberFormat="1" applyFont="1" applyAlignment="1" applyProtection="1">
      <alignment horizontal="center" vertical="center"/>
      <protection locked="0"/>
    </xf>
    <xf numFmtId="0" fontId="62" fillId="2" borderId="64" xfId="1" applyNumberFormat="1" applyFont="1" applyBorder="1" applyAlignment="1" applyProtection="1">
      <alignment horizontal="center" vertical="center"/>
      <protection locked="0"/>
    </xf>
    <xf numFmtId="0" fontId="62" fillId="2" borderId="1" xfId="1" applyFont="1" applyAlignment="1" applyProtection="1">
      <alignment horizontal="center" vertical="center"/>
      <protection locked="0"/>
    </xf>
    <xf numFmtId="0" fontId="62" fillId="2" borderId="132" xfId="1" applyFont="1" applyBorder="1" applyAlignment="1" applyProtection="1">
      <alignment horizontal="center" vertical="center"/>
      <protection locked="0"/>
    </xf>
    <xf numFmtId="0" fontId="62" fillId="2" borderId="145" xfId="1" applyFont="1" applyBorder="1" applyAlignment="1" applyProtection="1">
      <alignment horizontal="center" vertical="center"/>
      <protection locked="0"/>
    </xf>
    <xf numFmtId="0" fontId="20" fillId="2" borderId="1" xfId="6" quotePrefix="1" applyFill="1" applyBorder="1" applyAlignment="1" applyProtection="1">
      <alignment horizontal="center" vertical="center"/>
      <protection locked="0"/>
    </xf>
    <xf numFmtId="0" fontId="0" fillId="0" borderId="2" xfId="0" applyFont="1" applyBorder="1" applyAlignment="1">
      <alignment vertical="center" wrapText="1"/>
    </xf>
    <xf numFmtId="0" fontId="3" fillId="8" borderId="0" xfId="0" applyFont="1" applyFill="1"/>
    <xf numFmtId="165" fontId="2" fillId="3" borderId="2" xfId="2" applyNumberFormat="1" applyBorder="1" applyAlignment="1">
      <alignment horizontal="center" vertical="center" wrapText="1"/>
    </xf>
    <xf numFmtId="2" fontId="62" fillId="43" borderId="148" xfId="1" applyNumberFormat="1" applyFont="1" applyFill="1" applyBorder="1" applyAlignment="1" applyProtection="1">
      <alignment horizontal="center" vertical="center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2" fontId="14" fillId="2" borderId="1" xfId="1" applyNumberFormat="1" applyFont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20" fillId="2" borderId="8" xfId="6" applyFill="1" applyBorder="1" applyAlignment="1" applyProtection="1">
      <alignment horizontal="center" vertical="center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10" fontId="14" fillId="2" borderId="1" xfId="1" applyNumberFormat="1" applyFont="1" applyAlignment="1" applyProtection="1">
      <alignment horizontal="center" vertical="center"/>
      <protection locked="0"/>
    </xf>
    <xf numFmtId="0" fontId="3" fillId="4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64" fontId="0" fillId="7" borderId="114" xfId="0" applyNumberFormat="1" applyFill="1" applyBorder="1"/>
    <xf numFmtId="0" fontId="3" fillId="13" borderId="29" xfId="0" applyFont="1" applyFill="1" applyBorder="1" applyAlignment="1">
      <alignment horizontal="center"/>
    </xf>
    <xf numFmtId="0" fontId="3" fillId="10" borderId="176" xfId="0" applyFont="1" applyFill="1" applyBorder="1" applyAlignment="1">
      <alignment horizontal="center"/>
    </xf>
    <xf numFmtId="0" fontId="45" fillId="13" borderId="177" xfId="0" applyNumberFormat="1" applyFont="1" applyFill="1" applyBorder="1" applyAlignment="1">
      <alignment horizontal="center" wrapText="1"/>
    </xf>
    <xf numFmtId="0" fontId="45" fillId="38" borderId="28" xfId="0" applyNumberFormat="1" applyFont="1" applyFill="1" applyBorder="1" applyAlignment="1">
      <alignment horizontal="center" wrapText="1"/>
    </xf>
    <xf numFmtId="164" fontId="0" fillId="10" borderId="164" xfId="0" applyNumberFormat="1" applyFill="1" applyBorder="1"/>
    <xf numFmtId="164" fontId="0" fillId="9" borderId="27" xfId="0" applyNumberFormat="1" applyFill="1" applyBorder="1"/>
    <xf numFmtId="0" fontId="0" fillId="10" borderId="42" xfId="0" applyFill="1" applyBorder="1"/>
    <xf numFmtId="0" fontId="0" fillId="8" borderId="27" xfId="0" applyFill="1" applyBorder="1"/>
    <xf numFmtId="0" fontId="39" fillId="8" borderId="164" xfId="0" applyNumberFormat="1" applyFont="1" applyFill="1" applyBorder="1"/>
    <xf numFmtId="0" fontId="3" fillId="7" borderId="59" xfId="0" applyFont="1" applyFill="1" applyBorder="1" applyAlignment="1">
      <alignment horizontal="center"/>
    </xf>
    <xf numFmtId="0" fontId="3" fillId="32" borderId="29" xfId="0" applyFont="1" applyFill="1" applyBorder="1" applyAlignment="1">
      <alignment horizontal="center"/>
    </xf>
    <xf numFmtId="165" fontId="0" fillId="7" borderId="19" xfId="0" applyNumberFormat="1" applyFill="1" applyBorder="1"/>
    <xf numFmtId="164" fontId="0" fillId="7" borderId="26" xfId="0" applyNumberFormat="1" applyFill="1" applyBorder="1"/>
    <xf numFmtId="0" fontId="61" fillId="2" borderId="1" xfId="6" quotePrefix="1" applyFont="1" applyFill="1" applyBorder="1" applyAlignment="1" applyProtection="1">
      <alignment horizontal="center" vertical="center"/>
      <protection locked="0"/>
    </xf>
    <xf numFmtId="0" fontId="63" fillId="26" borderId="59" xfId="0" applyFont="1" applyFill="1" applyBorder="1" applyAlignment="1">
      <alignment horizontal="center" vertical="center"/>
    </xf>
    <xf numFmtId="0" fontId="63" fillId="26" borderId="153" xfId="0" applyFont="1" applyFill="1" applyBorder="1" applyAlignment="1">
      <alignment horizontal="center" vertical="center"/>
    </xf>
    <xf numFmtId="0" fontId="63" fillId="26" borderId="150" xfId="0" applyFont="1" applyFill="1" applyBorder="1" applyAlignment="1">
      <alignment horizontal="center" vertical="center"/>
    </xf>
    <xf numFmtId="0" fontId="23" fillId="26" borderId="152" xfId="0" applyFont="1" applyFill="1" applyBorder="1" applyAlignment="1">
      <alignment horizontal="center" vertical="center"/>
    </xf>
    <xf numFmtId="14" fontId="62" fillId="2" borderId="142" xfId="1" applyNumberFormat="1" applyFont="1" applyBorder="1" applyAlignment="1" applyProtection="1">
      <alignment horizontal="center" vertical="center"/>
      <protection locked="0"/>
    </xf>
    <xf numFmtId="14" fontId="62" fillId="2" borderId="139" xfId="1" applyNumberFormat="1" applyFont="1" applyBorder="1" applyAlignment="1" applyProtection="1">
      <alignment horizontal="center" vertical="center"/>
      <protection locked="0"/>
    </xf>
    <xf numFmtId="164" fontId="62" fillId="2" borderId="138" xfId="1" applyNumberFormat="1" applyFont="1" applyBorder="1" applyAlignment="1" applyProtection="1">
      <alignment horizontal="center" vertical="center"/>
      <protection locked="0"/>
    </xf>
    <xf numFmtId="164" fontId="27" fillId="3" borderId="2" xfId="2" applyNumberFormat="1" applyFont="1" applyBorder="1" applyAlignment="1">
      <alignment horizontal="center" vertical="center"/>
    </xf>
    <xf numFmtId="2" fontId="27" fillId="3" borderId="2" xfId="2" applyNumberFormat="1" applyFont="1" applyBorder="1" applyAlignment="1">
      <alignment horizontal="center" vertical="center"/>
    </xf>
    <xf numFmtId="0" fontId="1" fillId="2" borderId="8" xfId="1" applyBorder="1" applyProtection="1">
      <protection locked="0"/>
    </xf>
    <xf numFmtId="0" fontId="1" fillId="2" borderId="8" xfId="1" applyNumberFormat="1" applyBorder="1" applyAlignment="1" applyProtection="1">
      <alignment horizontal="left" vertical="top" indent="1"/>
      <protection locked="0"/>
    </xf>
    <xf numFmtId="0" fontId="25" fillId="3" borderId="178" xfId="7" applyBorder="1"/>
    <xf numFmtId="0" fontId="3" fillId="9" borderId="59" xfId="0" applyFont="1" applyFill="1" applyBorder="1" applyAlignment="1">
      <alignment horizontal="center"/>
    </xf>
    <xf numFmtId="0" fontId="62" fillId="2" borderId="179" xfId="1" applyFont="1" applyBorder="1" applyAlignment="1" applyProtection="1">
      <alignment horizontal="center" vertical="center" wrapText="1"/>
      <protection locked="0"/>
    </xf>
    <xf numFmtId="0" fontId="20" fillId="2" borderId="179" xfId="6" quotePrefix="1" applyFill="1" applyBorder="1" applyAlignment="1" applyProtection="1">
      <alignment horizontal="center" vertical="center"/>
      <protection locked="0"/>
    </xf>
    <xf numFmtId="0" fontId="17" fillId="23" borderId="21" xfId="0" applyFont="1" applyFill="1" applyBorder="1" applyAlignment="1" applyProtection="1">
      <alignment horizontal="center" wrapText="1"/>
      <protection locked="0"/>
    </xf>
    <xf numFmtId="0" fontId="17" fillId="23" borderId="51" xfId="0" applyFont="1" applyFill="1" applyBorder="1" applyAlignment="1" applyProtection="1">
      <alignment horizontal="center" wrapText="1"/>
      <protection locked="0"/>
    </xf>
    <xf numFmtId="0" fontId="17" fillId="23" borderId="35" xfId="0" applyFont="1" applyFill="1" applyBorder="1" applyAlignment="1" applyProtection="1">
      <alignment horizontal="center" wrapText="1"/>
      <protection locked="0"/>
    </xf>
    <xf numFmtId="0" fontId="62" fillId="2" borderId="180" xfId="1" applyNumberFormat="1" applyFont="1" applyBorder="1" applyAlignment="1" applyProtection="1">
      <alignment horizontal="center" vertical="center"/>
      <protection locked="0"/>
    </xf>
    <xf numFmtId="0" fontId="17" fillId="23" borderId="4" xfId="0" applyFont="1" applyFill="1" applyBorder="1" applyAlignment="1" applyProtection="1">
      <alignment horizontal="center" wrapText="1"/>
      <protection locked="0"/>
    </xf>
    <xf numFmtId="0" fontId="17" fillId="23" borderId="6" xfId="0" applyFont="1" applyFill="1" applyBorder="1" applyAlignment="1" applyProtection="1">
      <alignment horizontal="center" wrapText="1"/>
      <protection locked="0"/>
    </xf>
    <xf numFmtId="0" fontId="17" fillId="23" borderId="10" xfId="0" applyFont="1" applyFill="1" applyBorder="1" applyAlignment="1" applyProtection="1">
      <alignment horizontal="center" wrapText="1"/>
      <protection locked="0"/>
    </xf>
    <xf numFmtId="0" fontId="62" fillId="2" borderId="181" xfId="1" applyNumberFormat="1" applyFont="1" applyBorder="1" applyAlignment="1" applyProtection="1">
      <alignment horizontal="center" vertical="center"/>
      <protection locked="0"/>
    </xf>
    <xf numFmtId="0" fontId="62" fillId="2" borderId="2" xfId="1" applyNumberFormat="1" applyFont="1" applyBorder="1" applyAlignment="1" applyProtection="1">
      <alignment horizontal="center" vertical="center"/>
      <protection locked="0"/>
    </xf>
    <xf numFmtId="0" fontId="62" fillId="2" borderId="14" xfId="1" applyNumberFormat="1" applyFont="1" applyBorder="1" applyAlignment="1" applyProtection="1">
      <alignment horizontal="center" vertical="center"/>
      <protection locked="0"/>
    </xf>
    <xf numFmtId="0" fontId="62" fillId="2" borderId="24" xfId="1" applyNumberFormat="1" applyFont="1" applyBorder="1" applyAlignment="1" applyProtection="1">
      <alignment horizontal="center" vertical="center"/>
      <protection locked="0"/>
    </xf>
    <xf numFmtId="2" fontId="62" fillId="2" borderId="182" xfId="1" applyNumberFormat="1" applyFont="1" applyBorder="1" applyAlignment="1" applyProtection="1">
      <alignment horizontal="center" vertical="center"/>
      <protection locked="0"/>
    </xf>
    <xf numFmtId="0" fontId="62" fillId="43" borderId="183" xfId="1" applyFont="1" applyFill="1" applyBorder="1" applyAlignment="1" applyProtection="1">
      <alignment horizontal="center" vertical="center"/>
      <protection locked="0"/>
    </xf>
    <xf numFmtId="0" fontId="62" fillId="2" borderId="2" xfId="1" applyFont="1" applyBorder="1" applyAlignment="1" applyProtection="1">
      <alignment horizontal="center" vertical="center"/>
      <protection locked="0"/>
    </xf>
    <xf numFmtId="0" fontId="1" fillId="2" borderId="1" xfId="1"/>
    <xf numFmtId="0" fontId="81" fillId="0" borderId="0" xfId="11"/>
    <xf numFmtId="1" fontId="0" fillId="17" borderId="13" xfId="0" applyNumberFormat="1" applyFill="1" applyBorder="1"/>
    <xf numFmtId="1" fontId="0" fillId="17" borderId="164" xfId="0" applyNumberFormat="1" applyFill="1" applyBorder="1"/>
    <xf numFmtId="2" fontId="0" fillId="0" borderId="2" xfId="0" quotePrefix="1" applyNumberFormat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27" fillId="3" borderId="2" xfId="2" applyNumberFormat="1" applyFont="1" applyBorder="1" applyAlignment="1">
      <alignment horizontal="center" vertical="center"/>
    </xf>
    <xf numFmtId="0" fontId="85" fillId="4" borderId="2" xfId="0" applyFont="1" applyFill="1" applyBorder="1" applyAlignment="1">
      <alignment horizontal="center" vertical="center"/>
    </xf>
    <xf numFmtId="164" fontId="86" fillId="3" borderId="2" xfId="2" applyNumberFormat="1" applyFont="1" applyBorder="1" applyAlignment="1">
      <alignment horizontal="center" vertical="center"/>
    </xf>
    <xf numFmtId="2" fontId="87" fillId="3" borderId="2" xfId="2" applyNumberFormat="1" applyFont="1" applyBorder="1" applyAlignment="1">
      <alignment horizontal="center" vertical="center"/>
    </xf>
    <xf numFmtId="0" fontId="29" fillId="17" borderId="129" xfId="5" applyFont="1" applyFill="1" applyBorder="1" applyAlignment="1" applyProtection="1">
      <alignment horizontal="center" vertical="center" wrapText="1"/>
      <protection locked="0"/>
    </xf>
    <xf numFmtId="0" fontId="55" fillId="16" borderId="67" xfId="0" applyFont="1" applyFill="1" applyBorder="1" applyAlignment="1" applyProtection="1">
      <alignment horizontal="right" textRotation="90" wrapText="1"/>
      <protection locked="0"/>
    </xf>
    <xf numFmtId="0" fontId="55" fillId="16" borderId="72" xfId="0" applyFont="1" applyFill="1" applyBorder="1" applyAlignment="1" applyProtection="1">
      <alignment horizontal="right" textRotation="90" wrapText="1"/>
      <protection locked="0"/>
    </xf>
    <xf numFmtId="0" fontId="55" fillId="16" borderId="73" xfId="0" applyFont="1" applyFill="1" applyBorder="1" applyAlignment="1" applyProtection="1">
      <alignment horizontal="right" textRotation="90" wrapText="1"/>
      <protection locked="0"/>
    </xf>
    <xf numFmtId="0" fontId="55" fillId="9" borderId="67" xfId="0" applyFont="1" applyFill="1" applyBorder="1" applyAlignment="1" applyProtection="1">
      <alignment horizontal="right" textRotation="90" wrapText="1"/>
      <protection locked="0"/>
    </xf>
    <xf numFmtId="0" fontId="55" fillId="9" borderId="72" xfId="0" applyFont="1" applyFill="1" applyBorder="1" applyAlignment="1" applyProtection="1">
      <alignment horizontal="right" textRotation="90" wrapText="1"/>
      <protection locked="0"/>
    </xf>
    <xf numFmtId="0" fontId="55" fillId="9" borderId="73" xfId="0" applyFont="1" applyFill="1" applyBorder="1" applyAlignment="1" applyProtection="1">
      <alignment horizontal="right" textRotation="90" wrapText="1"/>
      <protection locked="0"/>
    </xf>
    <xf numFmtId="0" fontId="44" fillId="9" borderId="67" xfId="0" applyFont="1" applyFill="1" applyBorder="1" applyAlignment="1" applyProtection="1">
      <alignment horizontal="right" textRotation="90" wrapText="1"/>
      <protection locked="0"/>
    </xf>
    <xf numFmtId="0" fontId="44" fillId="9" borderId="73" xfId="0" applyFont="1" applyFill="1" applyBorder="1" applyAlignment="1" applyProtection="1">
      <alignment horizontal="right" textRotation="90" wrapText="1"/>
      <protection locked="0"/>
    </xf>
    <xf numFmtId="0" fontId="55" fillId="23" borderId="67" xfId="0" applyFont="1" applyFill="1" applyBorder="1" applyAlignment="1" applyProtection="1">
      <alignment horizontal="right" textRotation="90" wrapText="1"/>
      <protection locked="0"/>
    </xf>
    <xf numFmtId="0" fontId="55" fillId="23" borderId="72" xfId="0" applyFont="1" applyFill="1" applyBorder="1" applyAlignment="1" applyProtection="1">
      <alignment horizontal="right" textRotation="90" wrapText="1"/>
      <protection locked="0"/>
    </xf>
    <xf numFmtId="0" fontId="55" fillId="23" borderId="73" xfId="0" applyFont="1" applyFill="1" applyBorder="1" applyAlignment="1" applyProtection="1">
      <alignment horizontal="right" textRotation="90" wrapText="1"/>
      <protection locked="0"/>
    </xf>
    <xf numFmtId="0" fontId="58" fillId="23" borderId="67" xfId="0" applyFont="1" applyFill="1" applyBorder="1" applyAlignment="1" applyProtection="1">
      <alignment horizontal="right" textRotation="90" wrapText="1"/>
      <protection locked="0"/>
    </xf>
    <xf numFmtId="0" fontId="58" fillId="23" borderId="72" xfId="0" applyFont="1" applyFill="1" applyBorder="1" applyAlignment="1" applyProtection="1">
      <alignment horizontal="right" textRotation="90" wrapText="1"/>
      <protection locked="0"/>
    </xf>
    <xf numFmtId="0" fontId="58" fillId="23" borderId="73" xfId="0" applyFont="1" applyFill="1" applyBorder="1" applyAlignment="1" applyProtection="1">
      <alignment horizontal="right" textRotation="90" wrapText="1"/>
      <protection locked="0"/>
    </xf>
    <xf numFmtId="0" fontId="55" fillId="4" borderId="67" xfId="0" applyFont="1" applyFill="1" applyBorder="1" applyAlignment="1" applyProtection="1">
      <alignment horizontal="right" textRotation="90" wrapText="1"/>
      <protection locked="0"/>
    </xf>
    <xf numFmtId="0" fontId="55" fillId="4" borderId="72" xfId="0" applyFont="1" applyFill="1" applyBorder="1" applyAlignment="1" applyProtection="1">
      <alignment horizontal="right" textRotation="90" wrapText="1"/>
      <protection locked="0"/>
    </xf>
    <xf numFmtId="0" fontId="55" fillId="4" borderId="73" xfId="0" applyFont="1" applyFill="1" applyBorder="1" applyAlignment="1" applyProtection="1">
      <alignment horizontal="right" textRotation="90" wrapText="1"/>
      <protection locked="0"/>
    </xf>
    <xf numFmtId="0" fontId="44" fillId="23" borderId="67" xfId="0" applyFont="1" applyFill="1" applyBorder="1" applyAlignment="1" applyProtection="1">
      <alignment horizontal="right" textRotation="90" wrapText="1"/>
      <protection locked="0"/>
    </xf>
    <xf numFmtId="0" fontId="44" fillId="23" borderId="73" xfId="0" applyFont="1" applyFill="1" applyBorder="1" applyAlignment="1" applyProtection="1">
      <alignment horizontal="right" textRotation="90" wrapText="1"/>
      <protection locked="0"/>
    </xf>
    <xf numFmtId="0" fontId="56" fillId="23" borderId="67" xfId="0" applyFont="1" applyFill="1" applyBorder="1" applyAlignment="1" applyProtection="1">
      <alignment horizontal="right" textRotation="90" wrapText="1"/>
      <protection locked="0"/>
    </xf>
    <xf numFmtId="0" fontId="56" fillId="23" borderId="72" xfId="0" applyFont="1" applyFill="1" applyBorder="1" applyAlignment="1" applyProtection="1">
      <alignment horizontal="right" textRotation="90" wrapText="1"/>
      <protection locked="0"/>
    </xf>
    <xf numFmtId="0" fontId="56" fillId="23" borderId="73" xfId="0" applyFont="1" applyFill="1" applyBorder="1" applyAlignment="1" applyProtection="1">
      <alignment horizontal="right" textRotation="90" wrapText="1"/>
      <protection locked="0"/>
    </xf>
    <xf numFmtId="0" fontId="57" fillId="23" borderId="67" xfId="0" applyFont="1" applyFill="1" applyBorder="1" applyAlignment="1" applyProtection="1">
      <alignment horizontal="right" textRotation="90" wrapText="1"/>
      <protection locked="0"/>
    </xf>
    <xf numFmtId="0" fontId="57" fillId="23" borderId="72" xfId="0" applyFont="1" applyFill="1" applyBorder="1" applyAlignment="1" applyProtection="1">
      <alignment horizontal="right" textRotation="90" wrapText="1"/>
      <protection locked="0"/>
    </xf>
    <xf numFmtId="0" fontId="57" fillId="23" borderId="73" xfId="0" applyFont="1" applyFill="1" applyBorder="1" applyAlignment="1" applyProtection="1">
      <alignment horizontal="right" textRotation="90" wrapText="1"/>
      <protection locked="0"/>
    </xf>
    <xf numFmtId="0" fontId="56" fillId="9" borderId="67" xfId="0" applyFont="1" applyFill="1" applyBorder="1" applyAlignment="1" applyProtection="1">
      <alignment horizontal="right" textRotation="90" wrapText="1"/>
      <protection locked="0"/>
    </xf>
    <xf numFmtId="0" fontId="56" fillId="9" borderId="72" xfId="0" applyFont="1" applyFill="1" applyBorder="1" applyAlignment="1" applyProtection="1">
      <alignment horizontal="right" textRotation="90" wrapText="1"/>
      <protection locked="0"/>
    </xf>
    <xf numFmtId="0" fontId="56" fillId="9" borderId="73" xfId="0" applyFont="1" applyFill="1" applyBorder="1" applyAlignment="1" applyProtection="1">
      <alignment horizontal="right" textRotation="90" wrapText="1"/>
      <protection locked="0"/>
    </xf>
    <xf numFmtId="0" fontId="58" fillId="9" borderId="67" xfId="0" applyFont="1" applyFill="1" applyBorder="1" applyAlignment="1" applyProtection="1">
      <alignment horizontal="right" textRotation="90" wrapText="1"/>
      <protection locked="0"/>
    </xf>
    <xf numFmtId="0" fontId="58" fillId="9" borderId="72" xfId="0" applyFont="1" applyFill="1" applyBorder="1" applyAlignment="1" applyProtection="1">
      <alignment horizontal="right" textRotation="90" wrapText="1"/>
      <protection locked="0"/>
    </xf>
    <xf numFmtId="0" fontId="58" fillId="9" borderId="73" xfId="0" applyFont="1" applyFill="1" applyBorder="1" applyAlignment="1" applyProtection="1">
      <alignment horizontal="right" textRotation="90" wrapText="1"/>
      <protection locked="0"/>
    </xf>
    <xf numFmtId="0" fontId="56" fillId="4" borderId="67" xfId="0" applyFont="1" applyFill="1" applyBorder="1" applyAlignment="1" applyProtection="1">
      <alignment horizontal="right" textRotation="90" wrapText="1"/>
      <protection locked="0"/>
    </xf>
    <xf numFmtId="0" fontId="56" fillId="4" borderId="72" xfId="0" applyFont="1" applyFill="1" applyBorder="1" applyAlignment="1" applyProtection="1">
      <alignment horizontal="right" textRotation="90" wrapText="1"/>
      <protection locked="0"/>
    </xf>
    <xf numFmtId="0" fontId="56" fillId="4" borderId="73" xfId="0" applyFont="1" applyFill="1" applyBorder="1" applyAlignment="1" applyProtection="1">
      <alignment horizontal="right" textRotation="90" wrapText="1"/>
      <protection locked="0"/>
    </xf>
    <xf numFmtId="0" fontId="58" fillId="42" borderId="67" xfId="0" applyFont="1" applyFill="1" applyBorder="1" applyAlignment="1" applyProtection="1">
      <alignment horizontal="right" textRotation="90" wrapText="1"/>
      <protection locked="0"/>
    </xf>
    <xf numFmtId="0" fontId="58" fillId="42" borderId="72" xfId="0" applyFont="1" applyFill="1" applyBorder="1" applyAlignment="1" applyProtection="1">
      <alignment horizontal="right" textRotation="90" wrapText="1"/>
      <protection locked="0"/>
    </xf>
    <xf numFmtId="0" fontId="58" fillId="42" borderId="73" xfId="0" applyFont="1" applyFill="1" applyBorder="1" applyAlignment="1" applyProtection="1">
      <alignment horizontal="right" textRotation="90" wrapText="1"/>
      <protection locked="0"/>
    </xf>
    <xf numFmtId="0" fontId="44" fillId="20" borderId="33" xfId="0" applyFont="1" applyFill="1" applyBorder="1" applyAlignment="1" applyProtection="1">
      <alignment horizontal="right" textRotation="90" wrapText="1"/>
      <protection locked="0"/>
    </xf>
    <xf numFmtId="0" fontId="44" fillId="20" borderId="66" xfId="0" applyFont="1" applyFill="1" applyBorder="1" applyAlignment="1" applyProtection="1">
      <alignment horizontal="right" textRotation="90" wrapText="1"/>
      <protection locked="0"/>
    </xf>
    <xf numFmtId="0" fontId="44" fillId="20" borderId="34" xfId="0" applyFont="1" applyFill="1" applyBorder="1" applyAlignment="1" applyProtection="1">
      <alignment horizontal="right" textRotation="90" wrapText="1"/>
      <protection locked="0"/>
    </xf>
    <xf numFmtId="0" fontId="55" fillId="4" borderId="72" xfId="0" applyFont="1" applyFill="1" applyBorder="1" applyAlignment="1" applyProtection="1">
      <alignment horizontal="right" textRotation="90"/>
      <protection locked="0"/>
    </xf>
    <xf numFmtId="0" fontId="55" fillId="4" borderId="73" xfId="0" applyFont="1" applyFill="1" applyBorder="1" applyAlignment="1" applyProtection="1">
      <alignment horizontal="right" textRotation="90"/>
      <protection locked="0"/>
    </xf>
    <xf numFmtId="0" fontId="55" fillId="4" borderId="67" xfId="0" applyFont="1" applyFill="1" applyBorder="1" applyAlignment="1" applyProtection="1">
      <alignment horizontal="right" textRotation="90"/>
      <protection locked="0"/>
    </xf>
    <xf numFmtId="0" fontId="59" fillId="9" borderId="67" xfId="0" applyFont="1" applyFill="1" applyBorder="1" applyAlignment="1" applyProtection="1">
      <alignment horizontal="right" textRotation="90" wrapText="1"/>
      <protection locked="0"/>
    </xf>
    <xf numFmtId="0" fontId="59" fillId="9" borderId="72" xfId="0" applyFont="1" applyFill="1" applyBorder="1" applyAlignment="1" applyProtection="1">
      <alignment horizontal="right" textRotation="90" wrapText="1"/>
      <protection locked="0"/>
    </xf>
    <xf numFmtId="0" fontId="59" fillId="9" borderId="73" xfId="0" applyFont="1" applyFill="1" applyBorder="1" applyAlignment="1" applyProtection="1">
      <alignment horizontal="right" textRotation="90" wrapText="1"/>
      <protection locked="0"/>
    </xf>
    <xf numFmtId="0" fontId="57" fillId="4" borderId="67" xfId="0" applyFont="1" applyFill="1" applyBorder="1" applyAlignment="1" applyProtection="1">
      <alignment horizontal="right" textRotation="90" wrapText="1"/>
      <protection locked="0"/>
    </xf>
    <xf numFmtId="0" fontId="57" fillId="4" borderId="73" xfId="0" applyFont="1" applyFill="1" applyBorder="1" applyAlignment="1" applyProtection="1">
      <alignment horizontal="right" textRotation="90" wrapText="1"/>
      <protection locked="0"/>
    </xf>
    <xf numFmtId="0" fontId="55" fillId="16" borderId="61" xfId="0" applyFont="1" applyFill="1" applyBorder="1" applyAlignment="1" applyProtection="1">
      <alignment horizontal="right" textRotation="90" wrapText="1"/>
      <protection locked="0"/>
    </xf>
    <xf numFmtId="0" fontId="55" fillId="16" borderId="74" xfId="0" applyFont="1" applyFill="1" applyBorder="1" applyAlignment="1" applyProtection="1">
      <alignment horizontal="right" textRotation="90" wrapText="1"/>
      <protection locked="0"/>
    </xf>
    <xf numFmtId="0" fontId="55" fillId="16" borderId="62" xfId="0" applyFont="1" applyFill="1" applyBorder="1" applyAlignment="1" applyProtection="1">
      <alignment horizontal="right" textRotation="90" wrapText="1"/>
      <protection locked="0"/>
    </xf>
    <xf numFmtId="0" fontId="55" fillId="16" borderId="63" xfId="0" applyFont="1" applyFill="1" applyBorder="1" applyAlignment="1" applyProtection="1">
      <alignment horizontal="right" textRotation="90" wrapText="1"/>
      <protection locked="0"/>
    </xf>
    <xf numFmtId="0" fontId="55" fillId="22" borderId="61" xfId="0" applyFont="1" applyFill="1" applyBorder="1" applyAlignment="1" applyProtection="1">
      <alignment horizontal="right" textRotation="90" wrapText="1"/>
      <protection locked="0"/>
    </xf>
    <xf numFmtId="0" fontId="55" fillId="22" borderId="74" xfId="0" applyFont="1" applyFill="1" applyBorder="1" applyAlignment="1" applyProtection="1">
      <alignment horizontal="right" textRotation="90" wrapText="1"/>
      <protection locked="0"/>
    </xf>
    <xf numFmtId="0" fontId="55" fillId="22" borderId="62" xfId="0" applyFont="1" applyFill="1" applyBorder="1" applyAlignment="1" applyProtection="1">
      <alignment horizontal="right" textRotation="90" wrapText="1"/>
      <protection locked="0"/>
    </xf>
    <xf numFmtId="0" fontId="55" fillId="22" borderId="63" xfId="0" applyFont="1" applyFill="1" applyBorder="1" applyAlignment="1" applyProtection="1">
      <alignment horizontal="right" textRotation="90" wrapText="1"/>
      <protection locked="0"/>
    </xf>
    <xf numFmtId="0" fontId="44" fillId="4" borderId="67" xfId="0" applyFont="1" applyFill="1" applyBorder="1" applyAlignment="1" applyProtection="1">
      <alignment horizontal="right" textRotation="90" wrapText="1"/>
      <protection locked="0"/>
    </xf>
    <xf numFmtId="0" fontId="44" fillId="4" borderId="72" xfId="0" applyFont="1" applyFill="1" applyBorder="1" applyAlignment="1" applyProtection="1">
      <alignment horizontal="right" textRotation="90" wrapText="1"/>
      <protection locked="0"/>
    </xf>
    <xf numFmtId="0" fontId="58" fillId="4" borderId="67" xfId="0" applyFont="1" applyFill="1" applyBorder="1" applyAlignment="1" applyProtection="1">
      <alignment horizontal="right" textRotation="90" wrapText="1"/>
      <protection locked="0"/>
    </xf>
    <xf numFmtId="0" fontId="58" fillId="4" borderId="72" xfId="0" applyFont="1" applyFill="1" applyBorder="1" applyAlignment="1" applyProtection="1">
      <alignment horizontal="right" textRotation="90" wrapText="1"/>
      <protection locked="0"/>
    </xf>
    <xf numFmtId="0" fontId="3" fillId="4" borderId="9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14" fillId="2" borderId="117" xfId="1" applyFont="1" applyBorder="1" applyAlignment="1" applyProtection="1">
      <alignment horizontal="center" vertical="center" wrapText="1"/>
      <protection locked="0"/>
    </xf>
    <xf numFmtId="0" fontId="14" fillId="2" borderId="118" xfId="1" applyFont="1" applyBorder="1" applyAlignment="1" applyProtection="1">
      <alignment horizontal="center" vertical="center" wrapText="1"/>
      <protection locked="0"/>
    </xf>
    <xf numFmtId="0" fontId="14" fillId="2" borderId="1" xfId="1" applyFont="1" applyAlignment="1" applyProtection="1">
      <alignment horizontal="center" vertical="center" wrapText="1"/>
      <protection locked="0"/>
    </xf>
    <xf numFmtId="0" fontId="3" fillId="4" borderId="2" xfId="0" applyFont="1" applyFill="1" applyBorder="1" applyAlignment="1">
      <alignment horizontal="center" vertical="center" wrapText="1"/>
    </xf>
    <xf numFmtId="0" fontId="14" fillId="2" borderId="116" xfId="1" applyFont="1" applyBorder="1" applyAlignment="1" applyProtection="1">
      <alignment horizontal="center" vertical="center" wrapText="1"/>
      <protection locked="0"/>
    </xf>
    <xf numFmtId="0" fontId="14" fillId="2" borderId="68" xfId="1" applyFont="1" applyBorder="1" applyAlignment="1" applyProtection="1">
      <alignment horizontal="center" vertical="center" wrapText="1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0" fillId="4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35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35" xfId="0" applyFont="1" applyFill="1" applyBorder="1" applyAlignment="1">
      <alignment horizontal="center" vertical="center" wrapText="1"/>
    </xf>
    <xf numFmtId="0" fontId="1" fillId="2" borderId="2" xfId="1" applyBorder="1" applyAlignment="1" applyProtection="1">
      <alignment horizontal="center" vertical="center"/>
      <protection locked="0"/>
    </xf>
    <xf numFmtId="0" fontId="0" fillId="4" borderId="2" xfId="0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1" fillId="2" borderId="3" xfId="1" applyBorder="1" applyAlignment="1" applyProtection="1">
      <alignment horizontal="center" vertical="center"/>
      <protection locked="0"/>
    </xf>
    <xf numFmtId="0" fontId="1" fillId="2" borderId="14" xfId="1" applyBorder="1" applyAlignment="1" applyProtection="1">
      <alignment horizontal="center" vertical="center"/>
      <protection locked="0"/>
    </xf>
    <xf numFmtId="0" fontId="7" fillId="0" borderId="0" xfId="0" applyFont="1" applyBorder="1" applyAlignment="1">
      <alignment horizontal="center" vertical="center" wrapText="1"/>
    </xf>
    <xf numFmtId="2" fontId="14" fillId="2" borderId="116" xfId="1" applyNumberFormat="1" applyFont="1" applyBorder="1" applyAlignment="1" applyProtection="1">
      <alignment horizontal="center" vertical="center"/>
      <protection locked="0"/>
    </xf>
    <xf numFmtId="2" fontId="14" fillId="2" borderId="68" xfId="1" applyNumberFormat="1" applyFont="1" applyBorder="1" applyAlignment="1" applyProtection="1">
      <alignment horizontal="center" vertical="center"/>
      <protection locked="0"/>
    </xf>
    <xf numFmtId="2" fontId="14" fillId="2" borderId="8" xfId="1" applyNumberFormat="1" applyFont="1" applyBorder="1" applyAlignment="1" applyProtection="1">
      <alignment horizontal="center" vertical="center"/>
      <protection locked="0"/>
    </xf>
    <xf numFmtId="1" fontId="14" fillId="2" borderId="116" xfId="1" applyNumberFormat="1" applyFont="1" applyBorder="1" applyAlignment="1" applyProtection="1">
      <alignment horizontal="center" vertical="center"/>
      <protection locked="0"/>
    </xf>
    <xf numFmtId="1" fontId="14" fillId="2" borderId="68" xfId="1" applyNumberFormat="1" applyFont="1" applyBorder="1" applyAlignment="1" applyProtection="1">
      <alignment horizontal="center" vertical="center"/>
      <protection locked="0"/>
    </xf>
    <xf numFmtId="1" fontId="14" fillId="2" borderId="8" xfId="1" applyNumberFormat="1" applyFont="1" applyBorder="1" applyAlignment="1" applyProtection="1">
      <alignment horizontal="center" vertical="center"/>
      <protection locked="0"/>
    </xf>
    <xf numFmtId="0" fontId="84" fillId="4" borderId="9" xfId="0" applyFont="1" applyFill="1" applyBorder="1" applyAlignment="1">
      <alignment horizontal="center" vertical="center"/>
    </xf>
    <xf numFmtId="0" fontId="84" fillId="4" borderId="35" xfId="0" applyFont="1" applyFill="1" applyBorder="1" applyAlignment="1">
      <alignment horizontal="center" vertical="center"/>
    </xf>
    <xf numFmtId="0" fontId="84" fillId="4" borderId="10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top" textRotation="90" wrapText="1"/>
    </xf>
    <xf numFmtId="0" fontId="3" fillId="0" borderId="13" xfId="0" applyFont="1" applyFill="1" applyBorder="1" applyAlignment="1">
      <alignment horizontal="center" vertical="top" textRotation="90" wrapText="1"/>
    </xf>
    <xf numFmtId="0" fontId="3" fillId="0" borderId="14" xfId="0" applyFont="1" applyFill="1" applyBorder="1" applyAlignment="1">
      <alignment horizontal="center" vertical="top" textRotation="90" wrapText="1"/>
    </xf>
    <xf numFmtId="0" fontId="0" fillId="0" borderId="150" xfId="0" applyBorder="1" applyAlignment="1">
      <alignment horizontal="center"/>
    </xf>
    <xf numFmtId="0" fontId="0" fillId="0" borderId="152" xfId="0" applyBorder="1" applyAlignment="1">
      <alignment horizontal="center"/>
    </xf>
    <xf numFmtId="0" fontId="0" fillId="0" borderId="29" xfId="0" applyBorder="1" applyAlignment="1">
      <alignment horizontal="center"/>
    </xf>
    <xf numFmtId="0" fontId="12" fillId="14" borderId="43" xfId="0" applyFont="1" applyFill="1" applyBorder="1" applyAlignment="1">
      <alignment horizontal="center"/>
    </xf>
    <xf numFmtId="0" fontId="12" fillId="14" borderId="77" xfId="0" applyFont="1" applyFill="1" applyBorder="1" applyAlignment="1">
      <alignment horizontal="center"/>
    </xf>
    <xf numFmtId="0" fontId="3" fillId="6" borderId="115" xfId="0" applyFont="1" applyFill="1" applyBorder="1" applyAlignment="1">
      <alignment horizontal="center" vertical="top" textRotation="90" wrapText="1"/>
    </xf>
    <xf numFmtId="0" fontId="3" fillId="6" borderId="56" xfId="0" applyFont="1" applyFill="1" applyBorder="1" applyAlignment="1">
      <alignment horizontal="center" vertical="top" textRotation="90" wrapText="1"/>
    </xf>
    <xf numFmtId="0" fontId="3" fillId="6" borderId="114" xfId="0" applyFont="1" applyFill="1" applyBorder="1" applyAlignment="1">
      <alignment horizontal="center" vertical="top" textRotation="90" wrapText="1"/>
    </xf>
    <xf numFmtId="0" fontId="3" fillId="5" borderId="15" xfId="0" applyFont="1" applyFill="1" applyBorder="1" applyAlignment="1">
      <alignment horizontal="center" vertical="top" textRotation="90" wrapText="1"/>
    </xf>
    <xf numFmtId="0" fontId="3" fillId="5" borderId="16" xfId="0" applyFont="1" applyFill="1" applyBorder="1" applyAlignment="1">
      <alignment horizontal="center" vertical="top" textRotation="90" wrapText="1"/>
    </xf>
    <xf numFmtId="0" fontId="3" fillId="5" borderId="18" xfId="0" applyFont="1" applyFill="1" applyBorder="1" applyAlignment="1">
      <alignment horizontal="center" vertical="top" textRotation="90" wrapText="1"/>
    </xf>
    <xf numFmtId="0" fontId="3" fillId="7" borderId="16" xfId="0" applyFont="1" applyFill="1" applyBorder="1" applyAlignment="1">
      <alignment horizontal="center" vertical="top" textRotation="90" wrapText="1"/>
    </xf>
    <xf numFmtId="0" fontId="3" fillId="7" borderId="19" xfId="0" applyFont="1" applyFill="1" applyBorder="1" applyAlignment="1">
      <alignment horizontal="center" vertical="top" textRotation="90" wrapText="1"/>
    </xf>
    <xf numFmtId="0" fontId="39" fillId="36" borderId="108" xfId="0" applyNumberFormat="1" applyFont="1" applyFill="1" applyBorder="1" applyAlignment="1">
      <alignment horizontal="center" wrapText="1"/>
    </xf>
    <xf numFmtId="0" fontId="39" fillId="36" borderId="77" xfId="0" applyNumberFormat="1" applyFont="1" applyFill="1" applyBorder="1" applyAlignment="1">
      <alignment horizontal="center" wrapText="1"/>
    </xf>
    <xf numFmtId="0" fontId="39" fillId="36" borderId="78" xfId="0" applyNumberFormat="1" applyFont="1" applyFill="1" applyBorder="1" applyAlignment="1">
      <alignment horizontal="center" wrapText="1"/>
    </xf>
    <xf numFmtId="0" fontId="39" fillId="36" borderId="109" xfId="0" applyNumberFormat="1" applyFont="1" applyFill="1" applyBorder="1" applyAlignment="1">
      <alignment horizontal="center" wrapText="1"/>
    </xf>
    <xf numFmtId="0" fontId="39" fillId="36" borderId="0" xfId="0" applyNumberFormat="1" applyFont="1" applyFill="1" applyBorder="1" applyAlignment="1">
      <alignment horizontal="center" wrapText="1"/>
    </xf>
    <xf numFmtId="0" fontId="39" fillId="36" borderId="110" xfId="0" applyNumberFormat="1" applyFont="1" applyFill="1" applyBorder="1" applyAlignment="1">
      <alignment horizontal="center" wrapText="1"/>
    </xf>
    <xf numFmtId="0" fontId="39" fillId="36" borderId="96" xfId="0" applyNumberFormat="1" applyFont="1" applyFill="1" applyBorder="1" applyAlignment="1">
      <alignment horizontal="center" wrapText="1"/>
    </xf>
    <xf numFmtId="0" fontId="39" fillId="36" borderId="7" xfId="0" applyNumberFormat="1" applyFont="1" applyFill="1" applyBorder="1" applyAlignment="1">
      <alignment horizontal="center" wrapText="1"/>
    </xf>
    <xf numFmtId="0" fontId="39" fillId="36" borderId="111" xfId="0" applyNumberFormat="1" applyFont="1" applyFill="1" applyBorder="1" applyAlignment="1">
      <alignment horizontal="center" wrapText="1"/>
    </xf>
    <xf numFmtId="0" fontId="39" fillId="37" borderId="105" xfId="0" applyNumberFormat="1" applyFont="1" applyFill="1" applyBorder="1" applyAlignment="1">
      <alignment horizontal="center"/>
    </xf>
    <xf numFmtId="0" fontId="39" fillId="37" borderId="112" xfId="0" applyNumberFormat="1" applyFont="1" applyFill="1" applyBorder="1" applyAlignment="1">
      <alignment horizontal="center"/>
    </xf>
    <xf numFmtId="0" fontId="39" fillId="37" borderId="113" xfId="0" applyNumberFormat="1" applyFont="1" applyFill="1" applyBorder="1" applyAlignment="1">
      <alignment horizontal="center"/>
    </xf>
    <xf numFmtId="0" fontId="3" fillId="0" borderId="150" xfId="0" applyFont="1" applyBorder="1" applyAlignment="1">
      <alignment horizontal="center"/>
    </xf>
    <xf numFmtId="0" fontId="3" fillId="0" borderId="152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0" xfId="0" applyAlignment="1">
      <alignment horizontal="center"/>
    </xf>
    <xf numFmtId="0" fontId="39" fillId="0" borderId="0" xfId="10" applyFont="1" applyFill="1" applyBorder="1" applyAlignment="1" applyProtection="1">
      <alignment horizontal="center"/>
    </xf>
    <xf numFmtId="0" fontId="0" fillId="0" borderId="0" xfId="0" applyFill="1" applyBorder="1" applyAlignment="1">
      <alignment horizontal="center" vertical="center"/>
    </xf>
    <xf numFmtId="0" fontId="37" fillId="33" borderId="89" xfId="9" applyBorder="1" applyAlignment="1">
      <alignment horizontal="center" vertical="top" wrapText="1"/>
    </xf>
    <xf numFmtId="0" fontId="37" fillId="33" borderId="90" xfId="9" applyBorder="1" applyAlignment="1">
      <alignment horizontal="center" vertical="top" wrapText="1"/>
    </xf>
    <xf numFmtId="0" fontId="37" fillId="33" borderId="119" xfId="9" applyBorder="1" applyAlignment="1">
      <alignment horizontal="center" vertical="top" wrapText="1"/>
    </xf>
    <xf numFmtId="0" fontId="37" fillId="33" borderId="120" xfId="9" applyBorder="1" applyAlignment="1">
      <alignment horizontal="center" vertical="top" wrapText="1"/>
    </xf>
    <xf numFmtId="0" fontId="37" fillId="33" borderId="86" xfId="9" applyBorder="1" applyAlignment="1">
      <alignment horizontal="center" vertical="center"/>
    </xf>
    <xf numFmtId="0" fontId="37" fillId="33" borderId="87" xfId="9" applyBorder="1" applyAlignment="1">
      <alignment horizontal="center" vertical="center"/>
    </xf>
    <xf numFmtId="0" fontId="37" fillId="33" borderId="88" xfId="9" applyBorder="1" applyAlignment="1">
      <alignment horizontal="center" vertical="center"/>
    </xf>
    <xf numFmtId="0" fontId="42" fillId="0" borderId="121" xfId="1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28" fillId="4" borderId="13" xfId="0" applyFont="1" applyFill="1" applyBorder="1" applyAlignment="1">
      <alignment horizontal="left" vertical="center" wrapText="1"/>
    </xf>
    <xf numFmtId="0" fontId="28" fillId="4" borderId="14" xfId="0" applyFont="1" applyFill="1" applyBorder="1" applyAlignment="1">
      <alignment horizontal="left" vertical="center" wrapText="1"/>
    </xf>
    <xf numFmtId="0" fontId="67" fillId="0" borderId="7" xfId="0" applyFont="1" applyBorder="1" applyAlignment="1">
      <alignment horizontal="center"/>
    </xf>
    <xf numFmtId="0" fontId="0" fillId="0" borderId="0" xfId="0" applyBorder="1" applyAlignment="1">
      <alignment horizontal="center" vertical="top" wrapText="1"/>
    </xf>
    <xf numFmtId="0" fontId="67" fillId="0" borderId="0" xfId="0" applyFont="1" applyBorder="1" applyAlignment="1">
      <alignment horizontal="center" wrapText="1"/>
    </xf>
    <xf numFmtId="0" fontId="28" fillId="4" borderId="3" xfId="0" applyFont="1" applyFill="1" applyBorder="1" applyAlignment="1">
      <alignment horizontal="left" vertical="center" wrapText="1"/>
    </xf>
    <xf numFmtId="0" fontId="67" fillId="0" borderId="7" xfId="0" applyFont="1" applyBorder="1" applyAlignment="1">
      <alignment horizontal="center" wrapText="1"/>
    </xf>
    <xf numFmtId="0" fontId="0" fillId="4" borderId="13" xfId="0" applyFill="1" applyBorder="1" applyAlignment="1">
      <alignment horizontal="left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28" fillId="4" borderId="3" xfId="0" applyFont="1" applyFill="1" applyBorder="1" applyAlignment="1">
      <alignment horizontal="center" vertical="center" wrapText="1"/>
    </xf>
    <xf numFmtId="0" fontId="28" fillId="4" borderId="13" xfId="0" applyFont="1" applyFill="1" applyBorder="1" applyAlignment="1">
      <alignment horizontal="center" vertical="center" wrapText="1"/>
    </xf>
    <xf numFmtId="0" fontId="28" fillId="16" borderId="4" xfId="0" applyFont="1" applyFill="1" applyBorder="1" applyAlignment="1">
      <alignment horizontal="left" vertical="center" wrapText="1"/>
    </xf>
    <xf numFmtId="0" fontId="28" fillId="16" borderId="6" xfId="0" applyFont="1" applyFill="1" applyBorder="1" applyAlignment="1">
      <alignment horizontal="left" vertical="center" wrapText="1"/>
    </xf>
    <xf numFmtId="0" fontId="28" fillId="4" borderId="14" xfId="0" applyFont="1" applyFill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16" borderId="3" xfId="0" applyFill="1" applyBorder="1" applyAlignment="1">
      <alignment horizontal="left" vertical="center" wrapText="1"/>
    </xf>
    <xf numFmtId="0" fontId="0" fillId="16" borderId="14" xfId="0" applyFill="1" applyBorder="1" applyAlignment="1">
      <alignment horizontal="left" vertical="center" wrapText="1"/>
    </xf>
    <xf numFmtId="0" fontId="67" fillId="0" borderId="35" xfId="0" applyFont="1" applyBorder="1" applyAlignment="1">
      <alignment horizont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67" fillId="0" borderId="7" xfId="0" applyFont="1" applyFill="1" applyBorder="1" applyAlignment="1">
      <alignment horizontal="center" vertical="center" wrapText="1"/>
    </xf>
    <xf numFmtId="0" fontId="67" fillId="0" borderId="0" xfId="0" applyFont="1" applyAlignment="1">
      <alignment horizontal="center" wrapText="1"/>
    </xf>
    <xf numFmtId="0" fontId="3" fillId="16" borderId="37" xfId="0" applyFont="1" applyFill="1" applyBorder="1" applyAlignment="1">
      <alignment horizontal="center" vertical="center"/>
    </xf>
    <xf numFmtId="0" fontId="3" fillId="16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</cellXfs>
  <cellStyles count="12">
    <cellStyle name="Akzent6" xfId="9" builtinId="49"/>
    <cellStyle name="Ausgabe" xfId="7" builtinId="21"/>
    <cellStyle name="Berechnung" xfId="2" builtinId="22"/>
    <cellStyle name="Eingabe" xfId="1" builtinId="20"/>
    <cellStyle name="Erklärender Text" xfId="11" builtinId="53"/>
    <cellStyle name="Euro" xfId="4" xr:uid="{00000000-0005-0000-0000-000000000000}"/>
    <cellStyle name="Link" xfId="6" builtinId="8"/>
    <cellStyle name="Neutral" xfId="5" builtinId="28"/>
    <cellStyle name="Prozent" xfId="3" builtinId="5"/>
    <cellStyle name="Standard" xfId="0" builtinId="0"/>
    <cellStyle name="Standard 2" xfId="10" xr:uid="{00000000-0005-0000-0000-000001000000}"/>
    <cellStyle name="Standard 99" xfId="8" xr:uid="{00000000-0005-0000-0000-000002000000}"/>
  </cellStyles>
  <dxfs count="200"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  <color auto="1"/>
      </font>
      <fill>
        <patternFill patternType="solid">
          <fgColor auto="1"/>
          <bgColor rgb="FF00B05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 patternType="solid">
          <fgColor auto="1"/>
          <bgColor rgb="FF00B05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 patternType="solid">
          <fgColor auto="1"/>
          <bgColor rgb="FF00B05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 patternType="solid">
          <fgColor auto="1"/>
          <bgColor rgb="FF00B05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Ungeradzahlige Oberschwingungen</a:t>
            </a:r>
          </a:p>
        </c:rich>
      </c:tx>
      <c:layout>
        <c:manualLayout>
          <c:xMode val="edge"/>
          <c:yMode val="edge"/>
          <c:x val="0.30178714080990232"/>
          <c:y val="2.58703703703704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359935020269674E-2"/>
          <c:y val="0.11892238694434103"/>
          <c:w val="0.89785795196768559"/>
          <c:h val="0.72212166666666733"/>
        </c:manualLayout>
      </c:layout>
      <c:barChart>
        <c:barDir val="col"/>
        <c:grouping val="clustered"/>
        <c:varyColors val="0"/>
        <c:ser>
          <c:idx val="0"/>
          <c:order val="0"/>
          <c:tx>
            <c:v>zul. Werte in A</c:v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('OS Diagramme'!$B$5,'OS Diagramme'!$B$7,'OS Diagramme'!$B$9,'OS Diagramme'!$B$11,'OS Diagramme'!$B$13,'OS Diagramme'!$B$15,'OS Diagramme'!$B$17,'OS Diagramme'!$B$19,'OS Diagramme'!$B$21,'OS Diagramme'!$B$23,'OS Diagramme'!$B$25,'OS Diagramme'!$B$27,'OS Diagramme'!$B$29,'OS Diagramme'!$B$31,'OS Diagramme'!$B$33,'OS Diagramme'!$B$35,'OS Diagramme'!$B$37,'OS Diagramme'!$B$39,'OS Diagramme'!$B$41,'OS Diagramme'!$B$43,'OS Diagramme'!$B$45,'OS Diagramme'!$B$47,'OS Diagramme'!$B$49,'OS Diagramme'!$B$51)</c15:sqref>
                  </c15:fullRef>
                </c:ext>
              </c:extLst>
              <c:f>('OS Diagramme'!$B$5,'OS Diagramme'!$B$7,'OS Diagramme'!$B$9,'OS Diagramme'!$B$11,'OS Diagramme'!$B$13,'OS Diagramme'!$B$15,'OS Diagramme'!$B$17,'OS Diagramme'!$B$19,'OS Diagramme'!$B$21,'OS Diagramme'!$B$23,'OS Diagramme'!$B$25,'OS Diagramme'!$B$27,'OS Diagramme'!$B$29,'OS Diagramme'!$B$31,'OS Diagramme'!$B$33,'OS Diagramme'!$B$35,'OS Diagramme'!$B$37,'OS Diagramme'!$B$39,'OS Diagramme'!$B$41)</c:f>
              <c:numCache>
                <c:formatCode>General</c:formatCode>
                <c:ptCount val="19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17</c:v>
                </c:pt>
                <c:pt idx="8">
                  <c:v>19</c:v>
                </c:pt>
                <c:pt idx="9">
                  <c:v>21</c:v>
                </c:pt>
                <c:pt idx="10">
                  <c:v>23</c:v>
                </c:pt>
                <c:pt idx="11">
                  <c:v>25</c:v>
                </c:pt>
                <c:pt idx="12">
                  <c:v>27</c:v>
                </c:pt>
                <c:pt idx="13">
                  <c:v>29</c:v>
                </c:pt>
                <c:pt idx="14">
                  <c:v>31</c:v>
                </c:pt>
                <c:pt idx="15">
                  <c:v>33</c:v>
                </c:pt>
                <c:pt idx="16">
                  <c:v>35</c:v>
                </c:pt>
                <c:pt idx="17">
                  <c:v>37</c:v>
                </c:pt>
                <c:pt idx="18">
                  <c:v>39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('OS Diagramme'!$D$5,'OS Diagramme'!$D$7,'OS Diagramme'!$D$9,'OS Diagramme'!$D$11,'OS Diagramme'!$D$13,'OS Diagramme'!$D$15,'OS Diagramme'!$D$17,'OS Diagramme'!$D$19,'OS Diagramme'!$D$21,'OS Diagramme'!$D$23,'OS Diagramme'!$D$25,'OS Diagramme'!$D$27,'OS Diagramme'!$D$29,'OS Diagramme'!$D$31,'OS Diagramme'!$D$33,'OS Diagramme'!$D$35,'OS Diagramme'!$D$37,'OS Diagramme'!$D$39,'OS Diagramme'!$D$41,'OS Diagramme'!$D$43,'OS Diagramme'!$D$45,'OS Diagramme'!$D$47,'OS Diagramme'!$D$49,'OS Diagramme'!$D$51)</c15:sqref>
                  </c15:fullRef>
                </c:ext>
              </c:extLst>
              <c:f>('OS Diagramme'!$D$5,'OS Diagramme'!$D$7,'OS Diagramme'!$D$9,'OS Diagramme'!$D$11,'OS Diagramme'!$D$13,'OS Diagramme'!$D$15,'OS Diagramme'!$D$17,'OS Diagramme'!$D$19,'OS Diagramme'!$D$21,'OS Diagramme'!$D$23,'OS Diagramme'!$D$25,'OS Diagramme'!$D$27,'OS Diagramme'!$D$29,'OS Diagramme'!$D$31,'OS Diagramme'!$D$33,'OS Diagramme'!$D$35,'OS Diagramme'!$D$37,'OS Diagramme'!$D$39,'OS Diagramme'!$D$41)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6-44B5-8E84-7BE7D224B139}"/>
            </c:ext>
          </c:extLst>
        </c:ser>
        <c:ser>
          <c:idx val="1"/>
          <c:order val="1"/>
          <c:tx>
            <c:v>Betrag in A</c:v>
          </c:tx>
          <c:invertIfNegative val="0"/>
          <c:cat>
            <c:strLit>
              <c:ptCount val="19"/>
              <c:pt idx="0">
                <c:v>3</c:v>
              </c:pt>
              <c:pt idx="1">
                <c:v>5</c:v>
              </c:pt>
              <c:pt idx="2">
                <c:v>7</c:v>
              </c:pt>
              <c:pt idx="3">
                <c:v>9</c:v>
              </c:pt>
              <c:pt idx="4">
                <c:v>11</c:v>
              </c:pt>
              <c:pt idx="5">
                <c:v>13</c:v>
              </c:pt>
              <c:pt idx="6">
                <c:v>15</c:v>
              </c:pt>
              <c:pt idx="7">
                <c:v>17</c:v>
              </c:pt>
              <c:pt idx="8">
                <c:v>19</c:v>
              </c:pt>
              <c:pt idx="9">
                <c:v>21</c:v>
              </c:pt>
              <c:pt idx="10">
                <c:v>23</c:v>
              </c:pt>
              <c:pt idx="11">
                <c:v>25</c:v>
              </c:pt>
              <c:pt idx="12">
                <c:v>27</c:v>
              </c:pt>
              <c:pt idx="13">
                <c:v>29</c:v>
              </c:pt>
              <c:pt idx="14">
                <c:v>31</c:v>
              </c:pt>
              <c:pt idx="15">
                <c:v>33</c:v>
              </c:pt>
              <c:pt idx="16">
                <c:v>35</c:v>
              </c:pt>
              <c:pt idx="17">
                <c:v>37</c:v>
              </c:pt>
              <c:pt idx="18">
                <c:v>39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('OS Diagramme'!$C$5,'OS Diagramme'!$C$7,'OS Diagramme'!$C$9,'OS Diagramme'!$C$11,'OS Diagramme'!$C$13,'OS Diagramme'!$C$15,'OS Diagramme'!$C$17,'OS Diagramme'!$C$19,'OS Diagramme'!$C$21,'OS Diagramme'!$C$23,'OS Diagramme'!$C$25,'OS Diagramme'!$C$27,'OS Diagramme'!$C$29,'OS Diagramme'!$C$31,'OS Diagramme'!$C$33,'OS Diagramme'!$C$35,'OS Diagramme'!$C$37,'OS Diagramme'!$C$39,'OS Diagramme'!$C$41,'OS Diagramme'!$C$43,'OS Diagramme'!$C$45,'OS Diagramme'!$C$47,'OS Diagramme'!$C$49,'OS Diagramme'!$C$51)</c15:sqref>
                  </c15:fullRef>
                </c:ext>
              </c:extLst>
              <c:f>('OS Diagramme'!$C$5,'OS Diagramme'!$C$7,'OS Diagramme'!$C$9,'OS Diagramme'!$C$11,'OS Diagramme'!$C$13,'OS Diagramme'!$C$15,'OS Diagramme'!$C$17,'OS Diagramme'!$C$19,'OS Diagramme'!$C$21,'OS Diagramme'!$C$23,'OS Diagramme'!$C$25,'OS Diagramme'!$C$27,'OS Diagramme'!$C$29,'OS Diagramme'!$C$31,'OS Diagramme'!$C$33,'OS Diagramme'!$C$35,'OS Diagramme'!$C$37,'OS Diagramme'!$C$39,'OS Diagramme'!$C$41)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66-44B5-8E84-7BE7D224B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57024"/>
        <c:axId val="78658944"/>
      </c:barChart>
      <c:catAx>
        <c:axId val="7865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Ordnung der Oberschwingung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658944"/>
        <c:crosses val="autoZero"/>
        <c:auto val="1"/>
        <c:lblAlgn val="ctr"/>
        <c:lblOffset val="100"/>
        <c:noMultiLvlLbl val="0"/>
      </c:catAx>
      <c:valAx>
        <c:axId val="78658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Oberschwingungsstrom in A</a:t>
                </a:r>
                <a:endParaRPr lang="en-US" baseline="-25000"/>
              </a:p>
            </c:rich>
          </c:tx>
          <c:layout>
            <c:manualLayout>
              <c:xMode val="edge"/>
              <c:yMode val="edge"/>
              <c:x val="1.2584876114095053E-2"/>
              <c:y val="0.33015851851851852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786570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Höherfrequente Oberschwingungen</a:t>
            </a:r>
          </a:p>
        </c:rich>
      </c:tx>
      <c:layout>
        <c:manualLayout>
          <c:xMode val="edge"/>
          <c:yMode val="edge"/>
          <c:x val="0.30248934091598711"/>
          <c:y val="2.58703703703704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7799206778966465E-2"/>
          <c:y val="0.10752823460146929"/>
          <c:w val="0.90021115485372238"/>
          <c:h val="0.72875574074074079"/>
        </c:manualLayout>
      </c:layout>
      <c:barChart>
        <c:barDir val="col"/>
        <c:grouping val="clustered"/>
        <c:varyColors val="0"/>
        <c:ser>
          <c:idx val="0"/>
          <c:order val="0"/>
          <c:tx>
            <c:v>zul. Werte in A</c:v>
          </c:tx>
          <c:invertIfNegative val="0"/>
          <c:cat>
            <c:numRef>
              <c:f>'OS Diagramme'!$B$92:$B$126</c:f>
              <c:numCache>
                <c:formatCode>General</c:formatCode>
                <c:ptCount val="35"/>
                <c:pt idx="0">
                  <c:v>42</c:v>
                </c:pt>
                <c:pt idx="1">
                  <c:v>46</c:v>
                </c:pt>
                <c:pt idx="2">
                  <c:v>50</c:v>
                </c:pt>
                <c:pt idx="3">
                  <c:v>54</c:v>
                </c:pt>
                <c:pt idx="4">
                  <c:v>58</c:v>
                </c:pt>
                <c:pt idx="5">
                  <c:v>62</c:v>
                </c:pt>
                <c:pt idx="6">
                  <c:v>66</c:v>
                </c:pt>
                <c:pt idx="7">
                  <c:v>70</c:v>
                </c:pt>
                <c:pt idx="8">
                  <c:v>74</c:v>
                </c:pt>
                <c:pt idx="9">
                  <c:v>78</c:v>
                </c:pt>
                <c:pt idx="10">
                  <c:v>82</c:v>
                </c:pt>
                <c:pt idx="11">
                  <c:v>86</c:v>
                </c:pt>
                <c:pt idx="12">
                  <c:v>90</c:v>
                </c:pt>
                <c:pt idx="13">
                  <c:v>94</c:v>
                </c:pt>
                <c:pt idx="14">
                  <c:v>98</c:v>
                </c:pt>
                <c:pt idx="15">
                  <c:v>102</c:v>
                </c:pt>
                <c:pt idx="16">
                  <c:v>106</c:v>
                </c:pt>
                <c:pt idx="17">
                  <c:v>110</c:v>
                </c:pt>
                <c:pt idx="18">
                  <c:v>114</c:v>
                </c:pt>
                <c:pt idx="19">
                  <c:v>118</c:v>
                </c:pt>
                <c:pt idx="20">
                  <c:v>122</c:v>
                </c:pt>
                <c:pt idx="21">
                  <c:v>126</c:v>
                </c:pt>
                <c:pt idx="22">
                  <c:v>130</c:v>
                </c:pt>
                <c:pt idx="23">
                  <c:v>134</c:v>
                </c:pt>
                <c:pt idx="24">
                  <c:v>138</c:v>
                </c:pt>
                <c:pt idx="25">
                  <c:v>142</c:v>
                </c:pt>
                <c:pt idx="26">
                  <c:v>146</c:v>
                </c:pt>
                <c:pt idx="27">
                  <c:v>150</c:v>
                </c:pt>
                <c:pt idx="28">
                  <c:v>154</c:v>
                </c:pt>
                <c:pt idx="29">
                  <c:v>158</c:v>
                </c:pt>
                <c:pt idx="30">
                  <c:v>162</c:v>
                </c:pt>
                <c:pt idx="31">
                  <c:v>166</c:v>
                </c:pt>
                <c:pt idx="32">
                  <c:v>170</c:v>
                </c:pt>
                <c:pt idx="33">
                  <c:v>174</c:v>
                </c:pt>
                <c:pt idx="34">
                  <c:v>178</c:v>
                </c:pt>
              </c:numCache>
            </c:numRef>
          </c:cat>
          <c:val>
            <c:numRef>
              <c:f>'OS Diagramme'!$D$92:$D$126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1-472D-AB19-AC6E28E60EE8}"/>
            </c:ext>
          </c:extLst>
        </c:ser>
        <c:ser>
          <c:idx val="1"/>
          <c:order val="1"/>
          <c:tx>
            <c:v>Betrag in A</c:v>
          </c:tx>
          <c:invertIfNegative val="0"/>
          <c:cat>
            <c:numRef>
              <c:f>'OS Diagramme'!$B$92:$B$126</c:f>
              <c:numCache>
                <c:formatCode>General</c:formatCode>
                <c:ptCount val="35"/>
                <c:pt idx="0">
                  <c:v>42</c:v>
                </c:pt>
                <c:pt idx="1">
                  <c:v>46</c:v>
                </c:pt>
                <c:pt idx="2">
                  <c:v>50</c:v>
                </c:pt>
                <c:pt idx="3">
                  <c:v>54</c:v>
                </c:pt>
                <c:pt idx="4">
                  <c:v>58</c:v>
                </c:pt>
                <c:pt idx="5">
                  <c:v>62</c:v>
                </c:pt>
                <c:pt idx="6">
                  <c:v>66</c:v>
                </c:pt>
                <c:pt idx="7">
                  <c:v>70</c:v>
                </c:pt>
                <c:pt idx="8">
                  <c:v>74</c:v>
                </c:pt>
                <c:pt idx="9">
                  <c:v>78</c:v>
                </c:pt>
                <c:pt idx="10">
                  <c:v>82</c:v>
                </c:pt>
                <c:pt idx="11">
                  <c:v>86</c:v>
                </c:pt>
                <c:pt idx="12">
                  <c:v>90</c:v>
                </c:pt>
                <c:pt idx="13">
                  <c:v>94</c:v>
                </c:pt>
                <c:pt idx="14">
                  <c:v>98</c:v>
                </c:pt>
                <c:pt idx="15">
                  <c:v>102</c:v>
                </c:pt>
                <c:pt idx="16">
                  <c:v>106</c:v>
                </c:pt>
                <c:pt idx="17">
                  <c:v>110</c:v>
                </c:pt>
                <c:pt idx="18">
                  <c:v>114</c:v>
                </c:pt>
                <c:pt idx="19">
                  <c:v>118</c:v>
                </c:pt>
                <c:pt idx="20">
                  <c:v>122</c:v>
                </c:pt>
                <c:pt idx="21">
                  <c:v>126</c:v>
                </c:pt>
                <c:pt idx="22">
                  <c:v>130</c:v>
                </c:pt>
                <c:pt idx="23">
                  <c:v>134</c:v>
                </c:pt>
                <c:pt idx="24">
                  <c:v>138</c:v>
                </c:pt>
                <c:pt idx="25">
                  <c:v>142</c:v>
                </c:pt>
                <c:pt idx="26">
                  <c:v>146</c:v>
                </c:pt>
                <c:pt idx="27">
                  <c:v>150</c:v>
                </c:pt>
                <c:pt idx="28">
                  <c:v>154</c:v>
                </c:pt>
                <c:pt idx="29">
                  <c:v>158</c:v>
                </c:pt>
                <c:pt idx="30">
                  <c:v>162</c:v>
                </c:pt>
                <c:pt idx="31">
                  <c:v>166</c:v>
                </c:pt>
                <c:pt idx="32">
                  <c:v>170</c:v>
                </c:pt>
                <c:pt idx="33">
                  <c:v>174</c:v>
                </c:pt>
                <c:pt idx="34">
                  <c:v>178</c:v>
                </c:pt>
              </c:numCache>
            </c:numRef>
          </c:cat>
          <c:val>
            <c:numRef>
              <c:f>'OS Diagramme'!$C$92:$C$126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B1-472D-AB19-AC6E28E60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99520"/>
        <c:axId val="86250624"/>
      </c:barChart>
      <c:catAx>
        <c:axId val="78699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Ordnung der Oberschwingung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250624"/>
        <c:crosses val="autoZero"/>
        <c:auto val="1"/>
        <c:lblAlgn val="ctr"/>
        <c:lblOffset val="100"/>
        <c:tickMarkSkip val="2"/>
        <c:noMultiLvlLbl val="0"/>
      </c:catAx>
      <c:valAx>
        <c:axId val="86250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Oberschwingungsstrom in A</a:t>
                </a:r>
                <a:endParaRPr lang="en-US" baseline="-25000"/>
              </a:p>
            </c:rich>
          </c:tx>
          <c:layout>
            <c:manualLayout>
              <c:xMode val="edge"/>
              <c:yMode val="edge"/>
              <c:x val="1.3382312049056769E-2"/>
              <c:y val="0.31942370370370426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78699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Zwischenharmonische</a:t>
            </a:r>
            <a:r>
              <a:rPr lang="en-US" baseline="0"/>
              <a:t> Oberschwingungen</a:t>
            </a:r>
            <a:endParaRPr lang="en-US"/>
          </a:p>
        </c:rich>
      </c:tx>
      <c:layout>
        <c:manualLayout>
          <c:xMode val="edge"/>
          <c:yMode val="edge"/>
          <c:x val="0.26242473522983983"/>
          <c:y val="2.8222222222222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877665412928705E-2"/>
          <c:y val="0.10752823460146929"/>
          <c:w val="0.90913269621976023"/>
          <c:h val="0.71934833333333426"/>
        </c:manualLayout>
      </c:layout>
      <c:barChart>
        <c:barDir val="col"/>
        <c:grouping val="clustered"/>
        <c:varyColors val="0"/>
        <c:ser>
          <c:idx val="0"/>
          <c:order val="0"/>
          <c:tx>
            <c:v>zul. Werte in A</c:v>
          </c:tx>
          <c:invertIfNegative val="0"/>
          <c:cat>
            <c:numRef>
              <c:f>'OS Diagramme'!$B$53:$B$91</c:f>
              <c:numCache>
                <c:formatCode>General</c:formatCode>
                <c:ptCount val="39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>
                  <c:v>10.5</c:v>
                </c:pt>
                <c:pt idx="10">
                  <c:v>11.5</c:v>
                </c:pt>
                <c:pt idx="11">
                  <c:v>12.5</c:v>
                </c:pt>
                <c:pt idx="12">
                  <c:v>13.5</c:v>
                </c:pt>
                <c:pt idx="13">
                  <c:v>14.5</c:v>
                </c:pt>
                <c:pt idx="14">
                  <c:v>15.5</c:v>
                </c:pt>
                <c:pt idx="15">
                  <c:v>16.5</c:v>
                </c:pt>
                <c:pt idx="16">
                  <c:v>17.5</c:v>
                </c:pt>
                <c:pt idx="17">
                  <c:v>18.5</c:v>
                </c:pt>
                <c:pt idx="18">
                  <c:v>19.5</c:v>
                </c:pt>
                <c:pt idx="19">
                  <c:v>20.5</c:v>
                </c:pt>
                <c:pt idx="20">
                  <c:v>21.5</c:v>
                </c:pt>
                <c:pt idx="21">
                  <c:v>22.5</c:v>
                </c:pt>
                <c:pt idx="22">
                  <c:v>23.5</c:v>
                </c:pt>
                <c:pt idx="23">
                  <c:v>24.5</c:v>
                </c:pt>
                <c:pt idx="24">
                  <c:v>25.5</c:v>
                </c:pt>
                <c:pt idx="25">
                  <c:v>26.5</c:v>
                </c:pt>
                <c:pt idx="26">
                  <c:v>27.5</c:v>
                </c:pt>
                <c:pt idx="27">
                  <c:v>28.5</c:v>
                </c:pt>
                <c:pt idx="28">
                  <c:v>29.5</c:v>
                </c:pt>
                <c:pt idx="29">
                  <c:v>30.5</c:v>
                </c:pt>
                <c:pt idx="30">
                  <c:v>31.5</c:v>
                </c:pt>
                <c:pt idx="31">
                  <c:v>32.5</c:v>
                </c:pt>
                <c:pt idx="32">
                  <c:v>33.5</c:v>
                </c:pt>
                <c:pt idx="33">
                  <c:v>34.5</c:v>
                </c:pt>
                <c:pt idx="34">
                  <c:v>35.5</c:v>
                </c:pt>
                <c:pt idx="35">
                  <c:v>36.5</c:v>
                </c:pt>
                <c:pt idx="36">
                  <c:v>37.5</c:v>
                </c:pt>
                <c:pt idx="37">
                  <c:v>38.5</c:v>
                </c:pt>
                <c:pt idx="38">
                  <c:v>39.5</c:v>
                </c:pt>
              </c:numCache>
            </c:numRef>
          </c:cat>
          <c:val>
            <c:numRef>
              <c:f>'OS Diagramme'!$D$53:$D$91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A-4EFA-8AC2-6D7DD05B7748}"/>
            </c:ext>
          </c:extLst>
        </c:ser>
        <c:ser>
          <c:idx val="1"/>
          <c:order val="1"/>
          <c:tx>
            <c:v>Betrag in A</c:v>
          </c:tx>
          <c:invertIfNegative val="0"/>
          <c:cat>
            <c:numRef>
              <c:f>'OS Diagramme'!$B$53:$B$91</c:f>
              <c:numCache>
                <c:formatCode>General</c:formatCode>
                <c:ptCount val="39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>
                  <c:v>10.5</c:v>
                </c:pt>
                <c:pt idx="10">
                  <c:v>11.5</c:v>
                </c:pt>
                <c:pt idx="11">
                  <c:v>12.5</c:v>
                </c:pt>
                <c:pt idx="12">
                  <c:v>13.5</c:v>
                </c:pt>
                <c:pt idx="13">
                  <c:v>14.5</c:v>
                </c:pt>
                <c:pt idx="14">
                  <c:v>15.5</c:v>
                </c:pt>
                <c:pt idx="15">
                  <c:v>16.5</c:v>
                </c:pt>
                <c:pt idx="16">
                  <c:v>17.5</c:v>
                </c:pt>
                <c:pt idx="17">
                  <c:v>18.5</c:v>
                </c:pt>
                <c:pt idx="18">
                  <c:v>19.5</c:v>
                </c:pt>
                <c:pt idx="19">
                  <c:v>20.5</c:v>
                </c:pt>
                <c:pt idx="20">
                  <c:v>21.5</c:v>
                </c:pt>
                <c:pt idx="21">
                  <c:v>22.5</c:v>
                </c:pt>
                <c:pt idx="22">
                  <c:v>23.5</c:v>
                </c:pt>
                <c:pt idx="23">
                  <c:v>24.5</c:v>
                </c:pt>
                <c:pt idx="24">
                  <c:v>25.5</c:v>
                </c:pt>
                <c:pt idx="25">
                  <c:v>26.5</c:v>
                </c:pt>
                <c:pt idx="26">
                  <c:v>27.5</c:v>
                </c:pt>
                <c:pt idx="27">
                  <c:v>28.5</c:v>
                </c:pt>
                <c:pt idx="28">
                  <c:v>29.5</c:v>
                </c:pt>
                <c:pt idx="29">
                  <c:v>30.5</c:v>
                </c:pt>
                <c:pt idx="30">
                  <c:v>31.5</c:v>
                </c:pt>
                <c:pt idx="31">
                  <c:v>32.5</c:v>
                </c:pt>
                <c:pt idx="32">
                  <c:v>33.5</c:v>
                </c:pt>
                <c:pt idx="33">
                  <c:v>34.5</c:v>
                </c:pt>
                <c:pt idx="34">
                  <c:v>35.5</c:v>
                </c:pt>
                <c:pt idx="35">
                  <c:v>36.5</c:v>
                </c:pt>
                <c:pt idx="36">
                  <c:v>37.5</c:v>
                </c:pt>
                <c:pt idx="37">
                  <c:v>38.5</c:v>
                </c:pt>
                <c:pt idx="38">
                  <c:v>39.5</c:v>
                </c:pt>
              </c:numCache>
            </c:numRef>
          </c:cat>
          <c:val>
            <c:numRef>
              <c:f>'OS Diagramme'!$C$53:$C$91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FA-4EFA-8AC2-6D7DD05B7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300544"/>
        <c:axId val="86306816"/>
      </c:barChart>
      <c:catAx>
        <c:axId val="8630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Ordnung der Oberschwingungen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306816"/>
        <c:crosses val="autoZero"/>
        <c:auto val="1"/>
        <c:lblAlgn val="ctr"/>
        <c:lblOffset val="100"/>
        <c:tickMarkSkip val="2"/>
        <c:noMultiLvlLbl val="0"/>
      </c:catAx>
      <c:valAx>
        <c:axId val="86306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Oberschwingungsstrom in A</a:t>
                </a:r>
                <a:endParaRPr lang="en-US" baseline="-25000"/>
              </a:p>
            </c:rich>
          </c:tx>
          <c:layout>
            <c:manualLayout>
              <c:xMode val="edge"/>
              <c:yMode val="edge"/>
              <c:x val="1.2537224311785625E-2"/>
              <c:y val="0.31472000000000033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863005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Geradzahlige </a:t>
            </a:r>
            <a:r>
              <a:rPr lang="en-US" sz="1800" b="1" i="0" u="none" strike="noStrike" baseline="0">
                <a:effectLst/>
              </a:rPr>
              <a:t>Oberschwingungen</a:t>
            </a:r>
            <a:endParaRPr lang="en-US"/>
          </a:p>
        </c:rich>
      </c:tx>
      <c:layout>
        <c:manualLayout>
          <c:xMode val="edge"/>
          <c:yMode val="edge"/>
          <c:x val="0.31614263379685298"/>
          <c:y val="2.8222222222222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925317215238044E-2"/>
          <c:y val="0.11892238694434103"/>
          <c:w val="0.90529256977271599"/>
          <c:h val="0.72447351851851938"/>
        </c:manualLayout>
      </c:layout>
      <c:barChart>
        <c:barDir val="col"/>
        <c:grouping val="clustered"/>
        <c:varyColors val="0"/>
        <c:ser>
          <c:idx val="0"/>
          <c:order val="0"/>
          <c:tx>
            <c:v>zul. Werte in A</c:v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'OS Diagramme'!$F$4:$F$28</c15:sqref>
                  </c15:fullRef>
                </c:ext>
              </c:extLst>
              <c:f>'OS Diagramme'!$F$4:$F$23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'OS Diagramme'!$H$4:$H$28</c15:sqref>
                  </c15:fullRef>
                </c:ext>
              </c:extLst>
              <c:f>'OS Diagramme'!$H$4:$H$23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A0-4C0A-8464-11285FBD70D1}"/>
            </c:ext>
          </c:extLst>
        </c:ser>
        <c:ser>
          <c:idx val="1"/>
          <c:order val="1"/>
          <c:tx>
            <c:v>Betrag in A</c:v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'OS Diagramme'!$F$4:$F$28</c15:sqref>
                  </c15:fullRef>
                </c:ext>
              </c:extLst>
              <c:f>'OS Diagramme'!$F$4:$F$23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'OS Diagramme'!$G$4:$G$28</c15:sqref>
                  </c15:fullRef>
                </c:ext>
              </c:extLst>
              <c:f>'OS Diagramme'!$G$4:$G$23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0-4C0A-8464-11285FBD7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92704"/>
        <c:axId val="90794624"/>
      </c:barChart>
      <c:catAx>
        <c:axId val="90792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Ordnung der </a:t>
                </a:r>
                <a:r>
                  <a:rPr lang="en-US" sz="1000" b="1" i="0" u="none" strike="noStrike" baseline="0">
                    <a:effectLst/>
                  </a:rPr>
                  <a:t>Oberschwingungen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794624"/>
        <c:crosses val="autoZero"/>
        <c:auto val="1"/>
        <c:lblAlgn val="ctr"/>
        <c:lblOffset val="100"/>
        <c:noMultiLvlLbl val="0"/>
      </c:catAx>
      <c:valAx>
        <c:axId val="90794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Oberschwingungss</a:t>
                </a:r>
                <a:r>
                  <a:rPr lang="en-US"/>
                  <a:t>trom in A</a:t>
                </a:r>
                <a:endParaRPr lang="en-US" baseline="-25000"/>
              </a:p>
            </c:rich>
          </c:tx>
          <c:layout>
            <c:manualLayout>
              <c:xMode val="edge"/>
              <c:yMode val="edge"/>
              <c:x val="1.2584876114095053E-2"/>
              <c:y val="0.33368629629629687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907927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 b="1" i="0" baseline="0">
                <a:effectLst/>
              </a:rPr>
              <a:t>Spannungshaltung am NAP</a:t>
            </a:r>
            <a:endParaRPr lang="de-DE" sz="12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Schutzgrenzen und betriebliche Spannungsänderungen</a:t>
            </a:r>
            <a:endParaRPr lang="de-DE" sz="1200">
              <a:effectLst/>
            </a:endParaRPr>
          </a:p>
        </c:rich>
      </c:tx>
      <c:layout>
        <c:manualLayout>
          <c:xMode val="edge"/>
          <c:yMode val="edge"/>
          <c:x val="0.10393744531933508"/>
          <c:y val="2.2792022792022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11351706036742"/>
          <c:y val="0.15990541722825191"/>
          <c:w val="0.81837204724409462"/>
          <c:h val="0.65256461185595049"/>
        </c:manualLayout>
      </c:layout>
      <c:lineChart>
        <c:grouping val="standard"/>
        <c:varyColors val="0"/>
        <c:ser>
          <c:idx val="1"/>
          <c:order val="0"/>
          <c:tx>
            <c:strRef>
              <c:f>'Schutzvorgaben und -grenzen'!$B$29</c:f>
              <c:strCache>
                <c:ptCount val="1"/>
                <c:pt idx="0">
                  <c:v>U&gt;</c:v>
                </c:pt>
              </c:strCache>
            </c:strRef>
          </c:tx>
          <c:marker>
            <c:symbol val="circle"/>
            <c:size val="5"/>
          </c:marker>
          <c:cat>
            <c:strRef>
              <c:f>'Schutzvorgaben und -grenzen'!$F$28:$H$28</c:f>
              <c:strCache>
                <c:ptCount val="3"/>
                <c:pt idx="0">
                  <c:v>cosϕ = 0,95 untererregt</c:v>
                </c:pt>
                <c:pt idx="1">
                  <c:v>cosϕ = 1</c:v>
                </c:pt>
                <c:pt idx="2">
                  <c:v>cosϕ = 0,95 übererregt</c:v>
                </c:pt>
              </c:strCache>
            </c:strRef>
          </c:cat>
          <c:val>
            <c:numRef>
              <c:f>'Schutzvorgaben und -grenzen'!$F$29:$H$29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72-47A6-A29F-90170C143789}"/>
            </c:ext>
          </c:extLst>
        </c:ser>
        <c:ser>
          <c:idx val="2"/>
          <c:order val="1"/>
          <c:tx>
            <c:strRef>
              <c:f>'Schutzvorgaben und -grenzen'!$B$31</c:f>
              <c:strCache>
                <c:ptCount val="1"/>
                <c:pt idx="0">
                  <c:v> PF Simulation BDEW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'Schutzvorgaben und -grenzen'!$F$28:$H$28</c:f>
              <c:strCache>
                <c:ptCount val="3"/>
                <c:pt idx="0">
                  <c:v>cosϕ = 0,95 untererregt</c:v>
                </c:pt>
                <c:pt idx="1">
                  <c:v>cosϕ = 1</c:v>
                </c:pt>
                <c:pt idx="2">
                  <c:v>cosϕ = 0,95 übererregt</c:v>
                </c:pt>
              </c:strCache>
            </c:strRef>
          </c:cat>
          <c:val>
            <c:numRef>
              <c:f>'Schutzvorgaben und -grenzen'!$F$31:$H$31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2-47A6-A29F-90170C143789}"/>
            </c:ext>
          </c:extLst>
        </c:ser>
        <c:ser>
          <c:idx val="3"/>
          <c:order val="2"/>
          <c:tx>
            <c:strRef>
              <c:f>'Schutzvorgaben und -grenzen'!$B$30</c:f>
              <c:strCache>
                <c:ptCount val="1"/>
                <c:pt idx="0">
                  <c:v>U&lt;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cat>
            <c:strRef>
              <c:f>'Schutzvorgaben und -grenzen'!$F$28:$H$28</c:f>
              <c:strCache>
                <c:ptCount val="3"/>
                <c:pt idx="0">
                  <c:v>cosϕ = 0,95 untererregt</c:v>
                </c:pt>
                <c:pt idx="1">
                  <c:v>cosϕ = 1</c:v>
                </c:pt>
                <c:pt idx="2">
                  <c:v>cosϕ = 0,95 übererregt</c:v>
                </c:pt>
              </c:strCache>
            </c:strRef>
          </c:cat>
          <c:val>
            <c:numRef>
              <c:f>'Schutzvorgaben und -grenzen'!$F$30:$H$30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72-47A6-A29F-90170C143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50048"/>
        <c:axId val="90851584"/>
      </c:lineChart>
      <c:catAx>
        <c:axId val="9085004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  <a:effectLst>
              <a:outerShdw blurRad="50800" dist="50800" dir="5400000" algn="ctr" rotWithShape="0">
                <a:schemeClr val="bg1">
                  <a:lumMod val="85000"/>
                </a:schemeClr>
              </a:outerShdw>
            </a:effectLst>
          </c:spPr>
        </c:majorGridlines>
        <c:minorGridlines/>
        <c:numFmt formatCode="General" sourceLinked="0"/>
        <c:majorTickMark val="none"/>
        <c:minorTickMark val="out"/>
        <c:tickLblPos val="nextTo"/>
        <c:crossAx val="90851584"/>
        <c:crosses val="autoZero"/>
        <c:auto val="1"/>
        <c:lblAlgn val="ctr"/>
        <c:lblOffset val="100"/>
        <c:noMultiLvlLbl val="0"/>
      </c:catAx>
      <c:valAx>
        <c:axId val="90851584"/>
        <c:scaling>
          <c:orientation val="minMax"/>
          <c:max val="1.2"/>
          <c:min val="0.75000000000000089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U/U</a:t>
                </a:r>
                <a:r>
                  <a:rPr lang="en-US" baseline="-2500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N</a:t>
                </a: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, p.u.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08500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Spannungshaltung an</a:t>
            </a:r>
            <a:r>
              <a:rPr lang="en-US" sz="1200" baseline="0"/>
              <a:t> EZE</a:t>
            </a:r>
            <a:r>
              <a:rPr lang="en-US" sz="1200" baseline="-25000"/>
              <a:t>Neu</a:t>
            </a:r>
            <a:r>
              <a:rPr lang="en-US" sz="1200" baseline="0"/>
              <a:t>-Klemmen</a:t>
            </a:r>
          </a:p>
          <a:p>
            <a:pPr>
              <a:defRPr/>
            </a:pPr>
            <a:r>
              <a:rPr lang="en-US" sz="1200" baseline="0"/>
              <a:t>Schutzgrenzen und betriebliche Spannungsänderungen</a:t>
            </a:r>
            <a:endParaRPr lang="en-US" sz="1200"/>
          </a:p>
        </c:rich>
      </c:tx>
      <c:layout>
        <c:manualLayout>
          <c:xMode val="edge"/>
          <c:yMode val="edge"/>
          <c:x val="0.11782633420822405"/>
          <c:y val="2.416918429003016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300240594925634"/>
          <c:y val="0.19912902125904935"/>
          <c:w val="0.81837204724409462"/>
          <c:h val="0.55159692651711589"/>
        </c:manualLayout>
      </c:layout>
      <c:lineChart>
        <c:grouping val="standard"/>
        <c:varyColors val="0"/>
        <c:ser>
          <c:idx val="0"/>
          <c:order val="0"/>
          <c:tx>
            <c:strRef>
              <c:f>'Schutzvorgaben und -grenzen'!$B$35</c:f>
              <c:strCache>
                <c:ptCount val="1"/>
                <c:pt idx="0">
                  <c:v>U&gt;&gt;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-grenzen'!$F$35:$H$35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88-4431-9FD1-6630536D78E2}"/>
            </c:ext>
          </c:extLst>
        </c:ser>
        <c:ser>
          <c:idx val="1"/>
          <c:order val="1"/>
          <c:tx>
            <c:strRef>
              <c:f>'Schutzvorgaben und -grenzen'!$B$40</c:f>
              <c:strCache>
                <c:ptCount val="1"/>
                <c:pt idx="0">
                  <c:v>1,0 Uc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-grenzen'!$F$40:$H$40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88-4431-9FD1-6630536D78E2}"/>
            </c:ext>
          </c:extLst>
        </c:ser>
        <c:ser>
          <c:idx val="2"/>
          <c:order val="2"/>
          <c:tx>
            <c:strRef>
              <c:f>'Schutzvorgaben und -grenzen'!$B$36</c:f>
              <c:strCache>
                <c:ptCount val="1"/>
                <c:pt idx="0">
                  <c:v>U&lt;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-grenzen'!$F$36:$H$36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88-4431-9FD1-6630536D7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73216"/>
        <c:axId val="90961408"/>
      </c:lineChart>
      <c:catAx>
        <c:axId val="9087321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minorGridlines/>
        <c:numFmt formatCode="General" sourceLinked="0"/>
        <c:majorTickMark val="none"/>
        <c:minorTickMark val="out"/>
        <c:tickLblPos val="nextTo"/>
        <c:crossAx val="90961408"/>
        <c:crosses val="autoZero"/>
        <c:auto val="1"/>
        <c:lblAlgn val="ctr"/>
        <c:lblOffset val="100"/>
        <c:noMultiLvlLbl val="0"/>
      </c:catAx>
      <c:valAx>
        <c:axId val="90961408"/>
        <c:scaling>
          <c:orientation val="minMax"/>
          <c:max val="1.2"/>
          <c:min val="0.75000000000000089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U/U</a:t>
                </a:r>
                <a:r>
                  <a:rPr lang="en-US" baseline="-2500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N,EZE</a:t>
                </a: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, p.u.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908732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sz="1200"/>
              <a:t>Spannungshaltung an</a:t>
            </a:r>
            <a:r>
              <a:rPr lang="en-US" sz="1200" baseline="0"/>
              <a:t> EZE-Klemmen</a:t>
            </a:r>
          </a:p>
          <a:p>
            <a:pPr>
              <a:defRPr/>
            </a:pPr>
            <a:r>
              <a:rPr lang="en-US" sz="1200" baseline="0"/>
              <a:t>Schutzgrenzen und betriebliche Spannungsänderungen</a:t>
            </a:r>
            <a:endParaRPr lang="en-US" sz="1200"/>
          </a:p>
        </c:rich>
      </c:tx>
      <c:layout>
        <c:manualLayout>
          <c:xMode val="edge"/>
          <c:yMode val="edge"/>
          <c:x val="0.11782633420822405"/>
          <c:y val="2.416918429003016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300240594925634"/>
          <c:y val="0.19912902125904935"/>
          <c:w val="0.81294096893692758"/>
          <c:h val="0.52066915604621589"/>
        </c:manualLayout>
      </c:layout>
      <c:lineChart>
        <c:grouping val="standard"/>
        <c:varyColors val="0"/>
        <c:ser>
          <c:idx val="0"/>
          <c:order val="0"/>
          <c:tx>
            <c:strRef>
              <c:f>'Schutzvorgaben und -grenzen'!$B$35</c:f>
              <c:strCache>
                <c:ptCount val="1"/>
                <c:pt idx="0">
                  <c:v>U&gt;&gt;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-grenzen'!$F$35:$H$35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87-497B-8B63-F9C1A0452B27}"/>
            </c:ext>
          </c:extLst>
        </c:ser>
        <c:ser>
          <c:idx val="1"/>
          <c:order val="1"/>
          <c:tx>
            <c:strRef>
              <c:f>'Schutzvorgaben und -grenzen'!$B$40</c:f>
              <c:strCache>
                <c:ptCount val="1"/>
                <c:pt idx="0">
                  <c:v>1,0 Uc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-grenzen'!$F$40:$H$40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87-497B-8B63-F9C1A0452B27}"/>
            </c:ext>
          </c:extLst>
        </c:ser>
        <c:ser>
          <c:idx val="2"/>
          <c:order val="2"/>
          <c:tx>
            <c:strRef>
              <c:f>'Schutzvorgaben und -grenzen'!$B$36</c:f>
              <c:strCache>
                <c:ptCount val="1"/>
                <c:pt idx="0">
                  <c:v>U&lt;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-grenzen'!$F$36:$H$36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87-497B-8B63-F9C1A0452B27}"/>
            </c:ext>
          </c:extLst>
        </c:ser>
        <c:ser>
          <c:idx val="3"/>
          <c:order val="3"/>
          <c:tx>
            <c:strRef>
              <c:f>'Schutzvorgaben und -grenzen'!$B$37</c:f>
              <c:strCache>
                <c:ptCount val="1"/>
                <c:pt idx="0">
                  <c:v>OVRT 1,1 Un</c:v>
                </c:pt>
              </c:strCache>
            </c:strRef>
          </c:tx>
          <c:spPr>
            <a:ln w="2857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-grenzen'!$F$37:$H$37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87-497B-8B63-F9C1A0452B27}"/>
            </c:ext>
          </c:extLst>
        </c:ser>
        <c:ser>
          <c:idx val="4"/>
          <c:order val="4"/>
          <c:tx>
            <c:strRef>
              <c:f>'Schutzvorgaben und -grenzen'!$B$38</c:f>
              <c:strCache>
                <c:ptCount val="1"/>
                <c:pt idx="0">
                  <c:v>LVRT 0,9 Un</c:v>
                </c:pt>
              </c:strCache>
            </c:strRef>
          </c:tx>
          <c:spPr>
            <a:ln w="2857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-grenzen'!$F$38:$H$38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87-497B-8B63-F9C1A0452B27}"/>
            </c:ext>
          </c:extLst>
        </c:ser>
        <c:ser>
          <c:idx val="5"/>
          <c:order val="5"/>
          <c:tx>
            <c:strRef>
              <c:f>'Schutzvorgaben und -grenzen'!$B$39</c:f>
              <c:strCache>
                <c:ptCount val="1"/>
                <c:pt idx="0">
                  <c:v>0,9 Uc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-grenzen'!$F$39:$H$39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87-497B-8B63-F9C1A0452B27}"/>
            </c:ext>
          </c:extLst>
        </c:ser>
        <c:ser>
          <c:idx val="6"/>
          <c:order val="6"/>
          <c:tx>
            <c:strRef>
              <c:f>'Schutzvorgaben und -grenzen'!$B$41</c:f>
              <c:strCache>
                <c:ptCount val="1"/>
                <c:pt idx="0">
                  <c:v>1,1 Uc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-grenzen'!$F$41:$H$41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87-497B-8B63-F9C1A045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15424"/>
        <c:axId val="91107328"/>
      </c:lineChart>
      <c:catAx>
        <c:axId val="91015424"/>
        <c:scaling>
          <c:orientation val="minMax"/>
        </c:scaling>
        <c:delete val="0"/>
        <c:axPos val="b"/>
        <c:majorGridlines>
          <c:spPr>
            <a:ln>
              <a:noFill/>
              <a:prstDash val="sysDash"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none"/>
        <c:minorTickMark val="out"/>
        <c:tickLblPos val="nextTo"/>
        <c:crossAx val="91107328"/>
        <c:crosses val="autoZero"/>
        <c:auto val="1"/>
        <c:lblAlgn val="ctr"/>
        <c:lblOffset val="100"/>
        <c:noMultiLvlLbl val="0"/>
      </c:catAx>
      <c:valAx>
        <c:axId val="91107328"/>
        <c:scaling>
          <c:orientation val="minMax"/>
          <c:max val="1.25"/>
          <c:min val="0.7500000000000008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U/U</a:t>
                </a:r>
                <a:r>
                  <a:rPr lang="en-US" baseline="-2500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N,EZE</a:t>
                </a: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, p.u.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91015424"/>
        <c:crosses val="autoZero"/>
        <c:crossBetween val="between"/>
        <c:majorUnit val="0.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T$9" lockText="1" noThreeD="1"/>
</file>

<file path=xl/ctrlProps/ctrlProp4.xml><?xml version="1.0" encoding="utf-8"?>
<formControlPr xmlns="http://schemas.microsoft.com/office/spreadsheetml/2009/9/main" objectType="CheckBox" fmlaLink="$T$10" lockText="1" noThreeD="1"/>
</file>

<file path=xl/ctrlProps/ctrlProp5.xml><?xml version="1.0" encoding="utf-8"?>
<formControlPr xmlns="http://schemas.microsoft.com/office/spreadsheetml/2009/9/main" objectType="CheckBox" fmlaLink="$T$11" lockText="1" noThreeD="1"/>
</file>

<file path=xl/ctrlProps/ctrlProp6.xml><?xml version="1.0" encoding="utf-8"?>
<formControlPr xmlns="http://schemas.microsoft.com/office/spreadsheetml/2009/9/main" objectType="CheckBox" fmlaLink="$T$12" lockText="1" noThreeD="1"/>
</file>

<file path=xl/ctrlProps/ctrlProp7.xml><?xml version="1.0" encoding="utf-8"?>
<formControlPr xmlns="http://schemas.microsoft.com/office/spreadsheetml/2009/9/main" objectType="CheckBox" fmlaLink="$T$13" lockText="1" noThreeD="1"/>
</file>

<file path=xl/ctrlProps/ctrlProp8.xml><?xml version="1.0" encoding="utf-8"?>
<formControlPr xmlns="http://schemas.microsoft.com/office/spreadsheetml/2009/9/main" objectType="CheckBox" fmlaLink="$T$14" lockText="1" noThreeD="1"/>
</file>

<file path=xl/ctrlProps/ctrlProp9.xml><?xml version="1.0" encoding="utf-8"?>
<formControlPr xmlns="http://schemas.microsoft.com/office/spreadsheetml/2009/9/main" objectType="CheckBox" fmlaLink="$T$15" lockText="1" noThreeD="1"/>
</file>

<file path=xl/ctrlProps/ctrlProp10.xml><?xml version="1.0" encoding="utf-8"?>
<formControlPr xmlns="http://schemas.microsoft.com/office/spreadsheetml/2009/9/main" objectType="CheckBox" fmlaLink="$T$16" lockText="1" noThreeD="1"/>
</file>

<file path=xl/ctrlProps/ctrlProp11.xml><?xml version="1.0" encoding="utf-8"?>
<formControlPr xmlns="http://schemas.microsoft.com/office/spreadsheetml/2009/9/main" objectType="CheckBox" fmlaLink="$T$17" lockText="1" noThreeD="1"/>
</file>

<file path=xl/ctrlProps/ctrlProp12.xml><?xml version="1.0" encoding="utf-8"?>
<formControlPr xmlns="http://schemas.microsoft.com/office/spreadsheetml/2009/9/main" objectType="CheckBox" fmlaLink="$T$18" lockText="1" noThreeD="1"/>
</file>

<file path=xl/ctrlProps/ctrlProp13.xml><?xml version="1.0" encoding="utf-8"?>
<formControlPr xmlns="http://schemas.microsoft.com/office/spreadsheetml/2009/9/main" objectType="CheckBox" fmlaLink="$T$35" lockText="1" noThreeD="1"/>
</file>

<file path=xl/ctrlProps/ctrlProp14.xml><?xml version="1.0" encoding="utf-8"?>
<formControlPr xmlns="http://schemas.microsoft.com/office/spreadsheetml/2009/9/main" objectType="CheckBox" fmlaLink="$T$36" lockText="1" noThreeD="1"/>
</file>

<file path=xl/ctrlProps/ctrlProp15.xml><?xml version="1.0" encoding="utf-8"?>
<formControlPr xmlns="http://schemas.microsoft.com/office/spreadsheetml/2009/9/main" objectType="CheckBox" fmlaLink="$T$37" lockText="1" noThreeD="1"/>
</file>

<file path=xl/ctrlProps/ctrlProp16.xml><?xml version="1.0" encoding="utf-8"?>
<formControlPr xmlns="http://schemas.microsoft.com/office/spreadsheetml/2009/9/main" objectType="CheckBox" fmlaLink="$T$38" lockText="1" noThreeD="1"/>
</file>

<file path=xl/ctrlProps/ctrlProp17.xml><?xml version="1.0" encoding="utf-8"?>
<formControlPr xmlns="http://schemas.microsoft.com/office/spreadsheetml/2009/9/main" objectType="CheckBox" fmlaLink="$T$39" lockText="1" noThreeD="1"/>
</file>

<file path=xl/ctrlProps/ctrlProp18.xml><?xml version="1.0" encoding="utf-8"?>
<formControlPr xmlns="http://schemas.microsoft.com/office/spreadsheetml/2009/9/main" objectType="CheckBox" fmlaLink="#REF!" lockText="1" noThreeD="1"/>
</file>

<file path=xl/ctrlProps/ctrlProp19.xml><?xml version="1.0" encoding="utf-8"?>
<formControlPr xmlns="http://schemas.microsoft.com/office/spreadsheetml/2009/9/main" objectType="CheckBox" fmlaLink="#REF!" lockText="1" noThreeD="1"/>
</file>

<file path=xl/ctrlProps/ctrlProp20.xml><?xml version="1.0" encoding="utf-8"?>
<formControlPr xmlns="http://schemas.microsoft.com/office/spreadsheetml/2009/9/main" objectType="CheckBox" fmlaLink="$T$40" lockText="1" noThreeD="1"/>
</file>

<file path=xl/ctrlProps/ctrlProp21.xml><?xml version="1.0" encoding="utf-8"?>
<formControlPr xmlns="http://schemas.microsoft.com/office/spreadsheetml/2009/9/main" objectType="CheckBox" fmlaLink="$T$41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$T$42" lockText="1" noThreeD="1"/>
</file>

<file path=xl/ctrlProps/ctrlProp24.xml><?xml version="1.0" encoding="utf-8"?>
<formControlPr xmlns="http://schemas.microsoft.com/office/spreadsheetml/2009/9/main" objectType="CheckBox" fmlaLink="$T$43" lockText="1" noThreeD="1"/>
</file>

<file path=xl/ctrlProps/ctrlProp25.xml><?xml version="1.0" encoding="utf-8"?>
<formControlPr xmlns="http://schemas.microsoft.com/office/spreadsheetml/2009/9/main" objectType="CheckBox" fmlaLink="$T$44" lockText="1" noThreeD="1"/>
</file>

<file path=xl/ctrlProps/ctrlProp26.xml><?xml version="1.0" encoding="utf-8"?>
<formControlPr xmlns="http://schemas.microsoft.com/office/spreadsheetml/2009/9/main" objectType="CheckBox" fmlaLink="$T$45" lockText="1" noThreeD="1"/>
</file>

<file path=xl/ctrlProps/ctrlProp27.xml><?xml version="1.0" encoding="utf-8"?>
<formControlPr xmlns="http://schemas.microsoft.com/office/spreadsheetml/2009/9/main" objectType="CheckBox" fmlaLink="$T$46" lockText="1" noThreeD="1"/>
</file>

<file path=xl/ctrlProps/ctrlProp28.xml><?xml version="1.0" encoding="utf-8"?>
<formControlPr xmlns="http://schemas.microsoft.com/office/spreadsheetml/2009/9/main" objectType="CheckBox" fmlaLink="$T$47" lockText="1" noThreeD="1"/>
</file>

<file path=xl/ctrlProps/ctrlProp29.xml><?xml version="1.0" encoding="utf-8"?>
<formControlPr xmlns="http://schemas.microsoft.com/office/spreadsheetml/2009/9/main" objectType="CheckBox" fmlaLink="$T$48" lockText="1" noThreeD="1"/>
</file>

<file path=xl/ctrlProps/ctrlProp30.xml><?xml version="1.0" encoding="utf-8"?>
<formControlPr xmlns="http://schemas.microsoft.com/office/spreadsheetml/2009/9/main" objectType="CheckBox" fmlaLink="$T$49" lockText="1" noThreeD="1"/>
</file>

<file path=xl/ctrlProps/ctrlProp31.xml><?xml version="1.0" encoding="utf-8"?>
<formControlPr xmlns="http://schemas.microsoft.com/office/spreadsheetml/2009/9/main" objectType="CheckBox" fmlaLink="$T$50" lockText="1" noThreeD="1"/>
</file>

<file path=xl/ctrlProps/ctrlProp32.xml><?xml version="1.0" encoding="utf-8"?>
<formControlPr xmlns="http://schemas.microsoft.com/office/spreadsheetml/2009/9/main" objectType="CheckBox" fmlaLink="$T$51" lockText="1" noThreeD="1"/>
</file>

<file path=xl/ctrlProps/ctrlProp33.xml><?xml version="1.0" encoding="utf-8"?>
<formControlPr xmlns="http://schemas.microsoft.com/office/spreadsheetml/2009/9/main" objectType="CheckBox" fmlaLink="$T$52" lockText="1" noThreeD="1"/>
</file>

<file path=xl/ctrlProps/ctrlProp34.xml><?xml version="1.0" encoding="utf-8"?>
<formControlPr xmlns="http://schemas.microsoft.com/office/spreadsheetml/2009/9/main" objectType="CheckBox" fmlaLink="$T$53" lockText="1" noThreeD="1"/>
</file>

<file path=xl/ctrlProps/ctrlProp35.xml><?xml version="1.0" encoding="utf-8"?>
<formControlPr xmlns="http://schemas.microsoft.com/office/spreadsheetml/2009/9/main" objectType="CheckBox" fmlaLink="$T$54" lockText="1" noThreeD="1"/>
</file>

<file path=xl/ctrlProps/ctrlProp36.xml><?xml version="1.0" encoding="utf-8"?>
<formControlPr xmlns="http://schemas.microsoft.com/office/spreadsheetml/2009/9/main" objectType="CheckBox" fmlaLink="$T$55" lockText="1" noThreeD="1"/>
</file>

<file path=xl/ctrlProps/ctrlProp37.xml><?xml version="1.0" encoding="utf-8"?>
<formControlPr xmlns="http://schemas.microsoft.com/office/spreadsheetml/2009/9/main" objectType="CheckBox" fmlaLink="$T$56" lockText="1" noThreeD="1"/>
</file>

<file path=xl/ctrlProps/ctrlProp38.xml><?xml version="1.0" encoding="utf-8"?>
<formControlPr xmlns="http://schemas.microsoft.com/office/spreadsheetml/2009/9/main" objectType="CheckBox" fmlaLink="$T$57" lockText="1" noThreeD="1"/>
</file>

<file path=xl/ctrlProps/ctrlProp39.xml><?xml version="1.0" encoding="utf-8"?>
<formControlPr xmlns="http://schemas.microsoft.com/office/spreadsheetml/2009/9/main" objectType="CheckBox" fmlaLink="$T$58" lockText="1" noThreeD="1"/>
</file>

<file path=xl/ctrlProps/ctrlProp40.xml><?xml version="1.0" encoding="utf-8"?>
<formControlPr xmlns="http://schemas.microsoft.com/office/spreadsheetml/2009/9/main" objectType="CheckBox" fmlaLink="$T$59" lockText="1" noThreeD="1"/>
</file>

<file path=xl/ctrlProps/ctrlProp41.xml><?xml version="1.0" encoding="utf-8"?>
<formControlPr xmlns="http://schemas.microsoft.com/office/spreadsheetml/2009/9/main" objectType="CheckBox" fmlaLink="$T$60" lockText="1" noThreeD="1"/>
</file>

<file path=xl/ctrlProps/ctrlProp42.xml><?xml version="1.0" encoding="utf-8"?>
<formControlPr xmlns="http://schemas.microsoft.com/office/spreadsheetml/2009/9/main" objectType="CheckBox" fmlaLink="$T$61" lockText="1" noThreeD="1"/>
</file>

<file path=xl/ctrlProps/ctrlProp43.xml><?xml version="1.0" encoding="utf-8"?>
<formControlPr xmlns="http://schemas.microsoft.com/office/spreadsheetml/2009/9/main" objectType="CheckBox" fmlaLink="$T$62" lockText="1" noThreeD="1"/>
</file>

<file path=xl/ctrlProps/ctrlProp44.xml><?xml version="1.0" encoding="utf-8"?>
<formControlPr xmlns="http://schemas.microsoft.com/office/spreadsheetml/2009/9/main" objectType="CheckBox" fmlaLink="$T$63" lockText="1" noThreeD="1"/>
</file>

<file path=xl/ctrlProps/ctrlProp45.xml><?xml version="1.0" encoding="utf-8"?>
<formControlPr xmlns="http://schemas.microsoft.com/office/spreadsheetml/2009/9/main" objectType="CheckBox" fmlaLink="$T$64" lockText="1" noThreeD="1"/>
</file>

<file path=xl/ctrlProps/ctrlProp46.xml><?xml version="1.0" encoding="utf-8"?>
<formControlPr xmlns="http://schemas.microsoft.com/office/spreadsheetml/2009/9/main" objectType="CheckBox" fmlaLink="$T$65" lockText="1" noThreeD="1"/>
</file>

<file path=xl/ctrlProps/ctrlProp47.xml><?xml version="1.0" encoding="utf-8"?>
<formControlPr xmlns="http://schemas.microsoft.com/office/spreadsheetml/2009/9/main" objectType="CheckBox" fmlaLink="$T$66" lockText="1" noThreeD="1"/>
</file>

<file path=xl/ctrlProps/ctrlProp48.xml><?xml version="1.0" encoding="utf-8"?>
<formControlPr xmlns="http://schemas.microsoft.com/office/spreadsheetml/2009/9/main" objectType="CheckBox" fmlaLink="$T$67" lockText="1" noThreeD="1"/>
</file>

<file path=xl/ctrlProps/ctrlProp49.xml><?xml version="1.0" encoding="utf-8"?>
<formControlPr xmlns="http://schemas.microsoft.com/office/spreadsheetml/2009/9/main" objectType="CheckBox" fmlaLink="$T$68" lockText="1" noThreeD="1"/>
</file>

<file path=xl/ctrlProps/ctrlProp50.xml><?xml version="1.0" encoding="utf-8"?>
<formControlPr xmlns="http://schemas.microsoft.com/office/spreadsheetml/2009/9/main" objectType="CheckBox" fmlaLink="$T$69" lockText="1" noThreeD="1"/>
</file>

<file path=xl/ctrlProps/ctrlProp51.xml><?xml version="1.0" encoding="utf-8"?>
<formControlPr xmlns="http://schemas.microsoft.com/office/spreadsheetml/2009/9/main" objectType="CheckBox" fmlaLink="$T$70" lockText="1" noThreeD="1"/>
</file>

<file path=xl/ctrlProps/ctrlProp52.xml><?xml version="1.0" encoding="utf-8"?>
<formControlPr xmlns="http://schemas.microsoft.com/office/spreadsheetml/2009/9/main" objectType="CheckBox" fmlaLink="$T$71" lockText="1" noThreeD="1"/>
</file>

<file path=xl/ctrlProps/ctrlProp53.xml><?xml version="1.0" encoding="utf-8"?>
<formControlPr xmlns="http://schemas.microsoft.com/office/spreadsheetml/2009/9/main" objectType="CheckBox" fmlaLink="$T$72" lockText="1" noThreeD="1"/>
</file>

<file path=xl/ctrlProps/ctrlProp54.xml><?xml version="1.0" encoding="utf-8"?>
<formControlPr xmlns="http://schemas.microsoft.com/office/spreadsheetml/2009/9/main" objectType="CheckBox" fmlaLink="$T$73" lockText="1" noThreeD="1"/>
</file>

<file path=xl/ctrlProps/ctrlProp55.xml><?xml version="1.0" encoding="utf-8"?>
<formControlPr xmlns="http://schemas.microsoft.com/office/spreadsheetml/2009/9/main" objectType="CheckBox" fmlaLink="$T$74" lockText="1" noThreeD="1"/>
</file>

<file path=xl/ctrlProps/ctrlProp56.xml><?xml version="1.0" encoding="utf-8"?>
<formControlPr xmlns="http://schemas.microsoft.com/office/spreadsheetml/2009/9/main" objectType="CheckBox" fmlaLink="$T$75" lockText="1" noThreeD="1"/>
</file>

<file path=xl/ctrlProps/ctrlProp57.xml><?xml version="1.0" encoding="utf-8"?>
<formControlPr xmlns="http://schemas.microsoft.com/office/spreadsheetml/2009/9/main" objectType="CheckBox" fmlaLink="$T$76" lockText="1" noThreeD="1"/>
</file>

<file path=xl/ctrlProps/ctrlProp58.xml><?xml version="1.0" encoding="utf-8"?>
<formControlPr xmlns="http://schemas.microsoft.com/office/spreadsheetml/2009/9/main" objectType="CheckBox" fmlaLink="$T$77" lockText="1" noThreeD="1"/>
</file>

<file path=xl/ctrlProps/ctrlProp59.xml><?xml version="1.0" encoding="utf-8"?>
<formControlPr xmlns="http://schemas.microsoft.com/office/spreadsheetml/2009/9/main" objectType="CheckBox" fmlaLink="$T$78" lockText="1" noThreeD="1"/>
</file>

<file path=xl/ctrlProps/ctrlProp60.xml><?xml version="1.0" encoding="utf-8"?>
<formControlPr xmlns="http://schemas.microsoft.com/office/spreadsheetml/2009/9/main" objectType="CheckBox" fmlaLink="$T$79" lockText="1" noThreeD="1"/>
</file>

<file path=xl/ctrlProps/ctrlProp61.xml><?xml version="1.0" encoding="utf-8"?>
<formControlPr xmlns="http://schemas.microsoft.com/office/spreadsheetml/2009/9/main" objectType="CheckBox" fmlaLink="$T$80" lockText="1" noThreeD="1"/>
</file>

<file path=xl/ctrlProps/ctrlProp62.xml><?xml version="1.0" encoding="utf-8"?>
<formControlPr xmlns="http://schemas.microsoft.com/office/spreadsheetml/2009/9/main" objectType="CheckBox" fmlaLink="$T$81" lockText="1" noThreeD="1"/>
</file>

<file path=xl/ctrlProps/ctrlProp63.xml><?xml version="1.0" encoding="utf-8"?>
<formControlPr xmlns="http://schemas.microsoft.com/office/spreadsheetml/2009/9/main" objectType="CheckBox" fmlaLink="$T$82" lockText="1" noThreeD="1"/>
</file>

<file path=xl/ctrlProps/ctrlProp64.xml><?xml version="1.0" encoding="utf-8"?>
<formControlPr xmlns="http://schemas.microsoft.com/office/spreadsheetml/2009/9/main" objectType="CheckBox" fmlaLink="$T$83" lockText="1" noThreeD="1"/>
</file>

<file path=xl/ctrlProps/ctrlProp65.xml><?xml version="1.0" encoding="utf-8"?>
<formControlPr xmlns="http://schemas.microsoft.com/office/spreadsheetml/2009/9/main" objectType="CheckBox" fmlaLink="$T$84" lockText="1" noThreeD="1"/>
</file>

<file path=xl/ctrlProps/ctrlProp66.xml><?xml version="1.0" encoding="utf-8"?>
<formControlPr xmlns="http://schemas.microsoft.com/office/spreadsheetml/2009/9/main" objectType="CheckBox" fmlaLink="$T$86" lockText="1" noThreeD="1"/>
</file>

<file path=xl/ctrlProps/ctrlProp67.xml><?xml version="1.0" encoding="utf-8"?>
<formControlPr xmlns="http://schemas.microsoft.com/office/spreadsheetml/2009/9/main" objectType="CheckBox" fmlaLink="$T$87" lockText="1" noThreeD="1"/>
</file>

<file path=xl/ctrlProps/ctrlProp68.xml><?xml version="1.0" encoding="utf-8"?>
<formControlPr xmlns="http://schemas.microsoft.com/office/spreadsheetml/2009/9/main" objectType="CheckBox" fmlaLink="$T$88" lockText="1" noThreeD="1"/>
</file>

<file path=xl/ctrlProps/ctrlProp69.xml><?xml version="1.0" encoding="utf-8"?>
<formControlPr xmlns="http://schemas.microsoft.com/office/spreadsheetml/2009/9/main" objectType="CheckBox" fmlaLink="$T$89" lockText="1" noThreeD="1"/>
</file>

<file path=xl/ctrlProps/ctrlProp70.xml><?xml version="1.0" encoding="utf-8"?>
<formControlPr xmlns="http://schemas.microsoft.com/office/spreadsheetml/2009/9/main" objectType="CheckBox" fmlaLink="$T$90" lockText="1" noThreeD="1"/>
</file>

<file path=xl/ctrlProps/ctrlProp71.xml><?xml version="1.0" encoding="utf-8"?>
<formControlPr xmlns="http://schemas.microsoft.com/office/spreadsheetml/2009/9/main" objectType="CheckBox" fmlaLink="$T$91" lockText="1" noThreeD="1"/>
</file>

<file path=xl/ctrlProps/ctrlProp72.xml><?xml version="1.0" encoding="utf-8"?>
<formControlPr xmlns="http://schemas.microsoft.com/office/spreadsheetml/2009/9/main" objectType="CheckBox" fmlaLink="$T$92" lockText="1" noThreeD="1"/>
</file>

<file path=xl/ctrlProps/ctrlProp73.xml><?xml version="1.0" encoding="utf-8"?>
<formControlPr xmlns="http://schemas.microsoft.com/office/spreadsheetml/2009/9/main" objectType="CheckBox" fmlaLink="$T$93" lockText="1" noThreeD="1"/>
</file>

<file path=xl/ctrlProps/ctrlProp74.xml><?xml version="1.0" encoding="utf-8"?>
<formControlPr xmlns="http://schemas.microsoft.com/office/spreadsheetml/2009/9/main" objectType="CheckBox" fmlaLink="$T$94" lockText="1" noThreeD="1"/>
</file>

<file path=xl/ctrlProps/ctrlProp75.xml><?xml version="1.0" encoding="utf-8"?>
<formControlPr xmlns="http://schemas.microsoft.com/office/spreadsheetml/2009/9/main" objectType="CheckBox" fmlaLink="$T$95" lockText="1" noThreeD="1"/>
</file>

<file path=xl/ctrlProps/ctrlProp76.xml><?xml version="1.0" encoding="utf-8"?>
<formControlPr xmlns="http://schemas.microsoft.com/office/spreadsheetml/2009/9/main" objectType="CheckBox" fmlaLink="$T$96" lockText="1" noThreeD="1"/>
</file>

<file path=xl/ctrlProps/ctrlProp77.xml><?xml version="1.0" encoding="utf-8"?>
<formControlPr xmlns="http://schemas.microsoft.com/office/spreadsheetml/2009/9/main" objectType="CheckBox" fmlaLink="$T$97" lockText="1" noThreeD="1"/>
</file>

<file path=xl/ctrlProps/ctrlProp78.xml><?xml version="1.0" encoding="utf-8"?>
<formControlPr xmlns="http://schemas.microsoft.com/office/spreadsheetml/2009/9/main" objectType="CheckBox" fmlaLink="$T$98" lockText="1" noThreeD="1"/>
</file>

<file path=xl/ctrlProps/ctrlProp79.xml><?xml version="1.0" encoding="utf-8"?>
<formControlPr xmlns="http://schemas.microsoft.com/office/spreadsheetml/2009/9/main" objectType="CheckBox" fmlaLink="$T$99" lockText="1" noThreeD="1"/>
</file>

<file path=xl/ctrlProps/ctrlProp80.xml><?xml version="1.0" encoding="utf-8"?>
<formControlPr xmlns="http://schemas.microsoft.com/office/spreadsheetml/2009/9/main" objectType="CheckBox" fmlaLink="$T$100" lockText="1" noThreeD="1"/>
</file>

<file path=xl/ctrlProps/ctrlProp81.xml><?xml version="1.0" encoding="utf-8"?>
<formControlPr xmlns="http://schemas.microsoft.com/office/spreadsheetml/2009/9/main" objectType="CheckBox" fmlaLink="$T$101" lockText="1" noThreeD="1"/>
</file>

<file path=xl/ctrlProps/ctrlProp82.xml><?xml version="1.0" encoding="utf-8"?>
<formControlPr xmlns="http://schemas.microsoft.com/office/spreadsheetml/2009/9/main" objectType="CheckBox" fmlaLink="$T$102" lockText="1" noThreeD="1"/>
</file>

<file path=xl/ctrlProps/ctrlProp83.xml><?xml version="1.0" encoding="utf-8"?>
<formControlPr xmlns="http://schemas.microsoft.com/office/spreadsheetml/2009/9/main" objectType="CheckBox" fmlaLink="$T$103" lockText="1" noThreeD="1"/>
</file>

<file path=xl/ctrlProps/ctrlProp84.xml><?xml version="1.0" encoding="utf-8"?>
<formControlPr xmlns="http://schemas.microsoft.com/office/spreadsheetml/2009/9/main" objectType="CheckBox" fmlaLink="$T$104" lockText="1" noThreeD="1"/>
</file>

<file path=xl/ctrlProps/ctrlProp85.xml><?xml version="1.0" encoding="utf-8"?>
<formControlPr xmlns="http://schemas.microsoft.com/office/spreadsheetml/2009/9/main" objectType="CheckBox" fmlaLink="$T$105" lockText="1" noThreeD="1"/>
</file>

<file path=xl/ctrlProps/ctrlProp86.xml><?xml version="1.0" encoding="utf-8"?>
<formControlPr xmlns="http://schemas.microsoft.com/office/spreadsheetml/2009/9/main" objectType="CheckBox" fmlaLink="$T$106" lockText="1" noThreeD="1"/>
</file>

<file path=xl/ctrlProps/ctrlProp87.xml><?xml version="1.0" encoding="utf-8"?>
<formControlPr xmlns="http://schemas.microsoft.com/office/spreadsheetml/2009/9/main" objectType="CheckBox" fmlaLink="$T$107" lockText="1" noThreeD="1"/>
</file>

<file path=xl/ctrlProps/ctrlProp88.xml><?xml version="1.0" encoding="utf-8"?>
<formControlPr xmlns="http://schemas.microsoft.com/office/spreadsheetml/2009/9/main" objectType="CheckBox" fmlaLink="$T$108" lockText="1" noThreeD="1"/>
</file>

<file path=xl/ctrlProps/ctrlProp89.xml><?xml version="1.0" encoding="utf-8"?>
<formControlPr xmlns="http://schemas.microsoft.com/office/spreadsheetml/2009/9/main" objectType="CheckBox" fmlaLink="$T$109" lockText="1" noThreeD="1"/>
</file>

<file path=xl/ctrlProps/ctrlProp90.xml><?xml version="1.0" encoding="utf-8"?>
<formControlPr xmlns="http://schemas.microsoft.com/office/spreadsheetml/2009/9/main" objectType="CheckBox" fmlaLink="$T$110" lockText="1" noThreeD="1"/>
</file>

<file path=xl/ctrlProps/ctrlProp91.xml><?xml version="1.0" encoding="utf-8"?>
<formControlPr xmlns="http://schemas.microsoft.com/office/spreadsheetml/2009/9/main" objectType="CheckBox" fmlaLink="$T$111" lockText="1" noThreeD="1"/>
</file>

<file path=xl/ctrlProps/ctrlProp92.xml><?xml version="1.0" encoding="utf-8"?>
<formControlPr xmlns="http://schemas.microsoft.com/office/spreadsheetml/2009/9/main" objectType="CheckBox" fmlaLink="$T$112" lockText="1" noThreeD="1"/>
</file>

<file path=xl/ctrlProps/ctrlProp93.xml><?xml version="1.0" encoding="utf-8"?>
<formControlPr xmlns="http://schemas.microsoft.com/office/spreadsheetml/2009/9/main" objectType="CheckBox" fmlaLink="$T$113" lockText="1" noThreeD="1"/>
</file>

<file path=xl/ctrlProps/ctrlProp94.xml><?xml version="1.0" encoding="utf-8"?>
<formControlPr xmlns="http://schemas.microsoft.com/office/spreadsheetml/2009/9/main" objectType="CheckBox" fmlaLink="$T$114" lockText="1" noThreeD="1"/>
</file>

<file path=xl/ctrlProps/ctrlProp95.xml><?xml version="1.0" encoding="utf-8"?>
<formControlPr xmlns="http://schemas.microsoft.com/office/spreadsheetml/2009/9/main" objectType="CheckBox" fmlaLink="$T$115" lockText="1" noThreeD="1"/>
</file>

<file path=xl/ctrlProps/ctrlProp96.xml><?xml version="1.0" encoding="utf-8"?>
<formControlPr xmlns="http://schemas.microsoft.com/office/spreadsheetml/2009/9/main" objectType="CheckBox" fmlaLink="$T$116" lockText="1" noThreeD="1"/>
</file>

<file path=xl/ctrlProps/ctrlProp97.xml><?xml version="1.0" encoding="utf-8"?>
<formControlPr xmlns="http://schemas.microsoft.com/office/spreadsheetml/2009/9/main" objectType="CheckBox" fmlaLink="$T$117" lockText="1" noThreeD="1"/>
</file>

<file path=xl/ctrlProps/ctrlProp98.xml><?xml version="1.0" encoding="utf-8"?>
<formControlPr xmlns="http://schemas.microsoft.com/office/spreadsheetml/2009/9/main" objectType="CheckBox" fmlaLink="$T$118" lockText="1" noThreeD="1"/>
</file>

<file path=xl/ctrlProps/ctrlProp99.xml><?xml version="1.0" encoding="utf-8"?>
<formControlPr xmlns="http://schemas.microsoft.com/office/spreadsheetml/2009/9/main" objectType="CheckBox" fmlaLink="$T$119" lockText="1" noThreeD="1"/>
</file>

<file path=xl/ctrlProps/ctrlProp100.xml><?xml version="1.0" encoding="utf-8"?>
<formControlPr xmlns="http://schemas.microsoft.com/office/spreadsheetml/2009/9/main" objectType="CheckBox" fmlaLink="$T$120" lockText="1" noThreeD="1"/>
</file>

<file path=xl/ctrlProps/ctrlProp101.xml><?xml version="1.0" encoding="utf-8"?>
<formControlPr xmlns="http://schemas.microsoft.com/office/spreadsheetml/2009/9/main" objectType="CheckBox" fmlaLink="$T$121" lockText="1" noThreeD="1"/>
</file>

<file path=xl/ctrlProps/ctrlProp102.xml><?xml version="1.0" encoding="utf-8"?>
<formControlPr xmlns="http://schemas.microsoft.com/office/spreadsheetml/2009/9/main" objectType="CheckBox" fmlaLink="$T$123" lockText="1" noThreeD="1"/>
</file>

<file path=xl/ctrlProps/ctrlProp103.xml><?xml version="1.0" encoding="utf-8"?>
<formControlPr xmlns="http://schemas.microsoft.com/office/spreadsheetml/2009/9/main" objectType="CheckBox" fmlaLink="$T$125" lockText="1" noThreeD="1"/>
</file>

<file path=xl/ctrlProps/ctrlProp104.xml><?xml version="1.0" encoding="utf-8"?>
<formControlPr xmlns="http://schemas.microsoft.com/office/spreadsheetml/2009/9/main" objectType="CheckBox" fmlaLink="$T$126" lockText="1" noThreeD="1"/>
</file>

<file path=xl/ctrlProps/ctrlProp105.xml><?xml version="1.0" encoding="utf-8"?>
<formControlPr xmlns="http://schemas.microsoft.com/office/spreadsheetml/2009/9/main" objectType="CheckBox" fmlaLink="$T$127" lockText="1" noThreeD="1"/>
</file>

<file path=xl/ctrlProps/ctrlProp106.xml><?xml version="1.0" encoding="utf-8"?>
<formControlPr xmlns="http://schemas.microsoft.com/office/spreadsheetml/2009/9/main" objectType="CheckBox" fmlaLink="$T$128" lockText="1" noThreeD="1"/>
</file>

<file path=xl/ctrlProps/ctrlProp107.xml><?xml version="1.0" encoding="utf-8"?>
<formControlPr xmlns="http://schemas.microsoft.com/office/spreadsheetml/2009/9/main" objectType="CheckBox" fmlaLink="$T$129" lockText="1" noThreeD="1"/>
</file>

<file path=xl/ctrlProps/ctrlProp108.xml><?xml version="1.0" encoding="utf-8"?>
<formControlPr xmlns="http://schemas.microsoft.com/office/spreadsheetml/2009/9/main" objectType="CheckBox" fmlaLink="$T$130" lockText="1" noThreeD="1"/>
</file>

<file path=xl/ctrlProps/ctrlProp109.xml><?xml version="1.0" encoding="utf-8"?>
<formControlPr xmlns="http://schemas.microsoft.com/office/spreadsheetml/2009/9/main" objectType="CheckBox" fmlaLink="$T$134" lockText="1" noThreeD="1"/>
</file>

<file path=xl/ctrlProps/ctrlProp110.xml><?xml version="1.0" encoding="utf-8"?>
<formControlPr xmlns="http://schemas.microsoft.com/office/spreadsheetml/2009/9/main" objectType="CheckBox" fmlaLink="$T$143" lockText="1" noThreeD="1"/>
</file>

<file path=xl/ctrlProps/ctrlProp111.xml><?xml version="1.0" encoding="utf-8"?>
<formControlPr xmlns="http://schemas.microsoft.com/office/spreadsheetml/2009/9/main" objectType="CheckBox" fmlaLink="$T$144" lockText="1" noThreeD="1"/>
</file>

<file path=xl/ctrlProps/ctrlProp112.xml><?xml version="1.0" encoding="utf-8"?>
<formControlPr xmlns="http://schemas.microsoft.com/office/spreadsheetml/2009/9/main" objectType="CheckBox" fmlaLink="$T$145" lockText="1" noThreeD="1"/>
</file>

<file path=xl/ctrlProps/ctrlProp113.xml><?xml version="1.0" encoding="utf-8"?>
<formControlPr xmlns="http://schemas.microsoft.com/office/spreadsheetml/2009/9/main" objectType="CheckBox" fmlaLink="$T$146" lockText="1" noThreeD="1"/>
</file>

<file path=xl/ctrlProps/ctrlProp114.xml><?xml version="1.0" encoding="utf-8"?>
<formControlPr xmlns="http://schemas.microsoft.com/office/spreadsheetml/2009/9/main" objectType="CheckBox" fmlaLink="$T$147" lockText="1" noThreeD="1"/>
</file>

<file path=xl/ctrlProps/ctrlProp115.xml><?xml version="1.0" encoding="utf-8"?>
<formControlPr xmlns="http://schemas.microsoft.com/office/spreadsheetml/2009/9/main" objectType="CheckBox" fmlaLink="$T$149" lockText="1" noThreeD="1"/>
</file>

<file path=xl/ctrlProps/ctrlProp116.xml><?xml version="1.0" encoding="utf-8"?>
<formControlPr xmlns="http://schemas.microsoft.com/office/spreadsheetml/2009/9/main" objectType="CheckBox" fmlaLink="$T$152" lockText="1" noThreeD="1"/>
</file>

<file path=xl/ctrlProps/ctrlProp117.xml><?xml version="1.0" encoding="utf-8"?>
<formControlPr xmlns="http://schemas.microsoft.com/office/spreadsheetml/2009/9/main" objectType="CheckBox" fmlaLink="$T$153" lockText="1" noThreeD="1"/>
</file>

<file path=xl/ctrlProps/ctrlProp118.xml><?xml version="1.0" encoding="utf-8"?>
<formControlPr xmlns="http://schemas.microsoft.com/office/spreadsheetml/2009/9/main" objectType="CheckBox" fmlaLink="$T$154" lockText="1" noThreeD="1"/>
</file>

<file path=xl/ctrlProps/ctrlProp119.xml><?xml version="1.0" encoding="utf-8"?>
<formControlPr xmlns="http://schemas.microsoft.com/office/spreadsheetml/2009/9/main" objectType="CheckBox" fmlaLink="$T$155" lockText="1" noThreeD="1"/>
</file>

<file path=xl/ctrlProps/ctrlProp120.xml><?xml version="1.0" encoding="utf-8"?>
<formControlPr xmlns="http://schemas.microsoft.com/office/spreadsheetml/2009/9/main" objectType="CheckBox" fmlaLink="$T$157" lockText="1" noThreeD="1"/>
</file>

<file path=xl/ctrlProps/ctrlProp121.xml><?xml version="1.0" encoding="utf-8"?>
<formControlPr xmlns="http://schemas.microsoft.com/office/spreadsheetml/2009/9/main" objectType="CheckBox" fmlaLink="$T$168" lockText="1" noThreeD="1"/>
</file>

<file path=xl/ctrlProps/ctrlProp122.xml><?xml version="1.0" encoding="utf-8"?>
<formControlPr xmlns="http://schemas.microsoft.com/office/spreadsheetml/2009/9/main" objectType="CheckBox" fmlaLink="$T$169" lockText="1" noThreeD="1"/>
</file>

<file path=xl/ctrlProps/ctrlProp123.xml><?xml version="1.0" encoding="utf-8"?>
<formControlPr xmlns="http://schemas.microsoft.com/office/spreadsheetml/2009/9/main" objectType="CheckBox" fmlaLink="$T$170" lockText="1" noThreeD="1"/>
</file>

<file path=xl/ctrlProps/ctrlProp124.xml><?xml version="1.0" encoding="utf-8"?>
<formControlPr xmlns="http://schemas.microsoft.com/office/spreadsheetml/2009/9/main" objectType="CheckBox" fmlaLink="$T$171" lockText="1" noThreeD="1"/>
</file>

<file path=xl/ctrlProps/ctrlProp125.xml><?xml version="1.0" encoding="utf-8"?>
<formControlPr xmlns="http://schemas.microsoft.com/office/spreadsheetml/2009/9/main" objectType="CheckBox" fmlaLink="$T$172" lockText="1" noThreeD="1"/>
</file>

<file path=xl/ctrlProps/ctrlProp126.xml><?xml version="1.0" encoding="utf-8"?>
<formControlPr xmlns="http://schemas.microsoft.com/office/spreadsheetml/2009/9/main" objectType="CheckBox" fmlaLink="$T$173" lockText="1" noThreeD="1"/>
</file>

<file path=xl/ctrlProps/ctrlProp127.xml><?xml version="1.0" encoding="utf-8"?>
<formControlPr xmlns="http://schemas.microsoft.com/office/spreadsheetml/2009/9/main" objectType="CheckBox" fmlaLink="$T$174" lockText="1" noThreeD="1"/>
</file>

<file path=xl/ctrlProps/ctrlProp128.xml><?xml version="1.0" encoding="utf-8"?>
<formControlPr xmlns="http://schemas.microsoft.com/office/spreadsheetml/2009/9/main" objectType="CheckBox" fmlaLink="$T$175" lockText="1" noThreeD="1"/>
</file>

<file path=xl/ctrlProps/ctrlProp129.xml><?xml version="1.0" encoding="utf-8"?>
<formControlPr xmlns="http://schemas.microsoft.com/office/spreadsheetml/2009/9/main" objectType="CheckBox" fmlaLink="$T$176" lockText="1" noThreeD="1"/>
</file>

<file path=xl/ctrlProps/ctrlProp130.xml><?xml version="1.0" encoding="utf-8"?>
<formControlPr xmlns="http://schemas.microsoft.com/office/spreadsheetml/2009/9/main" objectType="CheckBox" fmlaLink="$T$177" lockText="1" noThreeD="1"/>
</file>

<file path=xl/ctrlProps/ctrlProp131.xml><?xml version="1.0" encoding="utf-8"?>
<formControlPr xmlns="http://schemas.microsoft.com/office/spreadsheetml/2009/9/main" objectType="CheckBox" fmlaLink="$T$178" lockText="1" noThreeD="1"/>
</file>

<file path=xl/ctrlProps/ctrlProp132.xml><?xml version="1.0" encoding="utf-8"?>
<formControlPr xmlns="http://schemas.microsoft.com/office/spreadsheetml/2009/9/main" objectType="CheckBox" fmlaLink="$T$179" lockText="1" noThreeD="1"/>
</file>

<file path=xl/ctrlProps/ctrlProp133.xml><?xml version="1.0" encoding="utf-8"?>
<formControlPr xmlns="http://schemas.microsoft.com/office/spreadsheetml/2009/9/main" objectType="CheckBox" fmlaLink="$T$180" lockText="1" noThreeD="1"/>
</file>

<file path=xl/ctrlProps/ctrlProp134.xml><?xml version="1.0" encoding="utf-8"?>
<formControlPr xmlns="http://schemas.microsoft.com/office/spreadsheetml/2009/9/main" objectType="CheckBox" fmlaLink="$T$185" lockText="1" noThreeD="1"/>
</file>

<file path=xl/ctrlProps/ctrlProp135.xml><?xml version="1.0" encoding="utf-8"?>
<formControlPr xmlns="http://schemas.microsoft.com/office/spreadsheetml/2009/9/main" objectType="CheckBox" fmlaLink="$T$186" lockText="1" noThreeD="1"/>
</file>

<file path=xl/ctrlProps/ctrlProp136.xml><?xml version="1.0" encoding="utf-8"?>
<formControlPr xmlns="http://schemas.microsoft.com/office/spreadsheetml/2009/9/main" objectType="CheckBox" fmlaLink="$T$187" lockText="1" noThreeD="1"/>
</file>

<file path=xl/ctrlProps/ctrlProp137.xml><?xml version="1.0" encoding="utf-8"?>
<formControlPr xmlns="http://schemas.microsoft.com/office/spreadsheetml/2009/9/main" objectType="CheckBox" fmlaLink="$T$188" lockText="1" noThreeD="1"/>
</file>

<file path=xl/ctrlProps/ctrlProp138.xml><?xml version="1.0" encoding="utf-8"?>
<formControlPr xmlns="http://schemas.microsoft.com/office/spreadsheetml/2009/9/main" objectType="CheckBox" fmlaLink="$T$189" lockText="1" noThreeD="1"/>
</file>

<file path=xl/ctrlProps/ctrlProp139.xml><?xml version="1.0" encoding="utf-8"?>
<formControlPr xmlns="http://schemas.microsoft.com/office/spreadsheetml/2009/9/main" objectType="CheckBox" fmlaLink="$T$190" lockText="1" noThreeD="1"/>
</file>

<file path=xl/ctrlProps/ctrlProp140.xml><?xml version="1.0" encoding="utf-8"?>
<formControlPr xmlns="http://schemas.microsoft.com/office/spreadsheetml/2009/9/main" objectType="CheckBox" fmlaLink="$T$191" lockText="1" noThreeD="1"/>
</file>

<file path=xl/ctrlProps/ctrlProp141.xml><?xml version="1.0" encoding="utf-8"?>
<formControlPr xmlns="http://schemas.microsoft.com/office/spreadsheetml/2009/9/main" objectType="CheckBox" fmlaLink="$T$192" lockText="1" noThreeD="1"/>
</file>

<file path=xl/ctrlProps/ctrlProp142.xml><?xml version="1.0" encoding="utf-8"?>
<formControlPr xmlns="http://schemas.microsoft.com/office/spreadsheetml/2009/9/main" objectType="CheckBox" fmlaLink="$T$193" lockText="1" noThreeD="1"/>
</file>

<file path=xl/ctrlProps/ctrlProp143.xml><?xml version="1.0" encoding="utf-8"?>
<formControlPr xmlns="http://schemas.microsoft.com/office/spreadsheetml/2009/9/main" objectType="CheckBox" fmlaLink="$T$194" lockText="1" noThreeD="1"/>
</file>

<file path=xl/ctrlProps/ctrlProp144.xml><?xml version="1.0" encoding="utf-8"?>
<formControlPr xmlns="http://schemas.microsoft.com/office/spreadsheetml/2009/9/main" objectType="CheckBox" fmlaLink="$T$195" lockText="1" noThreeD="1"/>
</file>

<file path=xl/ctrlProps/ctrlProp145.xml><?xml version="1.0" encoding="utf-8"?>
<formControlPr xmlns="http://schemas.microsoft.com/office/spreadsheetml/2009/9/main" objectType="CheckBox" fmlaLink="$T$196" lockText="1" noThreeD="1"/>
</file>

<file path=xl/ctrlProps/ctrlProp146.xml><?xml version="1.0" encoding="utf-8"?>
<formControlPr xmlns="http://schemas.microsoft.com/office/spreadsheetml/2009/9/main" objectType="CheckBox" fmlaLink="$T$197" lockText="1" noThreeD="1"/>
</file>

<file path=xl/ctrlProps/ctrlProp147.xml><?xml version="1.0" encoding="utf-8"?>
<formControlPr xmlns="http://schemas.microsoft.com/office/spreadsheetml/2009/9/main" objectType="CheckBox" fmlaLink="$T$198" lockText="1" noThreeD="1"/>
</file>

<file path=xl/ctrlProps/ctrlProp148.xml><?xml version="1.0" encoding="utf-8"?>
<formControlPr xmlns="http://schemas.microsoft.com/office/spreadsheetml/2009/9/main" objectType="CheckBox" fmlaLink="$T$199" lockText="1" noThreeD="1"/>
</file>

<file path=xl/ctrlProps/ctrlProp149.xml><?xml version="1.0" encoding="utf-8"?>
<formControlPr xmlns="http://schemas.microsoft.com/office/spreadsheetml/2009/9/main" objectType="CheckBox" fmlaLink="$T$200" lockText="1" noThreeD="1"/>
</file>

<file path=xl/ctrlProps/ctrlProp150.xml><?xml version="1.0" encoding="utf-8"?>
<formControlPr xmlns="http://schemas.microsoft.com/office/spreadsheetml/2009/9/main" objectType="CheckBox" fmlaLink="$T$201" lockText="1" noThreeD="1"/>
</file>

<file path=xl/ctrlProps/ctrlProp151.xml><?xml version="1.0" encoding="utf-8"?>
<formControlPr xmlns="http://schemas.microsoft.com/office/spreadsheetml/2009/9/main" objectType="CheckBox" fmlaLink="$T$202" lockText="1" noThreeD="1"/>
</file>

<file path=xl/ctrlProps/ctrlProp152.xml><?xml version="1.0" encoding="utf-8"?>
<formControlPr xmlns="http://schemas.microsoft.com/office/spreadsheetml/2009/9/main" objectType="CheckBox" fmlaLink="$T$203" lockText="1" noThreeD="1"/>
</file>

<file path=xl/ctrlProps/ctrlProp153.xml><?xml version="1.0" encoding="utf-8"?>
<formControlPr xmlns="http://schemas.microsoft.com/office/spreadsheetml/2009/9/main" objectType="CheckBox" fmlaLink="$T$204" lockText="1" noThreeD="1"/>
</file>

<file path=xl/ctrlProps/ctrlProp154.xml><?xml version="1.0" encoding="utf-8"?>
<formControlPr xmlns="http://schemas.microsoft.com/office/spreadsheetml/2009/9/main" objectType="CheckBox" fmlaLink="$T$205" lockText="1" noThreeD="1"/>
</file>

<file path=xl/ctrlProps/ctrlProp155.xml><?xml version="1.0" encoding="utf-8"?>
<formControlPr xmlns="http://schemas.microsoft.com/office/spreadsheetml/2009/9/main" objectType="CheckBox" fmlaLink="$T$206" lockText="1" noThreeD="1"/>
</file>

<file path=xl/ctrlProps/ctrlProp156.xml><?xml version="1.0" encoding="utf-8"?>
<formControlPr xmlns="http://schemas.microsoft.com/office/spreadsheetml/2009/9/main" objectType="CheckBox" fmlaLink="$T$207" lockText="1" noThreeD="1"/>
</file>

<file path=xl/ctrlProps/ctrlProp157.xml><?xml version="1.0" encoding="utf-8"?>
<formControlPr xmlns="http://schemas.microsoft.com/office/spreadsheetml/2009/9/main" objectType="CheckBox" fmlaLink="$T$208" lockText="1" noThreeD="1"/>
</file>

<file path=xl/ctrlProps/ctrlProp158.xml><?xml version="1.0" encoding="utf-8"?>
<formControlPr xmlns="http://schemas.microsoft.com/office/spreadsheetml/2009/9/main" objectType="CheckBox" fmlaLink="$T$209" lockText="1" noThreeD="1"/>
</file>

<file path=xl/ctrlProps/ctrlProp159.xml><?xml version="1.0" encoding="utf-8"?>
<formControlPr xmlns="http://schemas.microsoft.com/office/spreadsheetml/2009/9/main" objectType="CheckBox" fmlaLink="$T$210" lockText="1" noThreeD="1"/>
</file>

<file path=xl/ctrlProps/ctrlProp160.xml><?xml version="1.0" encoding="utf-8"?>
<formControlPr xmlns="http://schemas.microsoft.com/office/spreadsheetml/2009/9/main" objectType="CheckBox" fmlaLink="$T$211" lockText="1" noThreeD="1"/>
</file>

<file path=xl/ctrlProps/ctrlProp161.xml><?xml version="1.0" encoding="utf-8"?>
<formControlPr xmlns="http://schemas.microsoft.com/office/spreadsheetml/2009/9/main" objectType="CheckBox" fmlaLink="$T$212" lockText="1" noThreeD="1"/>
</file>

<file path=xl/ctrlProps/ctrlProp162.xml><?xml version="1.0" encoding="utf-8"?>
<formControlPr xmlns="http://schemas.microsoft.com/office/spreadsheetml/2009/9/main" objectType="CheckBox" fmlaLink="$T$213" lockText="1" noThreeD="1"/>
</file>

<file path=xl/ctrlProps/ctrlProp163.xml><?xml version="1.0" encoding="utf-8"?>
<formControlPr xmlns="http://schemas.microsoft.com/office/spreadsheetml/2009/9/main" objectType="CheckBox" fmlaLink="$T$214" lockText="1" noThreeD="1"/>
</file>

<file path=xl/ctrlProps/ctrlProp164.xml><?xml version="1.0" encoding="utf-8"?>
<formControlPr xmlns="http://schemas.microsoft.com/office/spreadsheetml/2009/9/main" objectType="CheckBox" fmlaLink="$T$215" lockText="1" noThreeD="1"/>
</file>

<file path=xl/ctrlProps/ctrlProp165.xml><?xml version="1.0" encoding="utf-8"?>
<formControlPr xmlns="http://schemas.microsoft.com/office/spreadsheetml/2009/9/main" objectType="CheckBox" fmlaLink="$T$216" lockText="1" noThreeD="1"/>
</file>

<file path=xl/ctrlProps/ctrlProp166.xml><?xml version="1.0" encoding="utf-8"?>
<formControlPr xmlns="http://schemas.microsoft.com/office/spreadsheetml/2009/9/main" objectType="CheckBox" fmlaLink="$T$217" lockText="1" noThreeD="1"/>
</file>

<file path=xl/ctrlProps/ctrlProp167.xml><?xml version="1.0" encoding="utf-8"?>
<formControlPr xmlns="http://schemas.microsoft.com/office/spreadsheetml/2009/9/main" objectType="CheckBox" fmlaLink="$T$218" lockText="1" noThreeD="1"/>
</file>

<file path=xl/ctrlProps/ctrlProp168.xml><?xml version="1.0" encoding="utf-8"?>
<formControlPr xmlns="http://schemas.microsoft.com/office/spreadsheetml/2009/9/main" objectType="CheckBox" fmlaLink="$T$219" lockText="1" noThreeD="1"/>
</file>

<file path=xl/ctrlProps/ctrlProp169.xml><?xml version="1.0" encoding="utf-8"?>
<formControlPr xmlns="http://schemas.microsoft.com/office/spreadsheetml/2009/9/main" objectType="CheckBox" fmlaLink="$T$220" lockText="1" noThreeD="1"/>
</file>

<file path=xl/ctrlProps/ctrlProp170.xml><?xml version="1.0" encoding="utf-8"?>
<formControlPr xmlns="http://schemas.microsoft.com/office/spreadsheetml/2009/9/main" objectType="CheckBox" fmlaLink="$T$221" lockText="1" noThreeD="1"/>
</file>

<file path=xl/ctrlProps/ctrlProp171.xml><?xml version="1.0" encoding="utf-8"?>
<formControlPr xmlns="http://schemas.microsoft.com/office/spreadsheetml/2009/9/main" objectType="CheckBox" fmlaLink="$T$222" lockText="1" noThreeD="1"/>
</file>

<file path=xl/ctrlProps/ctrlProp172.xml><?xml version="1.0" encoding="utf-8"?>
<formControlPr xmlns="http://schemas.microsoft.com/office/spreadsheetml/2009/9/main" objectType="CheckBox" fmlaLink="$T$223" lockText="1" noThreeD="1"/>
</file>

<file path=xl/ctrlProps/ctrlProp173.xml><?xml version="1.0" encoding="utf-8"?>
<formControlPr xmlns="http://schemas.microsoft.com/office/spreadsheetml/2009/9/main" objectType="CheckBox" fmlaLink="$T$224" lockText="1" noThreeD="1"/>
</file>

<file path=xl/ctrlProps/ctrlProp174.xml><?xml version="1.0" encoding="utf-8"?>
<formControlPr xmlns="http://schemas.microsoft.com/office/spreadsheetml/2009/9/main" objectType="CheckBox" fmlaLink="$T$225" lockText="1" noThreeD="1"/>
</file>

<file path=xl/ctrlProps/ctrlProp175.xml><?xml version="1.0" encoding="utf-8"?>
<formControlPr xmlns="http://schemas.microsoft.com/office/spreadsheetml/2009/9/main" objectType="CheckBox" fmlaLink="$T$226" lockText="1" noThreeD="1"/>
</file>

<file path=xl/ctrlProps/ctrlProp176.xml><?xml version="1.0" encoding="utf-8"?>
<formControlPr xmlns="http://schemas.microsoft.com/office/spreadsheetml/2009/9/main" objectType="CheckBox" fmlaLink="$T$227" lockText="1" noThreeD="1"/>
</file>

<file path=xl/ctrlProps/ctrlProp177.xml><?xml version="1.0" encoding="utf-8"?>
<formControlPr xmlns="http://schemas.microsoft.com/office/spreadsheetml/2009/9/main" objectType="CheckBox" fmlaLink="$T$249" lockText="1" noThreeD="1"/>
</file>

<file path=xl/ctrlProps/ctrlProp178.xml><?xml version="1.0" encoding="utf-8"?>
<formControlPr xmlns="http://schemas.microsoft.com/office/spreadsheetml/2009/9/main" objectType="CheckBox" fmlaLink="$T$250" lockText="1" noThreeD="1"/>
</file>

<file path=xl/ctrlProps/ctrlProp179.xml><?xml version="1.0" encoding="utf-8"?>
<formControlPr xmlns="http://schemas.microsoft.com/office/spreadsheetml/2009/9/main" objectType="CheckBox" fmlaLink="$T$251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fmlaLink="$T$85" lockText="1" noThreeD="1"/>
</file>

<file path=xl/ctrlProps/ctrlProp185.xml><?xml version="1.0" encoding="utf-8"?>
<formControlPr xmlns="http://schemas.microsoft.com/office/spreadsheetml/2009/9/main" objectType="CheckBox" fmlaLink="$T$137" lockText="1" noThreeD="1"/>
</file>

<file path=xl/ctrlProps/ctrlProp186.xml><?xml version="1.0" encoding="utf-8"?>
<formControlPr xmlns="http://schemas.microsoft.com/office/spreadsheetml/2009/9/main" objectType="CheckBox" fmlaLink="$T$133" lockText="1" noThreeD="1"/>
</file>

<file path=xl/ctrlProps/ctrlProp187.xml><?xml version="1.0" encoding="utf-8"?>
<formControlPr xmlns="http://schemas.microsoft.com/office/spreadsheetml/2009/9/main" objectType="CheckBox" fmlaLink="$T$156" lockText="1" noThreeD="1"/>
</file>

<file path=xl/ctrlProps/ctrlProp188.xml><?xml version="1.0" encoding="utf-8"?>
<formControlPr xmlns="http://schemas.microsoft.com/office/spreadsheetml/2009/9/main" objectType="CheckBox" fmlaLink="$T$252" lockText="1" noThreeD="1"/>
</file>

<file path=xl/ctrlProps/ctrlProp189.xml><?xml version="1.0" encoding="utf-8"?>
<formControlPr xmlns="http://schemas.microsoft.com/office/spreadsheetml/2009/9/main" objectType="CheckBox" fmlaLink="$T$253" lockText="1" noThreeD="1"/>
</file>

<file path=xl/ctrlProps/ctrlProp190.xml><?xml version="1.0" encoding="utf-8"?>
<formControlPr xmlns="http://schemas.microsoft.com/office/spreadsheetml/2009/9/main" objectType="CheckBox" fmlaLink="$T$255" lockText="1" noThreeD="1"/>
</file>

<file path=xl/ctrlProps/ctrlProp191.xml><?xml version="1.0" encoding="utf-8"?>
<formControlPr xmlns="http://schemas.microsoft.com/office/spreadsheetml/2009/9/main" objectType="CheckBox" fmlaLink="$T$256" lockText="1" noThreeD="1"/>
</file>

<file path=xl/ctrlProps/ctrlProp192.xml><?xml version="1.0" encoding="utf-8"?>
<formControlPr xmlns="http://schemas.microsoft.com/office/spreadsheetml/2009/9/main" objectType="CheckBox" fmlaLink="$T$257" lockText="1" noThreeD="1"/>
</file>

<file path=xl/ctrlProps/ctrlProp193.xml><?xml version="1.0" encoding="utf-8"?>
<formControlPr xmlns="http://schemas.microsoft.com/office/spreadsheetml/2009/9/main" objectType="CheckBox" fmlaLink="$T$258" lockText="1" noThreeD="1"/>
</file>

<file path=xl/ctrlProps/ctrlProp194.xml><?xml version="1.0" encoding="utf-8"?>
<formControlPr xmlns="http://schemas.microsoft.com/office/spreadsheetml/2009/9/main" objectType="CheckBox" fmlaLink="$T$259" lockText="1" noThreeD="1"/>
</file>

<file path=xl/ctrlProps/ctrlProp195.xml><?xml version="1.0" encoding="utf-8"?>
<formControlPr xmlns="http://schemas.microsoft.com/office/spreadsheetml/2009/9/main" objectType="CheckBox" fmlaLink="$T$260" lockText="1" noThreeD="1"/>
</file>

<file path=xl/ctrlProps/ctrlProp196.xml><?xml version="1.0" encoding="utf-8"?>
<formControlPr xmlns="http://schemas.microsoft.com/office/spreadsheetml/2009/9/main" objectType="CheckBox" fmlaLink="$T$262" lockText="1" noThreeD="1"/>
</file>

<file path=xl/ctrlProps/ctrlProp197.xml><?xml version="1.0" encoding="utf-8"?>
<formControlPr xmlns="http://schemas.microsoft.com/office/spreadsheetml/2009/9/main" objectType="CheckBox" fmlaLink="$T$263" lockText="1" noThreeD="1"/>
</file>

<file path=xl/ctrlProps/ctrlProp198.xml><?xml version="1.0" encoding="utf-8"?>
<formControlPr xmlns="http://schemas.microsoft.com/office/spreadsheetml/2009/9/main" objectType="CheckBox" fmlaLink="$T$264" lockText="1" noThreeD="1"/>
</file>

<file path=xl/ctrlProps/ctrlProp199.xml><?xml version="1.0" encoding="utf-8"?>
<formControlPr xmlns="http://schemas.microsoft.com/office/spreadsheetml/2009/9/main" objectType="CheckBox" fmlaLink="$T$265" lockText="1" noThreeD="1"/>
</file>

<file path=xl/ctrlProps/ctrlProp200.xml><?xml version="1.0" encoding="utf-8"?>
<formControlPr xmlns="http://schemas.microsoft.com/office/spreadsheetml/2009/9/main" objectType="CheckBox" fmlaLink="$T$266" lockText="1" noThreeD="1"/>
</file>

<file path=xl/ctrlProps/ctrlProp201.xml><?xml version="1.0" encoding="utf-8"?>
<formControlPr xmlns="http://schemas.microsoft.com/office/spreadsheetml/2009/9/main" objectType="CheckBox" fmlaLink="$T$267" lockText="1" noThreeD="1"/>
</file>

<file path=xl/ctrlProps/ctrlProp202.xml><?xml version="1.0" encoding="utf-8"?>
<formControlPr xmlns="http://schemas.microsoft.com/office/spreadsheetml/2009/9/main" objectType="CheckBox" fmlaLink="$T$269" lockText="1" noThreeD="1"/>
</file>

<file path=xl/ctrlProps/ctrlProp203.xml><?xml version="1.0" encoding="utf-8"?>
<formControlPr xmlns="http://schemas.microsoft.com/office/spreadsheetml/2009/9/main" objectType="CheckBox" fmlaLink="$T$270" lockText="1" noThreeD="1"/>
</file>

<file path=xl/ctrlProps/ctrlProp204.xml><?xml version="1.0" encoding="utf-8"?>
<formControlPr xmlns="http://schemas.microsoft.com/office/spreadsheetml/2009/9/main" objectType="CheckBox" fmlaLink="$T$271" lockText="1" noThreeD="1"/>
</file>

<file path=xl/ctrlProps/ctrlProp205.xml><?xml version="1.0" encoding="utf-8"?>
<formControlPr xmlns="http://schemas.microsoft.com/office/spreadsheetml/2009/9/main" objectType="CheckBox" fmlaLink="$T$272" lockText="1" noThreeD="1"/>
</file>

<file path=xl/ctrlProps/ctrlProp206.xml><?xml version="1.0" encoding="utf-8"?>
<formControlPr xmlns="http://schemas.microsoft.com/office/spreadsheetml/2009/9/main" objectType="CheckBox" fmlaLink="$T$273" lockText="1" noThreeD="1"/>
</file>

<file path=xl/ctrlProps/ctrlProp207.xml><?xml version="1.0" encoding="utf-8"?>
<formControlPr xmlns="http://schemas.microsoft.com/office/spreadsheetml/2009/9/main" objectType="CheckBox" fmlaLink="$T$274" lockText="1" noThreeD="1"/>
</file>

<file path=xl/ctrlProps/ctrlProp208.xml><?xml version="1.0" encoding="utf-8"?>
<formControlPr xmlns="http://schemas.microsoft.com/office/spreadsheetml/2009/9/main" objectType="CheckBox" fmlaLink="$T$275" lockText="1" noThreeD="1"/>
</file>

<file path=xl/ctrlProps/ctrlProp209.xml><?xml version="1.0" encoding="utf-8"?>
<formControlPr xmlns="http://schemas.microsoft.com/office/spreadsheetml/2009/9/main" objectType="CheckBox" fmlaLink="$T$276" lockText="1" noThreeD="1"/>
</file>

<file path=xl/ctrlProps/ctrlProp210.xml><?xml version="1.0" encoding="utf-8"?>
<formControlPr xmlns="http://schemas.microsoft.com/office/spreadsheetml/2009/9/main" objectType="CheckBox" fmlaLink="$T$277" lockText="1" noThreeD="1"/>
</file>

<file path=xl/ctrlProps/ctrlProp211.xml><?xml version="1.0" encoding="utf-8"?>
<formControlPr xmlns="http://schemas.microsoft.com/office/spreadsheetml/2009/9/main" objectType="CheckBox" fmlaLink="$T$278" lockText="1" noThreeD="1"/>
</file>

<file path=xl/ctrlProps/ctrlProp212.xml><?xml version="1.0" encoding="utf-8"?>
<formControlPr xmlns="http://schemas.microsoft.com/office/spreadsheetml/2009/9/main" objectType="CheckBox" fmlaLink="$T$279" lockText="1" noThreeD="1"/>
</file>

<file path=xl/ctrlProps/ctrlProp213.xml><?xml version="1.0" encoding="utf-8"?>
<formControlPr xmlns="http://schemas.microsoft.com/office/spreadsheetml/2009/9/main" objectType="CheckBox" fmlaLink="$T$280" lockText="1" noThreeD="1"/>
</file>

<file path=xl/ctrlProps/ctrlProp214.xml><?xml version="1.0" encoding="utf-8"?>
<formControlPr xmlns="http://schemas.microsoft.com/office/spreadsheetml/2009/9/main" objectType="CheckBox" fmlaLink="$T$281" lockText="1" noThreeD="1"/>
</file>

<file path=xl/ctrlProps/ctrlProp215.xml><?xml version="1.0" encoding="utf-8"?>
<formControlPr xmlns="http://schemas.microsoft.com/office/spreadsheetml/2009/9/main" objectType="CheckBox" fmlaLink="$T$282" lockText="1" noThreeD="1"/>
</file>

<file path=xl/ctrlProps/ctrlProp216.xml><?xml version="1.0" encoding="utf-8"?>
<formControlPr xmlns="http://schemas.microsoft.com/office/spreadsheetml/2009/9/main" objectType="CheckBox" fmlaLink="$T$283" lockText="1" noThreeD="1"/>
</file>

<file path=xl/ctrlProps/ctrlProp217.xml><?xml version="1.0" encoding="utf-8"?>
<formControlPr xmlns="http://schemas.microsoft.com/office/spreadsheetml/2009/9/main" objectType="CheckBox" fmlaLink="$T$284" lockText="1" noThreeD="1"/>
</file>

<file path=xl/ctrlProps/ctrlProp218.xml><?xml version="1.0" encoding="utf-8"?>
<formControlPr xmlns="http://schemas.microsoft.com/office/spreadsheetml/2009/9/main" objectType="CheckBox" fmlaLink="$T$285" lockText="1" noThreeD="1"/>
</file>

<file path=xl/ctrlProps/ctrlProp219.xml><?xml version="1.0" encoding="utf-8"?>
<formControlPr xmlns="http://schemas.microsoft.com/office/spreadsheetml/2009/9/main" objectType="CheckBox" fmlaLink="$T$287" lockText="1" noThreeD="1"/>
</file>

<file path=xl/ctrlProps/ctrlProp220.xml><?xml version="1.0" encoding="utf-8"?>
<formControlPr xmlns="http://schemas.microsoft.com/office/spreadsheetml/2009/9/main" objectType="CheckBox" fmlaLink="$T$288" lockText="1" noThreeD="1"/>
</file>

<file path=xl/ctrlProps/ctrlProp221.xml><?xml version="1.0" encoding="utf-8"?>
<formControlPr xmlns="http://schemas.microsoft.com/office/spreadsheetml/2009/9/main" objectType="CheckBox" fmlaLink="$T$289" lockText="1" noThreeD="1"/>
</file>

<file path=xl/ctrlProps/ctrlProp222.xml><?xml version="1.0" encoding="utf-8"?>
<formControlPr xmlns="http://schemas.microsoft.com/office/spreadsheetml/2009/9/main" objectType="CheckBox" fmlaLink="$T$290" lockText="1" noThreeD="1"/>
</file>

<file path=xl/ctrlProps/ctrlProp223.xml><?xml version="1.0" encoding="utf-8"?>
<formControlPr xmlns="http://schemas.microsoft.com/office/spreadsheetml/2009/9/main" objectType="CheckBox" fmlaLink="$T$291" lockText="1" noThreeD="1"/>
</file>

<file path=xl/ctrlProps/ctrlProp224.xml><?xml version="1.0" encoding="utf-8"?>
<formControlPr xmlns="http://schemas.microsoft.com/office/spreadsheetml/2009/9/main" objectType="CheckBox" fmlaLink="$T$292" lockText="1" noThreeD="1"/>
</file>

<file path=xl/ctrlProps/ctrlProp225.xml><?xml version="1.0" encoding="utf-8"?>
<formControlPr xmlns="http://schemas.microsoft.com/office/spreadsheetml/2009/9/main" objectType="CheckBox" fmlaLink="$T$293" lockText="1" noThreeD="1"/>
</file>

<file path=xl/ctrlProps/ctrlProp226.xml><?xml version="1.0" encoding="utf-8"?>
<formControlPr xmlns="http://schemas.microsoft.com/office/spreadsheetml/2009/9/main" objectType="CheckBox" fmlaLink="$T$294" lockText="1" noThreeD="1"/>
</file>

<file path=xl/ctrlProps/ctrlProp227.xml><?xml version="1.0" encoding="utf-8"?>
<formControlPr xmlns="http://schemas.microsoft.com/office/spreadsheetml/2009/9/main" objectType="CheckBox" fmlaLink="$T$295" lockText="1" noThreeD="1"/>
</file>

<file path=xl/ctrlProps/ctrlProp228.xml><?xml version="1.0" encoding="utf-8"?>
<formControlPr xmlns="http://schemas.microsoft.com/office/spreadsheetml/2009/9/main" objectType="CheckBox" fmlaLink="$T$296" lockText="1" noThreeD="1"/>
</file>

<file path=xl/ctrlProps/ctrlProp229.xml><?xml version="1.0" encoding="utf-8"?>
<formControlPr xmlns="http://schemas.microsoft.com/office/spreadsheetml/2009/9/main" objectType="CheckBox" fmlaLink="$T$297" lockText="1" noThreeD="1"/>
</file>

<file path=xl/ctrlProps/ctrlProp230.xml><?xml version="1.0" encoding="utf-8"?>
<formControlPr xmlns="http://schemas.microsoft.com/office/spreadsheetml/2009/9/main" objectType="CheckBox" fmlaLink="$T$298" lockText="1" noThreeD="1"/>
</file>

<file path=xl/ctrlProps/ctrlProp231.xml><?xml version="1.0" encoding="utf-8"?>
<formControlPr xmlns="http://schemas.microsoft.com/office/spreadsheetml/2009/9/main" objectType="CheckBox" fmlaLink="$T$299" lockText="1" noThreeD="1"/>
</file>

<file path=xl/ctrlProps/ctrlProp232.xml><?xml version="1.0" encoding="utf-8"?>
<formControlPr xmlns="http://schemas.microsoft.com/office/spreadsheetml/2009/9/main" objectType="CheckBox" fmlaLink="$T$300" lockText="1" noThreeD="1"/>
</file>

<file path=xl/ctrlProps/ctrlProp233.xml><?xml version="1.0" encoding="utf-8"?>
<formControlPr xmlns="http://schemas.microsoft.com/office/spreadsheetml/2009/9/main" objectType="CheckBox" fmlaLink="#REF!" lockText="1" noThreeD="1"/>
</file>

<file path=xl/ctrlProps/ctrlProp234.xml><?xml version="1.0" encoding="utf-8"?>
<formControlPr xmlns="http://schemas.microsoft.com/office/spreadsheetml/2009/9/main" objectType="CheckBox" fmlaLink="#REF!" lockText="1" noThreeD="1"/>
</file>

<file path=xl/ctrlProps/ctrlProp235.xml><?xml version="1.0" encoding="utf-8"?>
<formControlPr xmlns="http://schemas.microsoft.com/office/spreadsheetml/2009/9/main" objectType="CheckBox" fmlaLink="#REF!" lockText="1" noThreeD="1"/>
</file>

<file path=xl/ctrlProps/ctrlProp236.xml><?xml version="1.0" encoding="utf-8"?>
<formControlPr xmlns="http://schemas.microsoft.com/office/spreadsheetml/2009/9/main" objectType="CheckBox" fmlaLink="$T$301" lockText="1" noThreeD="1"/>
</file>

<file path=xl/ctrlProps/ctrlProp237.xml><?xml version="1.0" encoding="utf-8"?>
<formControlPr xmlns="http://schemas.microsoft.com/office/spreadsheetml/2009/9/main" objectType="CheckBox" fmlaLink="$T$302" lockText="1" noThreeD="1"/>
</file>

<file path=xl/ctrlProps/ctrlProp238.xml><?xml version="1.0" encoding="utf-8"?>
<formControlPr xmlns="http://schemas.microsoft.com/office/spreadsheetml/2009/9/main" objectType="CheckBox" fmlaLink="$T$303" lockText="1" noThreeD="1"/>
</file>

<file path=xl/ctrlProps/ctrlProp239.xml><?xml version="1.0" encoding="utf-8"?>
<formControlPr xmlns="http://schemas.microsoft.com/office/spreadsheetml/2009/9/main" objectType="CheckBox" fmlaLink="$T$304" lockText="1" noThreeD="1"/>
</file>

<file path=xl/ctrlProps/ctrlProp240.xml><?xml version="1.0" encoding="utf-8"?>
<formControlPr xmlns="http://schemas.microsoft.com/office/spreadsheetml/2009/9/main" objectType="CheckBox" fmlaLink="$T$305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CheckBox" fmlaLink="$T$228" lockText="1" noThreeD="1"/>
</file>

<file path=xl/ctrlProps/ctrlProp244.xml><?xml version="1.0" encoding="utf-8"?>
<formControlPr xmlns="http://schemas.microsoft.com/office/spreadsheetml/2009/9/main" objectType="CheckBox" fmlaLink="$T$229" lockText="1" noThreeD="1"/>
</file>

<file path=xl/ctrlProps/ctrlProp245.xml><?xml version="1.0" encoding="utf-8"?>
<formControlPr xmlns="http://schemas.microsoft.com/office/spreadsheetml/2009/9/main" objectType="CheckBox" fmlaLink="$T$230" lockText="1" noThreeD="1"/>
</file>

<file path=xl/ctrlProps/ctrlProp246.xml><?xml version="1.0" encoding="utf-8"?>
<formControlPr xmlns="http://schemas.microsoft.com/office/spreadsheetml/2009/9/main" objectType="CheckBox" fmlaLink="$T$231" lockText="1" noThreeD="1"/>
</file>

<file path=xl/ctrlProps/ctrlProp247.xml><?xml version="1.0" encoding="utf-8"?>
<formControlPr xmlns="http://schemas.microsoft.com/office/spreadsheetml/2009/9/main" objectType="CheckBox" fmlaLink="$T$232" lockText="1" noThreeD="1"/>
</file>

<file path=xl/ctrlProps/ctrlProp248.xml><?xml version="1.0" encoding="utf-8"?>
<formControlPr xmlns="http://schemas.microsoft.com/office/spreadsheetml/2009/9/main" objectType="CheckBox" fmlaLink="$T$233" lockText="1" noThreeD="1"/>
</file>

<file path=xl/ctrlProps/ctrlProp249.xml><?xml version="1.0" encoding="utf-8"?>
<formControlPr xmlns="http://schemas.microsoft.com/office/spreadsheetml/2009/9/main" objectType="CheckBox" fmlaLink="$T$234" lockText="1" noThreeD="1"/>
</file>

<file path=xl/ctrlProps/ctrlProp250.xml><?xml version="1.0" encoding="utf-8"?>
<formControlPr xmlns="http://schemas.microsoft.com/office/spreadsheetml/2009/9/main" objectType="CheckBox" fmlaLink="$T$235" lockText="1" noThreeD="1"/>
</file>

<file path=xl/ctrlProps/ctrlProp251.xml><?xml version="1.0" encoding="utf-8"?>
<formControlPr xmlns="http://schemas.microsoft.com/office/spreadsheetml/2009/9/main" objectType="CheckBox" fmlaLink="$T$236" lockText="1" noThreeD="1"/>
</file>

<file path=xl/ctrlProps/ctrlProp252.xml><?xml version="1.0" encoding="utf-8"?>
<formControlPr xmlns="http://schemas.microsoft.com/office/spreadsheetml/2009/9/main" objectType="CheckBox" fmlaLink="$T$237" lockText="1" noThreeD="1"/>
</file>

<file path=xl/ctrlProps/ctrlProp253.xml><?xml version="1.0" encoding="utf-8"?>
<formControlPr xmlns="http://schemas.microsoft.com/office/spreadsheetml/2009/9/main" objectType="CheckBox" fmlaLink="$T$238" lockText="1" noThreeD="1"/>
</file>

<file path=xl/ctrlProps/ctrlProp254.xml><?xml version="1.0" encoding="utf-8"?>
<formControlPr xmlns="http://schemas.microsoft.com/office/spreadsheetml/2009/9/main" objectType="CheckBox" fmlaLink="$T$239" lockText="1" noThreeD="1"/>
</file>

<file path=xl/ctrlProps/ctrlProp255.xml><?xml version="1.0" encoding="utf-8"?>
<formControlPr xmlns="http://schemas.microsoft.com/office/spreadsheetml/2009/9/main" objectType="CheckBox" fmlaLink="$T$240" lockText="1" noThreeD="1"/>
</file>

<file path=xl/ctrlProps/ctrlProp256.xml><?xml version="1.0" encoding="utf-8"?>
<formControlPr xmlns="http://schemas.microsoft.com/office/spreadsheetml/2009/9/main" objectType="CheckBox" fmlaLink="$T$241" lockText="1" noThreeD="1"/>
</file>

<file path=xl/ctrlProps/ctrlProp257.xml><?xml version="1.0" encoding="utf-8"?>
<formControlPr xmlns="http://schemas.microsoft.com/office/spreadsheetml/2009/9/main" objectType="CheckBox" fmlaLink="$T$242" lockText="1" noThreeD="1"/>
</file>

<file path=xl/ctrlProps/ctrlProp258.xml><?xml version="1.0" encoding="utf-8"?>
<formControlPr xmlns="http://schemas.microsoft.com/office/spreadsheetml/2009/9/main" objectType="CheckBox" fmlaLink="$T$243" lockText="1" noThreeD="1"/>
</file>

<file path=xl/ctrlProps/ctrlProp259.xml><?xml version="1.0" encoding="utf-8"?>
<formControlPr xmlns="http://schemas.microsoft.com/office/spreadsheetml/2009/9/main" objectType="CheckBox" fmlaLink="$T$244" lockText="1" noThreeD="1"/>
</file>

<file path=xl/ctrlProps/ctrlProp260.xml><?xml version="1.0" encoding="utf-8"?>
<formControlPr xmlns="http://schemas.microsoft.com/office/spreadsheetml/2009/9/main" objectType="CheckBox" fmlaLink="$T$245" lockText="1" noThreeD="1"/>
</file>

<file path=xl/ctrlProps/ctrlProp261.xml><?xml version="1.0" encoding="utf-8"?>
<formControlPr xmlns="http://schemas.microsoft.com/office/spreadsheetml/2009/9/main" objectType="CheckBox" fmlaLink="$T$246" lockText="1" noThreeD="1"/>
</file>

<file path=xl/ctrlProps/ctrlProp262.xml><?xml version="1.0" encoding="utf-8"?>
<formControlPr xmlns="http://schemas.microsoft.com/office/spreadsheetml/2009/9/main" objectType="CheckBox" fmlaLink="$T$247" lockText="1" noThreeD="1"/>
</file>

<file path=xl/ctrlProps/ctrlProp263.xml><?xml version="1.0" encoding="utf-8"?>
<formControlPr xmlns="http://schemas.microsoft.com/office/spreadsheetml/2009/9/main" objectType="CheckBox" fmlaLink="$T$248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181" lockText="1" noThreeD="1"/>
</file>

<file path=xl/ctrlProps/ctrlProp266.xml><?xml version="1.0" encoding="utf-8"?>
<formControlPr xmlns="http://schemas.microsoft.com/office/spreadsheetml/2009/9/main" objectType="CheckBox" fmlaLink="$T$182" lockText="1" noThreeD="1"/>
</file>

<file path=xl/ctrlProps/ctrlProp267.xml><?xml version="1.0" encoding="utf-8"?>
<formControlPr xmlns="http://schemas.microsoft.com/office/spreadsheetml/2009/9/main" objectType="CheckBox" fmlaLink="$T$183" lockText="1" noThreeD="1"/>
</file>

<file path=xl/ctrlProps/ctrlProp268.xml><?xml version="1.0" encoding="utf-8"?>
<formControlPr xmlns="http://schemas.microsoft.com/office/spreadsheetml/2009/9/main" objectType="CheckBox" fmlaLink="$T$184" lockText="1" noThreeD="1"/>
</file>

<file path=xl/ctrlProps/ctrlProp269.xml><?xml version="1.0" encoding="utf-8"?>
<formControlPr xmlns="http://schemas.microsoft.com/office/spreadsheetml/2009/9/main" objectType="CheckBox" fmlaLink="$T$158" lockText="1" noThreeD="1"/>
</file>

<file path=xl/ctrlProps/ctrlProp270.xml><?xml version="1.0" encoding="utf-8"?>
<formControlPr xmlns="http://schemas.microsoft.com/office/spreadsheetml/2009/9/main" objectType="CheckBox" fmlaLink="$T$159" lockText="1" noThreeD="1"/>
</file>

<file path=xl/ctrlProps/ctrlProp271.xml><?xml version="1.0" encoding="utf-8"?>
<formControlPr xmlns="http://schemas.microsoft.com/office/spreadsheetml/2009/9/main" objectType="CheckBox" fmlaLink="$T$160" lockText="1" noThreeD="1"/>
</file>

<file path=xl/ctrlProps/ctrlProp272.xml><?xml version="1.0" encoding="utf-8"?>
<formControlPr xmlns="http://schemas.microsoft.com/office/spreadsheetml/2009/9/main" objectType="CheckBox" fmlaLink="$T$161" lockText="1" noThreeD="1"/>
</file>

<file path=xl/ctrlProps/ctrlProp273.xml><?xml version="1.0" encoding="utf-8"?>
<formControlPr xmlns="http://schemas.microsoft.com/office/spreadsheetml/2009/9/main" objectType="CheckBox" fmlaLink="$T$162" lockText="1" noThreeD="1"/>
</file>

<file path=xl/ctrlProps/ctrlProp274.xml><?xml version="1.0" encoding="utf-8"?>
<formControlPr xmlns="http://schemas.microsoft.com/office/spreadsheetml/2009/9/main" objectType="CheckBox" fmlaLink="$T$163" lockText="1" noThreeD="1"/>
</file>

<file path=xl/ctrlProps/ctrlProp275.xml><?xml version="1.0" encoding="utf-8"?>
<formControlPr xmlns="http://schemas.microsoft.com/office/spreadsheetml/2009/9/main" objectType="CheckBox" fmlaLink="$T$164" lockText="1" noThreeD="1"/>
</file>

<file path=xl/ctrlProps/ctrlProp276.xml><?xml version="1.0" encoding="utf-8"?>
<formControlPr xmlns="http://schemas.microsoft.com/office/spreadsheetml/2009/9/main" objectType="CheckBox" fmlaLink="$T$165" lockText="1" noThreeD="1"/>
</file>

<file path=xl/ctrlProps/ctrlProp277.xml><?xml version="1.0" encoding="utf-8"?>
<formControlPr xmlns="http://schemas.microsoft.com/office/spreadsheetml/2009/9/main" objectType="CheckBox" fmlaLink="$T$166" lockText="1" noThreeD="1"/>
</file>

<file path=xl/ctrlProps/ctrlProp278.xml><?xml version="1.0" encoding="utf-8"?>
<formControlPr xmlns="http://schemas.microsoft.com/office/spreadsheetml/2009/9/main" objectType="CheckBox" fmlaLink="$T$167" lockText="1" noThreeD="1"/>
</file>

<file path=xl/ctrlProps/ctrlProp279.xml><?xml version="1.0" encoding="utf-8"?>
<formControlPr xmlns="http://schemas.microsoft.com/office/spreadsheetml/2009/9/main" objectType="CheckBox" fmlaLink="$T$148" lockText="1" noThreeD="1"/>
</file>

<file path=xl/ctrlProps/ctrlProp280.xml><?xml version="1.0" encoding="utf-8"?>
<formControlPr xmlns="http://schemas.microsoft.com/office/spreadsheetml/2009/9/main" objectType="CheckBox" fmlaLink="$T$150" lockText="1" noThreeD="1"/>
</file>

<file path=xl/ctrlProps/ctrlProp281.xml><?xml version="1.0" encoding="utf-8"?>
<formControlPr xmlns="http://schemas.microsoft.com/office/spreadsheetml/2009/9/main" objectType="CheckBox" fmlaLink="$T$151" lockText="1" noThreeD="1"/>
</file>

<file path=xl/ctrlProps/ctrlProp282.xml><?xml version="1.0" encoding="utf-8"?>
<formControlPr xmlns="http://schemas.microsoft.com/office/spreadsheetml/2009/9/main" objectType="CheckBox" fmlaLink="$T$138" lockText="1" noThreeD="1"/>
</file>

<file path=xl/ctrlProps/ctrlProp283.xml><?xml version="1.0" encoding="utf-8"?>
<formControlPr xmlns="http://schemas.microsoft.com/office/spreadsheetml/2009/9/main" objectType="CheckBox" fmlaLink="$T$139" lockText="1" noThreeD="1"/>
</file>

<file path=xl/ctrlProps/ctrlProp284.xml><?xml version="1.0" encoding="utf-8"?>
<formControlPr xmlns="http://schemas.microsoft.com/office/spreadsheetml/2009/9/main" objectType="CheckBox" fmlaLink="$T$140" lockText="1" noThreeD="1"/>
</file>

<file path=xl/ctrlProps/ctrlProp285.xml><?xml version="1.0" encoding="utf-8"?>
<formControlPr xmlns="http://schemas.microsoft.com/office/spreadsheetml/2009/9/main" objectType="CheckBox" fmlaLink="$T$141" lockText="1" noThreeD="1"/>
</file>

<file path=xl/ctrlProps/ctrlProp286.xml><?xml version="1.0" encoding="utf-8"?>
<formControlPr xmlns="http://schemas.microsoft.com/office/spreadsheetml/2009/9/main" objectType="CheckBox" fmlaLink="$T$142" lockText="1" noThreeD="1"/>
</file>

<file path=xl/ctrlProps/ctrlProp287.xml><?xml version="1.0" encoding="utf-8"?>
<formControlPr xmlns="http://schemas.microsoft.com/office/spreadsheetml/2009/9/main" objectType="CheckBox" fmlaLink="$T$135" lockText="1" noThreeD="1"/>
</file>

<file path=xl/ctrlProps/ctrlProp288.xml><?xml version="1.0" encoding="utf-8"?>
<formControlPr xmlns="http://schemas.microsoft.com/office/spreadsheetml/2009/9/main" objectType="CheckBox" fmlaLink="$T$136" lockText="1" noThreeD="1"/>
</file>

<file path=xl/ctrlProps/ctrlProp289.xml><?xml version="1.0" encoding="utf-8"?>
<formControlPr xmlns="http://schemas.microsoft.com/office/spreadsheetml/2009/9/main" objectType="CheckBox" fmlaLink="$T$131" lockText="1" noThreeD="1"/>
</file>

<file path=xl/ctrlProps/ctrlProp290.xml><?xml version="1.0" encoding="utf-8"?>
<formControlPr xmlns="http://schemas.microsoft.com/office/spreadsheetml/2009/9/main" objectType="CheckBox" fmlaLink="$T$132" lockText="1" noThreeD="1"/>
</file>

<file path=xl/ctrlProps/ctrlProp291.xml><?xml version="1.0" encoding="utf-8"?>
<formControlPr xmlns="http://schemas.microsoft.com/office/spreadsheetml/2009/9/main" objectType="CheckBox" fmlaLink="$T$122" lockText="1" noThreeD="1"/>
</file>

<file path=xl/ctrlProps/ctrlProp292.xml><?xml version="1.0" encoding="utf-8"?>
<formControlPr xmlns="http://schemas.microsoft.com/office/spreadsheetml/2009/9/main" objectType="CheckBox" fmlaLink="$T$124" lockText="1" noThreeD="1"/>
</file>

<file path=xl/ctrlProps/ctrlProp293.xml><?xml version="1.0" encoding="utf-8"?>
<formControlPr xmlns="http://schemas.microsoft.com/office/spreadsheetml/2009/9/main" objectType="CheckBox" fmlaLink="$T$268" lockText="1" noThreeD="1"/>
</file>

<file path=xl/ctrlProps/ctrlProp294.xml><?xml version="1.0" encoding="utf-8"?>
<formControlPr xmlns="http://schemas.microsoft.com/office/spreadsheetml/2009/9/main" objectType="CheckBox" fmlaLink="$T$254" lockText="1" noThreeD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CheckBox" checked="Checked" fmlaLink="$C$6" lockText="1" noThreeD="1"/>
</file>

<file path=xl/ctrlProps/ctrlProp298.xml><?xml version="1.0" encoding="utf-8"?>
<formControlPr xmlns="http://schemas.microsoft.com/office/spreadsheetml/2009/9/main" objectType="CheckBox" fmlaLink="$C$7" lockText="1" noThreeD="1"/>
</file>

<file path=xl/ctrlProps/ctrlProp299.xml><?xml version="1.0" encoding="utf-8"?>
<formControlPr xmlns="http://schemas.microsoft.com/office/spreadsheetml/2009/9/main" objectType="CheckBox" fmlaLink="$F$6" lockText="1" noThreeD="1"/>
</file>

<file path=xl/ctrlProps/ctrlProp300.xml><?xml version="1.0" encoding="utf-8"?>
<formControlPr xmlns="http://schemas.microsoft.com/office/spreadsheetml/2009/9/main" objectType="CheckBox" checked="Checked" fmlaLink="F7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w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127000</xdr:colOff>
      <xdr:row>5</xdr:row>
      <xdr:rowOff>158750</xdr:rowOff>
    </xdr:from>
    <xdr:to>
      <xdr:col>6</xdr:col>
      <xdr:colOff>3100916</xdr:colOff>
      <xdr:row>5</xdr:row>
      <xdr:rowOff>920750</xdr:rowOff>
    </xdr:to>
    <xdr:sp macro="[0]!Schaltflache372_Klicken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657917" y="5090583"/>
          <a:ext cx="2973916" cy="7620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1. </a:t>
          </a:r>
          <a:r>
            <a:rPr lang="en-US" sz="2000"/>
            <a:t>Vorlage Auswählen ...</a:t>
          </a:r>
          <a:endParaRPr lang="x-none" sz="2000"/>
        </a:p>
      </xdr:txBody>
    </xdr:sp>
    <xdr:clientData/>
  </xdr:twoCellAnchor>
  <xdr:twoCellAnchor>
    <xdr:from>
      <xdr:col>9</xdr:col>
      <xdr:colOff>253993</xdr:colOff>
      <xdr:row>3</xdr:row>
      <xdr:rowOff>460371</xdr:rowOff>
    </xdr:from>
    <xdr:to>
      <xdr:col>10</xdr:col>
      <xdr:colOff>1513417</xdr:colOff>
      <xdr:row>3</xdr:row>
      <xdr:rowOff>1000120</xdr:rowOff>
    </xdr:to>
    <xdr:sp macro="[0]!AnWordTextfelder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256743" y="3508371"/>
          <a:ext cx="1830924" cy="539749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3. </a:t>
          </a:r>
          <a:r>
            <a:rPr lang="en-US" sz="2000"/>
            <a:t>Erstellen</a:t>
          </a:r>
          <a:endParaRPr lang="x-none" sz="1100"/>
        </a:p>
      </xdr:txBody>
    </xdr:sp>
    <xdr:clientData/>
  </xdr:twoCellAnchor>
  <xdr:twoCellAnchor>
    <xdr:from>
      <xdr:col>6</xdr:col>
      <xdr:colOff>179916</xdr:colOff>
      <xdr:row>2</xdr:row>
      <xdr:rowOff>105834</xdr:rowOff>
    </xdr:from>
    <xdr:to>
      <xdr:col>6</xdr:col>
      <xdr:colOff>2942166</xdr:colOff>
      <xdr:row>2</xdr:row>
      <xdr:rowOff>889000</xdr:rowOff>
    </xdr:to>
    <xdr:sp macro="[0]!Import_2020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710833" y="2137834"/>
          <a:ext cx="2762250" cy="78316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Daten aus 2010 importieren ...</a:t>
          </a:r>
          <a:endParaRPr lang="x-none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457200</xdr:rowOff>
        </xdr:from>
        <xdr:to>
          <xdr:col>9</xdr:col>
          <xdr:colOff>247650</xdr:colOff>
          <xdr:row>2</xdr:row>
          <xdr:rowOff>85725</xdr:rowOff>
        </xdr:to>
        <xdr:sp macro="" textlink="">
          <xdr:nvSpPr>
            <xdr:cNvPr id="7178" name="Pruf_Check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238125</xdr:colOff>
          <xdr:row>2</xdr:row>
          <xdr:rowOff>723900</xdr:rowOff>
        </xdr:to>
        <xdr:sp macro="" textlink="">
          <xdr:nvSpPr>
            <xdr:cNvPr id="7179" name="Konfi_check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657225</xdr:rowOff>
        </xdr:from>
        <xdr:to>
          <xdr:col>9</xdr:col>
          <xdr:colOff>285750</xdr:colOff>
          <xdr:row>3</xdr:row>
          <xdr:rowOff>0</xdr:rowOff>
        </xdr:to>
        <xdr:sp macro="" textlink="">
          <xdr:nvSpPr>
            <xdr:cNvPr id="7180" name="Begehung_check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</xdr:row>
          <xdr:rowOff>676275</xdr:rowOff>
        </xdr:from>
        <xdr:to>
          <xdr:col>10</xdr:col>
          <xdr:colOff>1466850</xdr:colOff>
          <xdr:row>2</xdr:row>
          <xdr:rowOff>19050</xdr:rowOff>
        </xdr:to>
        <xdr:sp macro="" textlink="">
          <xdr:nvSpPr>
            <xdr:cNvPr id="7181" name="Label1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</xdr:row>
          <xdr:rowOff>152400</xdr:rowOff>
        </xdr:from>
        <xdr:to>
          <xdr:col>10</xdr:col>
          <xdr:colOff>2038350</xdr:colOff>
          <xdr:row>2</xdr:row>
          <xdr:rowOff>428625</xdr:rowOff>
        </xdr:to>
        <xdr:sp macro="" textlink="">
          <xdr:nvSpPr>
            <xdr:cNvPr id="7182" name="Label2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</xdr:row>
          <xdr:rowOff>742950</xdr:rowOff>
        </xdr:from>
        <xdr:to>
          <xdr:col>10</xdr:col>
          <xdr:colOff>1638300</xdr:colOff>
          <xdr:row>3</xdr:row>
          <xdr:rowOff>57150</xdr:rowOff>
        </xdr:to>
        <xdr:sp macro="" textlink="">
          <xdr:nvSpPr>
            <xdr:cNvPr id="7183" name="Label3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209550</xdr:colOff>
          <xdr:row>0</xdr:row>
          <xdr:rowOff>47625</xdr:rowOff>
        </xdr:from>
        <xdr:to>
          <xdr:col>26</xdr:col>
          <xdr:colOff>514350</xdr:colOff>
          <xdr:row>1</xdr:row>
          <xdr:rowOff>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0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Beta-Button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7</xdr:row>
          <xdr:rowOff>152400</xdr:rowOff>
        </xdr:from>
        <xdr:to>
          <xdr:col>16</xdr:col>
          <xdr:colOff>1924050</xdr:colOff>
          <xdr:row>7</xdr:row>
          <xdr:rowOff>885825</xdr:rowOff>
        </xdr:to>
        <xdr:sp macro="" textlink="">
          <xdr:nvSpPr>
            <xdr:cNvPr id="7187" name="Check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8</xdr:row>
          <xdr:rowOff>428625</xdr:rowOff>
        </xdr:from>
        <xdr:to>
          <xdr:col>20</xdr:col>
          <xdr:colOff>0</xdr:colOff>
          <xdr:row>8</xdr:row>
          <xdr:rowOff>638175</xdr:rowOff>
        </xdr:to>
        <xdr:sp macro="" textlink="">
          <xdr:nvSpPr>
            <xdr:cNvPr id="7193" name="Check Box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</xdr:row>
          <xdr:rowOff>419100</xdr:rowOff>
        </xdr:from>
        <xdr:to>
          <xdr:col>20</xdr:col>
          <xdr:colOff>9525</xdr:colOff>
          <xdr:row>9</xdr:row>
          <xdr:rowOff>628650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0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</xdr:row>
          <xdr:rowOff>409575</xdr:rowOff>
        </xdr:from>
        <xdr:to>
          <xdr:col>20</xdr:col>
          <xdr:colOff>9525</xdr:colOff>
          <xdr:row>10</xdr:row>
          <xdr:rowOff>619125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11</xdr:row>
          <xdr:rowOff>371475</xdr:rowOff>
        </xdr:from>
        <xdr:to>
          <xdr:col>19</xdr:col>
          <xdr:colOff>485775</xdr:colOff>
          <xdr:row>11</xdr:row>
          <xdr:rowOff>619125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0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</xdr:row>
          <xdr:rowOff>400050</xdr:rowOff>
        </xdr:from>
        <xdr:to>
          <xdr:col>19</xdr:col>
          <xdr:colOff>561975</xdr:colOff>
          <xdr:row>12</xdr:row>
          <xdr:rowOff>714375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0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13</xdr:row>
          <xdr:rowOff>428625</xdr:rowOff>
        </xdr:from>
        <xdr:to>
          <xdr:col>19</xdr:col>
          <xdr:colOff>542925</xdr:colOff>
          <xdr:row>13</xdr:row>
          <xdr:rowOff>685800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0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</xdr:row>
          <xdr:rowOff>390525</xdr:rowOff>
        </xdr:from>
        <xdr:to>
          <xdr:col>19</xdr:col>
          <xdr:colOff>571500</xdr:colOff>
          <xdr:row>14</xdr:row>
          <xdr:rowOff>714375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0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</xdr:row>
          <xdr:rowOff>419100</xdr:rowOff>
        </xdr:from>
        <xdr:to>
          <xdr:col>19</xdr:col>
          <xdr:colOff>581025</xdr:colOff>
          <xdr:row>15</xdr:row>
          <xdr:rowOff>666750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0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</xdr:row>
          <xdr:rowOff>400050</xdr:rowOff>
        </xdr:from>
        <xdr:to>
          <xdr:col>19</xdr:col>
          <xdr:colOff>609600</xdr:colOff>
          <xdr:row>16</xdr:row>
          <xdr:rowOff>666750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0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</xdr:row>
          <xdr:rowOff>409575</xdr:rowOff>
        </xdr:from>
        <xdr:to>
          <xdr:col>19</xdr:col>
          <xdr:colOff>695325</xdr:colOff>
          <xdr:row>17</xdr:row>
          <xdr:rowOff>695325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0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34</xdr:row>
          <xdr:rowOff>361950</xdr:rowOff>
        </xdr:from>
        <xdr:to>
          <xdr:col>20</xdr:col>
          <xdr:colOff>76200</xdr:colOff>
          <xdr:row>34</xdr:row>
          <xdr:rowOff>723900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0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35</xdr:row>
          <xdr:rowOff>342900</xdr:rowOff>
        </xdr:from>
        <xdr:to>
          <xdr:col>20</xdr:col>
          <xdr:colOff>257175</xdr:colOff>
          <xdr:row>35</xdr:row>
          <xdr:rowOff>733425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0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36</xdr:row>
          <xdr:rowOff>381000</xdr:rowOff>
        </xdr:from>
        <xdr:to>
          <xdr:col>20</xdr:col>
          <xdr:colOff>133350</xdr:colOff>
          <xdr:row>36</xdr:row>
          <xdr:rowOff>714375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0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37</xdr:row>
          <xdr:rowOff>438150</xdr:rowOff>
        </xdr:from>
        <xdr:to>
          <xdr:col>19</xdr:col>
          <xdr:colOff>742950</xdr:colOff>
          <xdr:row>37</xdr:row>
          <xdr:rowOff>647700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0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38</xdr:row>
          <xdr:rowOff>419100</xdr:rowOff>
        </xdr:from>
        <xdr:to>
          <xdr:col>19</xdr:col>
          <xdr:colOff>742950</xdr:colOff>
          <xdr:row>38</xdr:row>
          <xdr:rowOff>628650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0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39</xdr:row>
          <xdr:rowOff>0</xdr:rowOff>
        </xdr:from>
        <xdr:to>
          <xdr:col>19</xdr:col>
          <xdr:colOff>752475</xdr:colOff>
          <xdr:row>39</xdr:row>
          <xdr:rowOff>209550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0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39</xdr:row>
          <xdr:rowOff>0</xdr:rowOff>
        </xdr:from>
        <xdr:to>
          <xdr:col>19</xdr:col>
          <xdr:colOff>742950</xdr:colOff>
          <xdr:row>39</xdr:row>
          <xdr:rowOff>209550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0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39</xdr:row>
          <xdr:rowOff>438150</xdr:rowOff>
        </xdr:from>
        <xdr:to>
          <xdr:col>19</xdr:col>
          <xdr:colOff>742950</xdr:colOff>
          <xdr:row>39</xdr:row>
          <xdr:rowOff>647700</xdr:rowOff>
        </xdr:to>
        <xdr:sp macro="" textlink="">
          <xdr:nvSpPr>
            <xdr:cNvPr id="7229" name="Check Box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0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40</xdr:row>
          <xdr:rowOff>447675</xdr:rowOff>
        </xdr:from>
        <xdr:to>
          <xdr:col>19</xdr:col>
          <xdr:colOff>752475</xdr:colOff>
          <xdr:row>40</xdr:row>
          <xdr:rowOff>657225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0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41</xdr:row>
          <xdr:rowOff>0</xdr:rowOff>
        </xdr:from>
        <xdr:to>
          <xdr:col>19</xdr:col>
          <xdr:colOff>742950</xdr:colOff>
          <xdr:row>41</xdr:row>
          <xdr:rowOff>209550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0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41</xdr:row>
          <xdr:rowOff>438150</xdr:rowOff>
        </xdr:from>
        <xdr:to>
          <xdr:col>19</xdr:col>
          <xdr:colOff>742950</xdr:colOff>
          <xdr:row>41</xdr:row>
          <xdr:rowOff>647700</xdr:rowOff>
        </xdr:to>
        <xdr:sp macro="" textlink="">
          <xdr:nvSpPr>
            <xdr:cNvPr id="7232" name="Check Box 6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000-00004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42</xdr:row>
          <xdr:rowOff>419100</xdr:rowOff>
        </xdr:from>
        <xdr:to>
          <xdr:col>19</xdr:col>
          <xdr:colOff>742950</xdr:colOff>
          <xdr:row>42</xdr:row>
          <xdr:rowOff>628650</xdr:rowOff>
        </xdr:to>
        <xdr:sp macro="" textlink="">
          <xdr:nvSpPr>
            <xdr:cNvPr id="7233" name="Check Box 6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0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43</xdr:row>
          <xdr:rowOff>447675</xdr:rowOff>
        </xdr:from>
        <xdr:to>
          <xdr:col>19</xdr:col>
          <xdr:colOff>742950</xdr:colOff>
          <xdr:row>43</xdr:row>
          <xdr:rowOff>657225</xdr:rowOff>
        </xdr:to>
        <xdr:sp macro="" textlink="">
          <xdr:nvSpPr>
            <xdr:cNvPr id="7234" name="Check Box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0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44</xdr:row>
          <xdr:rowOff>419100</xdr:rowOff>
        </xdr:from>
        <xdr:to>
          <xdr:col>19</xdr:col>
          <xdr:colOff>742950</xdr:colOff>
          <xdr:row>44</xdr:row>
          <xdr:rowOff>628650</xdr:rowOff>
        </xdr:to>
        <xdr:sp macro="" textlink="">
          <xdr:nvSpPr>
            <xdr:cNvPr id="7235" name="Check Box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0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45</xdr:row>
          <xdr:rowOff>390525</xdr:rowOff>
        </xdr:from>
        <xdr:to>
          <xdr:col>19</xdr:col>
          <xdr:colOff>742950</xdr:colOff>
          <xdr:row>45</xdr:row>
          <xdr:rowOff>600075</xdr:rowOff>
        </xdr:to>
        <xdr:sp macro="" textlink="">
          <xdr:nvSpPr>
            <xdr:cNvPr id="7236" name="Check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0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46</xdr:row>
          <xdr:rowOff>428625</xdr:rowOff>
        </xdr:from>
        <xdr:to>
          <xdr:col>19</xdr:col>
          <xdr:colOff>742950</xdr:colOff>
          <xdr:row>46</xdr:row>
          <xdr:rowOff>638175</xdr:rowOff>
        </xdr:to>
        <xdr:sp macro="" textlink="">
          <xdr:nvSpPr>
            <xdr:cNvPr id="7237" name="Check Box 69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000-00004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47</xdr:row>
          <xdr:rowOff>428625</xdr:rowOff>
        </xdr:from>
        <xdr:to>
          <xdr:col>19</xdr:col>
          <xdr:colOff>742950</xdr:colOff>
          <xdr:row>47</xdr:row>
          <xdr:rowOff>638175</xdr:rowOff>
        </xdr:to>
        <xdr:sp macro="" textlink="">
          <xdr:nvSpPr>
            <xdr:cNvPr id="7238" name="Check Box 70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000-00004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48</xdr:row>
          <xdr:rowOff>400050</xdr:rowOff>
        </xdr:from>
        <xdr:to>
          <xdr:col>19</xdr:col>
          <xdr:colOff>742950</xdr:colOff>
          <xdr:row>48</xdr:row>
          <xdr:rowOff>609600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0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49</xdr:row>
          <xdr:rowOff>457200</xdr:rowOff>
        </xdr:from>
        <xdr:to>
          <xdr:col>19</xdr:col>
          <xdr:colOff>742950</xdr:colOff>
          <xdr:row>49</xdr:row>
          <xdr:rowOff>666750</xdr:rowOff>
        </xdr:to>
        <xdr:sp macro="" textlink="">
          <xdr:nvSpPr>
            <xdr:cNvPr id="7240" name="Check Box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0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50</xdr:row>
          <xdr:rowOff>409575</xdr:rowOff>
        </xdr:from>
        <xdr:to>
          <xdr:col>19</xdr:col>
          <xdr:colOff>742950</xdr:colOff>
          <xdr:row>50</xdr:row>
          <xdr:rowOff>619125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0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51</xdr:row>
          <xdr:rowOff>428625</xdr:rowOff>
        </xdr:from>
        <xdr:to>
          <xdr:col>19</xdr:col>
          <xdr:colOff>742950</xdr:colOff>
          <xdr:row>51</xdr:row>
          <xdr:rowOff>638175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0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52</xdr:row>
          <xdr:rowOff>438150</xdr:rowOff>
        </xdr:from>
        <xdr:to>
          <xdr:col>19</xdr:col>
          <xdr:colOff>742950</xdr:colOff>
          <xdr:row>52</xdr:row>
          <xdr:rowOff>647700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0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53</xdr:row>
          <xdr:rowOff>428625</xdr:rowOff>
        </xdr:from>
        <xdr:to>
          <xdr:col>19</xdr:col>
          <xdr:colOff>742950</xdr:colOff>
          <xdr:row>53</xdr:row>
          <xdr:rowOff>638175</xdr:rowOff>
        </xdr:to>
        <xdr:sp macro="" textlink="">
          <xdr:nvSpPr>
            <xdr:cNvPr id="7244" name="Check Box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0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54</xdr:row>
          <xdr:rowOff>438150</xdr:rowOff>
        </xdr:from>
        <xdr:to>
          <xdr:col>19</xdr:col>
          <xdr:colOff>742950</xdr:colOff>
          <xdr:row>54</xdr:row>
          <xdr:rowOff>647700</xdr:rowOff>
        </xdr:to>
        <xdr:sp macro="" textlink="">
          <xdr:nvSpPr>
            <xdr:cNvPr id="7245" name="Check Box 77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0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55</xdr:row>
          <xdr:rowOff>438150</xdr:rowOff>
        </xdr:from>
        <xdr:to>
          <xdr:col>19</xdr:col>
          <xdr:colOff>742950</xdr:colOff>
          <xdr:row>55</xdr:row>
          <xdr:rowOff>647700</xdr:rowOff>
        </xdr:to>
        <xdr:sp macro="" textlink="">
          <xdr:nvSpPr>
            <xdr:cNvPr id="7246" name="Check Box 78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0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56</xdr:row>
          <xdr:rowOff>447675</xdr:rowOff>
        </xdr:from>
        <xdr:to>
          <xdr:col>19</xdr:col>
          <xdr:colOff>742950</xdr:colOff>
          <xdr:row>56</xdr:row>
          <xdr:rowOff>657225</xdr:rowOff>
        </xdr:to>
        <xdr:sp macro="" textlink="">
          <xdr:nvSpPr>
            <xdr:cNvPr id="7247" name="Check Box 79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0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57</xdr:row>
          <xdr:rowOff>428625</xdr:rowOff>
        </xdr:from>
        <xdr:to>
          <xdr:col>19</xdr:col>
          <xdr:colOff>752475</xdr:colOff>
          <xdr:row>57</xdr:row>
          <xdr:rowOff>638175</xdr:rowOff>
        </xdr:to>
        <xdr:sp macro="" textlink="">
          <xdr:nvSpPr>
            <xdr:cNvPr id="7248" name="Check Box 80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0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58</xdr:row>
          <xdr:rowOff>457200</xdr:rowOff>
        </xdr:from>
        <xdr:to>
          <xdr:col>19</xdr:col>
          <xdr:colOff>752475</xdr:colOff>
          <xdr:row>58</xdr:row>
          <xdr:rowOff>666750</xdr:rowOff>
        </xdr:to>
        <xdr:sp macro="" textlink="">
          <xdr:nvSpPr>
            <xdr:cNvPr id="7249" name="Check Box 8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0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59</xdr:row>
          <xdr:rowOff>428625</xdr:rowOff>
        </xdr:from>
        <xdr:to>
          <xdr:col>19</xdr:col>
          <xdr:colOff>742950</xdr:colOff>
          <xdr:row>59</xdr:row>
          <xdr:rowOff>638175</xdr:rowOff>
        </xdr:to>
        <xdr:sp macro="" textlink="">
          <xdr:nvSpPr>
            <xdr:cNvPr id="7250" name="Check Box 8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0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60</xdr:row>
          <xdr:rowOff>419100</xdr:rowOff>
        </xdr:from>
        <xdr:to>
          <xdr:col>19</xdr:col>
          <xdr:colOff>742950</xdr:colOff>
          <xdr:row>60</xdr:row>
          <xdr:rowOff>628650</xdr:rowOff>
        </xdr:to>
        <xdr:sp macro="" textlink="">
          <xdr:nvSpPr>
            <xdr:cNvPr id="7251" name="Check Box 83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0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61</xdr:row>
          <xdr:rowOff>447675</xdr:rowOff>
        </xdr:from>
        <xdr:to>
          <xdr:col>19</xdr:col>
          <xdr:colOff>742950</xdr:colOff>
          <xdr:row>61</xdr:row>
          <xdr:rowOff>657225</xdr:rowOff>
        </xdr:to>
        <xdr:sp macro="" textlink="">
          <xdr:nvSpPr>
            <xdr:cNvPr id="7252" name="Check Box 8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0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62</xdr:row>
          <xdr:rowOff>457200</xdr:rowOff>
        </xdr:from>
        <xdr:to>
          <xdr:col>19</xdr:col>
          <xdr:colOff>742950</xdr:colOff>
          <xdr:row>62</xdr:row>
          <xdr:rowOff>666750</xdr:rowOff>
        </xdr:to>
        <xdr:sp macro="" textlink="">
          <xdr:nvSpPr>
            <xdr:cNvPr id="7253" name="Check Box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0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63</xdr:row>
          <xdr:rowOff>438150</xdr:rowOff>
        </xdr:from>
        <xdr:to>
          <xdr:col>19</xdr:col>
          <xdr:colOff>742950</xdr:colOff>
          <xdr:row>63</xdr:row>
          <xdr:rowOff>647700</xdr:rowOff>
        </xdr:to>
        <xdr:sp macro="" textlink="">
          <xdr:nvSpPr>
            <xdr:cNvPr id="7254" name="Check Box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0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64</xdr:row>
          <xdr:rowOff>447675</xdr:rowOff>
        </xdr:from>
        <xdr:to>
          <xdr:col>19</xdr:col>
          <xdr:colOff>742950</xdr:colOff>
          <xdr:row>64</xdr:row>
          <xdr:rowOff>657225</xdr:rowOff>
        </xdr:to>
        <xdr:sp macro="" textlink="">
          <xdr:nvSpPr>
            <xdr:cNvPr id="7255" name="Check Box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0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65</xdr:row>
          <xdr:rowOff>447675</xdr:rowOff>
        </xdr:from>
        <xdr:to>
          <xdr:col>19</xdr:col>
          <xdr:colOff>742950</xdr:colOff>
          <xdr:row>65</xdr:row>
          <xdr:rowOff>657225</xdr:rowOff>
        </xdr:to>
        <xdr:sp macro="" textlink="">
          <xdr:nvSpPr>
            <xdr:cNvPr id="7256" name="Check Box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0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66</xdr:row>
          <xdr:rowOff>466725</xdr:rowOff>
        </xdr:from>
        <xdr:to>
          <xdr:col>19</xdr:col>
          <xdr:colOff>742950</xdr:colOff>
          <xdr:row>66</xdr:row>
          <xdr:rowOff>676275</xdr:rowOff>
        </xdr:to>
        <xdr:sp macro="" textlink="">
          <xdr:nvSpPr>
            <xdr:cNvPr id="7257" name="Check Box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0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67</xdr:row>
          <xdr:rowOff>457200</xdr:rowOff>
        </xdr:from>
        <xdr:to>
          <xdr:col>19</xdr:col>
          <xdr:colOff>742950</xdr:colOff>
          <xdr:row>67</xdr:row>
          <xdr:rowOff>666750</xdr:rowOff>
        </xdr:to>
        <xdr:sp macro="" textlink="">
          <xdr:nvSpPr>
            <xdr:cNvPr id="7258" name="Check Box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0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68</xdr:row>
          <xdr:rowOff>457200</xdr:rowOff>
        </xdr:from>
        <xdr:to>
          <xdr:col>19</xdr:col>
          <xdr:colOff>742950</xdr:colOff>
          <xdr:row>68</xdr:row>
          <xdr:rowOff>666750</xdr:rowOff>
        </xdr:to>
        <xdr:sp macro="" textlink="">
          <xdr:nvSpPr>
            <xdr:cNvPr id="7259" name="Check Box 91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0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69</xdr:row>
          <xdr:rowOff>447675</xdr:rowOff>
        </xdr:from>
        <xdr:to>
          <xdr:col>19</xdr:col>
          <xdr:colOff>742950</xdr:colOff>
          <xdr:row>69</xdr:row>
          <xdr:rowOff>657225</xdr:rowOff>
        </xdr:to>
        <xdr:sp macro="" textlink="">
          <xdr:nvSpPr>
            <xdr:cNvPr id="7260" name="Check Box 9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0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70</xdr:row>
          <xdr:rowOff>457200</xdr:rowOff>
        </xdr:from>
        <xdr:to>
          <xdr:col>19</xdr:col>
          <xdr:colOff>742950</xdr:colOff>
          <xdr:row>70</xdr:row>
          <xdr:rowOff>666750</xdr:rowOff>
        </xdr:to>
        <xdr:sp macro="" textlink="">
          <xdr:nvSpPr>
            <xdr:cNvPr id="7261" name="Check Box 93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0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71</xdr:row>
          <xdr:rowOff>438150</xdr:rowOff>
        </xdr:from>
        <xdr:to>
          <xdr:col>19</xdr:col>
          <xdr:colOff>742950</xdr:colOff>
          <xdr:row>71</xdr:row>
          <xdr:rowOff>647700</xdr:rowOff>
        </xdr:to>
        <xdr:sp macro="" textlink="">
          <xdr:nvSpPr>
            <xdr:cNvPr id="7262" name="Check Box 94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0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72</xdr:row>
          <xdr:rowOff>438150</xdr:rowOff>
        </xdr:from>
        <xdr:to>
          <xdr:col>19</xdr:col>
          <xdr:colOff>742950</xdr:colOff>
          <xdr:row>72</xdr:row>
          <xdr:rowOff>647700</xdr:rowOff>
        </xdr:to>
        <xdr:sp macro="" textlink="">
          <xdr:nvSpPr>
            <xdr:cNvPr id="7263" name="Check Box 95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0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73</xdr:row>
          <xdr:rowOff>438150</xdr:rowOff>
        </xdr:from>
        <xdr:to>
          <xdr:col>19</xdr:col>
          <xdr:colOff>742950</xdr:colOff>
          <xdr:row>73</xdr:row>
          <xdr:rowOff>647700</xdr:rowOff>
        </xdr:to>
        <xdr:sp macro="" textlink="">
          <xdr:nvSpPr>
            <xdr:cNvPr id="7264" name="Check Box 96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0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74</xdr:row>
          <xdr:rowOff>447675</xdr:rowOff>
        </xdr:from>
        <xdr:to>
          <xdr:col>19</xdr:col>
          <xdr:colOff>742950</xdr:colOff>
          <xdr:row>74</xdr:row>
          <xdr:rowOff>657225</xdr:rowOff>
        </xdr:to>
        <xdr:sp macro="" textlink="">
          <xdr:nvSpPr>
            <xdr:cNvPr id="7265" name="Check Box 97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0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75</xdr:row>
          <xdr:rowOff>428625</xdr:rowOff>
        </xdr:from>
        <xdr:to>
          <xdr:col>19</xdr:col>
          <xdr:colOff>742950</xdr:colOff>
          <xdr:row>75</xdr:row>
          <xdr:rowOff>638175</xdr:rowOff>
        </xdr:to>
        <xdr:sp macro="" textlink="">
          <xdr:nvSpPr>
            <xdr:cNvPr id="7266" name="Check Box 9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0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76</xdr:row>
          <xdr:rowOff>457200</xdr:rowOff>
        </xdr:from>
        <xdr:to>
          <xdr:col>19</xdr:col>
          <xdr:colOff>742950</xdr:colOff>
          <xdr:row>76</xdr:row>
          <xdr:rowOff>666750</xdr:rowOff>
        </xdr:to>
        <xdr:sp macro="" textlink="">
          <xdr:nvSpPr>
            <xdr:cNvPr id="7267" name="Check Box 99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0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77</xdr:row>
          <xdr:rowOff>457200</xdr:rowOff>
        </xdr:from>
        <xdr:to>
          <xdr:col>20</xdr:col>
          <xdr:colOff>38100</xdr:colOff>
          <xdr:row>77</xdr:row>
          <xdr:rowOff>666750</xdr:rowOff>
        </xdr:to>
        <xdr:sp macro="" textlink="">
          <xdr:nvSpPr>
            <xdr:cNvPr id="7268" name="Check Box 100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0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78</xdr:row>
          <xdr:rowOff>428625</xdr:rowOff>
        </xdr:from>
        <xdr:to>
          <xdr:col>20</xdr:col>
          <xdr:colOff>38100</xdr:colOff>
          <xdr:row>78</xdr:row>
          <xdr:rowOff>638175</xdr:rowOff>
        </xdr:to>
        <xdr:sp macro="" textlink="">
          <xdr:nvSpPr>
            <xdr:cNvPr id="7269" name="Check Box 101" hidden="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00000000-0008-0000-0000-00006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79</xdr:row>
          <xdr:rowOff>419100</xdr:rowOff>
        </xdr:from>
        <xdr:to>
          <xdr:col>20</xdr:col>
          <xdr:colOff>38100</xdr:colOff>
          <xdr:row>79</xdr:row>
          <xdr:rowOff>628650</xdr:rowOff>
        </xdr:to>
        <xdr:sp macro="" textlink="">
          <xdr:nvSpPr>
            <xdr:cNvPr id="7270" name="Check Box 102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0000000-0008-0000-0000-00006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80</xdr:row>
          <xdr:rowOff>466725</xdr:rowOff>
        </xdr:from>
        <xdr:to>
          <xdr:col>20</xdr:col>
          <xdr:colOff>38100</xdr:colOff>
          <xdr:row>80</xdr:row>
          <xdr:rowOff>676275</xdr:rowOff>
        </xdr:to>
        <xdr:sp macro="" textlink="">
          <xdr:nvSpPr>
            <xdr:cNvPr id="7271" name="Check Box 103" hidden="1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00000000-0008-0000-0000-00006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81</xdr:row>
          <xdr:rowOff>438150</xdr:rowOff>
        </xdr:from>
        <xdr:to>
          <xdr:col>20</xdr:col>
          <xdr:colOff>38100</xdr:colOff>
          <xdr:row>81</xdr:row>
          <xdr:rowOff>647700</xdr:rowOff>
        </xdr:to>
        <xdr:sp macro="" textlink="">
          <xdr:nvSpPr>
            <xdr:cNvPr id="7272" name="Check Box 104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00000000-0008-0000-0000-00006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82</xdr:row>
          <xdr:rowOff>466725</xdr:rowOff>
        </xdr:from>
        <xdr:to>
          <xdr:col>20</xdr:col>
          <xdr:colOff>38100</xdr:colOff>
          <xdr:row>82</xdr:row>
          <xdr:rowOff>676275</xdr:rowOff>
        </xdr:to>
        <xdr:sp macro="" textlink="">
          <xdr:nvSpPr>
            <xdr:cNvPr id="7273" name="Check Box 105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0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83</xdr:row>
          <xdr:rowOff>447675</xdr:rowOff>
        </xdr:from>
        <xdr:to>
          <xdr:col>20</xdr:col>
          <xdr:colOff>38100</xdr:colOff>
          <xdr:row>83</xdr:row>
          <xdr:rowOff>657225</xdr:rowOff>
        </xdr:to>
        <xdr:sp macro="" textlink="">
          <xdr:nvSpPr>
            <xdr:cNvPr id="7274" name="Check Box 106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0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85</xdr:row>
          <xdr:rowOff>428625</xdr:rowOff>
        </xdr:from>
        <xdr:to>
          <xdr:col>20</xdr:col>
          <xdr:colOff>38100</xdr:colOff>
          <xdr:row>85</xdr:row>
          <xdr:rowOff>638175</xdr:rowOff>
        </xdr:to>
        <xdr:sp macro="" textlink="">
          <xdr:nvSpPr>
            <xdr:cNvPr id="7275" name="Check Box 107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0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86</xdr:row>
          <xdr:rowOff>409575</xdr:rowOff>
        </xdr:from>
        <xdr:to>
          <xdr:col>20</xdr:col>
          <xdr:colOff>38100</xdr:colOff>
          <xdr:row>86</xdr:row>
          <xdr:rowOff>619125</xdr:rowOff>
        </xdr:to>
        <xdr:sp macro="" textlink="">
          <xdr:nvSpPr>
            <xdr:cNvPr id="7276" name="Check Box 108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000-00006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87</xdr:row>
          <xdr:rowOff>447675</xdr:rowOff>
        </xdr:from>
        <xdr:to>
          <xdr:col>20</xdr:col>
          <xdr:colOff>47625</xdr:colOff>
          <xdr:row>87</xdr:row>
          <xdr:rowOff>657225</xdr:rowOff>
        </xdr:to>
        <xdr:sp macro="" textlink="">
          <xdr:nvSpPr>
            <xdr:cNvPr id="7277" name="Check Box 109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0000000-0008-0000-0000-00006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88</xdr:row>
          <xdr:rowOff>438150</xdr:rowOff>
        </xdr:from>
        <xdr:to>
          <xdr:col>20</xdr:col>
          <xdr:colOff>38100</xdr:colOff>
          <xdr:row>88</xdr:row>
          <xdr:rowOff>647700</xdr:rowOff>
        </xdr:to>
        <xdr:sp macro="" textlink="">
          <xdr:nvSpPr>
            <xdr:cNvPr id="7278" name="Check Box 110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0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89</xdr:row>
          <xdr:rowOff>447675</xdr:rowOff>
        </xdr:from>
        <xdr:to>
          <xdr:col>20</xdr:col>
          <xdr:colOff>38100</xdr:colOff>
          <xdr:row>89</xdr:row>
          <xdr:rowOff>657225</xdr:rowOff>
        </xdr:to>
        <xdr:sp macro="" textlink="">
          <xdr:nvSpPr>
            <xdr:cNvPr id="7279" name="Check Box 111" hidden="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00000000-0008-0000-0000-00006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90</xdr:row>
          <xdr:rowOff>457200</xdr:rowOff>
        </xdr:from>
        <xdr:to>
          <xdr:col>20</xdr:col>
          <xdr:colOff>38100</xdr:colOff>
          <xdr:row>90</xdr:row>
          <xdr:rowOff>666750</xdr:rowOff>
        </xdr:to>
        <xdr:sp macro="" textlink="">
          <xdr:nvSpPr>
            <xdr:cNvPr id="7280" name="Check Box 112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000-00007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91</xdr:row>
          <xdr:rowOff>390525</xdr:rowOff>
        </xdr:from>
        <xdr:to>
          <xdr:col>20</xdr:col>
          <xdr:colOff>38100</xdr:colOff>
          <xdr:row>91</xdr:row>
          <xdr:rowOff>600075</xdr:rowOff>
        </xdr:to>
        <xdr:sp macro="" textlink="">
          <xdr:nvSpPr>
            <xdr:cNvPr id="7281" name="Check Box 113" hidden="1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00000000-0008-0000-0000-00007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92</xdr:row>
          <xdr:rowOff>447675</xdr:rowOff>
        </xdr:from>
        <xdr:to>
          <xdr:col>20</xdr:col>
          <xdr:colOff>38100</xdr:colOff>
          <xdr:row>92</xdr:row>
          <xdr:rowOff>657225</xdr:rowOff>
        </xdr:to>
        <xdr:sp macro="" textlink="">
          <xdr:nvSpPr>
            <xdr:cNvPr id="7282" name="Check Box 114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00000000-0008-0000-0000-00007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93</xdr:row>
          <xdr:rowOff>457200</xdr:rowOff>
        </xdr:from>
        <xdr:to>
          <xdr:col>20</xdr:col>
          <xdr:colOff>38100</xdr:colOff>
          <xdr:row>93</xdr:row>
          <xdr:rowOff>666750</xdr:rowOff>
        </xdr:to>
        <xdr:sp macro="" textlink="">
          <xdr:nvSpPr>
            <xdr:cNvPr id="7283" name="Check Box 115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00000000-0008-0000-0000-00007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94</xdr:row>
          <xdr:rowOff>400050</xdr:rowOff>
        </xdr:from>
        <xdr:to>
          <xdr:col>20</xdr:col>
          <xdr:colOff>38100</xdr:colOff>
          <xdr:row>94</xdr:row>
          <xdr:rowOff>609600</xdr:rowOff>
        </xdr:to>
        <xdr:sp macro="" textlink="">
          <xdr:nvSpPr>
            <xdr:cNvPr id="7284" name="Check Box 116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00000000-0008-0000-0000-00007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95</xdr:row>
          <xdr:rowOff>438150</xdr:rowOff>
        </xdr:from>
        <xdr:to>
          <xdr:col>20</xdr:col>
          <xdr:colOff>47625</xdr:colOff>
          <xdr:row>95</xdr:row>
          <xdr:rowOff>647700</xdr:rowOff>
        </xdr:to>
        <xdr:sp macro="" textlink="">
          <xdr:nvSpPr>
            <xdr:cNvPr id="7285" name="Check Box 117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0000000-0008-0000-0000-00007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96</xdr:row>
          <xdr:rowOff>409575</xdr:rowOff>
        </xdr:from>
        <xdr:to>
          <xdr:col>20</xdr:col>
          <xdr:colOff>38100</xdr:colOff>
          <xdr:row>96</xdr:row>
          <xdr:rowOff>619125</xdr:rowOff>
        </xdr:to>
        <xdr:sp macro="" textlink="">
          <xdr:nvSpPr>
            <xdr:cNvPr id="7286" name="Check Box 118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00000000-0008-0000-0000-00007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97</xdr:row>
          <xdr:rowOff>457200</xdr:rowOff>
        </xdr:from>
        <xdr:to>
          <xdr:col>20</xdr:col>
          <xdr:colOff>38100</xdr:colOff>
          <xdr:row>97</xdr:row>
          <xdr:rowOff>666750</xdr:rowOff>
        </xdr:to>
        <xdr:sp macro="" textlink="">
          <xdr:nvSpPr>
            <xdr:cNvPr id="7287" name="Check Box 119" hidden="1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00000000-0008-0000-0000-00007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98</xdr:row>
          <xdr:rowOff>419100</xdr:rowOff>
        </xdr:from>
        <xdr:to>
          <xdr:col>20</xdr:col>
          <xdr:colOff>38100</xdr:colOff>
          <xdr:row>98</xdr:row>
          <xdr:rowOff>628650</xdr:rowOff>
        </xdr:to>
        <xdr:sp macro="" textlink="">
          <xdr:nvSpPr>
            <xdr:cNvPr id="7288" name="Check Box 120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000-00007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99</xdr:row>
          <xdr:rowOff>438150</xdr:rowOff>
        </xdr:from>
        <xdr:to>
          <xdr:col>20</xdr:col>
          <xdr:colOff>38100</xdr:colOff>
          <xdr:row>99</xdr:row>
          <xdr:rowOff>647700</xdr:rowOff>
        </xdr:to>
        <xdr:sp macro="" textlink="">
          <xdr:nvSpPr>
            <xdr:cNvPr id="7289" name="Check Box 121" hidden="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00000000-0008-0000-0000-00007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100</xdr:row>
          <xdr:rowOff>419100</xdr:rowOff>
        </xdr:from>
        <xdr:to>
          <xdr:col>20</xdr:col>
          <xdr:colOff>38100</xdr:colOff>
          <xdr:row>100</xdr:row>
          <xdr:rowOff>628650</xdr:rowOff>
        </xdr:to>
        <xdr:sp macro="" textlink="">
          <xdr:nvSpPr>
            <xdr:cNvPr id="7290" name="Check Box 122" hidden="1">
              <a:extLst>
                <a:ext uri="{63B3BB69-23CF-44E3-9099-C40C66FF867C}">
                  <a14:compatExt spid="_x0000_s7290"/>
                </a:ext>
                <a:ext uri="{FF2B5EF4-FFF2-40B4-BE49-F238E27FC236}">
                  <a16:creationId xmlns:a16="http://schemas.microsoft.com/office/drawing/2014/main" id="{00000000-0008-0000-0000-00007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101</xdr:row>
          <xdr:rowOff>457200</xdr:rowOff>
        </xdr:from>
        <xdr:to>
          <xdr:col>20</xdr:col>
          <xdr:colOff>38100</xdr:colOff>
          <xdr:row>101</xdr:row>
          <xdr:rowOff>666750</xdr:rowOff>
        </xdr:to>
        <xdr:sp macro="" textlink="">
          <xdr:nvSpPr>
            <xdr:cNvPr id="7291" name="Check Box 12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000-00007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102</xdr:row>
          <xdr:rowOff>419100</xdr:rowOff>
        </xdr:from>
        <xdr:to>
          <xdr:col>20</xdr:col>
          <xdr:colOff>38100</xdr:colOff>
          <xdr:row>102</xdr:row>
          <xdr:rowOff>628650</xdr:rowOff>
        </xdr:to>
        <xdr:sp macro="" textlink="">
          <xdr:nvSpPr>
            <xdr:cNvPr id="7292" name="Check Box 124" hidden="1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00000000-0008-0000-0000-00007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103</xdr:row>
          <xdr:rowOff>438150</xdr:rowOff>
        </xdr:from>
        <xdr:to>
          <xdr:col>20</xdr:col>
          <xdr:colOff>38100</xdr:colOff>
          <xdr:row>103</xdr:row>
          <xdr:rowOff>647700</xdr:rowOff>
        </xdr:to>
        <xdr:sp macro="" textlink="">
          <xdr:nvSpPr>
            <xdr:cNvPr id="7293" name="Check Box 125" hidden="1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00000000-0008-0000-0000-00007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104</xdr:row>
          <xdr:rowOff>428625</xdr:rowOff>
        </xdr:from>
        <xdr:to>
          <xdr:col>20</xdr:col>
          <xdr:colOff>38100</xdr:colOff>
          <xdr:row>104</xdr:row>
          <xdr:rowOff>638175</xdr:rowOff>
        </xdr:to>
        <xdr:sp macro="" textlink="">
          <xdr:nvSpPr>
            <xdr:cNvPr id="7294" name="Check Box 126" hidden="1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00000000-0008-0000-0000-00007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105</xdr:row>
          <xdr:rowOff>419100</xdr:rowOff>
        </xdr:from>
        <xdr:to>
          <xdr:col>20</xdr:col>
          <xdr:colOff>38100</xdr:colOff>
          <xdr:row>105</xdr:row>
          <xdr:rowOff>628650</xdr:rowOff>
        </xdr:to>
        <xdr:sp macro="" textlink="">
          <xdr:nvSpPr>
            <xdr:cNvPr id="7295" name="Check Box 127" hidden="1">
              <a:extLst>
                <a:ext uri="{63B3BB69-23CF-44E3-9099-C40C66FF867C}">
                  <a14:compatExt spid="_x0000_s7295"/>
                </a:ext>
                <a:ext uri="{FF2B5EF4-FFF2-40B4-BE49-F238E27FC236}">
                  <a16:creationId xmlns:a16="http://schemas.microsoft.com/office/drawing/2014/main" id="{00000000-0008-0000-0000-00007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106</xdr:row>
          <xdr:rowOff>428625</xdr:rowOff>
        </xdr:from>
        <xdr:to>
          <xdr:col>20</xdr:col>
          <xdr:colOff>38100</xdr:colOff>
          <xdr:row>106</xdr:row>
          <xdr:rowOff>638175</xdr:rowOff>
        </xdr:to>
        <xdr:sp macro="" textlink="">
          <xdr:nvSpPr>
            <xdr:cNvPr id="7296" name="Check Box 128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000-00008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107</xdr:row>
          <xdr:rowOff>438150</xdr:rowOff>
        </xdr:from>
        <xdr:to>
          <xdr:col>20</xdr:col>
          <xdr:colOff>38100</xdr:colOff>
          <xdr:row>107</xdr:row>
          <xdr:rowOff>647700</xdr:rowOff>
        </xdr:to>
        <xdr:sp macro="" textlink="">
          <xdr:nvSpPr>
            <xdr:cNvPr id="7297" name="Check Box 129" hidden="1">
              <a:extLst>
                <a:ext uri="{63B3BB69-23CF-44E3-9099-C40C66FF867C}">
                  <a14:compatExt spid="_x0000_s7297"/>
                </a:ext>
                <a:ext uri="{FF2B5EF4-FFF2-40B4-BE49-F238E27FC236}">
                  <a16:creationId xmlns:a16="http://schemas.microsoft.com/office/drawing/2014/main" id="{00000000-0008-0000-0000-00008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108</xdr:row>
          <xdr:rowOff>438150</xdr:rowOff>
        </xdr:from>
        <xdr:to>
          <xdr:col>20</xdr:col>
          <xdr:colOff>38100</xdr:colOff>
          <xdr:row>108</xdr:row>
          <xdr:rowOff>647700</xdr:rowOff>
        </xdr:to>
        <xdr:sp macro="" textlink="">
          <xdr:nvSpPr>
            <xdr:cNvPr id="7298" name="Check Box 130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000-00008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109</xdr:row>
          <xdr:rowOff>438150</xdr:rowOff>
        </xdr:from>
        <xdr:to>
          <xdr:col>20</xdr:col>
          <xdr:colOff>38100</xdr:colOff>
          <xdr:row>109</xdr:row>
          <xdr:rowOff>647700</xdr:rowOff>
        </xdr:to>
        <xdr:sp macro="" textlink="">
          <xdr:nvSpPr>
            <xdr:cNvPr id="7299" name="Check Box 131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000-00008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110</xdr:row>
          <xdr:rowOff>447675</xdr:rowOff>
        </xdr:from>
        <xdr:to>
          <xdr:col>20</xdr:col>
          <xdr:colOff>38100</xdr:colOff>
          <xdr:row>110</xdr:row>
          <xdr:rowOff>657225</xdr:rowOff>
        </xdr:to>
        <xdr:sp macro="" textlink="">
          <xdr:nvSpPr>
            <xdr:cNvPr id="7300" name="Check Box 132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000-00008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111</xdr:row>
          <xdr:rowOff>466725</xdr:rowOff>
        </xdr:from>
        <xdr:to>
          <xdr:col>20</xdr:col>
          <xdr:colOff>38100</xdr:colOff>
          <xdr:row>111</xdr:row>
          <xdr:rowOff>676275</xdr:rowOff>
        </xdr:to>
        <xdr:sp macro="" textlink="">
          <xdr:nvSpPr>
            <xdr:cNvPr id="7301" name="Check Box 133" hidden="1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00000000-0008-0000-0000-00008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112</xdr:row>
          <xdr:rowOff>438150</xdr:rowOff>
        </xdr:from>
        <xdr:to>
          <xdr:col>20</xdr:col>
          <xdr:colOff>38100</xdr:colOff>
          <xdr:row>112</xdr:row>
          <xdr:rowOff>647700</xdr:rowOff>
        </xdr:to>
        <xdr:sp macro="" textlink="">
          <xdr:nvSpPr>
            <xdr:cNvPr id="7302" name="Check Box 134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000-00008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113</xdr:row>
          <xdr:rowOff>419100</xdr:rowOff>
        </xdr:from>
        <xdr:to>
          <xdr:col>20</xdr:col>
          <xdr:colOff>38100</xdr:colOff>
          <xdr:row>113</xdr:row>
          <xdr:rowOff>628650</xdr:rowOff>
        </xdr:to>
        <xdr:sp macro="" textlink="">
          <xdr:nvSpPr>
            <xdr:cNvPr id="7303" name="Check Box 13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000-00008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114</xdr:row>
          <xdr:rowOff>419100</xdr:rowOff>
        </xdr:from>
        <xdr:to>
          <xdr:col>20</xdr:col>
          <xdr:colOff>38100</xdr:colOff>
          <xdr:row>114</xdr:row>
          <xdr:rowOff>628650</xdr:rowOff>
        </xdr:to>
        <xdr:sp macro="" textlink="">
          <xdr:nvSpPr>
            <xdr:cNvPr id="7304" name="Check Box 136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000-00008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115</xdr:row>
          <xdr:rowOff>428625</xdr:rowOff>
        </xdr:from>
        <xdr:to>
          <xdr:col>20</xdr:col>
          <xdr:colOff>38100</xdr:colOff>
          <xdr:row>115</xdr:row>
          <xdr:rowOff>638175</xdr:rowOff>
        </xdr:to>
        <xdr:sp macro="" textlink="">
          <xdr:nvSpPr>
            <xdr:cNvPr id="7305" name="Check Box 137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000-00008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116</xdr:row>
          <xdr:rowOff>419100</xdr:rowOff>
        </xdr:from>
        <xdr:to>
          <xdr:col>20</xdr:col>
          <xdr:colOff>38100</xdr:colOff>
          <xdr:row>116</xdr:row>
          <xdr:rowOff>628650</xdr:rowOff>
        </xdr:to>
        <xdr:sp macro="" textlink="">
          <xdr:nvSpPr>
            <xdr:cNvPr id="7306" name="Check Box 138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000-00008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117</xdr:row>
          <xdr:rowOff>428625</xdr:rowOff>
        </xdr:from>
        <xdr:to>
          <xdr:col>20</xdr:col>
          <xdr:colOff>38100</xdr:colOff>
          <xdr:row>117</xdr:row>
          <xdr:rowOff>638175</xdr:rowOff>
        </xdr:to>
        <xdr:sp macro="" textlink="">
          <xdr:nvSpPr>
            <xdr:cNvPr id="7307" name="Check Box 139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000-00008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118</xdr:row>
          <xdr:rowOff>447675</xdr:rowOff>
        </xdr:from>
        <xdr:to>
          <xdr:col>20</xdr:col>
          <xdr:colOff>38100</xdr:colOff>
          <xdr:row>118</xdr:row>
          <xdr:rowOff>657225</xdr:rowOff>
        </xdr:to>
        <xdr:sp macro="" textlink="">
          <xdr:nvSpPr>
            <xdr:cNvPr id="7308" name="Check Box 140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000-00008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119</xdr:row>
          <xdr:rowOff>428625</xdr:rowOff>
        </xdr:from>
        <xdr:to>
          <xdr:col>20</xdr:col>
          <xdr:colOff>38100</xdr:colOff>
          <xdr:row>119</xdr:row>
          <xdr:rowOff>638175</xdr:rowOff>
        </xdr:to>
        <xdr:sp macro="" textlink="">
          <xdr:nvSpPr>
            <xdr:cNvPr id="7309" name="Check Box 141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000-00008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120</xdr:row>
          <xdr:rowOff>466725</xdr:rowOff>
        </xdr:from>
        <xdr:to>
          <xdr:col>20</xdr:col>
          <xdr:colOff>38100</xdr:colOff>
          <xdr:row>120</xdr:row>
          <xdr:rowOff>676275</xdr:rowOff>
        </xdr:to>
        <xdr:sp macro="" textlink="">
          <xdr:nvSpPr>
            <xdr:cNvPr id="7310" name="Check Box 142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000-00008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122</xdr:row>
          <xdr:rowOff>438150</xdr:rowOff>
        </xdr:from>
        <xdr:to>
          <xdr:col>20</xdr:col>
          <xdr:colOff>38100</xdr:colOff>
          <xdr:row>122</xdr:row>
          <xdr:rowOff>647700</xdr:rowOff>
        </xdr:to>
        <xdr:sp macro="" textlink="">
          <xdr:nvSpPr>
            <xdr:cNvPr id="7311" name="Check Box 143" hidden="1">
              <a:extLst>
                <a:ext uri="{63B3BB69-23CF-44E3-9099-C40C66FF867C}">
                  <a14:compatExt spid="_x0000_s7311"/>
                </a:ext>
                <a:ext uri="{FF2B5EF4-FFF2-40B4-BE49-F238E27FC236}">
                  <a16:creationId xmlns:a16="http://schemas.microsoft.com/office/drawing/2014/main" id="{00000000-0008-0000-0000-00008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124</xdr:row>
          <xdr:rowOff>419100</xdr:rowOff>
        </xdr:from>
        <xdr:to>
          <xdr:col>20</xdr:col>
          <xdr:colOff>38100</xdr:colOff>
          <xdr:row>124</xdr:row>
          <xdr:rowOff>628650</xdr:rowOff>
        </xdr:to>
        <xdr:sp macro="" textlink="">
          <xdr:nvSpPr>
            <xdr:cNvPr id="7312" name="Check Box 144" hidden="1">
              <a:extLst>
                <a:ext uri="{63B3BB69-23CF-44E3-9099-C40C66FF867C}">
                  <a14:compatExt spid="_x0000_s7312"/>
                </a:ext>
                <a:ext uri="{FF2B5EF4-FFF2-40B4-BE49-F238E27FC236}">
                  <a16:creationId xmlns:a16="http://schemas.microsoft.com/office/drawing/2014/main" id="{00000000-0008-0000-0000-00009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125</xdr:row>
          <xdr:rowOff>419100</xdr:rowOff>
        </xdr:from>
        <xdr:to>
          <xdr:col>20</xdr:col>
          <xdr:colOff>38100</xdr:colOff>
          <xdr:row>125</xdr:row>
          <xdr:rowOff>628650</xdr:rowOff>
        </xdr:to>
        <xdr:sp macro="" textlink="">
          <xdr:nvSpPr>
            <xdr:cNvPr id="7313" name="Check Box 145" hidden="1">
              <a:extLst>
                <a:ext uri="{63B3BB69-23CF-44E3-9099-C40C66FF867C}">
                  <a14:compatExt spid="_x0000_s7313"/>
                </a:ext>
                <a:ext uri="{FF2B5EF4-FFF2-40B4-BE49-F238E27FC236}">
                  <a16:creationId xmlns:a16="http://schemas.microsoft.com/office/drawing/2014/main" id="{00000000-0008-0000-0000-00009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126</xdr:row>
          <xdr:rowOff>428625</xdr:rowOff>
        </xdr:from>
        <xdr:to>
          <xdr:col>20</xdr:col>
          <xdr:colOff>38100</xdr:colOff>
          <xdr:row>126</xdr:row>
          <xdr:rowOff>638175</xdr:rowOff>
        </xdr:to>
        <xdr:sp macro="" textlink="">
          <xdr:nvSpPr>
            <xdr:cNvPr id="7314" name="Check Box 146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00000000-0008-0000-0000-00009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127</xdr:row>
          <xdr:rowOff>428625</xdr:rowOff>
        </xdr:from>
        <xdr:to>
          <xdr:col>20</xdr:col>
          <xdr:colOff>38100</xdr:colOff>
          <xdr:row>127</xdr:row>
          <xdr:rowOff>638175</xdr:rowOff>
        </xdr:to>
        <xdr:sp macro="" textlink="">
          <xdr:nvSpPr>
            <xdr:cNvPr id="7315" name="Check Box 147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000-00009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128</xdr:row>
          <xdr:rowOff>419100</xdr:rowOff>
        </xdr:from>
        <xdr:to>
          <xdr:col>20</xdr:col>
          <xdr:colOff>38100</xdr:colOff>
          <xdr:row>128</xdr:row>
          <xdr:rowOff>628650</xdr:rowOff>
        </xdr:to>
        <xdr:sp macro="" textlink="">
          <xdr:nvSpPr>
            <xdr:cNvPr id="7316" name="Check Box 148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00000000-0008-0000-0000-00009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129</xdr:row>
          <xdr:rowOff>400050</xdr:rowOff>
        </xdr:from>
        <xdr:to>
          <xdr:col>20</xdr:col>
          <xdr:colOff>38100</xdr:colOff>
          <xdr:row>129</xdr:row>
          <xdr:rowOff>609600</xdr:rowOff>
        </xdr:to>
        <xdr:sp macro="" textlink="">
          <xdr:nvSpPr>
            <xdr:cNvPr id="7317" name="Check Box 149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00000000-0008-0000-0000-00009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133</xdr:row>
          <xdr:rowOff>447675</xdr:rowOff>
        </xdr:from>
        <xdr:to>
          <xdr:col>20</xdr:col>
          <xdr:colOff>38100</xdr:colOff>
          <xdr:row>133</xdr:row>
          <xdr:rowOff>657225</xdr:rowOff>
        </xdr:to>
        <xdr:sp macro="" textlink="">
          <xdr:nvSpPr>
            <xdr:cNvPr id="7318" name="Check Box 150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000-00009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142</xdr:row>
          <xdr:rowOff>447675</xdr:rowOff>
        </xdr:from>
        <xdr:to>
          <xdr:col>20</xdr:col>
          <xdr:colOff>38100</xdr:colOff>
          <xdr:row>142</xdr:row>
          <xdr:rowOff>657225</xdr:rowOff>
        </xdr:to>
        <xdr:sp macro="" textlink="">
          <xdr:nvSpPr>
            <xdr:cNvPr id="7319" name="Check Box 151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000-00009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143</xdr:row>
          <xdr:rowOff>419100</xdr:rowOff>
        </xdr:from>
        <xdr:to>
          <xdr:col>20</xdr:col>
          <xdr:colOff>38100</xdr:colOff>
          <xdr:row>143</xdr:row>
          <xdr:rowOff>628650</xdr:rowOff>
        </xdr:to>
        <xdr:sp macro="" textlink="">
          <xdr:nvSpPr>
            <xdr:cNvPr id="7320" name="Check Box 152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000-00009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144</xdr:row>
          <xdr:rowOff>419100</xdr:rowOff>
        </xdr:from>
        <xdr:to>
          <xdr:col>20</xdr:col>
          <xdr:colOff>38100</xdr:colOff>
          <xdr:row>144</xdr:row>
          <xdr:rowOff>628650</xdr:rowOff>
        </xdr:to>
        <xdr:sp macro="" textlink="">
          <xdr:nvSpPr>
            <xdr:cNvPr id="7321" name="Check Box 153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000-00009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145</xdr:row>
          <xdr:rowOff>419100</xdr:rowOff>
        </xdr:from>
        <xdr:to>
          <xdr:col>20</xdr:col>
          <xdr:colOff>38100</xdr:colOff>
          <xdr:row>145</xdr:row>
          <xdr:rowOff>628650</xdr:rowOff>
        </xdr:to>
        <xdr:sp macro="" textlink="">
          <xdr:nvSpPr>
            <xdr:cNvPr id="7322" name="Check Box 154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000-00009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146</xdr:row>
          <xdr:rowOff>419100</xdr:rowOff>
        </xdr:from>
        <xdr:to>
          <xdr:col>20</xdr:col>
          <xdr:colOff>38100</xdr:colOff>
          <xdr:row>146</xdr:row>
          <xdr:rowOff>628650</xdr:rowOff>
        </xdr:to>
        <xdr:sp macro="" textlink="">
          <xdr:nvSpPr>
            <xdr:cNvPr id="7323" name="Check Box 155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000-00009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148</xdr:row>
          <xdr:rowOff>428625</xdr:rowOff>
        </xdr:from>
        <xdr:to>
          <xdr:col>20</xdr:col>
          <xdr:colOff>38100</xdr:colOff>
          <xdr:row>148</xdr:row>
          <xdr:rowOff>638175</xdr:rowOff>
        </xdr:to>
        <xdr:sp macro="" textlink="">
          <xdr:nvSpPr>
            <xdr:cNvPr id="7324" name="Check Box 15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0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151</xdr:row>
          <xdr:rowOff>390525</xdr:rowOff>
        </xdr:from>
        <xdr:to>
          <xdr:col>20</xdr:col>
          <xdr:colOff>38100</xdr:colOff>
          <xdr:row>151</xdr:row>
          <xdr:rowOff>600075</xdr:rowOff>
        </xdr:to>
        <xdr:sp macro="" textlink="">
          <xdr:nvSpPr>
            <xdr:cNvPr id="7325" name="Check Box 15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0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152</xdr:row>
          <xdr:rowOff>371475</xdr:rowOff>
        </xdr:from>
        <xdr:to>
          <xdr:col>20</xdr:col>
          <xdr:colOff>38100</xdr:colOff>
          <xdr:row>152</xdr:row>
          <xdr:rowOff>581025</xdr:rowOff>
        </xdr:to>
        <xdr:sp macro="" textlink="">
          <xdr:nvSpPr>
            <xdr:cNvPr id="7326" name="Check Box 15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0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153</xdr:row>
          <xdr:rowOff>438150</xdr:rowOff>
        </xdr:from>
        <xdr:to>
          <xdr:col>20</xdr:col>
          <xdr:colOff>38100</xdr:colOff>
          <xdr:row>153</xdr:row>
          <xdr:rowOff>647700</xdr:rowOff>
        </xdr:to>
        <xdr:sp macro="" textlink="">
          <xdr:nvSpPr>
            <xdr:cNvPr id="7327" name="Check Box 15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0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154</xdr:row>
          <xdr:rowOff>419100</xdr:rowOff>
        </xdr:from>
        <xdr:to>
          <xdr:col>20</xdr:col>
          <xdr:colOff>38100</xdr:colOff>
          <xdr:row>154</xdr:row>
          <xdr:rowOff>628650</xdr:rowOff>
        </xdr:to>
        <xdr:sp macro="" textlink="">
          <xdr:nvSpPr>
            <xdr:cNvPr id="7328" name="Check Box 16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000-0000A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156</xdr:row>
          <xdr:rowOff>409575</xdr:rowOff>
        </xdr:from>
        <xdr:to>
          <xdr:col>20</xdr:col>
          <xdr:colOff>38100</xdr:colOff>
          <xdr:row>156</xdr:row>
          <xdr:rowOff>619125</xdr:rowOff>
        </xdr:to>
        <xdr:sp macro="" textlink="">
          <xdr:nvSpPr>
            <xdr:cNvPr id="7329" name="Check Box 16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0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167</xdr:row>
          <xdr:rowOff>428625</xdr:rowOff>
        </xdr:from>
        <xdr:to>
          <xdr:col>20</xdr:col>
          <xdr:colOff>38100</xdr:colOff>
          <xdr:row>167</xdr:row>
          <xdr:rowOff>638175</xdr:rowOff>
        </xdr:to>
        <xdr:sp macro="" textlink="">
          <xdr:nvSpPr>
            <xdr:cNvPr id="7330" name="Check Box 16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0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168</xdr:row>
          <xdr:rowOff>438150</xdr:rowOff>
        </xdr:from>
        <xdr:to>
          <xdr:col>20</xdr:col>
          <xdr:colOff>38100</xdr:colOff>
          <xdr:row>168</xdr:row>
          <xdr:rowOff>647700</xdr:rowOff>
        </xdr:to>
        <xdr:sp macro="" textlink="">
          <xdr:nvSpPr>
            <xdr:cNvPr id="7331" name="Check Box 16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000-0000A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169</xdr:row>
          <xdr:rowOff>419100</xdr:rowOff>
        </xdr:from>
        <xdr:to>
          <xdr:col>20</xdr:col>
          <xdr:colOff>38100</xdr:colOff>
          <xdr:row>169</xdr:row>
          <xdr:rowOff>628650</xdr:rowOff>
        </xdr:to>
        <xdr:sp macro="" textlink="">
          <xdr:nvSpPr>
            <xdr:cNvPr id="7332" name="Check Box 16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0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170</xdr:row>
          <xdr:rowOff>409575</xdr:rowOff>
        </xdr:from>
        <xdr:to>
          <xdr:col>20</xdr:col>
          <xdr:colOff>38100</xdr:colOff>
          <xdr:row>170</xdr:row>
          <xdr:rowOff>619125</xdr:rowOff>
        </xdr:to>
        <xdr:sp macro="" textlink="">
          <xdr:nvSpPr>
            <xdr:cNvPr id="7333" name="Check Box 16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0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171</xdr:row>
          <xdr:rowOff>447675</xdr:rowOff>
        </xdr:from>
        <xdr:to>
          <xdr:col>20</xdr:col>
          <xdr:colOff>38100</xdr:colOff>
          <xdr:row>171</xdr:row>
          <xdr:rowOff>657225</xdr:rowOff>
        </xdr:to>
        <xdr:sp macro="" textlink="">
          <xdr:nvSpPr>
            <xdr:cNvPr id="7334" name="Check Box 16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0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172</xdr:row>
          <xdr:rowOff>438150</xdr:rowOff>
        </xdr:from>
        <xdr:to>
          <xdr:col>20</xdr:col>
          <xdr:colOff>38100</xdr:colOff>
          <xdr:row>172</xdr:row>
          <xdr:rowOff>647700</xdr:rowOff>
        </xdr:to>
        <xdr:sp macro="" textlink="">
          <xdr:nvSpPr>
            <xdr:cNvPr id="7335" name="Check Box 167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00000000-0008-0000-0000-0000A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173</xdr:row>
          <xdr:rowOff>428625</xdr:rowOff>
        </xdr:from>
        <xdr:to>
          <xdr:col>20</xdr:col>
          <xdr:colOff>38100</xdr:colOff>
          <xdr:row>173</xdr:row>
          <xdr:rowOff>638175</xdr:rowOff>
        </xdr:to>
        <xdr:sp macro="" textlink="">
          <xdr:nvSpPr>
            <xdr:cNvPr id="7336" name="Check Box 168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00000000-0008-0000-0000-0000A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174</xdr:row>
          <xdr:rowOff>428625</xdr:rowOff>
        </xdr:from>
        <xdr:to>
          <xdr:col>20</xdr:col>
          <xdr:colOff>38100</xdr:colOff>
          <xdr:row>174</xdr:row>
          <xdr:rowOff>638175</xdr:rowOff>
        </xdr:to>
        <xdr:sp macro="" textlink="">
          <xdr:nvSpPr>
            <xdr:cNvPr id="7337" name="Check Box 169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000-0000A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175</xdr:row>
          <xdr:rowOff>447675</xdr:rowOff>
        </xdr:from>
        <xdr:to>
          <xdr:col>20</xdr:col>
          <xdr:colOff>38100</xdr:colOff>
          <xdr:row>175</xdr:row>
          <xdr:rowOff>657225</xdr:rowOff>
        </xdr:to>
        <xdr:sp macro="" textlink="">
          <xdr:nvSpPr>
            <xdr:cNvPr id="7338" name="Check Box 170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000-0000A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176</xdr:row>
          <xdr:rowOff>438150</xdr:rowOff>
        </xdr:from>
        <xdr:to>
          <xdr:col>20</xdr:col>
          <xdr:colOff>38100</xdr:colOff>
          <xdr:row>176</xdr:row>
          <xdr:rowOff>647700</xdr:rowOff>
        </xdr:to>
        <xdr:sp macro="" textlink="">
          <xdr:nvSpPr>
            <xdr:cNvPr id="7339" name="Check Box 171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000-0000A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177</xdr:row>
          <xdr:rowOff>438150</xdr:rowOff>
        </xdr:from>
        <xdr:to>
          <xdr:col>20</xdr:col>
          <xdr:colOff>38100</xdr:colOff>
          <xdr:row>177</xdr:row>
          <xdr:rowOff>647700</xdr:rowOff>
        </xdr:to>
        <xdr:sp macro="" textlink="">
          <xdr:nvSpPr>
            <xdr:cNvPr id="7340" name="Check Box 172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000-0000A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178</xdr:row>
          <xdr:rowOff>428625</xdr:rowOff>
        </xdr:from>
        <xdr:to>
          <xdr:col>20</xdr:col>
          <xdr:colOff>38100</xdr:colOff>
          <xdr:row>178</xdr:row>
          <xdr:rowOff>638175</xdr:rowOff>
        </xdr:to>
        <xdr:sp macro="" textlink="">
          <xdr:nvSpPr>
            <xdr:cNvPr id="7341" name="Check Box 173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000-0000A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179</xdr:row>
          <xdr:rowOff>428625</xdr:rowOff>
        </xdr:from>
        <xdr:to>
          <xdr:col>20</xdr:col>
          <xdr:colOff>38100</xdr:colOff>
          <xdr:row>179</xdr:row>
          <xdr:rowOff>638175</xdr:rowOff>
        </xdr:to>
        <xdr:sp macro="" textlink="">
          <xdr:nvSpPr>
            <xdr:cNvPr id="7342" name="Check Box 174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000-0000A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184</xdr:row>
          <xdr:rowOff>419100</xdr:rowOff>
        </xdr:from>
        <xdr:to>
          <xdr:col>20</xdr:col>
          <xdr:colOff>38100</xdr:colOff>
          <xdr:row>184</xdr:row>
          <xdr:rowOff>628650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0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185</xdr:row>
          <xdr:rowOff>428625</xdr:rowOff>
        </xdr:from>
        <xdr:to>
          <xdr:col>20</xdr:col>
          <xdr:colOff>38100</xdr:colOff>
          <xdr:row>185</xdr:row>
          <xdr:rowOff>638175</xdr:rowOff>
        </xdr:to>
        <xdr:sp macro="" textlink="">
          <xdr:nvSpPr>
            <xdr:cNvPr id="7344" name="Check Box 176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000-0000B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186</xdr:row>
          <xdr:rowOff>447675</xdr:rowOff>
        </xdr:from>
        <xdr:to>
          <xdr:col>20</xdr:col>
          <xdr:colOff>38100</xdr:colOff>
          <xdr:row>186</xdr:row>
          <xdr:rowOff>657225</xdr:rowOff>
        </xdr:to>
        <xdr:sp macro="" textlink="">
          <xdr:nvSpPr>
            <xdr:cNvPr id="7345" name="Check Box 177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000-0000B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187</xdr:row>
          <xdr:rowOff>419100</xdr:rowOff>
        </xdr:from>
        <xdr:to>
          <xdr:col>20</xdr:col>
          <xdr:colOff>38100</xdr:colOff>
          <xdr:row>187</xdr:row>
          <xdr:rowOff>628650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0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188</xdr:row>
          <xdr:rowOff>447675</xdr:rowOff>
        </xdr:from>
        <xdr:to>
          <xdr:col>20</xdr:col>
          <xdr:colOff>38100</xdr:colOff>
          <xdr:row>188</xdr:row>
          <xdr:rowOff>657225</xdr:rowOff>
        </xdr:to>
        <xdr:sp macro="" textlink="">
          <xdr:nvSpPr>
            <xdr:cNvPr id="7347" name="Check Box 179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000-0000B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189</xdr:row>
          <xdr:rowOff>438150</xdr:rowOff>
        </xdr:from>
        <xdr:to>
          <xdr:col>20</xdr:col>
          <xdr:colOff>38100</xdr:colOff>
          <xdr:row>189</xdr:row>
          <xdr:rowOff>647700</xdr:rowOff>
        </xdr:to>
        <xdr:sp macro="" textlink="">
          <xdr:nvSpPr>
            <xdr:cNvPr id="7348" name="Check Box 180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000-0000B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190</xdr:row>
          <xdr:rowOff>381000</xdr:rowOff>
        </xdr:from>
        <xdr:to>
          <xdr:col>20</xdr:col>
          <xdr:colOff>28575</xdr:colOff>
          <xdr:row>190</xdr:row>
          <xdr:rowOff>590550</xdr:rowOff>
        </xdr:to>
        <xdr:sp macro="" textlink="">
          <xdr:nvSpPr>
            <xdr:cNvPr id="7349" name="Check Box 181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00000000-0008-0000-0000-0000B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191</xdr:row>
          <xdr:rowOff>400050</xdr:rowOff>
        </xdr:from>
        <xdr:to>
          <xdr:col>20</xdr:col>
          <xdr:colOff>38100</xdr:colOff>
          <xdr:row>191</xdr:row>
          <xdr:rowOff>609600</xdr:rowOff>
        </xdr:to>
        <xdr:sp macro="" textlink="">
          <xdr:nvSpPr>
            <xdr:cNvPr id="7350" name="Check Box 182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000-0000B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192</xdr:row>
          <xdr:rowOff>428625</xdr:rowOff>
        </xdr:from>
        <xdr:to>
          <xdr:col>20</xdr:col>
          <xdr:colOff>38100</xdr:colOff>
          <xdr:row>192</xdr:row>
          <xdr:rowOff>638175</xdr:rowOff>
        </xdr:to>
        <xdr:sp macro="" textlink="">
          <xdr:nvSpPr>
            <xdr:cNvPr id="7351" name="Check Box 183" hidden="1">
              <a:extLst>
                <a:ext uri="{63B3BB69-23CF-44E3-9099-C40C66FF867C}">
                  <a14:compatExt spid="_x0000_s7351"/>
                </a:ext>
                <a:ext uri="{FF2B5EF4-FFF2-40B4-BE49-F238E27FC236}">
                  <a16:creationId xmlns:a16="http://schemas.microsoft.com/office/drawing/2014/main" id="{00000000-0008-0000-0000-0000B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193</xdr:row>
          <xdr:rowOff>428625</xdr:rowOff>
        </xdr:from>
        <xdr:to>
          <xdr:col>20</xdr:col>
          <xdr:colOff>38100</xdr:colOff>
          <xdr:row>193</xdr:row>
          <xdr:rowOff>638175</xdr:rowOff>
        </xdr:to>
        <xdr:sp macro="" textlink="">
          <xdr:nvSpPr>
            <xdr:cNvPr id="7352" name="Check Box 184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000-0000B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194</xdr:row>
          <xdr:rowOff>428625</xdr:rowOff>
        </xdr:from>
        <xdr:to>
          <xdr:col>20</xdr:col>
          <xdr:colOff>38100</xdr:colOff>
          <xdr:row>194</xdr:row>
          <xdr:rowOff>638175</xdr:rowOff>
        </xdr:to>
        <xdr:sp macro="" textlink="">
          <xdr:nvSpPr>
            <xdr:cNvPr id="7353" name="Check Box 185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000-0000B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195</xdr:row>
          <xdr:rowOff>419100</xdr:rowOff>
        </xdr:from>
        <xdr:to>
          <xdr:col>20</xdr:col>
          <xdr:colOff>38100</xdr:colOff>
          <xdr:row>195</xdr:row>
          <xdr:rowOff>628650</xdr:rowOff>
        </xdr:to>
        <xdr:sp macro="" textlink="">
          <xdr:nvSpPr>
            <xdr:cNvPr id="7354" name="Check Box 186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000-0000B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196</xdr:row>
          <xdr:rowOff>419100</xdr:rowOff>
        </xdr:from>
        <xdr:to>
          <xdr:col>20</xdr:col>
          <xdr:colOff>38100</xdr:colOff>
          <xdr:row>196</xdr:row>
          <xdr:rowOff>628650</xdr:rowOff>
        </xdr:to>
        <xdr:sp macro="" textlink="">
          <xdr:nvSpPr>
            <xdr:cNvPr id="7355" name="Check Box 187" hidden="1">
              <a:extLst>
                <a:ext uri="{63B3BB69-23CF-44E3-9099-C40C66FF867C}">
                  <a14:compatExt spid="_x0000_s7355"/>
                </a:ext>
                <a:ext uri="{FF2B5EF4-FFF2-40B4-BE49-F238E27FC236}">
                  <a16:creationId xmlns:a16="http://schemas.microsoft.com/office/drawing/2014/main" id="{00000000-0008-0000-0000-0000B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197</xdr:row>
          <xdr:rowOff>419100</xdr:rowOff>
        </xdr:from>
        <xdr:to>
          <xdr:col>20</xdr:col>
          <xdr:colOff>38100</xdr:colOff>
          <xdr:row>197</xdr:row>
          <xdr:rowOff>628650</xdr:rowOff>
        </xdr:to>
        <xdr:sp macro="" textlink="">
          <xdr:nvSpPr>
            <xdr:cNvPr id="7356" name="Check Box 188" hidden="1">
              <a:extLst>
                <a:ext uri="{63B3BB69-23CF-44E3-9099-C40C66FF867C}">
                  <a14:compatExt spid="_x0000_s7356"/>
                </a:ext>
                <a:ext uri="{FF2B5EF4-FFF2-40B4-BE49-F238E27FC236}">
                  <a16:creationId xmlns:a16="http://schemas.microsoft.com/office/drawing/2014/main" id="{00000000-0008-0000-0000-0000B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198</xdr:row>
          <xdr:rowOff>400050</xdr:rowOff>
        </xdr:from>
        <xdr:to>
          <xdr:col>20</xdr:col>
          <xdr:colOff>38100</xdr:colOff>
          <xdr:row>198</xdr:row>
          <xdr:rowOff>609600</xdr:rowOff>
        </xdr:to>
        <xdr:sp macro="" textlink="">
          <xdr:nvSpPr>
            <xdr:cNvPr id="7357" name="Check Box 189" hidden="1">
              <a:extLst>
                <a:ext uri="{63B3BB69-23CF-44E3-9099-C40C66FF867C}">
                  <a14:compatExt spid="_x0000_s7357"/>
                </a:ext>
                <a:ext uri="{FF2B5EF4-FFF2-40B4-BE49-F238E27FC236}">
                  <a16:creationId xmlns:a16="http://schemas.microsoft.com/office/drawing/2014/main" id="{00000000-0008-0000-0000-0000B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199</xdr:row>
          <xdr:rowOff>428625</xdr:rowOff>
        </xdr:from>
        <xdr:to>
          <xdr:col>20</xdr:col>
          <xdr:colOff>38100</xdr:colOff>
          <xdr:row>199</xdr:row>
          <xdr:rowOff>638175</xdr:rowOff>
        </xdr:to>
        <xdr:sp macro="" textlink="">
          <xdr:nvSpPr>
            <xdr:cNvPr id="7358" name="Check Box 190" hidden="1">
              <a:extLst>
                <a:ext uri="{63B3BB69-23CF-44E3-9099-C40C66FF867C}">
                  <a14:compatExt spid="_x0000_s7358"/>
                </a:ext>
                <a:ext uri="{FF2B5EF4-FFF2-40B4-BE49-F238E27FC236}">
                  <a16:creationId xmlns:a16="http://schemas.microsoft.com/office/drawing/2014/main" id="{00000000-0008-0000-0000-0000B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200</xdr:row>
          <xdr:rowOff>400050</xdr:rowOff>
        </xdr:from>
        <xdr:to>
          <xdr:col>20</xdr:col>
          <xdr:colOff>38100</xdr:colOff>
          <xdr:row>200</xdr:row>
          <xdr:rowOff>609600</xdr:rowOff>
        </xdr:to>
        <xdr:sp macro="" textlink="">
          <xdr:nvSpPr>
            <xdr:cNvPr id="7359" name="Check Box 191" hidden="1">
              <a:extLst>
                <a:ext uri="{63B3BB69-23CF-44E3-9099-C40C66FF867C}">
                  <a14:compatExt spid="_x0000_s7359"/>
                </a:ext>
                <a:ext uri="{FF2B5EF4-FFF2-40B4-BE49-F238E27FC236}">
                  <a16:creationId xmlns:a16="http://schemas.microsoft.com/office/drawing/2014/main" id="{00000000-0008-0000-0000-0000B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201</xdr:row>
          <xdr:rowOff>428625</xdr:rowOff>
        </xdr:from>
        <xdr:to>
          <xdr:col>20</xdr:col>
          <xdr:colOff>38100</xdr:colOff>
          <xdr:row>201</xdr:row>
          <xdr:rowOff>638175</xdr:rowOff>
        </xdr:to>
        <xdr:sp macro="" textlink="">
          <xdr:nvSpPr>
            <xdr:cNvPr id="7360" name="Check Box 192" hidden="1">
              <a:extLst>
                <a:ext uri="{63B3BB69-23CF-44E3-9099-C40C66FF867C}">
                  <a14:compatExt spid="_x0000_s7360"/>
                </a:ext>
                <a:ext uri="{FF2B5EF4-FFF2-40B4-BE49-F238E27FC236}">
                  <a16:creationId xmlns:a16="http://schemas.microsoft.com/office/drawing/2014/main" id="{00000000-0008-0000-0000-0000C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202</xdr:row>
          <xdr:rowOff>409575</xdr:rowOff>
        </xdr:from>
        <xdr:to>
          <xdr:col>20</xdr:col>
          <xdr:colOff>47625</xdr:colOff>
          <xdr:row>202</xdr:row>
          <xdr:rowOff>619125</xdr:rowOff>
        </xdr:to>
        <xdr:sp macro="" textlink="">
          <xdr:nvSpPr>
            <xdr:cNvPr id="7361" name="Check Box 193" hidden="1">
              <a:extLst>
                <a:ext uri="{63B3BB69-23CF-44E3-9099-C40C66FF867C}">
                  <a14:compatExt spid="_x0000_s7361"/>
                </a:ext>
                <a:ext uri="{FF2B5EF4-FFF2-40B4-BE49-F238E27FC236}">
                  <a16:creationId xmlns:a16="http://schemas.microsoft.com/office/drawing/2014/main" id="{00000000-0008-0000-0000-0000C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203</xdr:row>
          <xdr:rowOff>438150</xdr:rowOff>
        </xdr:from>
        <xdr:to>
          <xdr:col>20</xdr:col>
          <xdr:colOff>38100</xdr:colOff>
          <xdr:row>203</xdr:row>
          <xdr:rowOff>647700</xdr:rowOff>
        </xdr:to>
        <xdr:sp macro="" textlink="">
          <xdr:nvSpPr>
            <xdr:cNvPr id="7362" name="Check Box 194" hidden="1">
              <a:extLst>
                <a:ext uri="{63B3BB69-23CF-44E3-9099-C40C66FF867C}">
                  <a14:compatExt spid="_x0000_s7362"/>
                </a:ext>
                <a:ext uri="{FF2B5EF4-FFF2-40B4-BE49-F238E27FC236}">
                  <a16:creationId xmlns:a16="http://schemas.microsoft.com/office/drawing/2014/main" id="{00000000-0008-0000-0000-0000C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204</xdr:row>
          <xdr:rowOff>419100</xdr:rowOff>
        </xdr:from>
        <xdr:to>
          <xdr:col>20</xdr:col>
          <xdr:colOff>38100</xdr:colOff>
          <xdr:row>204</xdr:row>
          <xdr:rowOff>628650</xdr:rowOff>
        </xdr:to>
        <xdr:sp macro="" textlink="">
          <xdr:nvSpPr>
            <xdr:cNvPr id="7363" name="Check Box 195" hidden="1">
              <a:extLst>
                <a:ext uri="{63B3BB69-23CF-44E3-9099-C40C66FF867C}">
                  <a14:compatExt spid="_x0000_s7363"/>
                </a:ext>
                <a:ext uri="{FF2B5EF4-FFF2-40B4-BE49-F238E27FC236}">
                  <a16:creationId xmlns:a16="http://schemas.microsoft.com/office/drawing/2014/main" id="{00000000-0008-0000-0000-0000C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205</xdr:row>
          <xdr:rowOff>428625</xdr:rowOff>
        </xdr:from>
        <xdr:to>
          <xdr:col>20</xdr:col>
          <xdr:colOff>28575</xdr:colOff>
          <xdr:row>205</xdr:row>
          <xdr:rowOff>638175</xdr:rowOff>
        </xdr:to>
        <xdr:sp macro="" textlink="">
          <xdr:nvSpPr>
            <xdr:cNvPr id="7364" name="Check Box 196" hidden="1">
              <a:extLst>
                <a:ext uri="{63B3BB69-23CF-44E3-9099-C40C66FF867C}">
                  <a14:compatExt spid="_x0000_s7364"/>
                </a:ext>
                <a:ext uri="{FF2B5EF4-FFF2-40B4-BE49-F238E27FC236}">
                  <a16:creationId xmlns:a16="http://schemas.microsoft.com/office/drawing/2014/main" id="{00000000-0008-0000-0000-0000C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206</xdr:row>
          <xdr:rowOff>457200</xdr:rowOff>
        </xdr:from>
        <xdr:to>
          <xdr:col>20</xdr:col>
          <xdr:colOff>38100</xdr:colOff>
          <xdr:row>206</xdr:row>
          <xdr:rowOff>666750</xdr:rowOff>
        </xdr:to>
        <xdr:sp macro="" textlink="">
          <xdr:nvSpPr>
            <xdr:cNvPr id="7365" name="Check Box 197" hidden="1">
              <a:extLst>
                <a:ext uri="{63B3BB69-23CF-44E3-9099-C40C66FF867C}">
                  <a14:compatExt spid="_x0000_s7365"/>
                </a:ext>
                <a:ext uri="{FF2B5EF4-FFF2-40B4-BE49-F238E27FC236}">
                  <a16:creationId xmlns:a16="http://schemas.microsoft.com/office/drawing/2014/main" id="{00000000-0008-0000-0000-0000C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207</xdr:row>
          <xdr:rowOff>419100</xdr:rowOff>
        </xdr:from>
        <xdr:to>
          <xdr:col>20</xdr:col>
          <xdr:colOff>38100</xdr:colOff>
          <xdr:row>207</xdr:row>
          <xdr:rowOff>628650</xdr:rowOff>
        </xdr:to>
        <xdr:sp macro="" textlink="">
          <xdr:nvSpPr>
            <xdr:cNvPr id="7366" name="Check Box 198" hidden="1">
              <a:extLst>
                <a:ext uri="{63B3BB69-23CF-44E3-9099-C40C66FF867C}">
                  <a14:compatExt spid="_x0000_s7366"/>
                </a:ext>
                <a:ext uri="{FF2B5EF4-FFF2-40B4-BE49-F238E27FC236}">
                  <a16:creationId xmlns:a16="http://schemas.microsoft.com/office/drawing/2014/main" id="{00000000-0008-0000-0000-0000C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208</xdr:row>
          <xdr:rowOff>447675</xdr:rowOff>
        </xdr:from>
        <xdr:to>
          <xdr:col>20</xdr:col>
          <xdr:colOff>38100</xdr:colOff>
          <xdr:row>208</xdr:row>
          <xdr:rowOff>657225</xdr:rowOff>
        </xdr:to>
        <xdr:sp macro="" textlink="">
          <xdr:nvSpPr>
            <xdr:cNvPr id="7367" name="Check Box 199" hidden="1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00000000-0008-0000-0000-0000C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209</xdr:row>
          <xdr:rowOff>419100</xdr:rowOff>
        </xdr:from>
        <xdr:to>
          <xdr:col>20</xdr:col>
          <xdr:colOff>38100</xdr:colOff>
          <xdr:row>209</xdr:row>
          <xdr:rowOff>628650</xdr:rowOff>
        </xdr:to>
        <xdr:sp macro="" textlink="">
          <xdr:nvSpPr>
            <xdr:cNvPr id="7368" name="Check Box 200" hidden="1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00000000-0008-0000-0000-0000C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210</xdr:row>
          <xdr:rowOff>419100</xdr:rowOff>
        </xdr:from>
        <xdr:to>
          <xdr:col>20</xdr:col>
          <xdr:colOff>38100</xdr:colOff>
          <xdr:row>210</xdr:row>
          <xdr:rowOff>628650</xdr:rowOff>
        </xdr:to>
        <xdr:sp macro="" textlink="">
          <xdr:nvSpPr>
            <xdr:cNvPr id="7369" name="Check Box 201" hidden="1">
              <a:extLst>
                <a:ext uri="{63B3BB69-23CF-44E3-9099-C40C66FF867C}">
                  <a14:compatExt spid="_x0000_s7369"/>
                </a:ext>
                <a:ext uri="{FF2B5EF4-FFF2-40B4-BE49-F238E27FC236}">
                  <a16:creationId xmlns:a16="http://schemas.microsoft.com/office/drawing/2014/main" id="{00000000-0008-0000-0000-0000C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211</xdr:row>
          <xdr:rowOff>428625</xdr:rowOff>
        </xdr:from>
        <xdr:to>
          <xdr:col>20</xdr:col>
          <xdr:colOff>38100</xdr:colOff>
          <xdr:row>211</xdr:row>
          <xdr:rowOff>638175</xdr:rowOff>
        </xdr:to>
        <xdr:sp macro="" textlink="">
          <xdr:nvSpPr>
            <xdr:cNvPr id="7370" name="Check Box 202" hidden="1">
              <a:extLst>
                <a:ext uri="{63B3BB69-23CF-44E3-9099-C40C66FF867C}">
                  <a14:compatExt spid="_x0000_s7370"/>
                </a:ext>
                <a:ext uri="{FF2B5EF4-FFF2-40B4-BE49-F238E27FC236}">
                  <a16:creationId xmlns:a16="http://schemas.microsoft.com/office/drawing/2014/main" id="{00000000-0008-0000-0000-0000C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212</xdr:row>
          <xdr:rowOff>409575</xdr:rowOff>
        </xdr:from>
        <xdr:to>
          <xdr:col>20</xdr:col>
          <xdr:colOff>38100</xdr:colOff>
          <xdr:row>212</xdr:row>
          <xdr:rowOff>619125</xdr:rowOff>
        </xdr:to>
        <xdr:sp macro="" textlink="">
          <xdr:nvSpPr>
            <xdr:cNvPr id="7371" name="Check Box 203" hidden="1">
              <a:extLst>
                <a:ext uri="{63B3BB69-23CF-44E3-9099-C40C66FF867C}">
                  <a14:compatExt spid="_x0000_s7371"/>
                </a:ext>
                <a:ext uri="{FF2B5EF4-FFF2-40B4-BE49-F238E27FC236}">
                  <a16:creationId xmlns:a16="http://schemas.microsoft.com/office/drawing/2014/main" id="{00000000-0008-0000-0000-0000C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213</xdr:row>
          <xdr:rowOff>428625</xdr:rowOff>
        </xdr:from>
        <xdr:to>
          <xdr:col>20</xdr:col>
          <xdr:colOff>38100</xdr:colOff>
          <xdr:row>213</xdr:row>
          <xdr:rowOff>638175</xdr:rowOff>
        </xdr:to>
        <xdr:sp macro="" textlink="">
          <xdr:nvSpPr>
            <xdr:cNvPr id="7372" name="Check Box 204" hidden="1">
              <a:extLst>
                <a:ext uri="{63B3BB69-23CF-44E3-9099-C40C66FF867C}">
                  <a14:compatExt spid="_x0000_s7372"/>
                </a:ext>
                <a:ext uri="{FF2B5EF4-FFF2-40B4-BE49-F238E27FC236}">
                  <a16:creationId xmlns:a16="http://schemas.microsoft.com/office/drawing/2014/main" id="{00000000-0008-0000-0000-0000C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214</xdr:row>
          <xdr:rowOff>428625</xdr:rowOff>
        </xdr:from>
        <xdr:to>
          <xdr:col>20</xdr:col>
          <xdr:colOff>38100</xdr:colOff>
          <xdr:row>214</xdr:row>
          <xdr:rowOff>638175</xdr:rowOff>
        </xdr:to>
        <xdr:sp macro="" textlink="">
          <xdr:nvSpPr>
            <xdr:cNvPr id="7373" name="Check Box 205" hidden="1">
              <a:extLst>
                <a:ext uri="{63B3BB69-23CF-44E3-9099-C40C66FF867C}">
                  <a14:compatExt spid="_x0000_s7373"/>
                </a:ext>
                <a:ext uri="{FF2B5EF4-FFF2-40B4-BE49-F238E27FC236}">
                  <a16:creationId xmlns:a16="http://schemas.microsoft.com/office/drawing/2014/main" id="{00000000-0008-0000-0000-0000C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215</xdr:row>
          <xdr:rowOff>428625</xdr:rowOff>
        </xdr:from>
        <xdr:to>
          <xdr:col>20</xdr:col>
          <xdr:colOff>38100</xdr:colOff>
          <xdr:row>215</xdr:row>
          <xdr:rowOff>638175</xdr:rowOff>
        </xdr:to>
        <xdr:sp macro="" textlink="">
          <xdr:nvSpPr>
            <xdr:cNvPr id="7374" name="Check Box 206" hidden="1">
              <a:extLst>
                <a:ext uri="{63B3BB69-23CF-44E3-9099-C40C66FF867C}">
                  <a14:compatExt spid="_x0000_s7374"/>
                </a:ext>
                <a:ext uri="{FF2B5EF4-FFF2-40B4-BE49-F238E27FC236}">
                  <a16:creationId xmlns:a16="http://schemas.microsoft.com/office/drawing/2014/main" id="{00000000-0008-0000-0000-0000C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216</xdr:row>
          <xdr:rowOff>409575</xdr:rowOff>
        </xdr:from>
        <xdr:to>
          <xdr:col>20</xdr:col>
          <xdr:colOff>38100</xdr:colOff>
          <xdr:row>216</xdr:row>
          <xdr:rowOff>619125</xdr:rowOff>
        </xdr:to>
        <xdr:sp macro="" textlink="">
          <xdr:nvSpPr>
            <xdr:cNvPr id="7375" name="Check Box 207" hidden="1">
              <a:extLst>
                <a:ext uri="{63B3BB69-23CF-44E3-9099-C40C66FF867C}">
                  <a14:compatExt spid="_x0000_s7375"/>
                </a:ext>
                <a:ext uri="{FF2B5EF4-FFF2-40B4-BE49-F238E27FC236}">
                  <a16:creationId xmlns:a16="http://schemas.microsoft.com/office/drawing/2014/main" id="{00000000-0008-0000-0000-0000C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217</xdr:row>
          <xdr:rowOff>438150</xdr:rowOff>
        </xdr:from>
        <xdr:to>
          <xdr:col>20</xdr:col>
          <xdr:colOff>38100</xdr:colOff>
          <xdr:row>217</xdr:row>
          <xdr:rowOff>647700</xdr:rowOff>
        </xdr:to>
        <xdr:sp macro="" textlink="">
          <xdr:nvSpPr>
            <xdr:cNvPr id="7376" name="Check Box 208" hidden="1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00000000-0008-0000-0000-0000D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218</xdr:row>
          <xdr:rowOff>438150</xdr:rowOff>
        </xdr:from>
        <xdr:to>
          <xdr:col>20</xdr:col>
          <xdr:colOff>38100</xdr:colOff>
          <xdr:row>218</xdr:row>
          <xdr:rowOff>647700</xdr:rowOff>
        </xdr:to>
        <xdr:sp macro="" textlink="">
          <xdr:nvSpPr>
            <xdr:cNvPr id="7377" name="Check Box 209" hidden="1">
              <a:extLst>
                <a:ext uri="{63B3BB69-23CF-44E3-9099-C40C66FF867C}">
                  <a14:compatExt spid="_x0000_s7377"/>
                </a:ext>
                <a:ext uri="{FF2B5EF4-FFF2-40B4-BE49-F238E27FC236}">
                  <a16:creationId xmlns:a16="http://schemas.microsoft.com/office/drawing/2014/main" id="{00000000-0008-0000-0000-0000D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219</xdr:row>
          <xdr:rowOff>419100</xdr:rowOff>
        </xdr:from>
        <xdr:to>
          <xdr:col>20</xdr:col>
          <xdr:colOff>38100</xdr:colOff>
          <xdr:row>219</xdr:row>
          <xdr:rowOff>628650</xdr:rowOff>
        </xdr:to>
        <xdr:sp macro="" textlink="">
          <xdr:nvSpPr>
            <xdr:cNvPr id="7378" name="Check Box 210" hidden="1">
              <a:extLst>
                <a:ext uri="{63B3BB69-23CF-44E3-9099-C40C66FF867C}">
                  <a14:compatExt spid="_x0000_s7378"/>
                </a:ext>
                <a:ext uri="{FF2B5EF4-FFF2-40B4-BE49-F238E27FC236}">
                  <a16:creationId xmlns:a16="http://schemas.microsoft.com/office/drawing/2014/main" id="{00000000-0008-0000-0000-0000D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220</xdr:row>
          <xdr:rowOff>447675</xdr:rowOff>
        </xdr:from>
        <xdr:to>
          <xdr:col>20</xdr:col>
          <xdr:colOff>38100</xdr:colOff>
          <xdr:row>220</xdr:row>
          <xdr:rowOff>657225</xdr:rowOff>
        </xdr:to>
        <xdr:sp macro="" textlink="">
          <xdr:nvSpPr>
            <xdr:cNvPr id="7379" name="Check Box 211" hidden="1">
              <a:extLst>
                <a:ext uri="{63B3BB69-23CF-44E3-9099-C40C66FF867C}">
                  <a14:compatExt spid="_x0000_s7379"/>
                </a:ext>
                <a:ext uri="{FF2B5EF4-FFF2-40B4-BE49-F238E27FC236}">
                  <a16:creationId xmlns:a16="http://schemas.microsoft.com/office/drawing/2014/main" id="{00000000-0008-0000-0000-0000D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221</xdr:row>
          <xdr:rowOff>438150</xdr:rowOff>
        </xdr:from>
        <xdr:to>
          <xdr:col>20</xdr:col>
          <xdr:colOff>38100</xdr:colOff>
          <xdr:row>221</xdr:row>
          <xdr:rowOff>647700</xdr:rowOff>
        </xdr:to>
        <xdr:sp macro="" textlink="">
          <xdr:nvSpPr>
            <xdr:cNvPr id="7380" name="Check Box 212" hidden="1">
              <a:extLst>
                <a:ext uri="{63B3BB69-23CF-44E3-9099-C40C66FF867C}">
                  <a14:compatExt spid="_x0000_s7380"/>
                </a:ext>
                <a:ext uri="{FF2B5EF4-FFF2-40B4-BE49-F238E27FC236}">
                  <a16:creationId xmlns:a16="http://schemas.microsoft.com/office/drawing/2014/main" id="{00000000-0008-0000-0000-0000D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222</xdr:row>
          <xdr:rowOff>371475</xdr:rowOff>
        </xdr:from>
        <xdr:to>
          <xdr:col>20</xdr:col>
          <xdr:colOff>38100</xdr:colOff>
          <xdr:row>222</xdr:row>
          <xdr:rowOff>581025</xdr:rowOff>
        </xdr:to>
        <xdr:sp macro="" textlink="">
          <xdr:nvSpPr>
            <xdr:cNvPr id="7381" name="Check Box 213" hidden="1">
              <a:extLst>
                <a:ext uri="{63B3BB69-23CF-44E3-9099-C40C66FF867C}">
                  <a14:compatExt spid="_x0000_s7381"/>
                </a:ext>
                <a:ext uri="{FF2B5EF4-FFF2-40B4-BE49-F238E27FC236}">
                  <a16:creationId xmlns:a16="http://schemas.microsoft.com/office/drawing/2014/main" id="{00000000-0008-0000-0000-0000D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223</xdr:row>
          <xdr:rowOff>238125</xdr:rowOff>
        </xdr:from>
        <xdr:to>
          <xdr:col>20</xdr:col>
          <xdr:colOff>38100</xdr:colOff>
          <xdr:row>223</xdr:row>
          <xdr:rowOff>447675</xdr:rowOff>
        </xdr:to>
        <xdr:sp macro="" textlink="">
          <xdr:nvSpPr>
            <xdr:cNvPr id="7382" name="Check Box 214" hidden="1">
              <a:extLst>
                <a:ext uri="{63B3BB69-23CF-44E3-9099-C40C66FF867C}">
                  <a14:compatExt spid="_x0000_s7382"/>
                </a:ext>
                <a:ext uri="{FF2B5EF4-FFF2-40B4-BE49-F238E27FC236}">
                  <a16:creationId xmlns:a16="http://schemas.microsoft.com/office/drawing/2014/main" id="{00000000-0008-0000-0000-0000D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224</xdr:row>
          <xdr:rowOff>228600</xdr:rowOff>
        </xdr:from>
        <xdr:to>
          <xdr:col>20</xdr:col>
          <xdr:colOff>47625</xdr:colOff>
          <xdr:row>224</xdr:row>
          <xdr:rowOff>438150</xdr:rowOff>
        </xdr:to>
        <xdr:sp macro="" textlink="">
          <xdr:nvSpPr>
            <xdr:cNvPr id="7383" name="Check Box 215" hidden="1">
              <a:extLst>
                <a:ext uri="{63B3BB69-23CF-44E3-9099-C40C66FF867C}">
                  <a14:compatExt spid="_x0000_s7383"/>
                </a:ext>
                <a:ext uri="{FF2B5EF4-FFF2-40B4-BE49-F238E27FC236}">
                  <a16:creationId xmlns:a16="http://schemas.microsoft.com/office/drawing/2014/main" id="{00000000-0008-0000-0000-0000D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225</xdr:row>
          <xdr:rowOff>247650</xdr:rowOff>
        </xdr:from>
        <xdr:to>
          <xdr:col>20</xdr:col>
          <xdr:colOff>38100</xdr:colOff>
          <xdr:row>225</xdr:row>
          <xdr:rowOff>457200</xdr:rowOff>
        </xdr:to>
        <xdr:sp macro="" textlink="">
          <xdr:nvSpPr>
            <xdr:cNvPr id="7384" name="Check Box 216" hidden="1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00000000-0008-0000-0000-0000D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226</xdr:row>
          <xdr:rowOff>247650</xdr:rowOff>
        </xdr:from>
        <xdr:to>
          <xdr:col>20</xdr:col>
          <xdr:colOff>38100</xdr:colOff>
          <xdr:row>226</xdr:row>
          <xdr:rowOff>457200</xdr:rowOff>
        </xdr:to>
        <xdr:sp macro="" textlink="">
          <xdr:nvSpPr>
            <xdr:cNvPr id="7385" name="Check Box 217" hidden="1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00000000-0008-0000-0000-0000D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248</xdr:row>
          <xdr:rowOff>238125</xdr:rowOff>
        </xdr:from>
        <xdr:to>
          <xdr:col>20</xdr:col>
          <xdr:colOff>38100</xdr:colOff>
          <xdr:row>248</xdr:row>
          <xdr:rowOff>447675</xdr:rowOff>
        </xdr:to>
        <xdr:sp macro="" textlink="">
          <xdr:nvSpPr>
            <xdr:cNvPr id="7386" name="Check Box 218" hidden="1">
              <a:extLst>
                <a:ext uri="{63B3BB69-23CF-44E3-9099-C40C66FF867C}">
                  <a14:compatExt spid="_x0000_s7386"/>
                </a:ext>
                <a:ext uri="{FF2B5EF4-FFF2-40B4-BE49-F238E27FC236}">
                  <a16:creationId xmlns:a16="http://schemas.microsoft.com/office/drawing/2014/main" id="{00000000-0008-0000-0000-0000D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249</xdr:row>
          <xdr:rowOff>238125</xdr:rowOff>
        </xdr:from>
        <xdr:to>
          <xdr:col>20</xdr:col>
          <xdr:colOff>38100</xdr:colOff>
          <xdr:row>249</xdr:row>
          <xdr:rowOff>447675</xdr:rowOff>
        </xdr:to>
        <xdr:sp macro="" textlink="">
          <xdr:nvSpPr>
            <xdr:cNvPr id="7387" name="Check Box 219" hidden="1">
              <a:extLst>
                <a:ext uri="{63B3BB69-23CF-44E3-9099-C40C66FF867C}">
                  <a14:compatExt spid="_x0000_s7387"/>
                </a:ext>
                <a:ext uri="{FF2B5EF4-FFF2-40B4-BE49-F238E27FC236}">
                  <a16:creationId xmlns:a16="http://schemas.microsoft.com/office/drawing/2014/main" id="{00000000-0008-0000-0000-0000D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250</xdr:row>
          <xdr:rowOff>219075</xdr:rowOff>
        </xdr:from>
        <xdr:to>
          <xdr:col>20</xdr:col>
          <xdr:colOff>38100</xdr:colOff>
          <xdr:row>250</xdr:row>
          <xdr:rowOff>428625</xdr:rowOff>
        </xdr:to>
        <xdr:sp macro="" textlink="">
          <xdr:nvSpPr>
            <xdr:cNvPr id="7388" name="Check Box 220" hidden="1">
              <a:extLst>
                <a:ext uri="{63B3BB69-23CF-44E3-9099-C40C66FF867C}">
                  <a14:compatExt spid="_x0000_s7388"/>
                </a:ext>
                <a:ext uri="{FF2B5EF4-FFF2-40B4-BE49-F238E27FC236}">
                  <a16:creationId xmlns:a16="http://schemas.microsoft.com/office/drawing/2014/main" id="{00000000-0008-0000-0000-0000D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1952625</xdr:colOff>
          <xdr:row>287</xdr:row>
          <xdr:rowOff>371475</xdr:rowOff>
        </xdr:from>
        <xdr:to>
          <xdr:col>12</xdr:col>
          <xdr:colOff>981075</xdr:colOff>
          <xdr:row>288</xdr:row>
          <xdr:rowOff>371475</xdr:rowOff>
        </xdr:to>
        <xdr:sp macro="" textlink="">
          <xdr:nvSpPr>
            <xdr:cNvPr id="7389" name="Button 221" hidden="1">
              <a:extLst>
                <a:ext uri="{63B3BB69-23CF-44E3-9099-C40C66FF867C}">
                  <a14:compatExt spid="_x0000_s7389"/>
                </a:ext>
                <a:ext uri="{FF2B5EF4-FFF2-40B4-BE49-F238E27FC236}">
                  <a16:creationId xmlns:a16="http://schemas.microsoft.com/office/drawing/2014/main" id="{00000000-0008-0000-0000-0000D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1704975</xdr:colOff>
          <xdr:row>3</xdr:row>
          <xdr:rowOff>419100</xdr:rowOff>
        </xdr:from>
        <xdr:to>
          <xdr:col>12</xdr:col>
          <xdr:colOff>581025</xdr:colOff>
          <xdr:row>3</xdr:row>
          <xdr:rowOff>1009650</xdr:rowOff>
        </xdr:to>
        <xdr:sp macro="" textlink="">
          <xdr:nvSpPr>
            <xdr:cNvPr id="7390" name="Button 222" hidden="1">
              <a:extLst>
                <a:ext uri="{63B3BB69-23CF-44E3-9099-C40C66FF867C}">
                  <a14:compatExt spid="_x0000_s7390"/>
                </a:ext>
                <a:ext uri="{FF2B5EF4-FFF2-40B4-BE49-F238E27FC236}">
                  <a16:creationId xmlns:a16="http://schemas.microsoft.com/office/drawing/2014/main" id="{00000000-0008-0000-0000-0000D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Zurücksetzen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7</xdr:row>
          <xdr:rowOff>85725</xdr:rowOff>
        </xdr:from>
        <xdr:to>
          <xdr:col>20</xdr:col>
          <xdr:colOff>104775</xdr:colOff>
          <xdr:row>7</xdr:row>
          <xdr:rowOff>933450</xdr:rowOff>
        </xdr:to>
        <xdr:sp macro="" textlink="">
          <xdr:nvSpPr>
            <xdr:cNvPr id="7392" name="Button 224" hidden="1">
              <a:extLst>
                <a:ext uri="{63B3BB69-23CF-44E3-9099-C40C66FF867C}">
                  <a14:compatExt spid="_x0000_s7392"/>
                </a:ext>
                <a:ext uri="{FF2B5EF4-FFF2-40B4-BE49-F238E27FC236}">
                  <a16:creationId xmlns:a16="http://schemas.microsoft.com/office/drawing/2014/main" id="{00000000-0008-0000-0000-0000E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287</xdr:row>
          <xdr:rowOff>371475</xdr:rowOff>
        </xdr:from>
        <xdr:to>
          <xdr:col>15</xdr:col>
          <xdr:colOff>495300</xdr:colOff>
          <xdr:row>288</xdr:row>
          <xdr:rowOff>371475</xdr:rowOff>
        </xdr:to>
        <xdr:sp macro="" textlink="">
          <xdr:nvSpPr>
            <xdr:cNvPr id="7395" name="Button 227" hidden="1">
              <a:extLst>
                <a:ext uri="{63B3BB69-23CF-44E3-9099-C40C66FF867C}">
                  <a14:compatExt spid="_x0000_s7395"/>
                </a:ext>
                <a:ext uri="{FF2B5EF4-FFF2-40B4-BE49-F238E27FC236}">
                  <a16:creationId xmlns:a16="http://schemas.microsoft.com/office/drawing/2014/main" id="{00000000-0008-0000-0000-0000E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84</xdr:row>
          <xdr:rowOff>447675</xdr:rowOff>
        </xdr:from>
        <xdr:to>
          <xdr:col>20</xdr:col>
          <xdr:colOff>104775</xdr:colOff>
          <xdr:row>84</xdr:row>
          <xdr:rowOff>657225</xdr:rowOff>
        </xdr:to>
        <xdr:sp macro="" textlink="">
          <xdr:nvSpPr>
            <xdr:cNvPr id="7396" name="Check Box 228" hidden="1">
              <a:extLst>
                <a:ext uri="{63B3BB69-23CF-44E3-9099-C40C66FF867C}">
                  <a14:compatExt spid="_x0000_s7396"/>
                </a:ext>
                <a:ext uri="{FF2B5EF4-FFF2-40B4-BE49-F238E27FC236}">
                  <a16:creationId xmlns:a16="http://schemas.microsoft.com/office/drawing/2014/main" id="{00000000-0008-0000-0000-0000E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352425</xdr:colOff>
          <xdr:row>136</xdr:row>
          <xdr:rowOff>390525</xdr:rowOff>
        </xdr:from>
        <xdr:to>
          <xdr:col>20</xdr:col>
          <xdr:colOff>161925</xdr:colOff>
          <xdr:row>136</xdr:row>
          <xdr:rowOff>600075</xdr:rowOff>
        </xdr:to>
        <xdr:sp macro="" textlink="">
          <xdr:nvSpPr>
            <xdr:cNvPr id="7397" name="Check Box 229" hidden="1">
              <a:extLst>
                <a:ext uri="{63B3BB69-23CF-44E3-9099-C40C66FF867C}">
                  <a14:compatExt spid="_x0000_s7397"/>
                </a:ext>
                <a:ext uri="{FF2B5EF4-FFF2-40B4-BE49-F238E27FC236}">
                  <a16:creationId xmlns:a16="http://schemas.microsoft.com/office/drawing/2014/main" id="{00000000-0008-0000-0000-0000E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132</xdr:row>
          <xdr:rowOff>400050</xdr:rowOff>
        </xdr:from>
        <xdr:to>
          <xdr:col>20</xdr:col>
          <xdr:colOff>123825</xdr:colOff>
          <xdr:row>132</xdr:row>
          <xdr:rowOff>609600</xdr:rowOff>
        </xdr:to>
        <xdr:sp macro="" textlink="">
          <xdr:nvSpPr>
            <xdr:cNvPr id="7398" name="Check Box 230" hidden="1">
              <a:extLst>
                <a:ext uri="{63B3BB69-23CF-44E3-9099-C40C66FF867C}">
                  <a14:compatExt spid="_x0000_s7398"/>
                </a:ext>
                <a:ext uri="{FF2B5EF4-FFF2-40B4-BE49-F238E27FC236}">
                  <a16:creationId xmlns:a16="http://schemas.microsoft.com/office/drawing/2014/main" id="{00000000-0008-0000-0000-0000E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155</xdr:row>
          <xdr:rowOff>419100</xdr:rowOff>
        </xdr:from>
        <xdr:to>
          <xdr:col>20</xdr:col>
          <xdr:colOff>123825</xdr:colOff>
          <xdr:row>155</xdr:row>
          <xdr:rowOff>619125</xdr:rowOff>
        </xdr:to>
        <xdr:sp macro="" textlink="">
          <xdr:nvSpPr>
            <xdr:cNvPr id="7399" name="Check Box 231" hidden="1">
              <a:extLst>
                <a:ext uri="{63B3BB69-23CF-44E3-9099-C40C66FF867C}">
                  <a14:compatExt spid="_x0000_s7399"/>
                </a:ext>
                <a:ext uri="{FF2B5EF4-FFF2-40B4-BE49-F238E27FC236}">
                  <a16:creationId xmlns:a16="http://schemas.microsoft.com/office/drawing/2014/main" id="{00000000-0008-0000-0000-0000E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133350</xdr:rowOff>
        </xdr:from>
        <xdr:to>
          <xdr:col>9</xdr:col>
          <xdr:colOff>219075</xdr:colOff>
          <xdr:row>1</xdr:row>
          <xdr:rowOff>361950</xdr:rowOff>
        </xdr:to>
        <xdr:sp macro="" textlink="">
          <xdr:nvSpPr>
            <xdr:cNvPr id="7404" name="CheckBox1" hidden="1">
              <a:extLst>
                <a:ext uri="{63B3BB69-23CF-44E3-9099-C40C66FF867C}">
                  <a14:compatExt spid="_x0000_s7404"/>
                </a:ext>
                <a:ext uri="{FF2B5EF4-FFF2-40B4-BE49-F238E27FC236}">
                  <a16:creationId xmlns:a16="http://schemas.microsoft.com/office/drawing/2014/main" id="{00000000-0008-0000-0000-0000E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</xdr:row>
          <xdr:rowOff>95250</xdr:rowOff>
        </xdr:from>
        <xdr:to>
          <xdr:col>11</xdr:col>
          <xdr:colOff>0</xdr:colOff>
          <xdr:row>1</xdr:row>
          <xdr:rowOff>561975</xdr:rowOff>
        </xdr:to>
        <xdr:sp macro="" textlink="">
          <xdr:nvSpPr>
            <xdr:cNvPr id="7405" name="Label4" hidden="1">
              <a:extLst>
                <a:ext uri="{63B3BB69-23CF-44E3-9099-C40C66FF867C}">
                  <a14:compatExt spid="_x0000_s7405"/>
                </a:ext>
                <a:ext uri="{FF2B5EF4-FFF2-40B4-BE49-F238E27FC236}">
                  <a16:creationId xmlns:a16="http://schemas.microsoft.com/office/drawing/2014/main" id="{00000000-0008-0000-0000-0000E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251</xdr:row>
          <xdr:rowOff>247650</xdr:rowOff>
        </xdr:from>
        <xdr:to>
          <xdr:col>20</xdr:col>
          <xdr:colOff>57150</xdr:colOff>
          <xdr:row>251</xdr:row>
          <xdr:rowOff>457200</xdr:rowOff>
        </xdr:to>
        <xdr:sp macro="" textlink="">
          <xdr:nvSpPr>
            <xdr:cNvPr id="7407" name="Check Box 239" hidden="1">
              <a:extLst>
                <a:ext uri="{63B3BB69-23CF-44E3-9099-C40C66FF867C}">
                  <a14:compatExt spid="_x0000_s7407"/>
                </a:ext>
                <a:ext uri="{FF2B5EF4-FFF2-40B4-BE49-F238E27FC236}">
                  <a16:creationId xmlns:a16="http://schemas.microsoft.com/office/drawing/2014/main" id="{00000000-0008-0000-0000-0000E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238125</xdr:colOff>
          <xdr:row>252</xdr:row>
          <xdr:rowOff>200025</xdr:rowOff>
        </xdr:from>
        <xdr:to>
          <xdr:col>20</xdr:col>
          <xdr:colOff>47625</xdr:colOff>
          <xdr:row>252</xdr:row>
          <xdr:rowOff>400050</xdr:rowOff>
        </xdr:to>
        <xdr:sp macro="" textlink="">
          <xdr:nvSpPr>
            <xdr:cNvPr id="7408" name="Check Box 240" hidden="1">
              <a:extLst>
                <a:ext uri="{63B3BB69-23CF-44E3-9099-C40C66FF867C}">
                  <a14:compatExt spid="_x0000_s7408"/>
                </a:ext>
                <a:ext uri="{FF2B5EF4-FFF2-40B4-BE49-F238E27FC236}">
                  <a16:creationId xmlns:a16="http://schemas.microsoft.com/office/drawing/2014/main" id="{00000000-0008-0000-0000-0000F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254</xdr:row>
          <xdr:rowOff>200025</xdr:rowOff>
        </xdr:from>
        <xdr:to>
          <xdr:col>20</xdr:col>
          <xdr:colOff>76200</xdr:colOff>
          <xdr:row>254</xdr:row>
          <xdr:rowOff>409575</xdr:rowOff>
        </xdr:to>
        <xdr:sp macro="" textlink="">
          <xdr:nvSpPr>
            <xdr:cNvPr id="7409" name="Check Box 241" hidden="1">
              <a:extLst>
                <a:ext uri="{63B3BB69-23CF-44E3-9099-C40C66FF867C}">
                  <a14:compatExt spid="_x0000_s7409"/>
                </a:ext>
                <a:ext uri="{FF2B5EF4-FFF2-40B4-BE49-F238E27FC236}">
                  <a16:creationId xmlns:a16="http://schemas.microsoft.com/office/drawing/2014/main" id="{00000000-0008-0000-0000-0000F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255</xdr:row>
          <xdr:rowOff>228600</xdr:rowOff>
        </xdr:from>
        <xdr:to>
          <xdr:col>20</xdr:col>
          <xdr:colOff>76200</xdr:colOff>
          <xdr:row>255</xdr:row>
          <xdr:rowOff>438150</xdr:rowOff>
        </xdr:to>
        <xdr:sp macro="" textlink="">
          <xdr:nvSpPr>
            <xdr:cNvPr id="7410" name="Check Box 242" hidden="1">
              <a:extLst>
                <a:ext uri="{63B3BB69-23CF-44E3-9099-C40C66FF867C}">
                  <a14:compatExt spid="_x0000_s7410"/>
                </a:ext>
                <a:ext uri="{FF2B5EF4-FFF2-40B4-BE49-F238E27FC236}">
                  <a16:creationId xmlns:a16="http://schemas.microsoft.com/office/drawing/2014/main" id="{00000000-0008-0000-0000-0000F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256</xdr:row>
          <xdr:rowOff>200025</xdr:rowOff>
        </xdr:from>
        <xdr:to>
          <xdr:col>20</xdr:col>
          <xdr:colOff>66675</xdr:colOff>
          <xdr:row>256</xdr:row>
          <xdr:rowOff>409575</xdr:rowOff>
        </xdr:to>
        <xdr:sp macro="" textlink="">
          <xdr:nvSpPr>
            <xdr:cNvPr id="7411" name="Check Box 243" hidden="1">
              <a:extLst>
                <a:ext uri="{63B3BB69-23CF-44E3-9099-C40C66FF867C}">
                  <a14:compatExt spid="_x0000_s7411"/>
                </a:ext>
                <a:ext uri="{FF2B5EF4-FFF2-40B4-BE49-F238E27FC236}">
                  <a16:creationId xmlns:a16="http://schemas.microsoft.com/office/drawing/2014/main" id="{00000000-0008-0000-0000-0000F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257</xdr:row>
          <xdr:rowOff>209550</xdr:rowOff>
        </xdr:from>
        <xdr:to>
          <xdr:col>20</xdr:col>
          <xdr:colOff>85725</xdr:colOff>
          <xdr:row>257</xdr:row>
          <xdr:rowOff>419100</xdr:rowOff>
        </xdr:to>
        <xdr:sp macro="" textlink="">
          <xdr:nvSpPr>
            <xdr:cNvPr id="7412" name="Check Box 244" hidden="1">
              <a:extLst>
                <a:ext uri="{63B3BB69-23CF-44E3-9099-C40C66FF867C}">
                  <a14:compatExt spid="_x0000_s7412"/>
                </a:ext>
                <a:ext uri="{FF2B5EF4-FFF2-40B4-BE49-F238E27FC236}">
                  <a16:creationId xmlns:a16="http://schemas.microsoft.com/office/drawing/2014/main" id="{00000000-0008-0000-0000-0000F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258</xdr:row>
          <xdr:rowOff>180975</xdr:rowOff>
        </xdr:from>
        <xdr:to>
          <xdr:col>20</xdr:col>
          <xdr:colOff>76200</xdr:colOff>
          <xdr:row>258</xdr:row>
          <xdr:rowOff>390525</xdr:rowOff>
        </xdr:to>
        <xdr:sp macro="" textlink="">
          <xdr:nvSpPr>
            <xdr:cNvPr id="7413" name="Check Box 245" hidden="1">
              <a:extLst>
                <a:ext uri="{63B3BB69-23CF-44E3-9099-C40C66FF867C}">
                  <a14:compatExt spid="_x0000_s7413"/>
                </a:ext>
                <a:ext uri="{FF2B5EF4-FFF2-40B4-BE49-F238E27FC236}">
                  <a16:creationId xmlns:a16="http://schemas.microsoft.com/office/drawing/2014/main" id="{00000000-0008-0000-0000-0000F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259</xdr:row>
          <xdr:rowOff>152400</xdr:rowOff>
        </xdr:from>
        <xdr:to>
          <xdr:col>20</xdr:col>
          <xdr:colOff>85725</xdr:colOff>
          <xdr:row>259</xdr:row>
          <xdr:rowOff>361950</xdr:rowOff>
        </xdr:to>
        <xdr:sp macro="" textlink="">
          <xdr:nvSpPr>
            <xdr:cNvPr id="7414" name="Check Box 246" hidden="1">
              <a:extLst>
                <a:ext uri="{63B3BB69-23CF-44E3-9099-C40C66FF867C}">
                  <a14:compatExt spid="_x0000_s7414"/>
                </a:ext>
                <a:ext uri="{FF2B5EF4-FFF2-40B4-BE49-F238E27FC236}">
                  <a16:creationId xmlns:a16="http://schemas.microsoft.com/office/drawing/2014/main" id="{00000000-0008-0000-0000-0000F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261</xdr:row>
          <xdr:rowOff>200025</xdr:rowOff>
        </xdr:from>
        <xdr:to>
          <xdr:col>20</xdr:col>
          <xdr:colOff>95250</xdr:colOff>
          <xdr:row>261</xdr:row>
          <xdr:rowOff>409575</xdr:rowOff>
        </xdr:to>
        <xdr:sp macro="" textlink="">
          <xdr:nvSpPr>
            <xdr:cNvPr id="7416" name="Check Box 248" hidden="1">
              <a:extLst>
                <a:ext uri="{63B3BB69-23CF-44E3-9099-C40C66FF867C}">
                  <a14:compatExt spid="_x0000_s7416"/>
                </a:ext>
                <a:ext uri="{FF2B5EF4-FFF2-40B4-BE49-F238E27FC236}">
                  <a16:creationId xmlns:a16="http://schemas.microsoft.com/office/drawing/2014/main" id="{00000000-0008-0000-0000-0000F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262</xdr:row>
          <xdr:rowOff>228600</xdr:rowOff>
        </xdr:from>
        <xdr:to>
          <xdr:col>20</xdr:col>
          <xdr:colOff>95250</xdr:colOff>
          <xdr:row>262</xdr:row>
          <xdr:rowOff>438150</xdr:rowOff>
        </xdr:to>
        <xdr:sp macro="" textlink="">
          <xdr:nvSpPr>
            <xdr:cNvPr id="7417" name="Check Box 249" hidden="1">
              <a:extLst>
                <a:ext uri="{63B3BB69-23CF-44E3-9099-C40C66FF867C}">
                  <a14:compatExt spid="_x0000_s7417"/>
                </a:ext>
                <a:ext uri="{FF2B5EF4-FFF2-40B4-BE49-F238E27FC236}">
                  <a16:creationId xmlns:a16="http://schemas.microsoft.com/office/drawing/2014/main" id="{00000000-0008-0000-0000-0000F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263</xdr:row>
          <xdr:rowOff>200025</xdr:rowOff>
        </xdr:from>
        <xdr:to>
          <xdr:col>20</xdr:col>
          <xdr:colOff>104775</xdr:colOff>
          <xdr:row>263</xdr:row>
          <xdr:rowOff>409575</xdr:rowOff>
        </xdr:to>
        <xdr:sp macro="" textlink="">
          <xdr:nvSpPr>
            <xdr:cNvPr id="7418" name="Check Box 250" hidden="1">
              <a:extLst>
                <a:ext uri="{63B3BB69-23CF-44E3-9099-C40C66FF867C}">
                  <a14:compatExt spid="_x0000_s7418"/>
                </a:ext>
                <a:ext uri="{FF2B5EF4-FFF2-40B4-BE49-F238E27FC236}">
                  <a16:creationId xmlns:a16="http://schemas.microsoft.com/office/drawing/2014/main" id="{00000000-0008-0000-0000-0000F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264</xdr:row>
          <xdr:rowOff>219075</xdr:rowOff>
        </xdr:from>
        <xdr:to>
          <xdr:col>20</xdr:col>
          <xdr:colOff>76200</xdr:colOff>
          <xdr:row>264</xdr:row>
          <xdr:rowOff>428625</xdr:rowOff>
        </xdr:to>
        <xdr:sp macro="" textlink="">
          <xdr:nvSpPr>
            <xdr:cNvPr id="7419" name="Check Box 251" hidden="1">
              <a:extLst>
                <a:ext uri="{63B3BB69-23CF-44E3-9099-C40C66FF867C}">
                  <a14:compatExt spid="_x0000_s7419"/>
                </a:ext>
                <a:ext uri="{FF2B5EF4-FFF2-40B4-BE49-F238E27FC236}">
                  <a16:creationId xmlns:a16="http://schemas.microsoft.com/office/drawing/2014/main" id="{00000000-0008-0000-0000-0000F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265</xdr:row>
          <xdr:rowOff>228600</xdr:rowOff>
        </xdr:from>
        <xdr:to>
          <xdr:col>20</xdr:col>
          <xdr:colOff>66675</xdr:colOff>
          <xdr:row>265</xdr:row>
          <xdr:rowOff>438150</xdr:rowOff>
        </xdr:to>
        <xdr:sp macro="" textlink="">
          <xdr:nvSpPr>
            <xdr:cNvPr id="7420" name="Check Box 252" hidden="1">
              <a:extLst>
                <a:ext uri="{63B3BB69-23CF-44E3-9099-C40C66FF867C}">
                  <a14:compatExt spid="_x0000_s7420"/>
                </a:ext>
                <a:ext uri="{FF2B5EF4-FFF2-40B4-BE49-F238E27FC236}">
                  <a16:creationId xmlns:a16="http://schemas.microsoft.com/office/drawing/2014/main" id="{00000000-0008-0000-0000-0000F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266</xdr:row>
          <xdr:rowOff>219075</xdr:rowOff>
        </xdr:from>
        <xdr:to>
          <xdr:col>20</xdr:col>
          <xdr:colOff>57150</xdr:colOff>
          <xdr:row>266</xdr:row>
          <xdr:rowOff>428625</xdr:rowOff>
        </xdr:to>
        <xdr:sp macro="" textlink="">
          <xdr:nvSpPr>
            <xdr:cNvPr id="7421" name="Check Box 253" hidden="1">
              <a:extLst>
                <a:ext uri="{63B3BB69-23CF-44E3-9099-C40C66FF867C}">
                  <a14:compatExt spid="_x0000_s7421"/>
                </a:ext>
                <a:ext uri="{FF2B5EF4-FFF2-40B4-BE49-F238E27FC236}">
                  <a16:creationId xmlns:a16="http://schemas.microsoft.com/office/drawing/2014/main" id="{00000000-0008-0000-0000-0000F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268</xdr:row>
          <xdr:rowOff>247650</xdr:rowOff>
        </xdr:from>
        <xdr:to>
          <xdr:col>20</xdr:col>
          <xdr:colOff>66675</xdr:colOff>
          <xdr:row>268</xdr:row>
          <xdr:rowOff>457200</xdr:rowOff>
        </xdr:to>
        <xdr:sp macro="" textlink="">
          <xdr:nvSpPr>
            <xdr:cNvPr id="7422" name="Check Box 254" hidden="1">
              <a:extLst>
                <a:ext uri="{63B3BB69-23CF-44E3-9099-C40C66FF867C}">
                  <a14:compatExt spid="_x0000_s7422"/>
                </a:ext>
                <a:ext uri="{FF2B5EF4-FFF2-40B4-BE49-F238E27FC236}">
                  <a16:creationId xmlns:a16="http://schemas.microsoft.com/office/drawing/2014/main" id="{00000000-0008-0000-0000-0000F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269</xdr:row>
          <xdr:rowOff>171450</xdr:rowOff>
        </xdr:from>
        <xdr:to>
          <xdr:col>20</xdr:col>
          <xdr:colOff>66675</xdr:colOff>
          <xdr:row>269</xdr:row>
          <xdr:rowOff>381000</xdr:rowOff>
        </xdr:to>
        <xdr:sp macro="" textlink="">
          <xdr:nvSpPr>
            <xdr:cNvPr id="7423" name="Check Box 255" hidden="1">
              <a:extLst>
                <a:ext uri="{63B3BB69-23CF-44E3-9099-C40C66FF867C}">
                  <a14:compatExt spid="_x0000_s7423"/>
                </a:ext>
                <a:ext uri="{FF2B5EF4-FFF2-40B4-BE49-F238E27FC236}">
                  <a16:creationId xmlns:a16="http://schemas.microsoft.com/office/drawing/2014/main" id="{00000000-0008-0000-0000-0000F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270</xdr:row>
          <xdr:rowOff>190500</xdr:rowOff>
        </xdr:from>
        <xdr:to>
          <xdr:col>20</xdr:col>
          <xdr:colOff>47625</xdr:colOff>
          <xdr:row>270</xdr:row>
          <xdr:rowOff>400050</xdr:rowOff>
        </xdr:to>
        <xdr:sp macro="" textlink="">
          <xdr:nvSpPr>
            <xdr:cNvPr id="7424" name="Check Box 256" hidden="1">
              <a:extLst>
                <a:ext uri="{63B3BB69-23CF-44E3-9099-C40C66FF867C}">
                  <a14:compatExt spid="_x0000_s7424"/>
                </a:ext>
                <a:ext uri="{FF2B5EF4-FFF2-40B4-BE49-F238E27FC236}">
                  <a16:creationId xmlns:a16="http://schemas.microsoft.com/office/drawing/2014/main" id="{00000000-0008-0000-0000-00000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271</xdr:row>
          <xdr:rowOff>190500</xdr:rowOff>
        </xdr:from>
        <xdr:to>
          <xdr:col>20</xdr:col>
          <xdr:colOff>47625</xdr:colOff>
          <xdr:row>271</xdr:row>
          <xdr:rowOff>400050</xdr:rowOff>
        </xdr:to>
        <xdr:sp macro="" textlink="">
          <xdr:nvSpPr>
            <xdr:cNvPr id="7425" name="Check Box 257" hidden="1">
              <a:extLst>
                <a:ext uri="{63B3BB69-23CF-44E3-9099-C40C66FF867C}">
                  <a14:compatExt spid="_x0000_s7425"/>
                </a:ext>
                <a:ext uri="{FF2B5EF4-FFF2-40B4-BE49-F238E27FC236}">
                  <a16:creationId xmlns:a16="http://schemas.microsoft.com/office/drawing/2014/main" id="{00000000-0008-0000-0000-00000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272</xdr:row>
          <xdr:rowOff>209550</xdr:rowOff>
        </xdr:from>
        <xdr:to>
          <xdr:col>20</xdr:col>
          <xdr:colOff>47625</xdr:colOff>
          <xdr:row>272</xdr:row>
          <xdr:rowOff>419100</xdr:rowOff>
        </xdr:to>
        <xdr:sp macro="" textlink="">
          <xdr:nvSpPr>
            <xdr:cNvPr id="7426" name="Check Box 258" hidden="1">
              <a:extLst>
                <a:ext uri="{63B3BB69-23CF-44E3-9099-C40C66FF867C}">
                  <a14:compatExt spid="_x0000_s7426"/>
                </a:ext>
                <a:ext uri="{FF2B5EF4-FFF2-40B4-BE49-F238E27FC236}">
                  <a16:creationId xmlns:a16="http://schemas.microsoft.com/office/drawing/2014/main" id="{00000000-0008-0000-0000-00000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273</xdr:row>
          <xdr:rowOff>190500</xdr:rowOff>
        </xdr:from>
        <xdr:to>
          <xdr:col>20</xdr:col>
          <xdr:colOff>38100</xdr:colOff>
          <xdr:row>273</xdr:row>
          <xdr:rowOff>400050</xdr:rowOff>
        </xdr:to>
        <xdr:sp macro="" textlink="">
          <xdr:nvSpPr>
            <xdr:cNvPr id="7427" name="Check Box 259" hidden="1">
              <a:extLst>
                <a:ext uri="{63B3BB69-23CF-44E3-9099-C40C66FF867C}">
                  <a14:compatExt spid="_x0000_s7427"/>
                </a:ext>
                <a:ext uri="{FF2B5EF4-FFF2-40B4-BE49-F238E27FC236}">
                  <a16:creationId xmlns:a16="http://schemas.microsoft.com/office/drawing/2014/main" id="{00000000-0008-0000-0000-00000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274</xdr:row>
          <xdr:rowOff>200025</xdr:rowOff>
        </xdr:from>
        <xdr:to>
          <xdr:col>20</xdr:col>
          <xdr:colOff>47625</xdr:colOff>
          <xdr:row>274</xdr:row>
          <xdr:rowOff>409575</xdr:rowOff>
        </xdr:to>
        <xdr:sp macro="" textlink="">
          <xdr:nvSpPr>
            <xdr:cNvPr id="7428" name="Check Box 260" hidden="1">
              <a:extLst>
                <a:ext uri="{63B3BB69-23CF-44E3-9099-C40C66FF867C}">
                  <a14:compatExt spid="_x0000_s7428"/>
                </a:ext>
                <a:ext uri="{FF2B5EF4-FFF2-40B4-BE49-F238E27FC236}">
                  <a16:creationId xmlns:a16="http://schemas.microsoft.com/office/drawing/2014/main" id="{00000000-0008-0000-0000-00000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275</xdr:row>
          <xdr:rowOff>190500</xdr:rowOff>
        </xdr:from>
        <xdr:to>
          <xdr:col>20</xdr:col>
          <xdr:colOff>47625</xdr:colOff>
          <xdr:row>275</xdr:row>
          <xdr:rowOff>400050</xdr:rowOff>
        </xdr:to>
        <xdr:sp macro="" textlink="">
          <xdr:nvSpPr>
            <xdr:cNvPr id="7429" name="Check Box 261" hidden="1">
              <a:extLst>
                <a:ext uri="{63B3BB69-23CF-44E3-9099-C40C66FF867C}">
                  <a14:compatExt spid="_x0000_s7429"/>
                </a:ext>
                <a:ext uri="{FF2B5EF4-FFF2-40B4-BE49-F238E27FC236}">
                  <a16:creationId xmlns:a16="http://schemas.microsoft.com/office/drawing/2014/main" id="{00000000-0008-0000-0000-00000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276</xdr:row>
          <xdr:rowOff>190500</xdr:rowOff>
        </xdr:from>
        <xdr:to>
          <xdr:col>20</xdr:col>
          <xdr:colOff>47625</xdr:colOff>
          <xdr:row>276</xdr:row>
          <xdr:rowOff>400050</xdr:rowOff>
        </xdr:to>
        <xdr:sp macro="" textlink="">
          <xdr:nvSpPr>
            <xdr:cNvPr id="7430" name="Check Box 262" hidden="1">
              <a:extLst>
                <a:ext uri="{63B3BB69-23CF-44E3-9099-C40C66FF867C}">
                  <a14:compatExt spid="_x0000_s7430"/>
                </a:ext>
                <a:ext uri="{FF2B5EF4-FFF2-40B4-BE49-F238E27FC236}">
                  <a16:creationId xmlns:a16="http://schemas.microsoft.com/office/drawing/2014/main" id="{00000000-0008-0000-0000-00000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277</xdr:row>
          <xdr:rowOff>200025</xdr:rowOff>
        </xdr:from>
        <xdr:to>
          <xdr:col>20</xdr:col>
          <xdr:colOff>47625</xdr:colOff>
          <xdr:row>277</xdr:row>
          <xdr:rowOff>409575</xdr:rowOff>
        </xdr:to>
        <xdr:sp macro="" textlink="">
          <xdr:nvSpPr>
            <xdr:cNvPr id="7431" name="Check Box 263" hidden="1">
              <a:extLst>
                <a:ext uri="{63B3BB69-23CF-44E3-9099-C40C66FF867C}">
                  <a14:compatExt spid="_x0000_s7431"/>
                </a:ext>
                <a:ext uri="{FF2B5EF4-FFF2-40B4-BE49-F238E27FC236}">
                  <a16:creationId xmlns:a16="http://schemas.microsoft.com/office/drawing/2014/main" id="{00000000-0008-0000-0000-00000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278</xdr:row>
          <xdr:rowOff>171450</xdr:rowOff>
        </xdr:from>
        <xdr:to>
          <xdr:col>20</xdr:col>
          <xdr:colOff>57150</xdr:colOff>
          <xdr:row>278</xdr:row>
          <xdr:rowOff>381000</xdr:rowOff>
        </xdr:to>
        <xdr:sp macro="" textlink="">
          <xdr:nvSpPr>
            <xdr:cNvPr id="7433" name="Check Box 265" hidden="1">
              <a:extLst>
                <a:ext uri="{63B3BB69-23CF-44E3-9099-C40C66FF867C}">
                  <a14:compatExt spid="_x0000_s7433"/>
                </a:ext>
                <a:ext uri="{FF2B5EF4-FFF2-40B4-BE49-F238E27FC236}">
                  <a16:creationId xmlns:a16="http://schemas.microsoft.com/office/drawing/2014/main" id="{00000000-0008-0000-0000-00000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279</xdr:row>
          <xdr:rowOff>200025</xdr:rowOff>
        </xdr:from>
        <xdr:to>
          <xdr:col>20</xdr:col>
          <xdr:colOff>47625</xdr:colOff>
          <xdr:row>279</xdr:row>
          <xdr:rowOff>409575</xdr:rowOff>
        </xdr:to>
        <xdr:sp macro="" textlink="">
          <xdr:nvSpPr>
            <xdr:cNvPr id="7434" name="Check Box 266" hidden="1">
              <a:extLst>
                <a:ext uri="{63B3BB69-23CF-44E3-9099-C40C66FF867C}">
                  <a14:compatExt spid="_x0000_s7434"/>
                </a:ext>
                <a:ext uri="{FF2B5EF4-FFF2-40B4-BE49-F238E27FC236}">
                  <a16:creationId xmlns:a16="http://schemas.microsoft.com/office/drawing/2014/main" id="{00000000-0008-0000-0000-00000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280</xdr:row>
          <xdr:rowOff>200025</xdr:rowOff>
        </xdr:from>
        <xdr:to>
          <xdr:col>20</xdr:col>
          <xdr:colOff>57150</xdr:colOff>
          <xdr:row>280</xdr:row>
          <xdr:rowOff>409575</xdr:rowOff>
        </xdr:to>
        <xdr:sp macro="" textlink="">
          <xdr:nvSpPr>
            <xdr:cNvPr id="7435" name="Check Box 267" hidden="1">
              <a:extLst>
                <a:ext uri="{63B3BB69-23CF-44E3-9099-C40C66FF867C}">
                  <a14:compatExt spid="_x0000_s7435"/>
                </a:ext>
                <a:ext uri="{FF2B5EF4-FFF2-40B4-BE49-F238E27FC236}">
                  <a16:creationId xmlns:a16="http://schemas.microsoft.com/office/drawing/2014/main" id="{00000000-0008-0000-0000-00000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281</xdr:row>
          <xdr:rowOff>200025</xdr:rowOff>
        </xdr:from>
        <xdr:to>
          <xdr:col>20</xdr:col>
          <xdr:colOff>57150</xdr:colOff>
          <xdr:row>281</xdr:row>
          <xdr:rowOff>409575</xdr:rowOff>
        </xdr:to>
        <xdr:sp macro="" textlink="">
          <xdr:nvSpPr>
            <xdr:cNvPr id="7436" name="Check Box 268" hidden="1">
              <a:extLst>
                <a:ext uri="{63B3BB69-23CF-44E3-9099-C40C66FF867C}">
                  <a14:compatExt spid="_x0000_s7436"/>
                </a:ext>
                <a:ext uri="{FF2B5EF4-FFF2-40B4-BE49-F238E27FC236}">
                  <a16:creationId xmlns:a16="http://schemas.microsoft.com/office/drawing/2014/main" id="{00000000-0008-0000-0000-00000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282</xdr:row>
          <xdr:rowOff>200025</xdr:rowOff>
        </xdr:from>
        <xdr:to>
          <xdr:col>20</xdr:col>
          <xdr:colOff>57150</xdr:colOff>
          <xdr:row>282</xdr:row>
          <xdr:rowOff>409575</xdr:rowOff>
        </xdr:to>
        <xdr:sp macro="" textlink="">
          <xdr:nvSpPr>
            <xdr:cNvPr id="7437" name="Check Box 269" hidden="1">
              <a:extLst>
                <a:ext uri="{63B3BB69-23CF-44E3-9099-C40C66FF867C}">
                  <a14:compatExt spid="_x0000_s7437"/>
                </a:ext>
                <a:ext uri="{FF2B5EF4-FFF2-40B4-BE49-F238E27FC236}">
                  <a16:creationId xmlns:a16="http://schemas.microsoft.com/office/drawing/2014/main" id="{00000000-0008-0000-0000-00000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283</xdr:row>
          <xdr:rowOff>190500</xdr:rowOff>
        </xdr:from>
        <xdr:to>
          <xdr:col>20</xdr:col>
          <xdr:colOff>47625</xdr:colOff>
          <xdr:row>283</xdr:row>
          <xdr:rowOff>400050</xdr:rowOff>
        </xdr:to>
        <xdr:sp macro="" textlink="">
          <xdr:nvSpPr>
            <xdr:cNvPr id="7438" name="Check Box 270" hidden="1">
              <a:extLst>
                <a:ext uri="{63B3BB69-23CF-44E3-9099-C40C66FF867C}">
                  <a14:compatExt spid="_x0000_s7438"/>
                </a:ext>
                <a:ext uri="{FF2B5EF4-FFF2-40B4-BE49-F238E27FC236}">
                  <a16:creationId xmlns:a16="http://schemas.microsoft.com/office/drawing/2014/main" id="{00000000-0008-0000-0000-00000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284</xdr:row>
          <xdr:rowOff>180975</xdr:rowOff>
        </xdr:from>
        <xdr:to>
          <xdr:col>20</xdr:col>
          <xdr:colOff>38100</xdr:colOff>
          <xdr:row>284</xdr:row>
          <xdr:rowOff>390525</xdr:rowOff>
        </xdr:to>
        <xdr:sp macro="" textlink="">
          <xdr:nvSpPr>
            <xdr:cNvPr id="7439" name="Check Box 271" hidden="1">
              <a:extLst>
                <a:ext uri="{63B3BB69-23CF-44E3-9099-C40C66FF867C}">
                  <a14:compatExt spid="_x0000_s7439"/>
                </a:ext>
                <a:ext uri="{FF2B5EF4-FFF2-40B4-BE49-F238E27FC236}">
                  <a16:creationId xmlns:a16="http://schemas.microsoft.com/office/drawing/2014/main" id="{00000000-0008-0000-0000-00000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286</xdr:row>
          <xdr:rowOff>200025</xdr:rowOff>
        </xdr:from>
        <xdr:to>
          <xdr:col>20</xdr:col>
          <xdr:colOff>57150</xdr:colOff>
          <xdr:row>286</xdr:row>
          <xdr:rowOff>409575</xdr:rowOff>
        </xdr:to>
        <xdr:sp macro="" textlink="">
          <xdr:nvSpPr>
            <xdr:cNvPr id="7440" name="Check Box 272" hidden="1">
              <a:extLst>
                <a:ext uri="{63B3BB69-23CF-44E3-9099-C40C66FF867C}">
                  <a14:compatExt spid="_x0000_s7440"/>
                </a:ext>
                <a:ext uri="{FF2B5EF4-FFF2-40B4-BE49-F238E27FC236}">
                  <a16:creationId xmlns:a16="http://schemas.microsoft.com/office/drawing/2014/main" id="{00000000-0008-0000-0000-00001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287</xdr:row>
          <xdr:rowOff>200025</xdr:rowOff>
        </xdr:from>
        <xdr:to>
          <xdr:col>20</xdr:col>
          <xdr:colOff>66675</xdr:colOff>
          <xdr:row>287</xdr:row>
          <xdr:rowOff>409575</xdr:rowOff>
        </xdr:to>
        <xdr:sp macro="" textlink="">
          <xdr:nvSpPr>
            <xdr:cNvPr id="7441" name="Check Box 273" hidden="1">
              <a:extLst>
                <a:ext uri="{63B3BB69-23CF-44E3-9099-C40C66FF867C}">
                  <a14:compatExt spid="_x0000_s7441"/>
                </a:ext>
                <a:ext uri="{FF2B5EF4-FFF2-40B4-BE49-F238E27FC236}">
                  <a16:creationId xmlns:a16="http://schemas.microsoft.com/office/drawing/2014/main" id="{00000000-0008-0000-0000-00001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288</xdr:row>
          <xdr:rowOff>209550</xdr:rowOff>
        </xdr:from>
        <xdr:to>
          <xdr:col>20</xdr:col>
          <xdr:colOff>66675</xdr:colOff>
          <xdr:row>288</xdr:row>
          <xdr:rowOff>419100</xdr:rowOff>
        </xdr:to>
        <xdr:sp macro="" textlink="">
          <xdr:nvSpPr>
            <xdr:cNvPr id="7442" name="Check Box 274" hidden="1">
              <a:extLst>
                <a:ext uri="{63B3BB69-23CF-44E3-9099-C40C66FF867C}">
                  <a14:compatExt spid="_x0000_s7442"/>
                </a:ext>
                <a:ext uri="{FF2B5EF4-FFF2-40B4-BE49-F238E27FC236}">
                  <a16:creationId xmlns:a16="http://schemas.microsoft.com/office/drawing/2014/main" id="{00000000-0008-0000-0000-00001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289</xdr:row>
          <xdr:rowOff>209550</xdr:rowOff>
        </xdr:from>
        <xdr:to>
          <xdr:col>20</xdr:col>
          <xdr:colOff>66675</xdr:colOff>
          <xdr:row>289</xdr:row>
          <xdr:rowOff>419100</xdr:rowOff>
        </xdr:to>
        <xdr:sp macro="" textlink="">
          <xdr:nvSpPr>
            <xdr:cNvPr id="7443" name="Check Box 275" hidden="1">
              <a:extLst>
                <a:ext uri="{63B3BB69-23CF-44E3-9099-C40C66FF867C}">
                  <a14:compatExt spid="_x0000_s7443"/>
                </a:ext>
                <a:ext uri="{FF2B5EF4-FFF2-40B4-BE49-F238E27FC236}">
                  <a16:creationId xmlns:a16="http://schemas.microsoft.com/office/drawing/2014/main" id="{00000000-0008-0000-0000-00001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290</xdr:row>
          <xdr:rowOff>190500</xdr:rowOff>
        </xdr:from>
        <xdr:to>
          <xdr:col>20</xdr:col>
          <xdr:colOff>66675</xdr:colOff>
          <xdr:row>290</xdr:row>
          <xdr:rowOff>400050</xdr:rowOff>
        </xdr:to>
        <xdr:sp macro="" textlink="">
          <xdr:nvSpPr>
            <xdr:cNvPr id="7444" name="Check Box 276" hidden="1">
              <a:extLst>
                <a:ext uri="{63B3BB69-23CF-44E3-9099-C40C66FF867C}">
                  <a14:compatExt spid="_x0000_s7444"/>
                </a:ext>
                <a:ext uri="{FF2B5EF4-FFF2-40B4-BE49-F238E27FC236}">
                  <a16:creationId xmlns:a16="http://schemas.microsoft.com/office/drawing/2014/main" id="{00000000-0008-0000-0000-00001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291</xdr:row>
          <xdr:rowOff>190500</xdr:rowOff>
        </xdr:from>
        <xdr:to>
          <xdr:col>20</xdr:col>
          <xdr:colOff>66675</xdr:colOff>
          <xdr:row>291</xdr:row>
          <xdr:rowOff>400050</xdr:rowOff>
        </xdr:to>
        <xdr:sp macro="" textlink="">
          <xdr:nvSpPr>
            <xdr:cNvPr id="7445" name="Check Box 277" hidden="1">
              <a:extLst>
                <a:ext uri="{63B3BB69-23CF-44E3-9099-C40C66FF867C}">
                  <a14:compatExt spid="_x0000_s7445"/>
                </a:ext>
                <a:ext uri="{FF2B5EF4-FFF2-40B4-BE49-F238E27FC236}">
                  <a16:creationId xmlns:a16="http://schemas.microsoft.com/office/drawing/2014/main" id="{00000000-0008-0000-0000-00001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292</xdr:row>
          <xdr:rowOff>228600</xdr:rowOff>
        </xdr:from>
        <xdr:to>
          <xdr:col>20</xdr:col>
          <xdr:colOff>66675</xdr:colOff>
          <xdr:row>292</xdr:row>
          <xdr:rowOff>438150</xdr:rowOff>
        </xdr:to>
        <xdr:sp macro="" textlink="">
          <xdr:nvSpPr>
            <xdr:cNvPr id="7446" name="Check Box 278" hidden="1">
              <a:extLst>
                <a:ext uri="{63B3BB69-23CF-44E3-9099-C40C66FF867C}">
                  <a14:compatExt spid="_x0000_s7446"/>
                </a:ext>
                <a:ext uri="{FF2B5EF4-FFF2-40B4-BE49-F238E27FC236}">
                  <a16:creationId xmlns:a16="http://schemas.microsoft.com/office/drawing/2014/main" id="{00000000-0008-0000-0000-00001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293</xdr:row>
          <xdr:rowOff>123825</xdr:rowOff>
        </xdr:from>
        <xdr:to>
          <xdr:col>20</xdr:col>
          <xdr:colOff>66675</xdr:colOff>
          <xdr:row>293</xdr:row>
          <xdr:rowOff>333375</xdr:rowOff>
        </xdr:to>
        <xdr:sp macro="" textlink="">
          <xdr:nvSpPr>
            <xdr:cNvPr id="7447" name="Check Box 279" hidden="1">
              <a:extLst>
                <a:ext uri="{63B3BB69-23CF-44E3-9099-C40C66FF867C}">
                  <a14:compatExt spid="_x0000_s7447"/>
                </a:ext>
                <a:ext uri="{FF2B5EF4-FFF2-40B4-BE49-F238E27FC236}">
                  <a16:creationId xmlns:a16="http://schemas.microsoft.com/office/drawing/2014/main" id="{00000000-0008-0000-0000-00001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294</xdr:row>
          <xdr:rowOff>123825</xdr:rowOff>
        </xdr:from>
        <xdr:to>
          <xdr:col>20</xdr:col>
          <xdr:colOff>66675</xdr:colOff>
          <xdr:row>294</xdr:row>
          <xdr:rowOff>333375</xdr:rowOff>
        </xdr:to>
        <xdr:sp macro="" textlink="">
          <xdr:nvSpPr>
            <xdr:cNvPr id="7448" name="Check Box 280" hidden="1">
              <a:extLst>
                <a:ext uri="{63B3BB69-23CF-44E3-9099-C40C66FF867C}">
                  <a14:compatExt spid="_x0000_s7448"/>
                </a:ext>
                <a:ext uri="{FF2B5EF4-FFF2-40B4-BE49-F238E27FC236}">
                  <a16:creationId xmlns:a16="http://schemas.microsoft.com/office/drawing/2014/main" id="{00000000-0008-0000-0000-00001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295</xdr:row>
          <xdr:rowOff>95250</xdr:rowOff>
        </xdr:from>
        <xdr:to>
          <xdr:col>20</xdr:col>
          <xdr:colOff>66675</xdr:colOff>
          <xdr:row>295</xdr:row>
          <xdr:rowOff>304800</xdr:rowOff>
        </xdr:to>
        <xdr:sp macro="" textlink="">
          <xdr:nvSpPr>
            <xdr:cNvPr id="7449" name="Check Box 281" hidden="1">
              <a:extLst>
                <a:ext uri="{63B3BB69-23CF-44E3-9099-C40C66FF867C}">
                  <a14:compatExt spid="_x0000_s7449"/>
                </a:ext>
                <a:ext uri="{FF2B5EF4-FFF2-40B4-BE49-F238E27FC236}">
                  <a16:creationId xmlns:a16="http://schemas.microsoft.com/office/drawing/2014/main" id="{00000000-0008-0000-0000-00001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296</xdr:row>
          <xdr:rowOff>95250</xdr:rowOff>
        </xdr:from>
        <xdr:to>
          <xdr:col>20</xdr:col>
          <xdr:colOff>57150</xdr:colOff>
          <xdr:row>296</xdr:row>
          <xdr:rowOff>304800</xdr:rowOff>
        </xdr:to>
        <xdr:sp macro="" textlink="">
          <xdr:nvSpPr>
            <xdr:cNvPr id="7450" name="Check Box 282" hidden="1">
              <a:extLst>
                <a:ext uri="{63B3BB69-23CF-44E3-9099-C40C66FF867C}">
                  <a14:compatExt spid="_x0000_s7450"/>
                </a:ext>
                <a:ext uri="{FF2B5EF4-FFF2-40B4-BE49-F238E27FC236}">
                  <a16:creationId xmlns:a16="http://schemas.microsoft.com/office/drawing/2014/main" id="{00000000-0008-0000-0000-00001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297</xdr:row>
          <xdr:rowOff>104775</xdr:rowOff>
        </xdr:from>
        <xdr:to>
          <xdr:col>20</xdr:col>
          <xdr:colOff>66675</xdr:colOff>
          <xdr:row>297</xdr:row>
          <xdr:rowOff>314325</xdr:rowOff>
        </xdr:to>
        <xdr:sp macro="" textlink="">
          <xdr:nvSpPr>
            <xdr:cNvPr id="7451" name="Check Box 283" hidden="1">
              <a:extLst>
                <a:ext uri="{63B3BB69-23CF-44E3-9099-C40C66FF867C}">
                  <a14:compatExt spid="_x0000_s7451"/>
                </a:ext>
                <a:ext uri="{FF2B5EF4-FFF2-40B4-BE49-F238E27FC236}">
                  <a16:creationId xmlns:a16="http://schemas.microsoft.com/office/drawing/2014/main" id="{00000000-0008-0000-0000-00001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298</xdr:row>
          <xdr:rowOff>123825</xdr:rowOff>
        </xdr:from>
        <xdr:to>
          <xdr:col>20</xdr:col>
          <xdr:colOff>76200</xdr:colOff>
          <xdr:row>298</xdr:row>
          <xdr:rowOff>333375</xdr:rowOff>
        </xdr:to>
        <xdr:sp macro="" textlink="">
          <xdr:nvSpPr>
            <xdr:cNvPr id="7452" name="Check Box 284" hidden="1">
              <a:extLst>
                <a:ext uri="{63B3BB69-23CF-44E3-9099-C40C66FF867C}">
                  <a14:compatExt spid="_x0000_s7452"/>
                </a:ext>
                <a:ext uri="{FF2B5EF4-FFF2-40B4-BE49-F238E27FC236}">
                  <a16:creationId xmlns:a16="http://schemas.microsoft.com/office/drawing/2014/main" id="{00000000-0008-0000-0000-00001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299</xdr:row>
          <xdr:rowOff>104775</xdr:rowOff>
        </xdr:from>
        <xdr:to>
          <xdr:col>20</xdr:col>
          <xdr:colOff>66675</xdr:colOff>
          <xdr:row>299</xdr:row>
          <xdr:rowOff>314325</xdr:rowOff>
        </xdr:to>
        <xdr:sp macro="" textlink="">
          <xdr:nvSpPr>
            <xdr:cNvPr id="7453" name="Check Box 285" hidden="1">
              <a:extLst>
                <a:ext uri="{63B3BB69-23CF-44E3-9099-C40C66FF867C}">
                  <a14:compatExt spid="_x0000_s7453"/>
                </a:ext>
                <a:ext uri="{FF2B5EF4-FFF2-40B4-BE49-F238E27FC236}">
                  <a16:creationId xmlns:a16="http://schemas.microsoft.com/office/drawing/2014/main" id="{00000000-0008-0000-0000-00001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300</xdr:row>
          <xdr:rowOff>0</xdr:rowOff>
        </xdr:from>
        <xdr:to>
          <xdr:col>20</xdr:col>
          <xdr:colOff>76200</xdr:colOff>
          <xdr:row>300</xdr:row>
          <xdr:rowOff>209550</xdr:rowOff>
        </xdr:to>
        <xdr:sp macro="" textlink="">
          <xdr:nvSpPr>
            <xdr:cNvPr id="7454" name="Check Box 286" hidden="1">
              <a:extLst>
                <a:ext uri="{63B3BB69-23CF-44E3-9099-C40C66FF867C}">
                  <a14:compatExt spid="_x0000_s7454"/>
                </a:ext>
                <a:ext uri="{FF2B5EF4-FFF2-40B4-BE49-F238E27FC236}">
                  <a16:creationId xmlns:a16="http://schemas.microsoft.com/office/drawing/2014/main" id="{00000000-0008-0000-0000-00001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300</xdr:row>
          <xdr:rowOff>0</xdr:rowOff>
        </xdr:from>
        <xdr:to>
          <xdr:col>20</xdr:col>
          <xdr:colOff>76200</xdr:colOff>
          <xdr:row>300</xdr:row>
          <xdr:rowOff>209550</xdr:rowOff>
        </xdr:to>
        <xdr:sp macro="" textlink="">
          <xdr:nvSpPr>
            <xdr:cNvPr id="7455" name="Check Box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300</xdr:row>
          <xdr:rowOff>0</xdr:rowOff>
        </xdr:from>
        <xdr:to>
          <xdr:col>20</xdr:col>
          <xdr:colOff>76200</xdr:colOff>
          <xdr:row>300</xdr:row>
          <xdr:rowOff>209550</xdr:rowOff>
        </xdr:to>
        <xdr:sp macro="" textlink="">
          <xdr:nvSpPr>
            <xdr:cNvPr id="7456" name="Check Box 288" hidden="1">
              <a:extLst>
                <a:ext uri="{63B3BB69-23CF-44E3-9099-C40C66FF867C}">
                  <a14:compatExt spid="_x0000_s7456"/>
                </a:ext>
                <a:ext uri="{FF2B5EF4-FFF2-40B4-BE49-F238E27FC236}">
                  <a16:creationId xmlns:a16="http://schemas.microsoft.com/office/drawing/2014/main" id="{00000000-0008-0000-0000-00002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300</xdr:row>
          <xdr:rowOff>104775</xdr:rowOff>
        </xdr:from>
        <xdr:to>
          <xdr:col>20</xdr:col>
          <xdr:colOff>66675</xdr:colOff>
          <xdr:row>300</xdr:row>
          <xdr:rowOff>314325</xdr:rowOff>
        </xdr:to>
        <xdr:sp macro="" textlink="">
          <xdr:nvSpPr>
            <xdr:cNvPr id="7457" name="Check Box 289" hidden="1">
              <a:extLst>
                <a:ext uri="{63B3BB69-23CF-44E3-9099-C40C66FF867C}">
                  <a14:compatExt spid="_x0000_s7457"/>
                </a:ext>
                <a:ext uri="{FF2B5EF4-FFF2-40B4-BE49-F238E27FC236}">
                  <a16:creationId xmlns:a16="http://schemas.microsoft.com/office/drawing/2014/main" id="{00000000-0008-0000-0000-00002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301</xdr:row>
          <xdr:rowOff>123825</xdr:rowOff>
        </xdr:from>
        <xdr:to>
          <xdr:col>20</xdr:col>
          <xdr:colOff>66675</xdr:colOff>
          <xdr:row>301</xdr:row>
          <xdr:rowOff>333375</xdr:rowOff>
        </xdr:to>
        <xdr:sp macro="" textlink="">
          <xdr:nvSpPr>
            <xdr:cNvPr id="7458" name="Check Box 290" hidden="1">
              <a:extLst>
                <a:ext uri="{63B3BB69-23CF-44E3-9099-C40C66FF867C}">
                  <a14:compatExt spid="_x0000_s7458"/>
                </a:ext>
                <a:ext uri="{FF2B5EF4-FFF2-40B4-BE49-F238E27FC236}">
                  <a16:creationId xmlns:a16="http://schemas.microsoft.com/office/drawing/2014/main" id="{00000000-0008-0000-0000-00002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302</xdr:row>
          <xdr:rowOff>104775</xdr:rowOff>
        </xdr:from>
        <xdr:to>
          <xdr:col>20</xdr:col>
          <xdr:colOff>66675</xdr:colOff>
          <xdr:row>302</xdr:row>
          <xdr:rowOff>314325</xdr:rowOff>
        </xdr:to>
        <xdr:sp macro="" textlink="">
          <xdr:nvSpPr>
            <xdr:cNvPr id="7459" name="Check Box 291" hidden="1">
              <a:extLst>
                <a:ext uri="{63B3BB69-23CF-44E3-9099-C40C66FF867C}">
                  <a14:compatExt spid="_x0000_s7459"/>
                </a:ext>
                <a:ext uri="{FF2B5EF4-FFF2-40B4-BE49-F238E27FC236}">
                  <a16:creationId xmlns:a16="http://schemas.microsoft.com/office/drawing/2014/main" id="{00000000-0008-0000-0000-00002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303</xdr:row>
          <xdr:rowOff>114300</xdr:rowOff>
        </xdr:from>
        <xdr:to>
          <xdr:col>20</xdr:col>
          <xdr:colOff>66675</xdr:colOff>
          <xdr:row>303</xdr:row>
          <xdr:rowOff>323850</xdr:rowOff>
        </xdr:to>
        <xdr:sp macro="" textlink="">
          <xdr:nvSpPr>
            <xdr:cNvPr id="7460" name="Check Box 292" hidden="1">
              <a:extLst>
                <a:ext uri="{63B3BB69-23CF-44E3-9099-C40C66FF867C}">
                  <a14:compatExt spid="_x0000_s7460"/>
                </a:ext>
                <a:ext uri="{FF2B5EF4-FFF2-40B4-BE49-F238E27FC236}">
                  <a16:creationId xmlns:a16="http://schemas.microsoft.com/office/drawing/2014/main" id="{00000000-0008-0000-0000-00002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304</xdr:row>
          <xdr:rowOff>123825</xdr:rowOff>
        </xdr:from>
        <xdr:to>
          <xdr:col>20</xdr:col>
          <xdr:colOff>66675</xdr:colOff>
          <xdr:row>304</xdr:row>
          <xdr:rowOff>333375</xdr:rowOff>
        </xdr:to>
        <xdr:sp macro="" textlink="">
          <xdr:nvSpPr>
            <xdr:cNvPr id="7461" name="Check Box 293" hidden="1">
              <a:extLst>
                <a:ext uri="{63B3BB69-23CF-44E3-9099-C40C66FF867C}">
                  <a14:compatExt spid="_x0000_s7461"/>
                </a:ext>
                <a:ext uri="{FF2B5EF4-FFF2-40B4-BE49-F238E27FC236}">
                  <a16:creationId xmlns:a16="http://schemas.microsoft.com/office/drawing/2014/main" id="{00000000-0008-0000-0000-00002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305</xdr:row>
          <xdr:rowOff>0</xdr:rowOff>
        </xdr:from>
        <xdr:to>
          <xdr:col>20</xdr:col>
          <xdr:colOff>66675</xdr:colOff>
          <xdr:row>305</xdr:row>
          <xdr:rowOff>209550</xdr:rowOff>
        </xdr:to>
        <xdr:sp macro="" textlink="">
          <xdr:nvSpPr>
            <xdr:cNvPr id="7462" name="Check Box 294" hidden="1">
              <a:extLst>
                <a:ext uri="{63B3BB69-23CF-44E3-9099-C40C66FF867C}">
                  <a14:compatExt spid="_x0000_s7462"/>
                </a:ext>
                <a:ext uri="{FF2B5EF4-FFF2-40B4-BE49-F238E27FC236}">
                  <a16:creationId xmlns:a16="http://schemas.microsoft.com/office/drawing/2014/main" id="{00000000-0008-0000-0000-00002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2181225</xdr:colOff>
          <xdr:row>7</xdr:row>
          <xdr:rowOff>114300</xdr:rowOff>
        </xdr:from>
        <xdr:to>
          <xdr:col>17</xdr:col>
          <xdr:colOff>514350</xdr:colOff>
          <xdr:row>7</xdr:row>
          <xdr:rowOff>914400</xdr:rowOff>
        </xdr:to>
        <xdr:sp macro="" textlink="">
          <xdr:nvSpPr>
            <xdr:cNvPr id="7463" name="Button 295" hidden="1">
              <a:extLst>
                <a:ext uri="{63B3BB69-23CF-44E3-9099-C40C66FF867C}">
                  <a14:compatExt spid="_x0000_s7463"/>
                </a:ext>
                <a:ext uri="{FF2B5EF4-FFF2-40B4-BE49-F238E27FC236}">
                  <a16:creationId xmlns:a16="http://schemas.microsoft.com/office/drawing/2014/main" id="{00000000-0008-0000-0000-00002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makieren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227</xdr:row>
          <xdr:rowOff>219075</xdr:rowOff>
        </xdr:from>
        <xdr:to>
          <xdr:col>20</xdr:col>
          <xdr:colOff>9525</xdr:colOff>
          <xdr:row>227</xdr:row>
          <xdr:rowOff>419100</xdr:rowOff>
        </xdr:to>
        <xdr:sp macro="" textlink="">
          <xdr:nvSpPr>
            <xdr:cNvPr id="7487" name="Check Box 319" hidden="1">
              <a:extLst>
                <a:ext uri="{63B3BB69-23CF-44E3-9099-C40C66FF867C}">
                  <a14:compatExt spid="_x0000_s7487"/>
                </a:ext>
                <a:ext uri="{FF2B5EF4-FFF2-40B4-BE49-F238E27FC236}">
                  <a16:creationId xmlns:a16="http://schemas.microsoft.com/office/drawing/2014/main" id="{00000000-0008-0000-0000-00003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228</xdr:row>
          <xdr:rowOff>190500</xdr:rowOff>
        </xdr:from>
        <xdr:to>
          <xdr:col>20</xdr:col>
          <xdr:colOff>47625</xdr:colOff>
          <xdr:row>228</xdr:row>
          <xdr:rowOff>400050</xdr:rowOff>
        </xdr:to>
        <xdr:sp macro="" textlink="">
          <xdr:nvSpPr>
            <xdr:cNvPr id="7488" name="Check Box 320" hidden="1">
              <a:extLst>
                <a:ext uri="{63B3BB69-23CF-44E3-9099-C40C66FF867C}">
                  <a14:compatExt spid="_x0000_s7488"/>
                </a:ext>
                <a:ext uri="{FF2B5EF4-FFF2-40B4-BE49-F238E27FC236}">
                  <a16:creationId xmlns:a16="http://schemas.microsoft.com/office/drawing/2014/main" id="{00000000-0008-0000-0000-00004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229</xdr:row>
          <xdr:rowOff>200025</xdr:rowOff>
        </xdr:from>
        <xdr:to>
          <xdr:col>20</xdr:col>
          <xdr:colOff>38100</xdr:colOff>
          <xdr:row>229</xdr:row>
          <xdr:rowOff>400050</xdr:rowOff>
        </xdr:to>
        <xdr:sp macro="" textlink="">
          <xdr:nvSpPr>
            <xdr:cNvPr id="7489" name="Check Box 321" hidden="1">
              <a:extLst>
                <a:ext uri="{63B3BB69-23CF-44E3-9099-C40C66FF867C}">
                  <a14:compatExt spid="_x0000_s7489"/>
                </a:ext>
                <a:ext uri="{FF2B5EF4-FFF2-40B4-BE49-F238E27FC236}">
                  <a16:creationId xmlns:a16="http://schemas.microsoft.com/office/drawing/2014/main" id="{00000000-0008-0000-0000-00004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230</xdr:row>
          <xdr:rowOff>219075</xdr:rowOff>
        </xdr:from>
        <xdr:to>
          <xdr:col>20</xdr:col>
          <xdr:colOff>85725</xdr:colOff>
          <xdr:row>230</xdr:row>
          <xdr:rowOff>419100</xdr:rowOff>
        </xdr:to>
        <xdr:sp macro="" textlink="">
          <xdr:nvSpPr>
            <xdr:cNvPr id="7490" name="Check Box 322" hidden="1">
              <a:extLst>
                <a:ext uri="{63B3BB69-23CF-44E3-9099-C40C66FF867C}">
                  <a14:compatExt spid="_x0000_s7490"/>
                </a:ext>
                <a:ext uri="{FF2B5EF4-FFF2-40B4-BE49-F238E27FC236}">
                  <a16:creationId xmlns:a16="http://schemas.microsoft.com/office/drawing/2014/main" id="{00000000-0008-0000-0000-00004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231</xdr:row>
          <xdr:rowOff>219075</xdr:rowOff>
        </xdr:from>
        <xdr:to>
          <xdr:col>20</xdr:col>
          <xdr:colOff>76200</xdr:colOff>
          <xdr:row>231</xdr:row>
          <xdr:rowOff>419100</xdr:rowOff>
        </xdr:to>
        <xdr:sp macro="" textlink="">
          <xdr:nvSpPr>
            <xdr:cNvPr id="7491" name="Check Box 323" hidden="1">
              <a:extLst>
                <a:ext uri="{63B3BB69-23CF-44E3-9099-C40C66FF867C}">
                  <a14:compatExt spid="_x0000_s7491"/>
                </a:ext>
                <a:ext uri="{FF2B5EF4-FFF2-40B4-BE49-F238E27FC236}">
                  <a16:creationId xmlns:a16="http://schemas.microsoft.com/office/drawing/2014/main" id="{00000000-0008-0000-0000-00004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232</xdr:row>
          <xdr:rowOff>219075</xdr:rowOff>
        </xdr:from>
        <xdr:to>
          <xdr:col>20</xdr:col>
          <xdr:colOff>85725</xdr:colOff>
          <xdr:row>232</xdr:row>
          <xdr:rowOff>419100</xdr:rowOff>
        </xdr:to>
        <xdr:sp macro="" textlink="">
          <xdr:nvSpPr>
            <xdr:cNvPr id="7492" name="Check Box 324" hidden="1">
              <a:extLst>
                <a:ext uri="{63B3BB69-23CF-44E3-9099-C40C66FF867C}">
                  <a14:compatExt spid="_x0000_s7492"/>
                </a:ext>
                <a:ext uri="{FF2B5EF4-FFF2-40B4-BE49-F238E27FC236}">
                  <a16:creationId xmlns:a16="http://schemas.microsoft.com/office/drawing/2014/main" id="{00000000-0008-0000-0000-00004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233</xdr:row>
          <xdr:rowOff>200025</xdr:rowOff>
        </xdr:from>
        <xdr:to>
          <xdr:col>20</xdr:col>
          <xdr:colOff>95250</xdr:colOff>
          <xdr:row>233</xdr:row>
          <xdr:rowOff>409575</xdr:rowOff>
        </xdr:to>
        <xdr:sp macro="" textlink="">
          <xdr:nvSpPr>
            <xdr:cNvPr id="7493" name="Check Box 325" hidden="1">
              <a:extLst>
                <a:ext uri="{63B3BB69-23CF-44E3-9099-C40C66FF867C}">
                  <a14:compatExt spid="_x0000_s7493"/>
                </a:ext>
                <a:ext uri="{FF2B5EF4-FFF2-40B4-BE49-F238E27FC236}">
                  <a16:creationId xmlns:a16="http://schemas.microsoft.com/office/drawing/2014/main" id="{00000000-0008-0000-0000-00004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234</xdr:row>
          <xdr:rowOff>190500</xdr:rowOff>
        </xdr:from>
        <xdr:to>
          <xdr:col>20</xdr:col>
          <xdr:colOff>85725</xdr:colOff>
          <xdr:row>234</xdr:row>
          <xdr:rowOff>400050</xdr:rowOff>
        </xdr:to>
        <xdr:sp macro="" textlink="">
          <xdr:nvSpPr>
            <xdr:cNvPr id="7494" name="Check Box 326" hidden="1">
              <a:extLst>
                <a:ext uri="{63B3BB69-23CF-44E3-9099-C40C66FF867C}">
                  <a14:compatExt spid="_x0000_s7494"/>
                </a:ext>
                <a:ext uri="{FF2B5EF4-FFF2-40B4-BE49-F238E27FC236}">
                  <a16:creationId xmlns:a16="http://schemas.microsoft.com/office/drawing/2014/main" id="{00000000-0008-0000-0000-00004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235</xdr:row>
          <xdr:rowOff>219075</xdr:rowOff>
        </xdr:from>
        <xdr:to>
          <xdr:col>20</xdr:col>
          <xdr:colOff>47625</xdr:colOff>
          <xdr:row>235</xdr:row>
          <xdr:rowOff>419100</xdr:rowOff>
        </xdr:to>
        <xdr:sp macro="" textlink="">
          <xdr:nvSpPr>
            <xdr:cNvPr id="7495" name="Check Box 327" hidden="1">
              <a:extLst>
                <a:ext uri="{63B3BB69-23CF-44E3-9099-C40C66FF867C}">
                  <a14:compatExt spid="_x0000_s7495"/>
                </a:ext>
                <a:ext uri="{FF2B5EF4-FFF2-40B4-BE49-F238E27FC236}">
                  <a16:creationId xmlns:a16="http://schemas.microsoft.com/office/drawing/2014/main" id="{00000000-0008-0000-0000-00004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236</xdr:row>
          <xdr:rowOff>190500</xdr:rowOff>
        </xdr:from>
        <xdr:to>
          <xdr:col>20</xdr:col>
          <xdr:colOff>57150</xdr:colOff>
          <xdr:row>236</xdr:row>
          <xdr:rowOff>390525</xdr:rowOff>
        </xdr:to>
        <xdr:sp macro="" textlink="">
          <xdr:nvSpPr>
            <xdr:cNvPr id="7496" name="Check Box 328" hidden="1">
              <a:extLst>
                <a:ext uri="{63B3BB69-23CF-44E3-9099-C40C66FF867C}">
                  <a14:compatExt spid="_x0000_s7496"/>
                </a:ext>
                <a:ext uri="{FF2B5EF4-FFF2-40B4-BE49-F238E27FC236}">
                  <a16:creationId xmlns:a16="http://schemas.microsoft.com/office/drawing/2014/main" id="{00000000-0008-0000-0000-00004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237</xdr:row>
          <xdr:rowOff>180975</xdr:rowOff>
        </xdr:from>
        <xdr:to>
          <xdr:col>20</xdr:col>
          <xdr:colOff>95250</xdr:colOff>
          <xdr:row>237</xdr:row>
          <xdr:rowOff>381000</xdr:rowOff>
        </xdr:to>
        <xdr:sp macro="" textlink="">
          <xdr:nvSpPr>
            <xdr:cNvPr id="7497" name="Check Box 329" hidden="1">
              <a:extLst>
                <a:ext uri="{63B3BB69-23CF-44E3-9099-C40C66FF867C}">
                  <a14:compatExt spid="_x0000_s7497"/>
                </a:ext>
                <a:ext uri="{FF2B5EF4-FFF2-40B4-BE49-F238E27FC236}">
                  <a16:creationId xmlns:a16="http://schemas.microsoft.com/office/drawing/2014/main" id="{00000000-0008-0000-0000-00004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333375</xdr:colOff>
          <xdr:row>238</xdr:row>
          <xdr:rowOff>200025</xdr:rowOff>
        </xdr:from>
        <xdr:to>
          <xdr:col>20</xdr:col>
          <xdr:colOff>123825</xdr:colOff>
          <xdr:row>238</xdr:row>
          <xdr:rowOff>409575</xdr:rowOff>
        </xdr:to>
        <xdr:sp macro="" textlink="">
          <xdr:nvSpPr>
            <xdr:cNvPr id="7498" name="Check Box 330" hidden="1">
              <a:extLst>
                <a:ext uri="{63B3BB69-23CF-44E3-9099-C40C66FF867C}">
                  <a14:compatExt spid="_x0000_s7498"/>
                </a:ext>
                <a:ext uri="{FF2B5EF4-FFF2-40B4-BE49-F238E27FC236}">
                  <a16:creationId xmlns:a16="http://schemas.microsoft.com/office/drawing/2014/main" id="{00000000-0008-0000-0000-00004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239</xdr:row>
          <xdr:rowOff>209550</xdr:rowOff>
        </xdr:from>
        <xdr:to>
          <xdr:col>20</xdr:col>
          <xdr:colOff>85725</xdr:colOff>
          <xdr:row>239</xdr:row>
          <xdr:rowOff>409575</xdr:rowOff>
        </xdr:to>
        <xdr:sp macro="" textlink="">
          <xdr:nvSpPr>
            <xdr:cNvPr id="7499" name="Check Box 331" hidden="1">
              <a:extLst>
                <a:ext uri="{63B3BB69-23CF-44E3-9099-C40C66FF867C}">
                  <a14:compatExt spid="_x0000_s7499"/>
                </a:ext>
                <a:ext uri="{FF2B5EF4-FFF2-40B4-BE49-F238E27FC236}">
                  <a16:creationId xmlns:a16="http://schemas.microsoft.com/office/drawing/2014/main" id="{00000000-0008-0000-0000-00004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240</xdr:row>
          <xdr:rowOff>238125</xdr:rowOff>
        </xdr:from>
        <xdr:to>
          <xdr:col>20</xdr:col>
          <xdr:colOff>95250</xdr:colOff>
          <xdr:row>240</xdr:row>
          <xdr:rowOff>447675</xdr:rowOff>
        </xdr:to>
        <xdr:sp macro="" textlink="">
          <xdr:nvSpPr>
            <xdr:cNvPr id="7500" name="Check Box 332" hidden="1">
              <a:extLst>
                <a:ext uri="{63B3BB69-23CF-44E3-9099-C40C66FF867C}">
                  <a14:compatExt spid="_x0000_s7500"/>
                </a:ext>
                <a:ext uri="{FF2B5EF4-FFF2-40B4-BE49-F238E27FC236}">
                  <a16:creationId xmlns:a16="http://schemas.microsoft.com/office/drawing/2014/main" id="{00000000-0008-0000-0000-00004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241</xdr:row>
          <xdr:rowOff>219075</xdr:rowOff>
        </xdr:from>
        <xdr:to>
          <xdr:col>20</xdr:col>
          <xdr:colOff>76200</xdr:colOff>
          <xdr:row>241</xdr:row>
          <xdr:rowOff>428625</xdr:rowOff>
        </xdr:to>
        <xdr:sp macro="" textlink="">
          <xdr:nvSpPr>
            <xdr:cNvPr id="7501" name="Check Box 333" hidden="1">
              <a:extLst>
                <a:ext uri="{63B3BB69-23CF-44E3-9099-C40C66FF867C}">
                  <a14:compatExt spid="_x0000_s7501"/>
                </a:ext>
                <a:ext uri="{FF2B5EF4-FFF2-40B4-BE49-F238E27FC236}">
                  <a16:creationId xmlns:a16="http://schemas.microsoft.com/office/drawing/2014/main" id="{00000000-0008-0000-0000-00004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242</xdr:row>
          <xdr:rowOff>171450</xdr:rowOff>
        </xdr:from>
        <xdr:to>
          <xdr:col>20</xdr:col>
          <xdr:colOff>95250</xdr:colOff>
          <xdr:row>242</xdr:row>
          <xdr:rowOff>371475</xdr:rowOff>
        </xdr:to>
        <xdr:sp macro="" textlink="">
          <xdr:nvSpPr>
            <xdr:cNvPr id="7502" name="Check Box 334" hidden="1">
              <a:extLst>
                <a:ext uri="{63B3BB69-23CF-44E3-9099-C40C66FF867C}">
                  <a14:compatExt spid="_x0000_s7502"/>
                </a:ext>
                <a:ext uri="{FF2B5EF4-FFF2-40B4-BE49-F238E27FC236}">
                  <a16:creationId xmlns:a16="http://schemas.microsoft.com/office/drawing/2014/main" id="{00000000-0008-0000-0000-00004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243</xdr:row>
          <xdr:rowOff>190500</xdr:rowOff>
        </xdr:from>
        <xdr:to>
          <xdr:col>20</xdr:col>
          <xdr:colOff>57150</xdr:colOff>
          <xdr:row>243</xdr:row>
          <xdr:rowOff>400050</xdr:rowOff>
        </xdr:to>
        <xdr:sp macro="" textlink="">
          <xdr:nvSpPr>
            <xdr:cNvPr id="7503" name="Check Box 335" hidden="1">
              <a:extLst>
                <a:ext uri="{63B3BB69-23CF-44E3-9099-C40C66FF867C}">
                  <a14:compatExt spid="_x0000_s7503"/>
                </a:ext>
                <a:ext uri="{FF2B5EF4-FFF2-40B4-BE49-F238E27FC236}">
                  <a16:creationId xmlns:a16="http://schemas.microsoft.com/office/drawing/2014/main" id="{00000000-0008-0000-0000-00004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244</xdr:row>
          <xdr:rowOff>190500</xdr:rowOff>
        </xdr:from>
        <xdr:to>
          <xdr:col>20</xdr:col>
          <xdr:colOff>66675</xdr:colOff>
          <xdr:row>244</xdr:row>
          <xdr:rowOff>390525</xdr:rowOff>
        </xdr:to>
        <xdr:sp macro="" textlink="">
          <xdr:nvSpPr>
            <xdr:cNvPr id="7504" name="Check Box 336" hidden="1">
              <a:extLst>
                <a:ext uri="{63B3BB69-23CF-44E3-9099-C40C66FF867C}">
                  <a14:compatExt spid="_x0000_s7504"/>
                </a:ext>
                <a:ext uri="{FF2B5EF4-FFF2-40B4-BE49-F238E27FC236}">
                  <a16:creationId xmlns:a16="http://schemas.microsoft.com/office/drawing/2014/main" id="{00000000-0008-0000-0000-00005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245</xdr:row>
          <xdr:rowOff>171450</xdr:rowOff>
        </xdr:from>
        <xdr:to>
          <xdr:col>20</xdr:col>
          <xdr:colOff>95250</xdr:colOff>
          <xdr:row>245</xdr:row>
          <xdr:rowOff>381000</xdr:rowOff>
        </xdr:to>
        <xdr:sp macro="" textlink="">
          <xdr:nvSpPr>
            <xdr:cNvPr id="7505" name="Check Box 337" hidden="1">
              <a:extLst>
                <a:ext uri="{63B3BB69-23CF-44E3-9099-C40C66FF867C}">
                  <a14:compatExt spid="_x0000_s7505"/>
                </a:ext>
                <a:ext uri="{FF2B5EF4-FFF2-40B4-BE49-F238E27FC236}">
                  <a16:creationId xmlns:a16="http://schemas.microsoft.com/office/drawing/2014/main" id="{00000000-0008-0000-0000-00005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246</xdr:row>
          <xdr:rowOff>209550</xdr:rowOff>
        </xdr:from>
        <xdr:to>
          <xdr:col>20</xdr:col>
          <xdr:colOff>95250</xdr:colOff>
          <xdr:row>246</xdr:row>
          <xdr:rowOff>409575</xdr:rowOff>
        </xdr:to>
        <xdr:sp macro="" textlink="">
          <xdr:nvSpPr>
            <xdr:cNvPr id="7506" name="Check Box 338" hidden="1">
              <a:extLst>
                <a:ext uri="{63B3BB69-23CF-44E3-9099-C40C66FF867C}">
                  <a14:compatExt spid="_x0000_s7506"/>
                </a:ext>
                <a:ext uri="{FF2B5EF4-FFF2-40B4-BE49-F238E27FC236}">
                  <a16:creationId xmlns:a16="http://schemas.microsoft.com/office/drawing/2014/main" id="{00000000-0008-0000-0000-00005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247</xdr:row>
          <xdr:rowOff>209550</xdr:rowOff>
        </xdr:from>
        <xdr:to>
          <xdr:col>20</xdr:col>
          <xdr:colOff>85725</xdr:colOff>
          <xdr:row>247</xdr:row>
          <xdr:rowOff>419100</xdr:rowOff>
        </xdr:to>
        <xdr:sp macro="" textlink="">
          <xdr:nvSpPr>
            <xdr:cNvPr id="7507" name="Check Box 339" hidden="1">
              <a:extLst>
                <a:ext uri="{63B3BB69-23CF-44E3-9099-C40C66FF867C}">
                  <a14:compatExt spid="_x0000_s7507"/>
                </a:ext>
                <a:ext uri="{FF2B5EF4-FFF2-40B4-BE49-F238E27FC236}">
                  <a16:creationId xmlns:a16="http://schemas.microsoft.com/office/drawing/2014/main" id="{00000000-0008-0000-0000-00005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333375</xdr:colOff>
          <xdr:row>260</xdr:row>
          <xdr:rowOff>190500</xdr:rowOff>
        </xdr:from>
        <xdr:to>
          <xdr:col>20</xdr:col>
          <xdr:colOff>142875</xdr:colOff>
          <xdr:row>260</xdr:row>
          <xdr:rowOff>400050</xdr:rowOff>
        </xdr:to>
        <xdr:sp macro="" textlink="">
          <xdr:nvSpPr>
            <xdr:cNvPr id="7508" name="Check Box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180</xdr:row>
          <xdr:rowOff>400050</xdr:rowOff>
        </xdr:from>
        <xdr:to>
          <xdr:col>20</xdr:col>
          <xdr:colOff>66675</xdr:colOff>
          <xdr:row>180</xdr:row>
          <xdr:rowOff>600075</xdr:rowOff>
        </xdr:to>
        <xdr:sp macro="" textlink="">
          <xdr:nvSpPr>
            <xdr:cNvPr id="7509" name="Check Box 341" hidden="1">
              <a:extLst>
                <a:ext uri="{63B3BB69-23CF-44E3-9099-C40C66FF867C}">
                  <a14:compatExt spid="_x0000_s7509"/>
                </a:ext>
                <a:ext uri="{FF2B5EF4-FFF2-40B4-BE49-F238E27FC236}">
                  <a16:creationId xmlns:a16="http://schemas.microsoft.com/office/drawing/2014/main" id="{00000000-0008-0000-0000-00005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181</xdr:row>
          <xdr:rowOff>419100</xdr:rowOff>
        </xdr:from>
        <xdr:to>
          <xdr:col>20</xdr:col>
          <xdr:colOff>76200</xdr:colOff>
          <xdr:row>181</xdr:row>
          <xdr:rowOff>619125</xdr:rowOff>
        </xdr:to>
        <xdr:sp macro="" textlink="">
          <xdr:nvSpPr>
            <xdr:cNvPr id="7510" name="Check Box 342" hidden="1">
              <a:extLst>
                <a:ext uri="{63B3BB69-23CF-44E3-9099-C40C66FF867C}">
                  <a14:compatExt spid="_x0000_s7510"/>
                </a:ext>
                <a:ext uri="{FF2B5EF4-FFF2-40B4-BE49-F238E27FC236}">
                  <a16:creationId xmlns:a16="http://schemas.microsoft.com/office/drawing/2014/main" id="{00000000-0008-0000-0000-00005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182</xdr:row>
          <xdr:rowOff>381000</xdr:rowOff>
        </xdr:from>
        <xdr:to>
          <xdr:col>20</xdr:col>
          <xdr:colOff>66675</xdr:colOff>
          <xdr:row>182</xdr:row>
          <xdr:rowOff>581025</xdr:rowOff>
        </xdr:to>
        <xdr:sp macro="" textlink="">
          <xdr:nvSpPr>
            <xdr:cNvPr id="7511" name="Check Box 343" hidden="1">
              <a:extLst>
                <a:ext uri="{63B3BB69-23CF-44E3-9099-C40C66FF867C}">
                  <a14:compatExt spid="_x0000_s7511"/>
                </a:ext>
                <a:ext uri="{FF2B5EF4-FFF2-40B4-BE49-F238E27FC236}">
                  <a16:creationId xmlns:a16="http://schemas.microsoft.com/office/drawing/2014/main" id="{00000000-0008-0000-0000-00005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183</xdr:row>
          <xdr:rowOff>361950</xdr:rowOff>
        </xdr:from>
        <xdr:to>
          <xdr:col>20</xdr:col>
          <xdr:colOff>66675</xdr:colOff>
          <xdr:row>183</xdr:row>
          <xdr:rowOff>571500</xdr:rowOff>
        </xdr:to>
        <xdr:sp macro="" textlink="">
          <xdr:nvSpPr>
            <xdr:cNvPr id="7512" name="Check Box 344" hidden="1">
              <a:extLst>
                <a:ext uri="{63B3BB69-23CF-44E3-9099-C40C66FF867C}">
                  <a14:compatExt spid="_x0000_s7512"/>
                </a:ext>
                <a:ext uri="{FF2B5EF4-FFF2-40B4-BE49-F238E27FC236}">
                  <a16:creationId xmlns:a16="http://schemas.microsoft.com/office/drawing/2014/main" id="{00000000-0008-0000-0000-00005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157</xdr:row>
          <xdr:rowOff>409575</xdr:rowOff>
        </xdr:from>
        <xdr:to>
          <xdr:col>20</xdr:col>
          <xdr:colOff>66675</xdr:colOff>
          <xdr:row>157</xdr:row>
          <xdr:rowOff>609600</xdr:rowOff>
        </xdr:to>
        <xdr:sp macro="" textlink="">
          <xdr:nvSpPr>
            <xdr:cNvPr id="7513" name="Check Box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158</xdr:row>
          <xdr:rowOff>381000</xdr:rowOff>
        </xdr:from>
        <xdr:to>
          <xdr:col>20</xdr:col>
          <xdr:colOff>66675</xdr:colOff>
          <xdr:row>158</xdr:row>
          <xdr:rowOff>581025</xdr:rowOff>
        </xdr:to>
        <xdr:sp macro="" textlink="">
          <xdr:nvSpPr>
            <xdr:cNvPr id="7514" name="Check Box 346" hidden="1">
              <a:extLst>
                <a:ext uri="{63B3BB69-23CF-44E3-9099-C40C66FF867C}">
                  <a14:compatExt spid="_x0000_s7514"/>
                </a:ext>
                <a:ext uri="{FF2B5EF4-FFF2-40B4-BE49-F238E27FC236}">
                  <a16:creationId xmlns:a16="http://schemas.microsoft.com/office/drawing/2014/main" id="{00000000-0008-0000-0000-00005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159</xdr:row>
          <xdr:rowOff>400050</xdr:rowOff>
        </xdr:from>
        <xdr:to>
          <xdr:col>20</xdr:col>
          <xdr:colOff>66675</xdr:colOff>
          <xdr:row>159</xdr:row>
          <xdr:rowOff>600075</xdr:rowOff>
        </xdr:to>
        <xdr:sp macro="" textlink="">
          <xdr:nvSpPr>
            <xdr:cNvPr id="7515" name="Check Box 347" hidden="1">
              <a:extLst>
                <a:ext uri="{63B3BB69-23CF-44E3-9099-C40C66FF867C}">
                  <a14:compatExt spid="_x0000_s7515"/>
                </a:ext>
                <a:ext uri="{FF2B5EF4-FFF2-40B4-BE49-F238E27FC236}">
                  <a16:creationId xmlns:a16="http://schemas.microsoft.com/office/drawing/2014/main" id="{00000000-0008-0000-0000-00005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160</xdr:row>
          <xdr:rowOff>438150</xdr:rowOff>
        </xdr:from>
        <xdr:to>
          <xdr:col>20</xdr:col>
          <xdr:colOff>57150</xdr:colOff>
          <xdr:row>160</xdr:row>
          <xdr:rowOff>638175</xdr:rowOff>
        </xdr:to>
        <xdr:sp macro="" textlink="">
          <xdr:nvSpPr>
            <xdr:cNvPr id="7517" name="Check Box 349" hidden="1">
              <a:extLst>
                <a:ext uri="{63B3BB69-23CF-44E3-9099-C40C66FF867C}">
                  <a14:compatExt spid="_x0000_s7517"/>
                </a:ext>
                <a:ext uri="{FF2B5EF4-FFF2-40B4-BE49-F238E27FC236}">
                  <a16:creationId xmlns:a16="http://schemas.microsoft.com/office/drawing/2014/main" id="{00000000-0008-0000-0000-00005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161</xdr:row>
          <xdr:rowOff>409575</xdr:rowOff>
        </xdr:from>
        <xdr:to>
          <xdr:col>20</xdr:col>
          <xdr:colOff>57150</xdr:colOff>
          <xdr:row>161</xdr:row>
          <xdr:rowOff>609600</xdr:rowOff>
        </xdr:to>
        <xdr:sp macro="" textlink="">
          <xdr:nvSpPr>
            <xdr:cNvPr id="7518" name="Check Box 350" hidden="1">
              <a:extLst>
                <a:ext uri="{63B3BB69-23CF-44E3-9099-C40C66FF867C}">
                  <a14:compatExt spid="_x0000_s7518"/>
                </a:ext>
                <a:ext uri="{FF2B5EF4-FFF2-40B4-BE49-F238E27FC236}">
                  <a16:creationId xmlns:a16="http://schemas.microsoft.com/office/drawing/2014/main" id="{00000000-0008-0000-0000-00005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162</xdr:row>
          <xdr:rowOff>419100</xdr:rowOff>
        </xdr:from>
        <xdr:to>
          <xdr:col>20</xdr:col>
          <xdr:colOff>85725</xdr:colOff>
          <xdr:row>162</xdr:row>
          <xdr:rowOff>628650</xdr:rowOff>
        </xdr:to>
        <xdr:sp macro="" textlink="">
          <xdr:nvSpPr>
            <xdr:cNvPr id="7519" name="Check Box 351" hidden="1">
              <a:extLst>
                <a:ext uri="{63B3BB69-23CF-44E3-9099-C40C66FF867C}">
                  <a14:compatExt spid="_x0000_s7519"/>
                </a:ext>
                <a:ext uri="{FF2B5EF4-FFF2-40B4-BE49-F238E27FC236}">
                  <a16:creationId xmlns:a16="http://schemas.microsoft.com/office/drawing/2014/main" id="{00000000-0008-0000-0000-00005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163</xdr:row>
          <xdr:rowOff>381000</xdr:rowOff>
        </xdr:from>
        <xdr:to>
          <xdr:col>20</xdr:col>
          <xdr:colOff>85725</xdr:colOff>
          <xdr:row>163</xdr:row>
          <xdr:rowOff>581025</xdr:rowOff>
        </xdr:to>
        <xdr:sp macro="" textlink="">
          <xdr:nvSpPr>
            <xdr:cNvPr id="7520" name="Check Box 352" hidden="1">
              <a:extLst>
                <a:ext uri="{63B3BB69-23CF-44E3-9099-C40C66FF867C}">
                  <a14:compatExt spid="_x0000_s7520"/>
                </a:ext>
                <a:ext uri="{FF2B5EF4-FFF2-40B4-BE49-F238E27FC236}">
                  <a16:creationId xmlns:a16="http://schemas.microsoft.com/office/drawing/2014/main" id="{00000000-0008-0000-0000-00006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164</xdr:row>
          <xdr:rowOff>390525</xdr:rowOff>
        </xdr:from>
        <xdr:to>
          <xdr:col>20</xdr:col>
          <xdr:colOff>114300</xdr:colOff>
          <xdr:row>164</xdr:row>
          <xdr:rowOff>600075</xdr:rowOff>
        </xdr:to>
        <xdr:sp macro="" textlink="">
          <xdr:nvSpPr>
            <xdr:cNvPr id="7521" name="Check Box 353" hidden="1">
              <a:extLst>
                <a:ext uri="{63B3BB69-23CF-44E3-9099-C40C66FF867C}">
                  <a14:compatExt spid="_x0000_s7521"/>
                </a:ext>
                <a:ext uri="{FF2B5EF4-FFF2-40B4-BE49-F238E27FC236}">
                  <a16:creationId xmlns:a16="http://schemas.microsoft.com/office/drawing/2014/main" id="{00000000-0008-0000-0000-00006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165</xdr:row>
          <xdr:rowOff>381000</xdr:rowOff>
        </xdr:from>
        <xdr:to>
          <xdr:col>20</xdr:col>
          <xdr:colOff>95250</xdr:colOff>
          <xdr:row>165</xdr:row>
          <xdr:rowOff>590550</xdr:rowOff>
        </xdr:to>
        <xdr:sp macro="" textlink="">
          <xdr:nvSpPr>
            <xdr:cNvPr id="7522" name="Check Box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0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166</xdr:row>
          <xdr:rowOff>381000</xdr:rowOff>
        </xdr:from>
        <xdr:to>
          <xdr:col>20</xdr:col>
          <xdr:colOff>85725</xdr:colOff>
          <xdr:row>166</xdr:row>
          <xdr:rowOff>590550</xdr:rowOff>
        </xdr:to>
        <xdr:sp macro="" textlink="">
          <xdr:nvSpPr>
            <xdr:cNvPr id="7523" name="Check Box 355" hidden="1">
              <a:extLst>
                <a:ext uri="{63B3BB69-23CF-44E3-9099-C40C66FF867C}">
                  <a14:compatExt spid="_x0000_s7523"/>
                </a:ext>
                <a:ext uri="{FF2B5EF4-FFF2-40B4-BE49-F238E27FC236}">
                  <a16:creationId xmlns:a16="http://schemas.microsoft.com/office/drawing/2014/main" id="{00000000-0008-0000-0000-00006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147</xdr:row>
          <xdr:rowOff>381000</xdr:rowOff>
        </xdr:from>
        <xdr:to>
          <xdr:col>20</xdr:col>
          <xdr:colOff>95250</xdr:colOff>
          <xdr:row>147</xdr:row>
          <xdr:rowOff>581025</xdr:rowOff>
        </xdr:to>
        <xdr:sp macro="" textlink="">
          <xdr:nvSpPr>
            <xdr:cNvPr id="7524" name="Check Box 356" hidden="1">
              <a:extLst>
                <a:ext uri="{63B3BB69-23CF-44E3-9099-C40C66FF867C}">
                  <a14:compatExt spid="_x0000_s7524"/>
                </a:ext>
                <a:ext uri="{FF2B5EF4-FFF2-40B4-BE49-F238E27FC236}">
                  <a16:creationId xmlns:a16="http://schemas.microsoft.com/office/drawing/2014/main" id="{00000000-0008-0000-0000-00006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149</xdr:row>
          <xdr:rowOff>390525</xdr:rowOff>
        </xdr:from>
        <xdr:to>
          <xdr:col>20</xdr:col>
          <xdr:colOff>85725</xdr:colOff>
          <xdr:row>149</xdr:row>
          <xdr:rowOff>600075</xdr:rowOff>
        </xdr:to>
        <xdr:sp macro="" textlink="">
          <xdr:nvSpPr>
            <xdr:cNvPr id="7525" name="Check Box 357" hidden="1">
              <a:extLst>
                <a:ext uri="{63B3BB69-23CF-44E3-9099-C40C66FF867C}">
                  <a14:compatExt spid="_x0000_s7525"/>
                </a:ext>
                <a:ext uri="{FF2B5EF4-FFF2-40B4-BE49-F238E27FC236}">
                  <a16:creationId xmlns:a16="http://schemas.microsoft.com/office/drawing/2014/main" id="{00000000-0008-0000-0000-00006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150</xdr:row>
          <xdr:rowOff>390525</xdr:rowOff>
        </xdr:from>
        <xdr:to>
          <xdr:col>20</xdr:col>
          <xdr:colOff>66675</xdr:colOff>
          <xdr:row>150</xdr:row>
          <xdr:rowOff>600075</xdr:rowOff>
        </xdr:to>
        <xdr:sp macro="" textlink="">
          <xdr:nvSpPr>
            <xdr:cNvPr id="7526" name="Check Box 358" hidden="1">
              <a:extLst>
                <a:ext uri="{63B3BB69-23CF-44E3-9099-C40C66FF867C}">
                  <a14:compatExt spid="_x0000_s7526"/>
                </a:ext>
                <a:ext uri="{FF2B5EF4-FFF2-40B4-BE49-F238E27FC236}">
                  <a16:creationId xmlns:a16="http://schemas.microsoft.com/office/drawing/2014/main" id="{00000000-0008-0000-0000-00006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137</xdr:row>
          <xdr:rowOff>361950</xdr:rowOff>
        </xdr:from>
        <xdr:to>
          <xdr:col>20</xdr:col>
          <xdr:colOff>95250</xdr:colOff>
          <xdr:row>137</xdr:row>
          <xdr:rowOff>571500</xdr:rowOff>
        </xdr:to>
        <xdr:sp macro="" textlink="">
          <xdr:nvSpPr>
            <xdr:cNvPr id="7527" name="Check Box 359" hidden="1">
              <a:extLst>
                <a:ext uri="{63B3BB69-23CF-44E3-9099-C40C66FF867C}">
                  <a14:compatExt spid="_x0000_s7527"/>
                </a:ext>
                <a:ext uri="{FF2B5EF4-FFF2-40B4-BE49-F238E27FC236}">
                  <a16:creationId xmlns:a16="http://schemas.microsoft.com/office/drawing/2014/main" id="{00000000-0008-0000-0000-00006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323850</xdr:colOff>
          <xdr:row>138</xdr:row>
          <xdr:rowOff>342900</xdr:rowOff>
        </xdr:from>
        <xdr:to>
          <xdr:col>20</xdr:col>
          <xdr:colOff>123825</xdr:colOff>
          <xdr:row>138</xdr:row>
          <xdr:rowOff>542925</xdr:rowOff>
        </xdr:to>
        <xdr:sp macro="" textlink="">
          <xdr:nvSpPr>
            <xdr:cNvPr id="7528" name="Check Box 360" hidden="1">
              <a:extLst>
                <a:ext uri="{63B3BB69-23CF-44E3-9099-C40C66FF867C}">
                  <a14:compatExt spid="_x0000_s7528"/>
                </a:ext>
                <a:ext uri="{FF2B5EF4-FFF2-40B4-BE49-F238E27FC236}">
                  <a16:creationId xmlns:a16="http://schemas.microsoft.com/office/drawing/2014/main" id="{00000000-0008-0000-0000-00006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219075</xdr:colOff>
          <xdr:row>139</xdr:row>
          <xdr:rowOff>323850</xdr:rowOff>
        </xdr:from>
        <xdr:to>
          <xdr:col>20</xdr:col>
          <xdr:colOff>0</xdr:colOff>
          <xdr:row>139</xdr:row>
          <xdr:rowOff>533400</xdr:rowOff>
        </xdr:to>
        <xdr:sp macro="" textlink="">
          <xdr:nvSpPr>
            <xdr:cNvPr id="7529" name="Check Box 361" hidden="1">
              <a:extLst>
                <a:ext uri="{63B3BB69-23CF-44E3-9099-C40C66FF867C}">
                  <a14:compatExt spid="_x0000_s7529"/>
                </a:ext>
                <a:ext uri="{FF2B5EF4-FFF2-40B4-BE49-F238E27FC236}">
                  <a16:creationId xmlns:a16="http://schemas.microsoft.com/office/drawing/2014/main" id="{00000000-0008-0000-0000-00006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140</xdr:row>
          <xdr:rowOff>409575</xdr:rowOff>
        </xdr:from>
        <xdr:to>
          <xdr:col>20</xdr:col>
          <xdr:colOff>85725</xdr:colOff>
          <xdr:row>140</xdr:row>
          <xdr:rowOff>609600</xdr:rowOff>
        </xdr:to>
        <xdr:sp macro="" textlink="">
          <xdr:nvSpPr>
            <xdr:cNvPr id="7530" name="Check Box 362" hidden="1">
              <a:extLst>
                <a:ext uri="{63B3BB69-23CF-44E3-9099-C40C66FF867C}">
                  <a14:compatExt spid="_x0000_s7530"/>
                </a:ext>
                <a:ext uri="{FF2B5EF4-FFF2-40B4-BE49-F238E27FC236}">
                  <a16:creationId xmlns:a16="http://schemas.microsoft.com/office/drawing/2014/main" id="{00000000-0008-0000-0000-00006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141</xdr:row>
          <xdr:rowOff>352425</xdr:rowOff>
        </xdr:from>
        <xdr:to>
          <xdr:col>20</xdr:col>
          <xdr:colOff>38100</xdr:colOff>
          <xdr:row>141</xdr:row>
          <xdr:rowOff>561975</xdr:rowOff>
        </xdr:to>
        <xdr:sp macro="" textlink="">
          <xdr:nvSpPr>
            <xdr:cNvPr id="7531" name="Check Box 36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00000000-0008-0000-0000-00006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134</xdr:row>
          <xdr:rowOff>381000</xdr:rowOff>
        </xdr:from>
        <xdr:to>
          <xdr:col>20</xdr:col>
          <xdr:colOff>85725</xdr:colOff>
          <xdr:row>134</xdr:row>
          <xdr:rowOff>581025</xdr:rowOff>
        </xdr:to>
        <xdr:sp macro="" textlink="">
          <xdr:nvSpPr>
            <xdr:cNvPr id="7532" name="Check Box 36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00000000-0008-0000-0000-00006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135</xdr:row>
          <xdr:rowOff>381000</xdr:rowOff>
        </xdr:from>
        <xdr:to>
          <xdr:col>20</xdr:col>
          <xdr:colOff>38100</xdr:colOff>
          <xdr:row>135</xdr:row>
          <xdr:rowOff>581025</xdr:rowOff>
        </xdr:to>
        <xdr:sp macro="" textlink="">
          <xdr:nvSpPr>
            <xdr:cNvPr id="7533" name="Check Box 365" hidden="1">
              <a:extLst>
                <a:ext uri="{63B3BB69-23CF-44E3-9099-C40C66FF867C}">
                  <a14:compatExt spid="_x0000_s7533"/>
                </a:ext>
                <a:ext uri="{FF2B5EF4-FFF2-40B4-BE49-F238E27FC236}">
                  <a16:creationId xmlns:a16="http://schemas.microsoft.com/office/drawing/2014/main" id="{00000000-0008-0000-0000-00006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130</xdr:row>
          <xdr:rowOff>390525</xdr:rowOff>
        </xdr:from>
        <xdr:to>
          <xdr:col>20</xdr:col>
          <xdr:colOff>38100</xdr:colOff>
          <xdr:row>130</xdr:row>
          <xdr:rowOff>600075</xdr:rowOff>
        </xdr:to>
        <xdr:sp macro="" textlink="">
          <xdr:nvSpPr>
            <xdr:cNvPr id="7534" name="Check Box 366" hidden="1">
              <a:extLst>
                <a:ext uri="{63B3BB69-23CF-44E3-9099-C40C66FF867C}">
                  <a14:compatExt spid="_x0000_s7534"/>
                </a:ext>
                <a:ext uri="{FF2B5EF4-FFF2-40B4-BE49-F238E27FC236}">
                  <a16:creationId xmlns:a16="http://schemas.microsoft.com/office/drawing/2014/main" id="{00000000-0008-0000-0000-00006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219075</xdr:colOff>
          <xdr:row>131</xdr:row>
          <xdr:rowOff>342900</xdr:rowOff>
        </xdr:from>
        <xdr:to>
          <xdr:col>20</xdr:col>
          <xdr:colOff>9525</xdr:colOff>
          <xdr:row>131</xdr:row>
          <xdr:rowOff>542925</xdr:rowOff>
        </xdr:to>
        <xdr:sp macro="" textlink="">
          <xdr:nvSpPr>
            <xdr:cNvPr id="7535" name="Check Box 367" hidden="1">
              <a:extLst>
                <a:ext uri="{63B3BB69-23CF-44E3-9099-C40C66FF867C}">
                  <a14:compatExt spid="_x0000_s7535"/>
                </a:ext>
                <a:ext uri="{FF2B5EF4-FFF2-40B4-BE49-F238E27FC236}">
                  <a16:creationId xmlns:a16="http://schemas.microsoft.com/office/drawing/2014/main" id="{00000000-0008-0000-0000-00006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121</xdr:row>
          <xdr:rowOff>323850</xdr:rowOff>
        </xdr:from>
        <xdr:to>
          <xdr:col>20</xdr:col>
          <xdr:colOff>28575</xdr:colOff>
          <xdr:row>121</xdr:row>
          <xdr:rowOff>533400</xdr:rowOff>
        </xdr:to>
        <xdr:sp macro="" textlink="">
          <xdr:nvSpPr>
            <xdr:cNvPr id="7536" name="Check Box 368" hidden="1">
              <a:extLst>
                <a:ext uri="{63B3BB69-23CF-44E3-9099-C40C66FF867C}">
                  <a14:compatExt spid="_x0000_s7536"/>
                </a:ext>
                <a:ext uri="{FF2B5EF4-FFF2-40B4-BE49-F238E27FC236}">
                  <a16:creationId xmlns:a16="http://schemas.microsoft.com/office/drawing/2014/main" id="{00000000-0008-0000-0000-00007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123</xdr:row>
          <xdr:rowOff>352425</xdr:rowOff>
        </xdr:from>
        <xdr:to>
          <xdr:col>20</xdr:col>
          <xdr:colOff>38100</xdr:colOff>
          <xdr:row>123</xdr:row>
          <xdr:rowOff>561975</xdr:rowOff>
        </xdr:to>
        <xdr:sp macro="" textlink="">
          <xdr:nvSpPr>
            <xdr:cNvPr id="7537" name="Check Box 369" hidden="1">
              <a:extLst>
                <a:ext uri="{63B3BB69-23CF-44E3-9099-C40C66FF867C}">
                  <a14:compatExt spid="_x0000_s7537"/>
                </a:ext>
                <a:ext uri="{FF2B5EF4-FFF2-40B4-BE49-F238E27FC236}">
                  <a16:creationId xmlns:a16="http://schemas.microsoft.com/office/drawing/2014/main" id="{00000000-0008-0000-0000-00007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267</xdr:row>
          <xdr:rowOff>190500</xdr:rowOff>
        </xdr:from>
        <xdr:to>
          <xdr:col>20</xdr:col>
          <xdr:colOff>104775</xdr:colOff>
          <xdr:row>267</xdr:row>
          <xdr:rowOff>390525</xdr:rowOff>
        </xdr:to>
        <xdr:sp macro="" textlink="">
          <xdr:nvSpPr>
            <xdr:cNvPr id="7538" name="Check Box 370" hidden="1">
              <a:extLst>
                <a:ext uri="{63B3BB69-23CF-44E3-9099-C40C66FF867C}">
                  <a14:compatExt spid="_x0000_s7538"/>
                </a:ext>
                <a:ext uri="{FF2B5EF4-FFF2-40B4-BE49-F238E27FC236}">
                  <a16:creationId xmlns:a16="http://schemas.microsoft.com/office/drawing/2014/main" id="{00000000-0008-0000-0000-00007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253</xdr:row>
          <xdr:rowOff>228600</xdr:rowOff>
        </xdr:from>
        <xdr:to>
          <xdr:col>20</xdr:col>
          <xdr:colOff>57150</xdr:colOff>
          <xdr:row>253</xdr:row>
          <xdr:rowOff>438150</xdr:rowOff>
        </xdr:to>
        <xdr:sp macro="" textlink="">
          <xdr:nvSpPr>
            <xdr:cNvPr id="7539" name="Check Box 371" hidden="1">
              <a:extLst>
                <a:ext uri="{63B3BB69-23CF-44E3-9099-C40C66FF867C}">
                  <a14:compatExt spid="_x0000_s7539"/>
                </a:ext>
                <a:ext uri="{FF2B5EF4-FFF2-40B4-BE49-F238E27FC236}">
                  <a16:creationId xmlns:a16="http://schemas.microsoft.com/office/drawing/2014/main" id="{00000000-0008-0000-0000-00007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252045</xdr:colOff>
      <xdr:row>22</xdr:row>
      <xdr:rowOff>37367</xdr:rowOff>
    </xdr:from>
    <xdr:ext cx="1307124" cy="438966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5464720" y="4818917"/>
          <a:ext cx="1307124" cy="4389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Δ𝑢_𝑒𝑟𝑠=〖 𝑘〗_𝑢∙𝑆_𝑟𝐸/𝑆_𝑘𝑉 </a:t>
          </a:r>
          <a:endParaRPr lang="de-DE" sz="1100" b="0"/>
        </a:p>
      </xdr:txBody>
    </xdr:sp>
    <xdr:clientData/>
  </xdr:oneCellAnchor>
  <xdr:oneCellAnchor>
    <xdr:from>
      <xdr:col>24</xdr:col>
      <xdr:colOff>402979</xdr:colOff>
      <xdr:row>12</xdr:row>
      <xdr:rowOff>51288</xdr:rowOff>
    </xdr:from>
    <xdr:ext cx="1658816" cy="267702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7890879" y="2299188"/>
          <a:ext cx="1658816" cy="267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Δ𝑡_𝑚𝑖𝑛=23∙(100∙Δ𝑢)^3</a:t>
          </a:r>
          <a:endParaRPr lang="de-DE" sz="1100"/>
        </a:p>
      </xdr:txBody>
    </xdr:sp>
    <xdr:clientData/>
  </xdr:oneCellAnchor>
  <xdr:twoCellAnchor editAs="oneCell">
    <xdr:from>
      <xdr:col>1</xdr:col>
      <xdr:colOff>0</xdr:colOff>
      <xdr:row>106</xdr:row>
      <xdr:rowOff>0</xdr:rowOff>
    </xdr:from>
    <xdr:to>
      <xdr:col>4</xdr:col>
      <xdr:colOff>176893</xdr:colOff>
      <xdr:row>114</xdr:row>
      <xdr:rowOff>7807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1174" y="8597348"/>
          <a:ext cx="3909391" cy="1599043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oneCellAnchor>
    <xdr:from>
      <xdr:col>25</xdr:col>
      <xdr:colOff>726097</xdr:colOff>
      <xdr:row>18</xdr:row>
      <xdr:rowOff>49091</xdr:rowOff>
    </xdr:from>
    <xdr:ext cx="1644162" cy="438966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5176772" y="4030541"/>
          <a:ext cx="1644162" cy="4389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Δ𝑢_𝑎=𝑘_(𝑖,𝑚𝑎𝑥)∙𝑆_𝑟𝐸/𝑆_𝑘𝑉 </a:t>
          </a:r>
          <a:endParaRPr lang="de-DE" sz="1100"/>
        </a:p>
      </xdr:txBody>
    </xdr:sp>
    <xdr:clientData/>
  </xdr:oneCellAnchor>
  <xdr:oneCellAnchor>
    <xdr:from>
      <xdr:col>25</xdr:col>
      <xdr:colOff>4395</xdr:colOff>
      <xdr:row>14</xdr:row>
      <xdr:rowOff>294542</xdr:rowOff>
    </xdr:from>
    <xdr:ext cx="1307124" cy="438966"/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4455070" y="3294917"/>
          <a:ext cx="1307124" cy="4389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Δ𝑢_𝑒𝑟𝑠=〖 𝑘〗_𝑢∙𝑆_𝑟𝐸/𝑆_𝑘𝑉 </a:t>
          </a:r>
          <a:endParaRPr lang="de-DE" sz="1100" b="0"/>
        </a:p>
      </xdr:txBody>
    </xdr:sp>
    <xdr:clientData/>
  </xdr:oneCellAnchor>
  <xdr:oneCellAnchor>
    <xdr:from>
      <xdr:col>24</xdr:col>
      <xdr:colOff>402979</xdr:colOff>
      <xdr:row>12</xdr:row>
      <xdr:rowOff>51288</xdr:rowOff>
    </xdr:from>
    <xdr:ext cx="1658816" cy="267702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23177254" y="2861163"/>
          <a:ext cx="1658816" cy="267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Δ𝑡_𝑚𝑖𝑛=23∙(100∙Δ𝑢)^3</a:t>
          </a:r>
          <a:endParaRPr lang="de-DE" sz="1100"/>
        </a:p>
      </xdr:txBody>
    </xdr:sp>
    <xdr:clientData/>
  </xdr:oneCellAnchor>
  <xdr:oneCellAnchor>
    <xdr:from>
      <xdr:col>23</xdr:col>
      <xdr:colOff>669034</xdr:colOff>
      <xdr:row>3</xdr:row>
      <xdr:rowOff>286137</xdr:rowOff>
    </xdr:from>
    <xdr:ext cx="3006969" cy="670761"/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22677387" y="891255"/>
          <a:ext cx="3006969" cy="6707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𝑃_𝑙𝑡=8/𝑆_𝐾𝑉 ∙(∑_(𝑖=1)^(𝑁_𝐸)▒𝑁_(120,𝑖) ∙(𝑘_(𝑓,𝑖(</a:t>
          </a:r>
          <a:r>
            <a:rPr lang="de-DE" sz="1100" b="0" i="0">
              <a:latin typeface="Cambria Math"/>
              <a:ea typeface="Cambria Math"/>
            </a:rPr>
            <a:t>Ψ) )∙𝑆_𝑟𝐸 )^3,2 )^0,31</a:t>
          </a:r>
          <a:endParaRPr lang="de-DE" sz="1100"/>
        </a:p>
      </xdr:txBody>
    </xdr:sp>
    <xdr:clientData/>
  </xdr:oneCellAnchor>
  <xdr:twoCellAnchor editAs="oneCell">
    <xdr:from>
      <xdr:col>20</xdr:col>
      <xdr:colOff>152400</xdr:colOff>
      <xdr:row>0</xdr:row>
      <xdr:rowOff>0</xdr:rowOff>
    </xdr:from>
    <xdr:to>
      <xdr:col>26</xdr:col>
      <xdr:colOff>476251</xdr:colOff>
      <xdr:row>25</xdr:row>
      <xdr:rowOff>233594</xdr:rowOff>
    </xdr:to>
    <xdr:pic>
      <xdr:nvPicPr>
        <xdr:cNvPr id="16" name="Grafi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88450" y="0"/>
          <a:ext cx="5334001" cy="71029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161925</xdr:colOff>
          <xdr:row>8</xdr:row>
          <xdr:rowOff>180975</xdr:rowOff>
        </xdr:from>
        <xdr:to>
          <xdr:col>28</xdr:col>
          <xdr:colOff>381000</xdr:colOff>
          <xdr:row>11</xdr:row>
          <xdr:rowOff>104775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13</xdr:row>
          <xdr:rowOff>66675</xdr:rowOff>
        </xdr:from>
        <xdr:to>
          <xdr:col>9</xdr:col>
          <xdr:colOff>0</xdr:colOff>
          <xdr:row>14</xdr:row>
          <xdr:rowOff>276225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Daten einlesen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432954</xdr:colOff>
      <xdr:row>1</xdr:row>
      <xdr:rowOff>127724</xdr:rowOff>
    </xdr:from>
    <xdr:to>
      <xdr:col>45</xdr:col>
      <xdr:colOff>9210</xdr:colOff>
      <xdr:row>69</xdr:row>
      <xdr:rowOff>154692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63181" y="335542"/>
          <a:ext cx="9031984" cy="1372565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45</xdr:col>
      <xdr:colOff>704633</xdr:colOff>
      <xdr:row>1</xdr:row>
      <xdr:rowOff>156947</xdr:rowOff>
    </xdr:from>
    <xdr:to>
      <xdr:col>58</xdr:col>
      <xdr:colOff>246253</xdr:colOff>
      <xdr:row>42</xdr:row>
      <xdr:rowOff>146178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90588" y="364765"/>
          <a:ext cx="8997347" cy="823268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oneCellAnchor>
    <xdr:from>
      <xdr:col>10</xdr:col>
      <xdr:colOff>47064</xdr:colOff>
      <xdr:row>137</xdr:row>
      <xdr:rowOff>175933</xdr:rowOff>
    </xdr:from>
    <xdr:ext cx="591671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7781364" y="27941308"/>
              <a:ext cx="591671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de-DE" sz="1100">
                  <a:ea typeface="Cambria Math"/>
                </a:rPr>
                <a:t>k</a:t>
              </a:r>
              <a14:m>
                <m:oMath xmlns:m="http://schemas.openxmlformats.org/officeDocument/2006/math">
                  <m:r>
                    <a:rPr lang="de-DE" sz="1100" i="1">
                      <a:latin typeface="Cambria Math"/>
                      <a:ea typeface="Cambria Math"/>
                    </a:rPr>
                    <m:t>𝜇</m:t>
                  </m:r>
                </m:oMath>
              </a14:m>
              <a:endParaRPr lang="de-DE" sz="1100">
                <a:ea typeface="Cambria Math"/>
              </a:endParaRPr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FF538C4E-1DB9-4C69-811B-70D756DEDD96}"/>
                </a:ext>
              </a:extLst>
            </xdr:cNvPr>
            <xdr:cNvSpPr txBox="1"/>
          </xdr:nvSpPr>
          <xdr:spPr>
            <a:xfrm>
              <a:off x="7781364" y="27941308"/>
              <a:ext cx="591671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de-DE" sz="1100">
                  <a:ea typeface="Cambria Math"/>
                </a:rPr>
                <a:t>k</a:t>
              </a:r>
              <a:r>
                <a:rPr lang="de-DE" sz="1100" i="0">
                  <a:latin typeface="Cambria Math"/>
                  <a:ea typeface="Cambria Math"/>
                </a:rPr>
                <a:t>𝜇</a:t>
              </a:r>
              <a:endParaRPr lang="de-DE" sz="1100">
                <a:ea typeface="Cambria Math"/>
              </a:endParaRPr>
            </a:p>
          </xdr:txBody>
        </xdr:sp>
      </mc:Fallback>
    </mc:AlternateContent>
    <xdr:clientData/>
  </xdr:oneCellAnchor>
  <xdr:twoCellAnchor editAs="oneCell">
    <xdr:from>
      <xdr:col>17</xdr:col>
      <xdr:colOff>89647</xdr:colOff>
      <xdr:row>134</xdr:row>
      <xdr:rowOff>0</xdr:rowOff>
    </xdr:from>
    <xdr:to>
      <xdr:col>24</xdr:col>
      <xdr:colOff>717718</xdr:colOff>
      <xdr:row>138</xdr:row>
      <xdr:rowOff>114902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66754" y="26642786"/>
          <a:ext cx="6343071" cy="876902"/>
        </a:xfrm>
        <a:prstGeom prst="rect">
          <a:avLst/>
        </a:prstGeom>
      </xdr:spPr>
    </xdr:pic>
    <xdr:clientData/>
  </xdr:twoCellAnchor>
  <xdr:twoCellAnchor editAs="oneCell">
    <xdr:from>
      <xdr:col>17</xdr:col>
      <xdr:colOff>168087</xdr:colOff>
      <xdr:row>138</xdr:row>
      <xdr:rowOff>170278</xdr:rowOff>
    </xdr:from>
    <xdr:to>
      <xdr:col>25</xdr:col>
      <xdr:colOff>155635</xdr:colOff>
      <xdr:row>144</xdr:row>
      <xdr:rowOff>38070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45194" y="27575064"/>
          <a:ext cx="6518977" cy="1010792"/>
        </a:xfrm>
        <a:prstGeom prst="rect">
          <a:avLst/>
        </a:prstGeom>
      </xdr:spPr>
    </xdr:pic>
    <xdr:clientData/>
  </xdr:twoCellAnchor>
  <xdr:twoCellAnchor editAs="oneCell">
    <xdr:from>
      <xdr:col>17</xdr:col>
      <xdr:colOff>27214</xdr:colOff>
      <xdr:row>148</xdr:row>
      <xdr:rowOff>139960</xdr:rowOff>
    </xdr:from>
    <xdr:to>
      <xdr:col>26</xdr:col>
      <xdr:colOff>85504</xdr:colOff>
      <xdr:row>160</xdr:row>
      <xdr:rowOff>141032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804321" y="29449746"/>
          <a:ext cx="7501397" cy="2314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190499</xdr:rowOff>
    </xdr:from>
    <xdr:to>
      <xdr:col>21</xdr:col>
      <xdr:colOff>18321</xdr:colOff>
      <xdr:row>33</xdr:row>
      <xdr:rowOff>65999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21</xdr:col>
      <xdr:colOff>18321</xdr:colOff>
      <xdr:row>64</xdr:row>
      <xdr:rowOff>66000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67</xdr:row>
      <xdr:rowOff>0</xdr:rowOff>
    </xdr:from>
    <xdr:to>
      <xdr:col>21</xdr:col>
      <xdr:colOff>18321</xdr:colOff>
      <xdr:row>95</xdr:row>
      <xdr:rowOff>66000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98</xdr:row>
      <xdr:rowOff>0</xdr:rowOff>
    </xdr:from>
    <xdr:to>
      <xdr:col>21</xdr:col>
      <xdr:colOff>18321</xdr:colOff>
      <xdr:row>126</xdr:row>
      <xdr:rowOff>66000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323850</xdr:colOff>
          <xdr:row>9</xdr:row>
          <xdr:rowOff>95250</xdr:rowOff>
        </xdr:from>
        <xdr:to>
          <xdr:col>27</xdr:col>
          <xdr:colOff>9525</xdr:colOff>
          <xdr:row>13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Diagramme exportieren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761999</xdr:colOff>
      <xdr:row>12</xdr:row>
      <xdr:rowOff>0</xdr:rowOff>
    </xdr:from>
    <xdr:to>
      <xdr:col>16</xdr:col>
      <xdr:colOff>107999</xdr:colOff>
      <xdr:row>26</xdr:row>
      <xdr:rowOff>172950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47</xdr:row>
      <xdr:rowOff>22411</xdr:rowOff>
    </xdr:from>
    <xdr:to>
      <xdr:col>16</xdr:col>
      <xdr:colOff>108000</xdr:colOff>
      <xdr:row>64</xdr:row>
      <xdr:rowOff>23911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5094</xdr:colOff>
      <xdr:row>27</xdr:row>
      <xdr:rowOff>55010</xdr:rowOff>
    </xdr:from>
    <xdr:to>
      <xdr:col>16</xdr:col>
      <xdr:colOff>109869</xdr:colOff>
      <xdr:row>46</xdr:row>
      <xdr:rowOff>99295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0</xdr:rowOff>
        </xdr:from>
        <xdr:to>
          <xdr:col>3</xdr:col>
          <xdr:colOff>428625</xdr:colOff>
          <xdr:row>6</xdr:row>
          <xdr:rowOff>76200</xdr:rowOff>
        </xdr:to>
        <xdr:sp macro="" textlink="">
          <xdr:nvSpPr>
            <xdr:cNvPr id="6146" name="Check Box 2" descr="Uc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180975</xdr:rowOff>
        </xdr:from>
        <xdr:to>
          <xdr:col>3</xdr:col>
          <xdr:colOff>428625</xdr:colOff>
          <xdr:row>7</xdr:row>
          <xdr:rowOff>66675</xdr:rowOff>
        </xdr:to>
        <xdr:sp macro="" textlink="">
          <xdr:nvSpPr>
            <xdr:cNvPr id="6147" name="Check Box 3" descr="Uc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0</xdr:rowOff>
        </xdr:from>
        <xdr:to>
          <xdr:col>6</xdr:col>
          <xdr:colOff>438150</xdr:colOff>
          <xdr:row>6</xdr:row>
          <xdr:rowOff>76200</xdr:rowOff>
        </xdr:to>
        <xdr:sp macro="" textlink="">
          <xdr:nvSpPr>
            <xdr:cNvPr id="6159" name="Check Box 15" descr="Uc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171450</xdr:rowOff>
        </xdr:from>
        <xdr:to>
          <xdr:col>6</xdr:col>
          <xdr:colOff>428625</xdr:colOff>
          <xdr:row>7</xdr:row>
          <xdr:rowOff>66675</xdr:rowOff>
        </xdr:to>
        <xdr:sp macro="" textlink="">
          <xdr:nvSpPr>
            <xdr:cNvPr id="6160" name="Check Box 16" descr="Uc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5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Uns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67235</xdr:colOff>
      <xdr:row>0</xdr:row>
      <xdr:rowOff>212911</xdr:rowOff>
    </xdr:from>
    <xdr:to>
      <xdr:col>1</xdr:col>
      <xdr:colOff>2293844</xdr:colOff>
      <xdr:row>1</xdr:row>
      <xdr:rowOff>523875</xdr:rowOff>
    </xdr:to>
    <xdr:pic>
      <xdr:nvPicPr>
        <xdr:cNvPr id="2" name="Bild 1" descr="Beschreibung: Beschreibung: Beschreibung: Beschreibung: Beschreibung: Bil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" y="212911"/>
          <a:ext cx="2226609" cy="596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124459</xdr:colOff>
      <xdr:row>0</xdr:row>
      <xdr:rowOff>165287</xdr:rowOff>
    </xdr:from>
    <xdr:to>
      <xdr:col>1</xdr:col>
      <xdr:colOff>2152685</xdr:colOff>
      <xdr:row>1</xdr:row>
      <xdr:rowOff>460375</xdr:rowOff>
    </xdr:to>
    <xdr:pic>
      <xdr:nvPicPr>
        <xdr:cNvPr id="2" name="Bild 1" descr="Beschreibung: Beschreibung: Beschreibung: Beschreibung: Beschreibung: Bild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59" y="165287"/>
          <a:ext cx="2583851" cy="691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8.xml"/><Relationship Id="rId299" Type="http://schemas.openxmlformats.org/officeDocument/2006/relationships/ctrlProp" Target="../ctrlProps/ctrlProp280.xml"/><Relationship Id="rId303" Type="http://schemas.openxmlformats.org/officeDocument/2006/relationships/ctrlProp" Target="../ctrlProps/ctrlProp284.xml"/><Relationship Id="rId21" Type="http://schemas.openxmlformats.org/officeDocument/2006/relationships/ctrlProp" Target="../ctrlProps/ctrlProp2.xml"/><Relationship Id="rId42" Type="http://schemas.openxmlformats.org/officeDocument/2006/relationships/ctrlProp" Target="../ctrlProps/ctrlProp23.xml"/><Relationship Id="rId63" Type="http://schemas.openxmlformats.org/officeDocument/2006/relationships/ctrlProp" Target="../ctrlProps/ctrlProp44.xml"/><Relationship Id="rId84" Type="http://schemas.openxmlformats.org/officeDocument/2006/relationships/ctrlProp" Target="../ctrlProps/ctrlProp65.xml"/><Relationship Id="rId138" Type="http://schemas.openxmlformats.org/officeDocument/2006/relationships/ctrlProp" Target="../ctrlProps/ctrlProp119.xml"/><Relationship Id="rId159" Type="http://schemas.openxmlformats.org/officeDocument/2006/relationships/ctrlProp" Target="../ctrlProps/ctrlProp140.xml"/><Relationship Id="rId170" Type="http://schemas.openxmlformats.org/officeDocument/2006/relationships/ctrlProp" Target="../ctrlProps/ctrlProp151.xml"/><Relationship Id="rId191" Type="http://schemas.openxmlformats.org/officeDocument/2006/relationships/ctrlProp" Target="../ctrlProps/ctrlProp172.xml"/><Relationship Id="rId205" Type="http://schemas.openxmlformats.org/officeDocument/2006/relationships/ctrlProp" Target="../ctrlProps/ctrlProp186.xml"/><Relationship Id="rId226" Type="http://schemas.openxmlformats.org/officeDocument/2006/relationships/ctrlProp" Target="../ctrlProps/ctrlProp207.xml"/><Relationship Id="rId247" Type="http://schemas.openxmlformats.org/officeDocument/2006/relationships/ctrlProp" Target="../ctrlProps/ctrlProp228.xml"/><Relationship Id="rId107" Type="http://schemas.openxmlformats.org/officeDocument/2006/relationships/ctrlProp" Target="../ctrlProps/ctrlProp88.xml"/><Relationship Id="rId268" Type="http://schemas.openxmlformats.org/officeDocument/2006/relationships/ctrlProp" Target="../ctrlProps/ctrlProp249.xml"/><Relationship Id="rId289" Type="http://schemas.openxmlformats.org/officeDocument/2006/relationships/ctrlProp" Target="../ctrlProps/ctrlProp270.xml"/><Relationship Id="rId11" Type="http://schemas.openxmlformats.org/officeDocument/2006/relationships/image" Target="../media/image4.emf"/><Relationship Id="rId32" Type="http://schemas.openxmlformats.org/officeDocument/2006/relationships/ctrlProp" Target="../ctrlProps/ctrlProp13.xml"/><Relationship Id="rId53" Type="http://schemas.openxmlformats.org/officeDocument/2006/relationships/ctrlProp" Target="../ctrlProps/ctrlProp34.xml"/><Relationship Id="rId74" Type="http://schemas.openxmlformats.org/officeDocument/2006/relationships/ctrlProp" Target="../ctrlProps/ctrlProp55.xml"/><Relationship Id="rId128" Type="http://schemas.openxmlformats.org/officeDocument/2006/relationships/ctrlProp" Target="../ctrlProps/ctrlProp109.xml"/><Relationship Id="rId149" Type="http://schemas.openxmlformats.org/officeDocument/2006/relationships/ctrlProp" Target="../ctrlProps/ctrlProp130.xml"/><Relationship Id="rId314" Type="http://schemas.openxmlformats.org/officeDocument/2006/relationships/comments" Target="../comments1.xml"/><Relationship Id="rId5" Type="http://schemas.openxmlformats.org/officeDocument/2006/relationships/image" Target="../media/image1.emf"/><Relationship Id="rId95" Type="http://schemas.openxmlformats.org/officeDocument/2006/relationships/ctrlProp" Target="../ctrlProps/ctrlProp76.xml"/><Relationship Id="rId160" Type="http://schemas.openxmlformats.org/officeDocument/2006/relationships/ctrlProp" Target="../ctrlProps/ctrlProp141.xml"/><Relationship Id="rId181" Type="http://schemas.openxmlformats.org/officeDocument/2006/relationships/ctrlProp" Target="../ctrlProps/ctrlProp162.xml"/><Relationship Id="rId216" Type="http://schemas.openxmlformats.org/officeDocument/2006/relationships/ctrlProp" Target="../ctrlProps/ctrlProp197.xml"/><Relationship Id="rId237" Type="http://schemas.openxmlformats.org/officeDocument/2006/relationships/ctrlProp" Target="../ctrlProps/ctrlProp218.xml"/><Relationship Id="rId258" Type="http://schemas.openxmlformats.org/officeDocument/2006/relationships/ctrlProp" Target="../ctrlProps/ctrlProp239.xml"/><Relationship Id="rId279" Type="http://schemas.openxmlformats.org/officeDocument/2006/relationships/ctrlProp" Target="../ctrlProps/ctrlProp260.xml"/><Relationship Id="rId22" Type="http://schemas.openxmlformats.org/officeDocument/2006/relationships/ctrlProp" Target="../ctrlProps/ctrlProp3.xml"/><Relationship Id="rId43" Type="http://schemas.openxmlformats.org/officeDocument/2006/relationships/ctrlProp" Target="../ctrlProps/ctrlProp24.xml"/><Relationship Id="rId64" Type="http://schemas.openxmlformats.org/officeDocument/2006/relationships/ctrlProp" Target="../ctrlProps/ctrlProp45.xml"/><Relationship Id="rId118" Type="http://schemas.openxmlformats.org/officeDocument/2006/relationships/ctrlProp" Target="../ctrlProps/ctrlProp99.xml"/><Relationship Id="rId139" Type="http://schemas.openxmlformats.org/officeDocument/2006/relationships/ctrlProp" Target="../ctrlProps/ctrlProp120.xml"/><Relationship Id="rId290" Type="http://schemas.openxmlformats.org/officeDocument/2006/relationships/ctrlProp" Target="../ctrlProps/ctrlProp271.xml"/><Relationship Id="rId304" Type="http://schemas.openxmlformats.org/officeDocument/2006/relationships/ctrlProp" Target="../ctrlProps/ctrlProp285.xml"/><Relationship Id="rId85" Type="http://schemas.openxmlformats.org/officeDocument/2006/relationships/ctrlProp" Target="../ctrlProps/ctrlProp66.xml"/><Relationship Id="rId150" Type="http://schemas.openxmlformats.org/officeDocument/2006/relationships/ctrlProp" Target="../ctrlProps/ctrlProp131.xml"/><Relationship Id="rId171" Type="http://schemas.openxmlformats.org/officeDocument/2006/relationships/ctrlProp" Target="../ctrlProps/ctrlProp152.xml"/><Relationship Id="rId192" Type="http://schemas.openxmlformats.org/officeDocument/2006/relationships/ctrlProp" Target="../ctrlProps/ctrlProp173.xml"/><Relationship Id="rId206" Type="http://schemas.openxmlformats.org/officeDocument/2006/relationships/ctrlProp" Target="../ctrlProps/ctrlProp187.xml"/><Relationship Id="rId227" Type="http://schemas.openxmlformats.org/officeDocument/2006/relationships/ctrlProp" Target="../ctrlProps/ctrlProp208.xml"/><Relationship Id="rId248" Type="http://schemas.openxmlformats.org/officeDocument/2006/relationships/ctrlProp" Target="../ctrlProps/ctrlProp229.xml"/><Relationship Id="rId269" Type="http://schemas.openxmlformats.org/officeDocument/2006/relationships/ctrlProp" Target="../ctrlProps/ctrlProp250.xml"/><Relationship Id="rId12" Type="http://schemas.openxmlformats.org/officeDocument/2006/relationships/control" Target="../activeX/activeX5.xml"/><Relationship Id="rId33" Type="http://schemas.openxmlformats.org/officeDocument/2006/relationships/ctrlProp" Target="../ctrlProps/ctrlProp14.xml"/><Relationship Id="rId108" Type="http://schemas.openxmlformats.org/officeDocument/2006/relationships/ctrlProp" Target="../ctrlProps/ctrlProp89.xml"/><Relationship Id="rId129" Type="http://schemas.openxmlformats.org/officeDocument/2006/relationships/ctrlProp" Target="../ctrlProps/ctrlProp110.xml"/><Relationship Id="rId280" Type="http://schemas.openxmlformats.org/officeDocument/2006/relationships/ctrlProp" Target="../ctrlProps/ctrlProp261.xml"/><Relationship Id="rId54" Type="http://schemas.openxmlformats.org/officeDocument/2006/relationships/ctrlProp" Target="../ctrlProps/ctrlProp35.xml"/><Relationship Id="rId75" Type="http://schemas.openxmlformats.org/officeDocument/2006/relationships/ctrlProp" Target="../ctrlProps/ctrlProp56.xml"/><Relationship Id="rId96" Type="http://schemas.openxmlformats.org/officeDocument/2006/relationships/ctrlProp" Target="../ctrlProps/ctrlProp77.xml"/><Relationship Id="rId140" Type="http://schemas.openxmlformats.org/officeDocument/2006/relationships/ctrlProp" Target="../ctrlProps/ctrlProp121.xml"/><Relationship Id="rId161" Type="http://schemas.openxmlformats.org/officeDocument/2006/relationships/ctrlProp" Target="../ctrlProps/ctrlProp142.xml"/><Relationship Id="rId182" Type="http://schemas.openxmlformats.org/officeDocument/2006/relationships/ctrlProp" Target="../ctrlProps/ctrlProp163.xml"/><Relationship Id="rId217" Type="http://schemas.openxmlformats.org/officeDocument/2006/relationships/ctrlProp" Target="../ctrlProps/ctrlProp198.xml"/><Relationship Id="rId6" Type="http://schemas.openxmlformats.org/officeDocument/2006/relationships/control" Target="../activeX/activeX2.xml"/><Relationship Id="rId238" Type="http://schemas.openxmlformats.org/officeDocument/2006/relationships/ctrlProp" Target="../ctrlProps/ctrlProp219.xml"/><Relationship Id="rId259" Type="http://schemas.openxmlformats.org/officeDocument/2006/relationships/ctrlProp" Target="../ctrlProps/ctrlProp240.xml"/><Relationship Id="rId23" Type="http://schemas.openxmlformats.org/officeDocument/2006/relationships/ctrlProp" Target="../ctrlProps/ctrlProp4.xml"/><Relationship Id="rId119" Type="http://schemas.openxmlformats.org/officeDocument/2006/relationships/ctrlProp" Target="../ctrlProps/ctrlProp100.xml"/><Relationship Id="rId270" Type="http://schemas.openxmlformats.org/officeDocument/2006/relationships/ctrlProp" Target="../ctrlProps/ctrlProp251.xml"/><Relationship Id="rId291" Type="http://schemas.openxmlformats.org/officeDocument/2006/relationships/ctrlProp" Target="../ctrlProps/ctrlProp272.xml"/><Relationship Id="rId305" Type="http://schemas.openxmlformats.org/officeDocument/2006/relationships/ctrlProp" Target="../ctrlProps/ctrlProp286.xml"/><Relationship Id="rId44" Type="http://schemas.openxmlformats.org/officeDocument/2006/relationships/ctrlProp" Target="../ctrlProps/ctrlProp25.xml"/><Relationship Id="rId65" Type="http://schemas.openxmlformats.org/officeDocument/2006/relationships/ctrlProp" Target="../ctrlProps/ctrlProp46.xml"/><Relationship Id="rId86" Type="http://schemas.openxmlformats.org/officeDocument/2006/relationships/ctrlProp" Target="../ctrlProps/ctrlProp67.xml"/><Relationship Id="rId130" Type="http://schemas.openxmlformats.org/officeDocument/2006/relationships/ctrlProp" Target="../ctrlProps/ctrlProp111.xml"/><Relationship Id="rId151" Type="http://schemas.openxmlformats.org/officeDocument/2006/relationships/ctrlProp" Target="../ctrlProps/ctrlProp132.xml"/><Relationship Id="rId172" Type="http://schemas.openxmlformats.org/officeDocument/2006/relationships/ctrlProp" Target="../ctrlProps/ctrlProp153.xml"/><Relationship Id="rId193" Type="http://schemas.openxmlformats.org/officeDocument/2006/relationships/ctrlProp" Target="../ctrlProps/ctrlProp174.xml"/><Relationship Id="rId207" Type="http://schemas.openxmlformats.org/officeDocument/2006/relationships/ctrlProp" Target="../ctrlProps/ctrlProp188.xml"/><Relationship Id="rId228" Type="http://schemas.openxmlformats.org/officeDocument/2006/relationships/ctrlProp" Target="../ctrlProps/ctrlProp209.xml"/><Relationship Id="rId249" Type="http://schemas.openxmlformats.org/officeDocument/2006/relationships/ctrlProp" Target="../ctrlProps/ctrlProp230.xml"/><Relationship Id="rId13" Type="http://schemas.openxmlformats.org/officeDocument/2006/relationships/image" Target="../media/image5.emf"/><Relationship Id="rId109" Type="http://schemas.openxmlformats.org/officeDocument/2006/relationships/ctrlProp" Target="../ctrlProps/ctrlProp90.xml"/><Relationship Id="rId260" Type="http://schemas.openxmlformats.org/officeDocument/2006/relationships/ctrlProp" Target="../ctrlProps/ctrlProp241.xml"/><Relationship Id="rId281" Type="http://schemas.openxmlformats.org/officeDocument/2006/relationships/ctrlProp" Target="../ctrlProps/ctrlProp262.xml"/><Relationship Id="rId34" Type="http://schemas.openxmlformats.org/officeDocument/2006/relationships/ctrlProp" Target="../ctrlProps/ctrlProp15.xml"/><Relationship Id="rId55" Type="http://schemas.openxmlformats.org/officeDocument/2006/relationships/ctrlProp" Target="../ctrlProps/ctrlProp36.xml"/><Relationship Id="rId76" Type="http://schemas.openxmlformats.org/officeDocument/2006/relationships/ctrlProp" Target="../ctrlProps/ctrlProp57.xml"/><Relationship Id="rId97" Type="http://schemas.openxmlformats.org/officeDocument/2006/relationships/ctrlProp" Target="../ctrlProps/ctrlProp78.xml"/><Relationship Id="rId120" Type="http://schemas.openxmlformats.org/officeDocument/2006/relationships/ctrlProp" Target="../ctrlProps/ctrlProp101.xml"/><Relationship Id="rId141" Type="http://schemas.openxmlformats.org/officeDocument/2006/relationships/ctrlProp" Target="../ctrlProps/ctrlProp122.xml"/><Relationship Id="rId7" Type="http://schemas.openxmlformats.org/officeDocument/2006/relationships/image" Target="../media/image2.emf"/><Relationship Id="rId162" Type="http://schemas.openxmlformats.org/officeDocument/2006/relationships/ctrlProp" Target="../ctrlProps/ctrlProp143.xml"/><Relationship Id="rId183" Type="http://schemas.openxmlformats.org/officeDocument/2006/relationships/ctrlProp" Target="../ctrlProps/ctrlProp164.xml"/><Relationship Id="rId218" Type="http://schemas.openxmlformats.org/officeDocument/2006/relationships/ctrlProp" Target="../ctrlProps/ctrlProp199.xml"/><Relationship Id="rId239" Type="http://schemas.openxmlformats.org/officeDocument/2006/relationships/ctrlProp" Target="../ctrlProps/ctrlProp220.xml"/><Relationship Id="rId250" Type="http://schemas.openxmlformats.org/officeDocument/2006/relationships/ctrlProp" Target="../ctrlProps/ctrlProp231.xml"/><Relationship Id="rId271" Type="http://schemas.openxmlformats.org/officeDocument/2006/relationships/ctrlProp" Target="../ctrlProps/ctrlProp252.xml"/><Relationship Id="rId292" Type="http://schemas.openxmlformats.org/officeDocument/2006/relationships/ctrlProp" Target="../ctrlProps/ctrlProp273.xml"/><Relationship Id="rId306" Type="http://schemas.openxmlformats.org/officeDocument/2006/relationships/ctrlProp" Target="../ctrlProps/ctrlProp287.xml"/><Relationship Id="rId24" Type="http://schemas.openxmlformats.org/officeDocument/2006/relationships/ctrlProp" Target="../ctrlProps/ctrlProp5.xml"/><Relationship Id="rId45" Type="http://schemas.openxmlformats.org/officeDocument/2006/relationships/ctrlProp" Target="../ctrlProps/ctrlProp26.xml"/><Relationship Id="rId66" Type="http://schemas.openxmlformats.org/officeDocument/2006/relationships/ctrlProp" Target="../ctrlProps/ctrlProp47.xml"/><Relationship Id="rId87" Type="http://schemas.openxmlformats.org/officeDocument/2006/relationships/ctrlProp" Target="../ctrlProps/ctrlProp68.xml"/><Relationship Id="rId110" Type="http://schemas.openxmlformats.org/officeDocument/2006/relationships/ctrlProp" Target="../ctrlProps/ctrlProp91.xml"/><Relationship Id="rId131" Type="http://schemas.openxmlformats.org/officeDocument/2006/relationships/ctrlProp" Target="../ctrlProps/ctrlProp112.xml"/><Relationship Id="rId61" Type="http://schemas.openxmlformats.org/officeDocument/2006/relationships/ctrlProp" Target="../ctrlProps/ctrlProp42.xml"/><Relationship Id="rId82" Type="http://schemas.openxmlformats.org/officeDocument/2006/relationships/ctrlProp" Target="../ctrlProps/ctrlProp63.xml"/><Relationship Id="rId152" Type="http://schemas.openxmlformats.org/officeDocument/2006/relationships/ctrlProp" Target="../ctrlProps/ctrlProp133.xml"/><Relationship Id="rId173" Type="http://schemas.openxmlformats.org/officeDocument/2006/relationships/ctrlProp" Target="../ctrlProps/ctrlProp154.xml"/><Relationship Id="rId194" Type="http://schemas.openxmlformats.org/officeDocument/2006/relationships/ctrlProp" Target="../ctrlProps/ctrlProp175.xml"/><Relationship Id="rId199" Type="http://schemas.openxmlformats.org/officeDocument/2006/relationships/ctrlProp" Target="../ctrlProps/ctrlProp180.xml"/><Relationship Id="rId203" Type="http://schemas.openxmlformats.org/officeDocument/2006/relationships/ctrlProp" Target="../ctrlProps/ctrlProp184.xml"/><Relationship Id="rId208" Type="http://schemas.openxmlformats.org/officeDocument/2006/relationships/ctrlProp" Target="../ctrlProps/ctrlProp189.xml"/><Relationship Id="rId229" Type="http://schemas.openxmlformats.org/officeDocument/2006/relationships/ctrlProp" Target="../ctrlProps/ctrlProp210.xml"/><Relationship Id="rId19" Type="http://schemas.openxmlformats.org/officeDocument/2006/relationships/image" Target="../media/image8.emf"/><Relationship Id="rId224" Type="http://schemas.openxmlformats.org/officeDocument/2006/relationships/ctrlProp" Target="../ctrlProps/ctrlProp205.xml"/><Relationship Id="rId240" Type="http://schemas.openxmlformats.org/officeDocument/2006/relationships/ctrlProp" Target="../ctrlProps/ctrlProp221.xml"/><Relationship Id="rId245" Type="http://schemas.openxmlformats.org/officeDocument/2006/relationships/ctrlProp" Target="../ctrlProps/ctrlProp226.xml"/><Relationship Id="rId261" Type="http://schemas.openxmlformats.org/officeDocument/2006/relationships/ctrlProp" Target="../ctrlProps/ctrlProp242.xml"/><Relationship Id="rId266" Type="http://schemas.openxmlformats.org/officeDocument/2006/relationships/ctrlProp" Target="../ctrlProps/ctrlProp247.xml"/><Relationship Id="rId287" Type="http://schemas.openxmlformats.org/officeDocument/2006/relationships/ctrlProp" Target="../ctrlProps/ctrlProp268.xml"/><Relationship Id="rId14" Type="http://schemas.openxmlformats.org/officeDocument/2006/relationships/control" Target="../activeX/activeX6.xml"/><Relationship Id="rId30" Type="http://schemas.openxmlformats.org/officeDocument/2006/relationships/ctrlProp" Target="../ctrlProps/ctrlProp11.xml"/><Relationship Id="rId35" Type="http://schemas.openxmlformats.org/officeDocument/2006/relationships/ctrlProp" Target="../ctrlProps/ctrlProp16.xml"/><Relationship Id="rId56" Type="http://schemas.openxmlformats.org/officeDocument/2006/relationships/ctrlProp" Target="../ctrlProps/ctrlProp37.xml"/><Relationship Id="rId77" Type="http://schemas.openxmlformats.org/officeDocument/2006/relationships/ctrlProp" Target="../ctrlProps/ctrlProp58.xml"/><Relationship Id="rId100" Type="http://schemas.openxmlformats.org/officeDocument/2006/relationships/ctrlProp" Target="../ctrlProps/ctrlProp81.xml"/><Relationship Id="rId105" Type="http://schemas.openxmlformats.org/officeDocument/2006/relationships/ctrlProp" Target="../ctrlProps/ctrlProp86.xml"/><Relationship Id="rId126" Type="http://schemas.openxmlformats.org/officeDocument/2006/relationships/ctrlProp" Target="../ctrlProps/ctrlProp107.xml"/><Relationship Id="rId147" Type="http://schemas.openxmlformats.org/officeDocument/2006/relationships/ctrlProp" Target="../ctrlProps/ctrlProp128.xml"/><Relationship Id="rId168" Type="http://schemas.openxmlformats.org/officeDocument/2006/relationships/ctrlProp" Target="../ctrlProps/ctrlProp149.xml"/><Relationship Id="rId282" Type="http://schemas.openxmlformats.org/officeDocument/2006/relationships/ctrlProp" Target="../ctrlProps/ctrlProp263.xml"/><Relationship Id="rId312" Type="http://schemas.openxmlformats.org/officeDocument/2006/relationships/ctrlProp" Target="../ctrlProps/ctrlProp293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2.xml"/><Relationship Id="rId72" Type="http://schemas.openxmlformats.org/officeDocument/2006/relationships/ctrlProp" Target="../ctrlProps/ctrlProp53.xml"/><Relationship Id="rId93" Type="http://schemas.openxmlformats.org/officeDocument/2006/relationships/ctrlProp" Target="../ctrlProps/ctrlProp74.xml"/><Relationship Id="rId98" Type="http://schemas.openxmlformats.org/officeDocument/2006/relationships/ctrlProp" Target="../ctrlProps/ctrlProp79.xml"/><Relationship Id="rId121" Type="http://schemas.openxmlformats.org/officeDocument/2006/relationships/ctrlProp" Target="../ctrlProps/ctrlProp102.xml"/><Relationship Id="rId142" Type="http://schemas.openxmlformats.org/officeDocument/2006/relationships/ctrlProp" Target="../ctrlProps/ctrlProp123.xml"/><Relationship Id="rId163" Type="http://schemas.openxmlformats.org/officeDocument/2006/relationships/ctrlProp" Target="../ctrlProps/ctrlProp144.xml"/><Relationship Id="rId184" Type="http://schemas.openxmlformats.org/officeDocument/2006/relationships/ctrlProp" Target="../ctrlProps/ctrlProp165.xml"/><Relationship Id="rId189" Type="http://schemas.openxmlformats.org/officeDocument/2006/relationships/ctrlProp" Target="../ctrlProps/ctrlProp170.xml"/><Relationship Id="rId219" Type="http://schemas.openxmlformats.org/officeDocument/2006/relationships/ctrlProp" Target="../ctrlProps/ctrlProp200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195.xml"/><Relationship Id="rId230" Type="http://schemas.openxmlformats.org/officeDocument/2006/relationships/ctrlProp" Target="../ctrlProps/ctrlProp211.xml"/><Relationship Id="rId235" Type="http://schemas.openxmlformats.org/officeDocument/2006/relationships/ctrlProp" Target="../ctrlProps/ctrlProp216.xml"/><Relationship Id="rId251" Type="http://schemas.openxmlformats.org/officeDocument/2006/relationships/ctrlProp" Target="../ctrlProps/ctrlProp232.xml"/><Relationship Id="rId256" Type="http://schemas.openxmlformats.org/officeDocument/2006/relationships/ctrlProp" Target="../ctrlProps/ctrlProp237.xml"/><Relationship Id="rId277" Type="http://schemas.openxmlformats.org/officeDocument/2006/relationships/ctrlProp" Target="../ctrlProps/ctrlProp258.xml"/><Relationship Id="rId298" Type="http://schemas.openxmlformats.org/officeDocument/2006/relationships/ctrlProp" Target="../ctrlProps/ctrlProp279.xml"/><Relationship Id="rId25" Type="http://schemas.openxmlformats.org/officeDocument/2006/relationships/ctrlProp" Target="../ctrlProps/ctrlProp6.xml"/><Relationship Id="rId46" Type="http://schemas.openxmlformats.org/officeDocument/2006/relationships/ctrlProp" Target="../ctrlProps/ctrlProp27.xml"/><Relationship Id="rId67" Type="http://schemas.openxmlformats.org/officeDocument/2006/relationships/ctrlProp" Target="../ctrlProps/ctrlProp48.xml"/><Relationship Id="rId116" Type="http://schemas.openxmlformats.org/officeDocument/2006/relationships/ctrlProp" Target="../ctrlProps/ctrlProp97.xml"/><Relationship Id="rId137" Type="http://schemas.openxmlformats.org/officeDocument/2006/relationships/ctrlProp" Target="../ctrlProps/ctrlProp118.xml"/><Relationship Id="rId158" Type="http://schemas.openxmlformats.org/officeDocument/2006/relationships/ctrlProp" Target="../ctrlProps/ctrlProp139.xml"/><Relationship Id="rId272" Type="http://schemas.openxmlformats.org/officeDocument/2006/relationships/ctrlProp" Target="../ctrlProps/ctrlProp253.xml"/><Relationship Id="rId293" Type="http://schemas.openxmlformats.org/officeDocument/2006/relationships/ctrlProp" Target="../ctrlProps/ctrlProp274.xml"/><Relationship Id="rId302" Type="http://schemas.openxmlformats.org/officeDocument/2006/relationships/ctrlProp" Target="../ctrlProps/ctrlProp283.xml"/><Relationship Id="rId307" Type="http://schemas.openxmlformats.org/officeDocument/2006/relationships/ctrlProp" Target="../ctrlProps/ctrlProp288.xml"/><Relationship Id="rId20" Type="http://schemas.openxmlformats.org/officeDocument/2006/relationships/ctrlProp" Target="../ctrlProps/ctrlProp1.xml"/><Relationship Id="rId41" Type="http://schemas.openxmlformats.org/officeDocument/2006/relationships/ctrlProp" Target="../ctrlProps/ctrlProp22.xml"/><Relationship Id="rId62" Type="http://schemas.openxmlformats.org/officeDocument/2006/relationships/ctrlProp" Target="../ctrlProps/ctrlProp43.xml"/><Relationship Id="rId83" Type="http://schemas.openxmlformats.org/officeDocument/2006/relationships/ctrlProp" Target="../ctrlProps/ctrlProp64.xml"/><Relationship Id="rId88" Type="http://schemas.openxmlformats.org/officeDocument/2006/relationships/ctrlProp" Target="../ctrlProps/ctrlProp69.xml"/><Relationship Id="rId111" Type="http://schemas.openxmlformats.org/officeDocument/2006/relationships/ctrlProp" Target="../ctrlProps/ctrlProp92.xml"/><Relationship Id="rId132" Type="http://schemas.openxmlformats.org/officeDocument/2006/relationships/ctrlProp" Target="../ctrlProps/ctrlProp113.xml"/><Relationship Id="rId153" Type="http://schemas.openxmlformats.org/officeDocument/2006/relationships/ctrlProp" Target="../ctrlProps/ctrlProp134.xml"/><Relationship Id="rId174" Type="http://schemas.openxmlformats.org/officeDocument/2006/relationships/ctrlProp" Target="../ctrlProps/ctrlProp155.xml"/><Relationship Id="rId179" Type="http://schemas.openxmlformats.org/officeDocument/2006/relationships/ctrlProp" Target="../ctrlProps/ctrlProp160.xml"/><Relationship Id="rId195" Type="http://schemas.openxmlformats.org/officeDocument/2006/relationships/ctrlProp" Target="../ctrlProps/ctrlProp176.xml"/><Relationship Id="rId209" Type="http://schemas.openxmlformats.org/officeDocument/2006/relationships/ctrlProp" Target="../ctrlProps/ctrlProp190.xml"/><Relationship Id="rId190" Type="http://schemas.openxmlformats.org/officeDocument/2006/relationships/ctrlProp" Target="../ctrlProps/ctrlProp171.xml"/><Relationship Id="rId204" Type="http://schemas.openxmlformats.org/officeDocument/2006/relationships/ctrlProp" Target="../ctrlProps/ctrlProp185.xml"/><Relationship Id="rId220" Type="http://schemas.openxmlformats.org/officeDocument/2006/relationships/ctrlProp" Target="../ctrlProps/ctrlProp201.xml"/><Relationship Id="rId225" Type="http://schemas.openxmlformats.org/officeDocument/2006/relationships/ctrlProp" Target="../ctrlProps/ctrlProp206.xml"/><Relationship Id="rId241" Type="http://schemas.openxmlformats.org/officeDocument/2006/relationships/ctrlProp" Target="../ctrlProps/ctrlProp222.xml"/><Relationship Id="rId246" Type="http://schemas.openxmlformats.org/officeDocument/2006/relationships/ctrlProp" Target="../ctrlProps/ctrlProp227.xml"/><Relationship Id="rId267" Type="http://schemas.openxmlformats.org/officeDocument/2006/relationships/ctrlProp" Target="../ctrlProps/ctrlProp248.xml"/><Relationship Id="rId288" Type="http://schemas.openxmlformats.org/officeDocument/2006/relationships/ctrlProp" Target="../ctrlProps/ctrlProp269.xml"/><Relationship Id="rId15" Type="http://schemas.openxmlformats.org/officeDocument/2006/relationships/image" Target="../media/image6.emf"/><Relationship Id="rId36" Type="http://schemas.openxmlformats.org/officeDocument/2006/relationships/ctrlProp" Target="../ctrlProps/ctrlProp17.xml"/><Relationship Id="rId57" Type="http://schemas.openxmlformats.org/officeDocument/2006/relationships/ctrlProp" Target="../ctrlProps/ctrlProp38.xml"/><Relationship Id="rId106" Type="http://schemas.openxmlformats.org/officeDocument/2006/relationships/ctrlProp" Target="../ctrlProps/ctrlProp87.xml"/><Relationship Id="rId127" Type="http://schemas.openxmlformats.org/officeDocument/2006/relationships/ctrlProp" Target="../ctrlProps/ctrlProp108.xml"/><Relationship Id="rId262" Type="http://schemas.openxmlformats.org/officeDocument/2006/relationships/ctrlProp" Target="../ctrlProps/ctrlProp243.xml"/><Relationship Id="rId283" Type="http://schemas.openxmlformats.org/officeDocument/2006/relationships/ctrlProp" Target="../ctrlProps/ctrlProp264.xml"/><Relationship Id="rId313" Type="http://schemas.openxmlformats.org/officeDocument/2006/relationships/ctrlProp" Target="../ctrlProps/ctrlProp294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2.xml"/><Relationship Id="rId52" Type="http://schemas.openxmlformats.org/officeDocument/2006/relationships/ctrlProp" Target="../ctrlProps/ctrlProp33.xml"/><Relationship Id="rId73" Type="http://schemas.openxmlformats.org/officeDocument/2006/relationships/ctrlProp" Target="../ctrlProps/ctrlProp54.xml"/><Relationship Id="rId78" Type="http://schemas.openxmlformats.org/officeDocument/2006/relationships/ctrlProp" Target="../ctrlProps/ctrlProp59.xml"/><Relationship Id="rId94" Type="http://schemas.openxmlformats.org/officeDocument/2006/relationships/ctrlProp" Target="../ctrlProps/ctrlProp75.xml"/><Relationship Id="rId99" Type="http://schemas.openxmlformats.org/officeDocument/2006/relationships/ctrlProp" Target="../ctrlProps/ctrlProp80.xml"/><Relationship Id="rId101" Type="http://schemas.openxmlformats.org/officeDocument/2006/relationships/ctrlProp" Target="../ctrlProps/ctrlProp82.xml"/><Relationship Id="rId122" Type="http://schemas.openxmlformats.org/officeDocument/2006/relationships/ctrlProp" Target="../ctrlProps/ctrlProp103.xml"/><Relationship Id="rId143" Type="http://schemas.openxmlformats.org/officeDocument/2006/relationships/ctrlProp" Target="../ctrlProps/ctrlProp124.xml"/><Relationship Id="rId148" Type="http://schemas.openxmlformats.org/officeDocument/2006/relationships/ctrlProp" Target="../ctrlProps/ctrlProp129.xml"/><Relationship Id="rId164" Type="http://schemas.openxmlformats.org/officeDocument/2006/relationships/ctrlProp" Target="../ctrlProps/ctrlProp145.xml"/><Relationship Id="rId169" Type="http://schemas.openxmlformats.org/officeDocument/2006/relationships/ctrlProp" Target="../ctrlProps/ctrlProp150.xml"/><Relationship Id="rId185" Type="http://schemas.openxmlformats.org/officeDocument/2006/relationships/ctrlProp" Target="../ctrlProps/ctrlProp16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trlProp" Target="../ctrlProps/ctrlProp161.xml"/><Relationship Id="rId210" Type="http://schemas.openxmlformats.org/officeDocument/2006/relationships/ctrlProp" Target="../ctrlProps/ctrlProp191.xml"/><Relationship Id="rId215" Type="http://schemas.openxmlformats.org/officeDocument/2006/relationships/ctrlProp" Target="../ctrlProps/ctrlProp196.xml"/><Relationship Id="rId236" Type="http://schemas.openxmlformats.org/officeDocument/2006/relationships/ctrlProp" Target="../ctrlProps/ctrlProp217.xml"/><Relationship Id="rId257" Type="http://schemas.openxmlformats.org/officeDocument/2006/relationships/ctrlProp" Target="../ctrlProps/ctrlProp238.xml"/><Relationship Id="rId278" Type="http://schemas.openxmlformats.org/officeDocument/2006/relationships/ctrlProp" Target="../ctrlProps/ctrlProp259.xml"/><Relationship Id="rId26" Type="http://schemas.openxmlformats.org/officeDocument/2006/relationships/ctrlProp" Target="../ctrlProps/ctrlProp7.xml"/><Relationship Id="rId231" Type="http://schemas.openxmlformats.org/officeDocument/2006/relationships/ctrlProp" Target="../ctrlProps/ctrlProp212.xml"/><Relationship Id="rId252" Type="http://schemas.openxmlformats.org/officeDocument/2006/relationships/ctrlProp" Target="../ctrlProps/ctrlProp233.xml"/><Relationship Id="rId273" Type="http://schemas.openxmlformats.org/officeDocument/2006/relationships/ctrlProp" Target="../ctrlProps/ctrlProp254.xml"/><Relationship Id="rId294" Type="http://schemas.openxmlformats.org/officeDocument/2006/relationships/ctrlProp" Target="../ctrlProps/ctrlProp275.xml"/><Relationship Id="rId308" Type="http://schemas.openxmlformats.org/officeDocument/2006/relationships/ctrlProp" Target="../ctrlProps/ctrlProp289.xml"/><Relationship Id="rId47" Type="http://schemas.openxmlformats.org/officeDocument/2006/relationships/ctrlProp" Target="../ctrlProps/ctrlProp28.xml"/><Relationship Id="rId68" Type="http://schemas.openxmlformats.org/officeDocument/2006/relationships/ctrlProp" Target="../ctrlProps/ctrlProp49.xml"/><Relationship Id="rId89" Type="http://schemas.openxmlformats.org/officeDocument/2006/relationships/ctrlProp" Target="../ctrlProps/ctrlProp70.xml"/><Relationship Id="rId112" Type="http://schemas.openxmlformats.org/officeDocument/2006/relationships/ctrlProp" Target="../ctrlProps/ctrlProp93.xml"/><Relationship Id="rId133" Type="http://schemas.openxmlformats.org/officeDocument/2006/relationships/ctrlProp" Target="../ctrlProps/ctrlProp114.xml"/><Relationship Id="rId154" Type="http://schemas.openxmlformats.org/officeDocument/2006/relationships/ctrlProp" Target="../ctrlProps/ctrlProp135.xml"/><Relationship Id="rId175" Type="http://schemas.openxmlformats.org/officeDocument/2006/relationships/ctrlProp" Target="../ctrlProps/ctrlProp156.xml"/><Relationship Id="rId196" Type="http://schemas.openxmlformats.org/officeDocument/2006/relationships/ctrlProp" Target="../ctrlProps/ctrlProp177.xml"/><Relationship Id="rId200" Type="http://schemas.openxmlformats.org/officeDocument/2006/relationships/ctrlProp" Target="../ctrlProps/ctrlProp181.xml"/><Relationship Id="rId16" Type="http://schemas.openxmlformats.org/officeDocument/2006/relationships/control" Target="../activeX/activeX7.xml"/><Relationship Id="rId221" Type="http://schemas.openxmlformats.org/officeDocument/2006/relationships/ctrlProp" Target="../ctrlProps/ctrlProp202.xml"/><Relationship Id="rId242" Type="http://schemas.openxmlformats.org/officeDocument/2006/relationships/ctrlProp" Target="../ctrlProps/ctrlProp223.xml"/><Relationship Id="rId263" Type="http://schemas.openxmlformats.org/officeDocument/2006/relationships/ctrlProp" Target="../ctrlProps/ctrlProp244.xml"/><Relationship Id="rId284" Type="http://schemas.openxmlformats.org/officeDocument/2006/relationships/ctrlProp" Target="../ctrlProps/ctrlProp265.xml"/><Relationship Id="rId37" Type="http://schemas.openxmlformats.org/officeDocument/2006/relationships/ctrlProp" Target="../ctrlProps/ctrlProp18.xml"/><Relationship Id="rId58" Type="http://schemas.openxmlformats.org/officeDocument/2006/relationships/ctrlProp" Target="../ctrlProps/ctrlProp39.xml"/><Relationship Id="rId79" Type="http://schemas.openxmlformats.org/officeDocument/2006/relationships/ctrlProp" Target="../ctrlProps/ctrlProp60.xml"/><Relationship Id="rId102" Type="http://schemas.openxmlformats.org/officeDocument/2006/relationships/ctrlProp" Target="../ctrlProps/ctrlProp83.xml"/><Relationship Id="rId123" Type="http://schemas.openxmlformats.org/officeDocument/2006/relationships/ctrlProp" Target="../ctrlProps/ctrlProp104.xml"/><Relationship Id="rId144" Type="http://schemas.openxmlformats.org/officeDocument/2006/relationships/ctrlProp" Target="../ctrlProps/ctrlProp125.xml"/><Relationship Id="rId90" Type="http://schemas.openxmlformats.org/officeDocument/2006/relationships/ctrlProp" Target="../ctrlProps/ctrlProp71.xml"/><Relationship Id="rId165" Type="http://schemas.openxmlformats.org/officeDocument/2006/relationships/ctrlProp" Target="../ctrlProps/ctrlProp146.xml"/><Relationship Id="rId186" Type="http://schemas.openxmlformats.org/officeDocument/2006/relationships/ctrlProp" Target="../ctrlProps/ctrlProp167.xml"/><Relationship Id="rId211" Type="http://schemas.openxmlformats.org/officeDocument/2006/relationships/ctrlProp" Target="../ctrlProps/ctrlProp192.xml"/><Relationship Id="rId232" Type="http://schemas.openxmlformats.org/officeDocument/2006/relationships/ctrlProp" Target="../ctrlProps/ctrlProp213.xml"/><Relationship Id="rId253" Type="http://schemas.openxmlformats.org/officeDocument/2006/relationships/ctrlProp" Target="../ctrlProps/ctrlProp234.xml"/><Relationship Id="rId274" Type="http://schemas.openxmlformats.org/officeDocument/2006/relationships/ctrlProp" Target="../ctrlProps/ctrlProp255.xml"/><Relationship Id="rId295" Type="http://schemas.openxmlformats.org/officeDocument/2006/relationships/ctrlProp" Target="../ctrlProps/ctrlProp276.xml"/><Relationship Id="rId309" Type="http://schemas.openxmlformats.org/officeDocument/2006/relationships/ctrlProp" Target="../ctrlProps/ctrlProp290.xml"/><Relationship Id="rId27" Type="http://schemas.openxmlformats.org/officeDocument/2006/relationships/ctrlProp" Target="../ctrlProps/ctrlProp8.xml"/><Relationship Id="rId48" Type="http://schemas.openxmlformats.org/officeDocument/2006/relationships/ctrlProp" Target="../ctrlProps/ctrlProp29.xml"/><Relationship Id="rId69" Type="http://schemas.openxmlformats.org/officeDocument/2006/relationships/ctrlProp" Target="../ctrlProps/ctrlProp50.xml"/><Relationship Id="rId113" Type="http://schemas.openxmlformats.org/officeDocument/2006/relationships/ctrlProp" Target="../ctrlProps/ctrlProp94.xml"/><Relationship Id="rId134" Type="http://schemas.openxmlformats.org/officeDocument/2006/relationships/ctrlProp" Target="../ctrlProps/ctrlProp115.xml"/><Relationship Id="rId80" Type="http://schemas.openxmlformats.org/officeDocument/2006/relationships/ctrlProp" Target="../ctrlProps/ctrlProp61.xml"/><Relationship Id="rId155" Type="http://schemas.openxmlformats.org/officeDocument/2006/relationships/ctrlProp" Target="../ctrlProps/ctrlProp136.xml"/><Relationship Id="rId176" Type="http://schemas.openxmlformats.org/officeDocument/2006/relationships/ctrlProp" Target="../ctrlProps/ctrlProp157.xml"/><Relationship Id="rId197" Type="http://schemas.openxmlformats.org/officeDocument/2006/relationships/ctrlProp" Target="../ctrlProps/ctrlProp178.xml"/><Relationship Id="rId201" Type="http://schemas.openxmlformats.org/officeDocument/2006/relationships/ctrlProp" Target="../ctrlProps/ctrlProp182.xml"/><Relationship Id="rId222" Type="http://schemas.openxmlformats.org/officeDocument/2006/relationships/ctrlProp" Target="../ctrlProps/ctrlProp203.xml"/><Relationship Id="rId243" Type="http://schemas.openxmlformats.org/officeDocument/2006/relationships/ctrlProp" Target="../ctrlProps/ctrlProp224.xml"/><Relationship Id="rId264" Type="http://schemas.openxmlformats.org/officeDocument/2006/relationships/ctrlProp" Target="../ctrlProps/ctrlProp245.xml"/><Relationship Id="rId285" Type="http://schemas.openxmlformats.org/officeDocument/2006/relationships/ctrlProp" Target="../ctrlProps/ctrlProp266.xml"/><Relationship Id="rId17" Type="http://schemas.openxmlformats.org/officeDocument/2006/relationships/image" Target="../media/image7.emf"/><Relationship Id="rId38" Type="http://schemas.openxmlformats.org/officeDocument/2006/relationships/ctrlProp" Target="../ctrlProps/ctrlProp19.xml"/><Relationship Id="rId59" Type="http://schemas.openxmlformats.org/officeDocument/2006/relationships/ctrlProp" Target="../ctrlProps/ctrlProp40.xml"/><Relationship Id="rId103" Type="http://schemas.openxmlformats.org/officeDocument/2006/relationships/ctrlProp" Target="../ctrlProps/ctrlProp84.xml"/><Relationship Id="rId124" Type="http://schemas.openxmlformats.org/officeDocument/2006/relationships/ctrlProp" Target="../ctrlProps/ctrlProp105.xml"/><Relationship Id="rId310" Type="http://schemas.openxmlformats.org/officeDocument/2006/relationships/ctrlProp" Target="../ctrlProps/ctrlProp291.xml"/><Relationship Id="rId70" Type="http://schemas.openxmlformats.org/officeDocument/2006/relationships/ctrlProp" Target="../ctrlProps/ctrlProp51.xml"/><Relationship Id="rId91" Type="http://schemas.openxmlformats.org/officeDocument/2006/relationships/ctrlProp" Target="../ctrlProps/ctrlProp72.xml"/><Relationship Id="rId145" Type="http://schemas.openxmlformats.org/officeDocument/2006/relationships/ctrlProp" Target="../ctrlProps/ctrlProp126.xml"/><Relationship Id="rId166" Type="http://schemas.openxmlformats.org/officeDocument/2006/relationships/ctrlProp" Target="../ctrlProps/ctrlProp147.xml"/><Relationship Id="rId187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193.xml"/><Relationship Id="rId233" Type="http://schemas.openxmlformats.org/officeDocument/2006/relationships/ctrlProp" Target="../ctrlProps/ctrlProp214.xml"/><Relationship Id="rId254" Type="http://schemas.openxmlformats.org/officeDocument/2006/relationships/ctrlProp" Target="../ctrlProps/ctrlProp235.xml"/><Relationship Id="rId28" Type="http://schemas.openxmlformats.org/officeDocument/2006/relationships/ctrlProp" Target="../ctrlProps/ctrlProp9.xml"/><Relationship Id="rId49" Type="http://schemas.openxmlformats.org/officeDocument/2006/relationships/ctrlProp" Target="../ctrlProps/ctrlProp30.xml"/><Relationship Id="rId114" Type="http://schemas.openxmlformats.org/officeDocument/2006/relationships/ctrlProp" Target="../ctrlProps/ctrlProp95.xml"/><Relationship Id="rId275" Type="http://schemas.openxmlformats.org/officeDocument/2006/relationships/ctrlProp" Target="../ctrlProps/ctrlProp256.xml"/><Relationship Id="rId296" Type="http://schemas.openxmlformats.org/officeDocument/2006/relationships/ctrlProp" Target="../ctrlProps/ctrlProp277.xml"/><Relationship Id="rId300" Type="http://schemas.openxmlformats.org/officeDocument/2006/relationships/ctrlProp" Target="../ctrlProps/ctrlProp281.xml"/><Relationship Id="rId60" Type="http://schemas.openxmlformats.org/officeDocument/2006/relationships/ctrlProp" Target="../ctrlProps/ctrlProp41.xml"/><Relationship Id="rId81" Type="http://schemas.openxmlformats.org/officeDocument/2006/relationships/ctrlProp" Target="../ctrlProps/ctrlProp62.xml"/><Relationship Id="rId135" Type="http://schemas.openxmlformats.org/officeDocument/2006/relationships/ctrlProp" Target="../ctrlProps/ctrlProp116.xml"/><Relationship Id="rId156" Type="http://schemas.openxmlformats.org/officeDocument/2006/relationships/ctrlProp" Target="../ctrlProps/ctrlProp137.xml"/><Relationship Id="rId177" Type="http://schemas.openxmlformats.org/officeDocument/2006/relationships/ctrlProp" Target="../ctrlProps/ctrlProp158.xml"/><Relationship Id="rId198" Type="http://schemas.openxmlformats.org/officeDocument/2006/relationships/ctrlProp" Target="../ctrlProps/ctrlProp179.xml"/><Relationship Id="rId202" Type="http://schemas.openxmlformats.org/officeDocument/2006/relationships/ctrlProp" Target="../ctrlProps/ctrlProp183.xml"/><Relationship Id="rId223" Type="http://schemas.openxmlformats.org/officeDocument/2006/relationships/ctrlProp" Target="../ctrlProps/ctrlProp204.xml"/><Relationship Id="rId244" Type="http://schemas.openxmlformats.org/officeDocument/2006/relationships/ctrlProp" Target="../ctrlProps/ctrlProp225.xml"/><Relationship Id="rId18" Type="http://schemas.openxmlformats.org/officeDocument/2006/relationships/control" Target="../activeX/activeX8.xml"/><Relationship Id="rId39" Type="http://schemas.openxmlformats.org/officeDocument/2006/relationships/ctrlProp" Target="../ctrlProps/ctrlProp20.xml"/><Relationship Id="rId265" Type="http://schemas.openxmlformats.org/officeDocument/2006/relationships/ctrlProp" Target="../ctrlProps/ctrlProp246.xml"/><Relationship Id="rId286" Type="http://schemas.openxmlformats.org/officeDocument/2006/relationships/ctrlProp" Target="../ctrlProps/ctrlProp267.xml"/><Relationship Id="rId50" Type="http://schemas.openxmlformats.org/officeDocument/2006/relationships/ctrlProp" Target="../ctrlProps/ctrlProp31.xml"/><Relationship Id="rId104" Type="http://schemas.openxmlformats.org/officeDocument/2006/relationships/ctrlProp" Target="../ctrlProps/ctrlProp85.xml"/><Relationship Id="rId125" Type="http://schemas.openxmlformats.org/officeDocument/2006/relationships/ctrlProp" Target="../ctrlProps/ctrlProp106.xml"/><Relationship Id="rId146" Type="http://schemas.openxmlformats.org/officeDocument/2006/relationships/ctrlProp" Target="../ctrlProps/ctrlProp127.xml"/><Relationship Id="rId167" Type="http://schemas.openxmlformats.org/officeDocument/2006/relationships/ctrlProp" Target="../ctrlProps/ctrlProp148.xml"/><Relationship Id="rId188" Type="http://schemas.openxmlformats.org/officeDocument/2006/relationships/ctrlProp" Target="../ctrlProps/ctrlProp169.xml"/><Relationship Id="rId311" Type="http://schemas.openxmlformats.org/officeDocument/2006/relationships/ctrlProp" Target="../ctrlProps/ctrlProp292.xml"/><Relationship Id="rId71" Type="http://schemas.openxmlformats.org/officeDocument/2006/relationships/ctrlProp" Target="../ctrlProps/ctrlProp52.xml"/><Relationship Id="rId92" Type="http://schemas.openxmlformats.org/officeDocument/2006/relationships/ctrlProp" Target="../ctrlProps/ctrlProp73.xml"/><Relationship Id="rId213" Type="http://schemas.openxmlformats.org/officeDocument/2006/relationships/ctrlProp" Target="../ctrlProps/ctrlProp194.xml"/><Relationship Id="rId234" Type="http://schemas.openxmlformats.org/officeDocument/2006/relationships/ctrlProp" Target="../ctrlProps/ctrlProp215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10.xml"/><Relationship Id="rId255" Type="http://schemas.openxmlformats.org/officeDocument/2006/relationships/ctrlProp" Target="../ctrlProps/ctrlProp236.xml"/><Relationship Id="rId276" Type="http://schemas.openxmlformats.org/officeDocument/2006/relationships/ctrlProp" Target="../ctrlProps/ctrlProp257.xml"/><Relationship Id="rId297" Type="http://schemas.openxmlformats.org/officeDocument/2006/relationships/ctrlProp" Target="../ctrlProps/ctrlProp278.xml"/><Relationship Id="rId40" Type="http://schemas.openxmlformats.org/officeDocument/2006/relationships/ctrlProp" Target="../ctrlProps/ctrlProp21.xml"/><Relationship Id="rId115" Type="http://schemas.openxmlformats.org/officeDocument/2006/relationships/ctrlProp" Target="../ctrlProps/ctrlProp96.xml"/><Relationship Id="rId136" Type="http://schemas.openxmlformats.org/officeDocument/2006/relationships/ctrlProp" Target="../ctrlProps/ctrlProp117.xml"/><Relationship Id="rId157" Type="http://schemas.openxmlformats.org/officeDocument/2006/relationships/ctrlProp" Target="../ctrlProps/ctrlProp138.xml"/><Relationship Id="rId178" Type="http://schemas.openxmlformats.org/officeDocument/2006/relationships/ctrlProp" Target="../ctrlProps/ctrlProp159.xml"/><Relationship Id="rId301" Type="http://schemas.openxmlformats.org/officeDocument/2006/relationships/ctrlProp" Target="../ctrlProps/ctrlProp28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95.xml"/><Relationship Id="rId5" Type="http://schemas.openxmlformats.org/officeDocument/2006/relationships/image" Target="../media/image9.w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9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0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9.xml"/><Relationship Id="rId5" Type="http://schemas.openxmlformats.org/officeDocument/2006/relationships/ctrlProp" Target="../ctrlProps/ctrlProp298.xml"/><Relationship Id="rId4" Type="http://schemas.openxmlformats.org/officeDocument/2006/relationships/ctrlProp" Target="../ctrlProps/ctrlProp29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/>
  <dimension ref="A1:BB335"/>
  <sheetViews>
    <sheetView showGridLines="0" zoomScale="55" zoomScaleNormal="55" workbookViewId="0">
      <selection activeCell="M6" sqref="M6"/>
    </sheetView>
  </sheetViews>
  <sheetFormatPr baseColWidth="10" defaultColWidth="11.42578125" defaultRowHeight="34.5" x14ac:dyDescent="0.35"/>
  <cols>
    <col min="1" max="1" width="23.140625" style="541" customWidth="1"/>
    <col min="2" max="2" width="56.7109375" style="453" bestFit="1" customWidth="1"/>
    <col min="3" max="3" width="41" style="497" bestFit="1" customWidth="1"/>
    <col min="4" max="4" width="11.7109375" style="130" customWidth="1"/>
    <col min="5" max="5" width="63.85546875" style="683" customWidth="1"/>
    <col min="6" max="6" width="11.7109375" style="130" customWidth="1"/>
    <col min="7" max="7" width="46.7109375" style="497" customWidth="1"/>
    <col min="8" max="8" width="47.28515625" style="130" customWidth="1"/>
    <col min="9" max="9" width="13" style="130" customWidth="1"/>
    <col min="10" max="10" width="8.140625" style="130" customWidth="1"/>
    <col min="11" max="11" width="40.140625" style="130" customWidth="1"/>
    <col min="12" max="12" width="9.28515625" style="130" customWidth="1"/>
    <col min="13" max="13" width="14.85546875" style="130" customWidth="1"/>
    <col min="14" max="16" width="11.42578125" style="130"/>
    <col min="17" max="17" width="61.7109375" style="191" customWidth="1"/>
    <col min="18" max="18" width="11.42578125" style="198"/>
    <col min="19" max="19" width="9.28515625" style="130" customWidth="1"/>
    <col min="20" max="20" width="11.42578125" style="204"/>
    <col min="21" max="21" width="11.42578125" style="130"/>
    <col min="22" max="25" width="11.42578125" style="206"/>
    <col min="26" max="16384" width="11.42578125" style="130"/>
  </cols>
  <sheetData>
    <row r="1" spans="1:25" ht="80.099999999999994" customHeight="1" thickBot="1" x14ac:dyDescent="0.45">
      <c r="A1" s="540" t="s">
        <v>144</v>
      </c>
      <c r="B1" s="414" t="s">
        <v>145</v>
      </c>
      <c r="C1" s="414" t="s">
        <v>146</v>
      </c>
      <c r="D1" s="129" t="s">
        <v>147</v>
      </c>
      <c r="E1" s="613" t="s">
        <v>148</v>
      </c>
      <c r="F1" s="129"/>
      <c r="G1" s="500" t="s">
        <v>149</v>
      </c>
      <c r="H1" s="186" t="s">
        <v>150</v>
      </c>
      <c r="K1" s="131"/>
      <c r="M1" s="362"/>
    </row>
    <row r="2" spans="1:25" ht="80.099999999999994" customHeight="1" x14ac:dyDescent="0.35">
      <c r="A2" s="885" t="s">
        <v>151</v>
      </c>
      <c r="B2" s="415" t="s">
        <v>420</v>
      </c>
      <c r="C2" s="456" t="s">
        <v>371</v>
      </c>
      <c r="D2" s="132">
        <v>0</v>
      </c>
      <c r="E2" s="614"/>
      <c r="F2" s="132">
        <v>0</v>
      </c>
      <c r="G2" s="503" t="s">
        <v>373</v>
      </c>
      <c r="H2" s="185"/>
      <c r="O2" s="135"/>
      <c r="P2" s="135"/>
    </row>
    <row r="3" spans="1:25" ht="80.099999999999994" customHeight="1" thickBot="1" x14ac:dyDescent="0.4">
      <c r="A3" s="886"/>
      <c r="B3" s="539" t="s">
        <v>153</v>
      </c>
      <c r="C3" s="538"/>
      <c r="D3" s="136">
        <v>0</v>
      </c>
      <c r="E3" s="614"/>
      <c r="F3" s="136">
        <v>0</v>
      </c>
      <c r="G3" s="504"/>
      <c r="H3" s="134" t="s">
        <v>1072</v>
      </c>
      <c r="O3" s="135"/>
      <c r="P3" s="135"/>
      <c r="Q3" s="203"/>
    </row>
    <row r="4" spans="1:25" ht="80.099999999999994" customHeight="1" thickBot="1" x14ac:dyDescent="0.4">
      <c r="A4" s="886"/>
      <c r="B4" s="416" t="s">
        <v>370</v>
      </c>
      <c r="C4" s="457" t="s">
        <v>372</v>
      </c>
      <c r="D4" s="180">
        <v>0</v>
      </c>
      <c r="E4" s="615" t="str">
        <f ca="1">TEXT(E11,"JJJJMMTT") &amp; "_" &amp; E3 &amp; "_" &amp; E2 &amp; ".docx"</f>
        <v>20200706__.docx</v>
      </c>
      <c r="F4" s="180">
        <v>0</v>
      </c>
      <c r="G4" s="505"/>
      <c r="H4" s="134"/>
      <c r="O4" s="135"/>
      <c r="P4" s="135"/>
      <c r="Q4" s="203"/>
    </row>
    <row r="5" spans="1:25" ht="68.25" customHeight="1" x14ac:dyDescent="0.35">
      <c r="A5" s="886"/>
      <c r="B5" s="416" t="s">
        <v>720</v>
      </c>
      <c r="C5" s="457"/>
      <c r="D5" s="136">
        <v>0</v>
      </c>
      <c r="E5" s="614"/>
      <c r="F5" s="136">
        <v>0</v>
      </c>
      <c r="G5" s="505"/>
      <c r="H5" s="134"/>
      <c r="Q5" s="203" t="s">
        <v>718</v>
      </c>
    </row>
    <row r="6" spans="1:25" ht="80.099999999999994" customHeight="1" x14ac:dyDescent="0.35">
      <c r="A6" s="886"/>
      <c r="B6" s="416" t="s">
        <v>721</v>
      </c>
      <c r="C6" s="457"/>
      <c r="D6" s="136"/>
      <c r="E6" s="612"/>
      <c r="F6" s="136"/>
      <c r="G6" s="506"/>
      <c r="H6" s="164"/>
    </row>
    <row r="7" spans="1:25" ht="80.099999999999994" customHeight="1" x14ac:dyDescent="0.35">
      <c r="A7" s="886"/>
      <c r="B7" s="416"/>
      <c r="C7" s="457"/>
      <c r="D7" s="136"/>
      <c r="E7" s="616"/>
      <c r="F7" s="136"/>
      <c r="G7" s="506"/>
      <c r="H7" s="164"/>
      <c r="Q7" s="130"/>
    </row>
    <row r="8" spans="1:25" ht="80.099999999999994" customHeight="1" thickBot="1" x14ac:dyDescent="0.4">
      <c r="A8" s="887"/>
      <c r="B8" s="417"/>
      <c r="C8" s="458"/>
      <c r="D8" s="187"/>
      <c r="E8" s="616"/>
      <c r="F8" s="402"/>
      <c r="G8" s="611" t="s">
        <v>888</v>
      </c>
      <c r="H8" s="137"/>
      <c r="K8" s="611" t="s">
        <v>887</v>
      </c>
      <c r="Q8" s="130"/>
    </row>
    <row r="9" spans="1:25" ht="80.099999999999994" customHeight="1" x14ac:dyDescent="0.35">
      <c r="A9" s="899" t="s">
        <v>152</v>
      </c>
      <c r="B9" s="418" t="s">
        <v>153</v>
      </c>
      <c r="C9" s="459"/>
      <c r="D9" s="139">
        <v>0</v>
      </c>
      <c r="E9" s="617"/>
      <c r="F9" s="139">
        <v>0</v>
      </c>
      <c r="G9" s="508" t="s">
        <v>154</v>
      </c>
      <c r="H9" s="138"/>
      <c r="K9" s="508" t="s">
        <v>154</v>
      </c>
      <c r="Q9" s="354"/>
      <c r="R9" s="379" t="s">
        <v>467</v>
      </c>
      <c r="T9" s="204" t="b">
        <v>0</v>
      </c>
      <c r="Y9" s="206">
        <f>E3</f>
        <v>0</v>
      </c>
    </row>
    <row r="10" spans="1:25" ht="80.099999999999994" customHeight="1" thickBot="1" x14ac:dyDescent="0.4">
      <c r="A10" s="900"/>
      <c r="B10" s="419" t="s">
        <v>155</v>
      </c>
      <c r="C10" s="460"/>
      <c r="D10" s="139">
        <v>0</v>
      </c>
      <c r="E10" s="618"/>
      <c r="F10" s="139">
        <v>0</v>
      </c>
      <c r="G10" s="509" t="s">
        <v>155</v>
      </c>
      <c r="H10" s="140"/>
      <c r="K10" s="509" t="s">
        <v>155</v>
      </c>
      <c r="Q10" s="196" t="s">
        <v>719</v>
      </c>
      <c r="R10" s="380" t="s">
        <v>465</v>
      </c>
      <c r="T10" s="204" t="b">
        <v>0</v>
      </c>
      <c r="Y10" s="206">
        <f>E2</f>
        <v>0</v>
      </c>
    </row>
    <row r="11" spans="1:25" ht="80.099999999999994" customHeight="1" thickBot="1" x14ac:dyDescent="0.4">
      <c r="A11" s="900"/>
      <c r="B11" s="419" t="s">
        <v>135</v>
      </c>
      <c r="C11" s="460"/>
      <c r="D11" s="179">
        <v>0</v>
      </c>
      <c r="E11" s="619">
        <f ca="1">TODAY()</f>
        <v>44018</v>
      </c>
      <c r="F11" s="179">
        <v>0</v>
      </c>
      <c r="G11" s="509" t="s">
        <v>387</v>
      </c>
      <c r="H11" s="141"/>
      <c r="K11" s="509" t="s">
        <v>387</v>
      </c>
      <c r="Q11" s="196"/>
      <c r="R11" s="380" t="s">
        <v>465</v>
      </c>
      <c r="T11" s="204" t="b">
        <v>0</v>
      </c>
      <c r="V11" s="207">
        <f ca="1">TODAY()</f>
        <v>44018</v>
      </c>
      <c r="Y11" s="207">
        <f ca="1">TODAY()</f>
        <v>44018</v>
      </c>
    </row>
    <row r="12" spans="1:25" ht="80.099999999999994" customHeight="1" x14ac:dyDescent="0.35">
      <c r="A12" s="900"/>
      <c r="B12" s="419" t="s">
        <v>156</v>
      </c>
      <c r="C12" s="460" t="s">
        <v>157</v>
      </c>
      <c r="D12" s="139">
        <v>0</v>
      </c>
      <c r="E12" s="809"/>
      <c r="F12" s="139">
        <v>0</v>
      </c>
      <c r="G12" s="510" t="s">
        <v>158</v>
      </c>
      <c r="H12" s="884" t="s">
        <v>159</v>
      </c>
      <c r="K12" s="509" t="s">
        <v>165</v>
      </c>
      <c r="Q12" s="211"/>
      <c r="R12" s="381" t="s">
        <v>467</v>
      </c>
      <c r="T12" s="204" t="b">
        <v>0</v>
      </c>
    </row>
    <row r="13" spans="1:25" ht="80.099999999999994" customHeight="1" x14ac:dyDescent="0.35">
      <c r="A13" s="900"/>
      <c r="B13" s="419"/>
      <c r="C13" s="460" t="s">
        <v>164</v>
      </c>
      <c r="D13" s="139">
        <v>0</v>
      </c>
      <c r="E13" s="809"/>
      <c r="F13" s="139">
        <v>0</v>
      </c>
      <c r="G13" s="510" t="s">
        <v>165</v>
      </c>
      <c r="H13" s="884"/>
      <c r="K13" s="509" t="s">
        <v>158</v>
      </c>
      <c r="Q13" s="196" t="s">
        <v>692</v>
      </c>
      <c r="R13" s="380" t="s">
        <v>465</v>
      </c>
      <c r="T13" s="204" t="b">
        <v>0</v>
      </c>
    </row>
    <row r="14" spans="1:25" ht="80.099999999999994" customHeight="1" x14ac:dyDescent="0.35">
      <c r="A14" s="900"/>
      <c r="B14" s="419"/>
      <c r="C14" s="460" t="s">
        <v>160</v>
      </c>
      <c r="D14" s="139">
        <v>0</v>
      </c>
      <c r="E14" s="621"/>
      <c r="F14" s="139">
        <v>0</v>
      </c>
      <c r="G14" s="510" t="s">
        <v>161</v>
      </c>
      <c r="H14" s="884"/>
      <c r="K14" s="509" t="s">
        <v>161</v>
      </c>
      <c r="Q14" s="211"/>
      <c r="R14" s="381" t="s">
        <v>467</v>
      </c>
      <c r="T14" s="204" t="b">
        <v>0</v>
      </c>
    </row>
    <row r="15" spans="1:25" ht="80.099999999999994" customHeight="1" x14ac:dyDescent="0.35">
      <c r="A15" s="900"/>
      <c r="B15" s="419"/>
      <c r="C15" s="460" t="s">
        <v>162</v>
      </c>
      <c r="D15" s="139">
        <v>0</v>
      </c>
      <c r="E15" s="809"/>
      <c r="F15" s="139">
        <v>0</v>
      </c>
      <c r="G15" s="510" t="s">
        <v>163</v>
      </c>
      <c r="H15" s="884"/>
      <c r="K15" s="509" t="s">
        <v>163</v>
      </c>
      <c r="Q15" s="211"/>
      <c r="R15" s="381" t="s">
        <v>467</v>
      </c>
      <c r="T15" s="204" t="b">
        <v>0</v>
      </c>
    </row>
    <row r="16" spans="1:25" ht="80.099999999999994" customHeight="1" x14ac:dyDescent="0.35">
      <c r="A16" s="900"/>
      <c r="B16" s="419"/>
      <c r="C16" s="460" t="s">
        <v>166</v>
      </c>
      <c r="D16" s="139">
        <v>0</v>
      </c>
      <c r="E16" s="621"/>
      <c r="F16" s="139">
        <v>0</v>
      </c>
      <c r="G16" s="510" t="s">
        <v>167</v>
      </c>
      <c r="H16" s="884"/>
      <c r="K16" s="509" t="s">
        <v>167</v>
      </c>
      <c r="Q16" s="211"/>
      <c r="R16" s="381" t="s">
        <v>467</v>
      </c>
      <c r="T16" s="204" t="b">
        <v>0</v>
      </c>
    </row>
    <row r="17" spans="1:20" ht="80.099999999999994" customHeight="1" x14ac:dyDescent="0.35">
      <c r="A17" s="900"/>
      <c r="B17" s="420"/>
      <c r="C17" s="461" t="s">
        <v>168</v>
      </c>
      <c r="D17" s="142">
        <v>0</v>
      </c>
      <c r="E17" s="812"/>
      <c r="F17" s="142">
        <v>0</v>
      </c>
      <c r="G17" s="510" t="s">
        <v>386</v>
      </c>
      <c r="H17" s="884"/>
      <c r="K17" s="509" t="s">
        <v>386</v>
      </c>
      <c r="Q17" s="211"/>
      <c r="R17" s="381" t="s">
        <v>467</v>
      </c>
      <c r="T17" s="204" t="b">
        <v>0</v>
      </c>
    </row>
    <row r="18" spans="1:20" ht="80.099999999999994" customHeight="1" thickBot="1" x14ac:dyDescent="0.4">
      <c r="A18" s="901"/>
      <c r="B18" s="421" t="s">
        <v>169</v>
      </c>
      <c r="C18" s="462"/>
      <c r="D18" s="143"/>
      <c r="E18" s="857"/>
      <c r="F18" s="143"/>
      <c r="G18" s="511" t="s">
        <v>170</v>
      </c>
      <c r="H18" s="384"/>
      <c r="I18" s="385"/>
      <c r="K18" s="511" t="s">
        <v>170</v>
      </c>
      <c r="Q18" s="350"/>
      <c r="R18" s="382" t="s">
        <v>467</v>
      </c>
      <c r="T18" s="204" t="b">
        <v>0</v>
      </c>
    </row>
    <row r="19" spans="1:20" ht="80.099999999999994" customHeight="1" x14ac:dyDescent="0.35">
      <c r="A19" s="927" t="s">
        <v>537</v>
      </c>
      <c r="B19" s="419" t="s">
        <v>730</v>
      </c>
      <c r="C19" s="419" t="s">
        <v>157</v>
      </c>
      <c r="D19" s="139">
        <v>0</v>
      </c>
      <c r="E19" s="614"/>
      <c r="F19" s="139">
        <v>0</v>
      </c>
      <c r="G19" s="548" t="s">
        <v>731</v>
      </c>
      <c r="H19" s="549"/>
      <c r="I19" s="412"/>
      <c r="K19" s="548" t="s">
        <v>731</v>
      </c>
      <c r="Q19" s="350"/>
      <c r="R19" s="382"/>
    </row>
    <row r="20" spans="1:20" ht="80.099999999999994" customHeight="1" x14ac:dyDescent="0.35">
      <c r="A20" s="925"/>
      <c r="B20" s="418" t="s">
        <v>527</v>
      </c>
      <c r="C20" s="459"/>
      <c r="D20" s="139"/>
      <c r="E20" s="809"/>
      <c r="F20" s="139"/>
      <c r="G20" s="548" t="s">
        <v>528</v>
      </c>
      <c r="H20" s="138"/>
      <c r="K20" s="548" t="s">
        <v>526</v>
      </c>
      <c r="Q20" s="193" t="s">
        <v>310</v>
      </c>
      <c r="R20" s="217" t="s">
        <v>466</v>
      </c>
      <c r="T20" s="204" t="b">
        <v>1</v>
      </c>
    </row>
    <row r="21" spans="1:20" ht="80.099999999999994" customHeight="1" x14ac:dyDescent="0.35">
      <c r="A21" s="925"/>
      <c r="B21" s="419" t="s">
        <v>164</v>
      </c>
      <c r="C21" s="460"/>
      <c r="D21" s="139"/>
      <c r="E21" s="614"/>
      <c r="F21" s="139"/>
      <c r="G21" s="509" t="s">
        <v>526</v>
      </c>
      <c r="H21" s="140"/>
      <c r="K21" s="509" t="s">
        <v>528</v>
      </c>
      <c r="Q21" s="193" t="s">
        <v>310</v>
      </c>
      <c r="R21" s="217" t="s">
        <v>466</v>
      </c>
      <c r="T21" s="204" t="b">
        <v>1</v>
      </c>
    </row>
    <row r="22" spans="1:20" ht="80.099999999999994" customHeight="1" x14ac:dyDescent="0.35">
      <c r="A22" s="925"/>
      <c r="B22" s="419" t="s">
        <v>529</v>
      </c>
      <c r="C22" s="460"/>
      <c r="D22" s="139"/>
      <c r="E22" s="809"/>
      <c r="F22" s="139"/>
      <c r="G22" s="509" t="s">
        <v>530</v>
      </c>
      <c r="H22" s="140"/>
      <c r="K22" s="509" t="s">
        <v>530</v>
      </c>
      <c r="Q22" s="193" t="s">
        <v>310</v>
      </c>
      <c r="R22" s="217" t="s">
        <v>466</v>
      </c>
      <c r="T22" s="204" t="b">
        <v>1</v>
      </c>
    </row>
    <row r="23" spans="1:20" ht="80.099999999999994" customHeight="1" x14ac:dyDescent="0.35">
      <c r="A23" s="925"/>
      <c r="B23" s="419" t="s">
        <v>162</v>
      </c>
      <c r="C23" s="460"/>
      <c r="D23" s="139"/>
      <c r="E23" s="809"/>
      <c r="F23" s="139"/>
      <c r="G23" s="509" t="s">
        <v>531</v>
      </c>
      <c r="H23" s="140"/>
      <c r="K23" s="509" t="s">
        <v>531</v>
      </c>
      <c r="Q23" s="193" t="s">
        <v>310</v>
      </c>
      <c r="R23" s="217" t="s">
        <v>466</v>
      </c>
      <c r="T23" s="204" t="b">
        <v>1</v>
      </c>
    </row>
    <row r="24" spans="1:20" ht="80.099999999999994" customHeight="1" x14ac:dyDescent="0.35">
      <c r="A24" s="925"/>
      <c r="B24" s="419" t="s">
        <v>166</v>
      </c>
      <c r="C24" s="460"/>
      <c r="D24" s="139"/>
      <c r="E24" s="621"/>
      <c r="F24" s="139"/>
      <c r="G24" s="509" t="s">
        <v>532</v>
      </c>
      <c r="H24" s="140"/>
      <c r="K24" s="509" t="s">
        <v>532</v>
      </c>
      <c r="Q24" s="193" t="s">
        <v>310</v>
      </c>
      <c r="R24" s="217" t="s">
        <v>466</v>
      </c>
      <c r="T24" s="204" t="b">
        <v>1</v>
      </c>
    </row>
    <row r="25" spans="1:20" ht="80.099999999999994" customHeight="1" x14ac:dyDescent="0.35">
      <c r="A25" s="925"/>
      <c r="B25" s="419" t="s">
        <v>533</v>
      </c>
      <c r="C25" s="460"/>
      <c r="D25" s="139"/>
      <c r="E25" s="843"/>
      <c r="F25" s="139"/>
      <c r="G25" s="509" t="s">
        <v>534</v>
      </c>
      <c r="H25" s="140"/>
      <c r="K25" s="509" t="s">
        <v>534</v>
      </c>
      <c r="Q25" s="193" t="s">
        <v>310</v>
      </c>
      <c r="R25" s="217" t="s">
        <v>466</v>
      </c>
      <c r="T25" s="204" t="b">
        <v>1</v>
      </c>
    </row>
    <row r="26" spans="1:20" ht="80.099999999999994" customHeight="1" thickBot="1" x14ac:dyDescent="0.4">
      <c r="A26" s="926"/>
      <c r="B26" s="546" t="s">
        <v>535</v>
      </c>
      <c r="C26" s="462"/>
      <c r="D26" s="143"/>
      <c r="E26" s="858"/>
      <c r="F26" s="143"/>
      <c r="G26" s="511" t="s">
        <v>536</v>
      </c>
      <c r="H26" s="547"/>
      <c r="K26" s="511" t="s">
        <v>536</v>
      </c>
      <c r="Q26" s="193"/>
      <c r="R26" s="217"/>
    </row>
    <row r="27" spans="1:20" ht="80.099999999999994" customHeight="1" x14ac:dyDescent="0.35">
      <c r="A27" s="925" t="s">
        <v>180</v>
      </c>
      <c r="B27" s="418" t="s">
        <v>180</v>
      </c>
      <c r="C27" s="459"/>
      <c r="D27" s="543">
        <v>0</v>
      </c>
      <c r="E27" s="622"/>
      <c r="F27" s="543">
        <v>0</v>
      </c>
      <c r="G27" s="544" t="s">
        <v>374</v>
      </c>
      <c r="H27" s="545"/>
      <c r="K27" s="544" t="s">
        <v>375</v>
      </c>
      <c r="Q27" s="193"/>
      <c r="R27" s="217"/>
    </row>
    <row r="28" spans="1:20" ht="80.099999999999994" customHeight="1" x14ac:dyDescent="0.35">
      <c r="A28" s="925"/>
      <c r="B28" s="419" t="s">
        <v>181</v>
      </c>
      <c r="C28" s="460"/>
      <c r="D28" s="139">
        <v>0</v>
      </c>
      <c r="E28" s="622"/>
      <c r="F28" s="139">
        <v>0</v>
      </c>
      <c r="G28" s="509" t="s">
        <v>375</v>
      </c>
      <c r="H28" s="140"/>
      <c r="K28" s="509" t="s">
        <v>374</v>
      </c>
      <c r="Q28" s="193"/>
      <c r="R28" s="217"/>
    </row>
    <row r="29" spans="1:20" ht="80.099999999999994" customHeight="1" x14ac:dyDescent="0.35">
      <c r="A29" s="925"/>
      <c r="B29" s="419" t="s">
        <v>724</v>
      </c>
      <c r="C29" s="460"/>
      <c r="D29" s="139">
        <v>0</v>
      </c>
      <c r="E29" s="622"/>
      <c r="F29" s="139">
        <v>0</v>
      </c>
      <c r="G29" s="509" t="s">
        <v>725</v>
      </c>
      <c r="H29" s="140"/>
      <c r="K29" s="509" t="s">
        <v>725</v>
      </c>
      <c r="Q29" s="193"/>
      <c r="R29" s="217"/>
    </row>
    <row r="30" spans="1:20" ht="80.099999999999994" customHeight="1" x14ac:dyDescent="0.35">
      <c r="A30" s="925"/>
      <c r="B30" s="419" t="s">
        <v>162</v>
      </c>
      <c r="C30" s="460"/>
      <c r="D30" s="139"/>
      <c r="E30" s="622"/>
      <c r="F30" s="139"/>
      <c r="G30" s="509" t="s">
        <v>726</v>
      </c>
      <c r="H30" s="140"/>
      <c r="K30" s="509" t="s">
        <v>726</v>
      </c>
      <c r="Q30" s="193"/>
      <c r="R30" s="217"/>
    </row>
    <row r="31" spans="1:20" ht="80.099999999999994" customHeight="1" x14ac:dyDescent="0.35">
      <c r="A31" s="925"/>
      <c r="B31" s="419" t="s">
        <v>166</v>
      </c>
      <c r="C31" s="460"/>
      <c r="D31" s="139"/>
      <c r="E31" s="622"/>
      <c r="F31" s="139"/>
      <c r="G31" s="509" t="s">
        <v>727</v>
      </c>
      <c r="H31" s="140"/>
      <c r="K31" s="509" t="s">
        <v>727</v>
      </c>
      <c r="Q31" s="193"/>
      <c r="R31" s="217"/>
    </row>
    <row r="32" spans="1:20" ht="80.099999999999994" customHeight="1" x14ac:dyDescent="0.35">
      <c r="A32" s="925"/>
      <c r="B32" s="419" t="s">
        <v>533</v>
      </c>
      <c r="C32" s="460"/>
      <c r="D32" s="139"/>
      <c r="E32" s="622"/>
      <c r="F32" s="139"/>
      <c r="G32" s="509" t="s">
        <v>728</v>
      </c>
      <c r="H32" s="140"/>
      <c r="K32" s="509" t="s">
        <v>728</v>
      </c>
      <c r="Q32" s="193"/>
      <c r="R32" s="217"/>
    </row>
    <row r="33" spans="1:54" ht="80.099999999999994" customHeight="1" x14ac:dyDescent="0.35">
      <c r="A33" s="925"/>
      <c r="B33" s="419" t="s">
        <v>535</v>
      </c>
      <c r="C33" s="460"/>
      <c r="D33" s="139"/>
      <c r="E33" s="824"/>
      <c r="F33" s="139"/>
      <c r="G33" s="509" t="s">
        <v>729</v>
      </c>
      <c r="H33" s="140"/>
      <c r="K33" s="509" t="s">
        <v>729</v>
      </c>
      <c r="Q33" s="193"/>
      <c r="R33" s="217"/>
    </row>
    <row r="34" spans="1:54" ht="80.099999999999994" customHeight="1" thickBot="1" x14ac:dyDescent="0.4">
      <c r="A34" s="926"/>
      <c r="B34" s="419" t="s">
        <v>187</v>
      </c>
      <c r="C34" s="460"/>
      <c r="D34" s="139"/>
      <c r="E34" s="622"/>
      <c r="F34" s="139"/>
      <c r="G34" s="509" t="s">
        <v>188</v>
      </c>
      <c r="H34" s="140"/>
      <c r="K34" s="509" t="s">
        <v>188</v>
      </c>
      <c r="Q34" s="193" t="s">
        <v>310</v>
      </c>
      <c r="R34" s="217" t="s">
        <v>466</v>
      </c>
      <c r="T34" s="204" t="b">
        <v>1</v>
      </c>
    </row>
    <row r="35" spans="1:54" ht="80.099999999999994" customHeight="1" x14ac:dyDescent="0.35">
      <c r="A35" s="888" t="s">
        <v>171</v>
      </c>
      <c r="B35" s="422" t="s">
        <v>172</v>
      </c>
      <c r="C35" s="463"/>
      <c r="D35" s="144">
        <v>0</v>
      </c>
      <c r="E35" s="623"/>
      <c r="F35" s="144">
        <v>0</v>
      </c>
      <c r="G35" s="512" t="s">
        <v>173</v>
      </c>
      <c r="H35" s="178"/>
      <c r="K35" s="512" t="s">
        <v>173</v>
      </c>
      <c r="Q35" s="192" t="s">
        <v>310</v>
      </c>
      <c r="R35" s="199" t="s">
        <v>466</v>
      </c>
      <c r="T35" s="204" t="b">
        <v>0</v>
      </c>
    </row>
    <row r="36" spans="1:54" ht="80.099999999999994" customHeight="1" x14ac:dyDescent="0.35">
      <c r="A36" s="889"/>
      <c r="B36" s="423" t="s">
        <v>174</v>
      </c>
      <c r="C36" s="464" t="s">
        <v>157</v>
      </c>
      <c r="D36" s="146">
        <v>0</v>
      </c>
      <c r="E36" s="804"/>
      <c r="F36" s="146">
        <v>0</v>
      </c>
      <c r="G36" s="513" t="s">
        <v>461</v>
      </c>
      <c r="H36" s="145"/>
      <c r="K36" s="513" t="s">
        <v>461</v>
      </c>
      <c r="Q36" s="211"/>
      <c r="R36" s="212" t="s">
        <v>467</v>
      </c>
      <c r="T36" s="204" t="b">
        <v>0</v>
      </c>
    </row>
    <row r="37" spans="1:54" ht="80.099999999999994" customHeight="1" x14ac:dyDescent="0.35">
      <c r="A37" s="889"/>
      <c r="B37" s="423"/>
      <c r="C37" s="464" t="s">
        <v>175</v>
      </c>
      <c r="D37" s="146">
        <v>0</v>
      </c>
      <c r="E37" s="804"/>
      <c r="F37" s="146">
        <v>0</v>
      </c>
      <c r="G37" s="513" t="s">
        <v>176</v>
      </c>
      <c r="H37" s="145"/>
      <c r="K37" s="513" t="s">
        <v>176</v>
      </c>
      <c r="Q37" s="211"/>
      <c r="R37" s="212" t="s">
        <v>467</v>
      </c>
      <c r="T37" s="204" t="b">
        <v>0</v>
      </c>
    </row>
    <row r="38" spans="1:54" ht="80.099999999999994" customHeight="1" x14ac:dyDescent="0.35">
      <c r="A38" s="889"/>
      <c r="B38" s="423"/>
      <c r="C38" s="464" t="s">
        <v>177</v>
      </c>
      <c r="D38" s="146">
        <v>0</v>
      </c>
      <c r="E38" s="809"/>
      <c r="F38" s="146">
        <v>0</v>
      </c>
      <c r="G38" s="513" t="s">
        <v>178</v>
      </c>
      <c r="H38" s="145"/>
      <c r="K38" s="513" t="s">
        <v>178</v>
      </c>
      <c r="Q38" s="211"/>
      <c r="R38" s="212" t="s">
        <v>467</v>
      </c>
      <c r="T38" s="204" t="b">
        <v>0</v>
      </c>
    </row>
    <row r="39" spans="1:54" s="147" customFormat="1" ht="80.099999999999994" customHeight="1" x14ac:dyDescent="0.35">
      <c r="A39" s="889"/>
      <c r="B39" s="423" t="s">
        <v>431</v>
      </c>
      <c r="C39" s="464" t="s">
        <v>179</v>
      </c>
      <c r="D39" s="146">
        <v>0</v>
      </c>
      <c r="E39" s="809"/>
      <c r="F39" s="146">
        <v>0</v>
      </c>
      <c r="G39" s="513" t="s">
        <v>440</v>
      </c>
      <c r="H39" s="145"/>
      <c r="I39" s="130"/>
      <c r="J39" s="130"/>
      <c r="K39" s="513" t="s">
        <v>834</v>
      </c>
      <c r="L39" s="130"/>
      <c r="M39" s="130"/>
      <c r="N39" s="130"/>
      <c r="O39" s="130"/>
      <c r="P39" s="130"/>
      <c r="Q39" s="211"/>
      <c r="R39" s="212" t="s">
        <v>467</v>
      </c>
      <c r="S39" s="130"/>
      <c r="T39" s="204" t="b">
        <v>0</v>
      </c>
      <c r="U39" s="130"/>
      <c r="V39" s="206"/>
      <c r="W39" s="206"/>
      <c r="X39" s="206"/>
      <c r="Y39" s="206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</row>
    <row r="40" spans="1:54" s="147" customFormat="1" ht="80.099999999999994" customHeight="1" x14ac:dyDescent="0.35">
      <c r="A40" s="889"/>
      <c r="B40" s="423" t="s">
        <v>182</v>
      </c>
      <c r="C40" s="464"/>
      <c r="D40" s="146"/>
      <c r="E40" s="809"/>
      <c r="F40" s="146"/>
      <c r="G40" s="513" t="s">
        <v>183</v>
      </c>
      <c r="H40" s="165" t="s">
        <v>184</v>
      </c>
      <c r="I40" s="130"/>
      <c r="J40" s="130"/>
      <c r="K40" s="513" t="s">
        <v>183</v>
      </c>
      <c r="L40" s="130"/>
      <c r="M40" s="130"/>
      <c r="N40" s="130"/>
      <c r="O40" s="130"/>
      <c r="P40" s="130"/>
      <c r="Q40" s="211"/>
      <c r="R40" s="212" t="s">
        <v>467</v>
      </c>
      <c r="S40" s="130"/>
      <c r="T40" s="204" t="b">
        <v>0</v>
      </c>
      <c r="U40" s="130"/>
      <c r="V40" s="206"/>
      <c r="W40" s="206"/>
      <c r="X40" s="206"/>
      <c r="Y40" s="206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/>
      <c r="AO40" s="130"/>
      <c r="AP40" s="130"/>
      <c r="AQ40" s="130"/>
      <c r="AR40" s="130"/>
      <c r="AS40" s="130"/>
      <c r="AT40" s="130"/>
      <c r="AU40" s="130"/>
      <c r="AV40" s="130"/>
      <c r="AW40" s="130"/>
      <c r="AX40" s="130"/>
      <c r="AY40" s="130"/>
      <c r="AZ40" s="130"/>
      <c r="BA40" s="130"/>
      <c r="BB40" s="130"/>
    </row>
    <row r="41" spans="1:54" s="147" customFormat="1" ht="80.099999999999994" customHeight="1" x14ac:dyDescent="0.35">
      <c r="A41" s="889"/>
      <c r="B41" s="423" t="s">
        <v>185</v>
      </c>
      <c r="C41" s="464"/>
      <c r="D41" s="146">
        <v>0</v>
      </c>
      <c r="E41" s="804"/>
      <c r="F41" s="146">
        <v>0</v>
      </c>
      <c r="G41" s="513" t="s">
        <v>186</v>
      </c>
      <c r="H41" s="145"/>
      <c r="I41" s="130"/>
      <c r="J41" s="130"/>
      <c r="K41" s="513" t="s">
        <v>186</v>
      </c>
      <c r="L41" s="130"/>
      <c r="M41" s="130"/>
      <c r="N41" s="130"/>
      <c r="O41" s="130"/>
      <c r="P41" s="130"/>
      <c r="Q41" s="211"/>
      <c r="R41" s="212" t="s">
        <v>467</v>
      </c>
      <c r="S41" s="130"/>
      <c r="T41" s="204" t="b">
        <v>0</v>
      </c>
      <c r="U41" s="130"/>
      <c r="V41" s="206"/>
      <c r="W41" s="206"/>
      <c r="X41" s="206"/>
      <c r="Y41" s="206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/>
      <c r="AO41" s="130"/>
      <c r="AP41" s="130"/>
      <c r="AQ41" s="130"/>
      <c r="AR41" s="130"/>
      <c r="AS41" s="130"/>
      <c r="AT41" s="130"/>
      <c r="AU41" s="130"/>
      <c r="AV41" s="130"/>
      <c r="AW41" s="130"/>
      <c r="AX41" s="130"/>
      <c r="AY41" s="130"/>
      <c r="AZ41" s="130"/>
      <c r="BA41" s="130"/>
      <c r="BB41" s="130"/>
    </row>
    <row r="42" spans="1:54" s="147" customFormat="1" ht="80.099999999999994" customHeight="1" x14ac:dyDescent="0.45">
      <c r="A42" s="889"/>
      <c r="B42" s="423" t="s">
        <v>693</v>
      </c>
      <c r="C42" s="464"/>
      <c r="D42" s="146">
        <v>0</v>
      </c>
      <c r="E42" s="805"/>
      <c r="F42" s="146">
        <v>0</v>
      </c>
      <c r="G42" s="513" t="s">
        <v>376</v>
      </c>
      <c r="H42" s="145"/>
      <c r="I42" s="130"/>
      <c r="J42" s="130"/>
      <c r="K42" s="513" t="s">
        <v>376</v>
      </c>
      <c r="L42" s="130"/>
      <c r="M42" s="130"/>
      <c r="N42" s="130"/>
      <c r="O42" s="130"/>
      <c r="P42" s="130"/>
      <c r="Q42" s="193" t="s">
        <v>310</v>
      </c>
      <c r="R42" s="197" t="s">
        <v>466</v>
      </c>
      <c r="S42" s="130"/>
      <c r="T42" s="204" t="b">
        <v>0</v>
      </c>
      <c r="U42" s="130"/>
      <c r="V42" s="206"/>
      <c r="W42" s="206"/>
      <c r="X42" s="206"/>
      <c r="Y42" s="206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  <c r="AJ42" s="130"/>
      <c r="AK42" s="130"/>
      <c r="AL42" s="130"/>
      <c r="AM42" s="130"/>
      <c r="AN42" s="130"/>
      <c r="AO42" s="130"/>
      <c r="AP42" s="130"/>
      <c r="AQ42" s="130"/>
      <c r="AR42" s="130"/>
      <c r="AS42" s="130"/>
      <c r="AT42" s="130"/>
      <c r="AU42" s="130"/>
      <c r="AV42" s="130"/>
      <c r="AW42" s="130"/>
      <c r="AX42" s="130"/>
      <c r="AY42" s="130"/>
      <c r="AZ42" s="130"/>
      <c r="BA42" s="130"/>
      <c r="BB42" s="130"/>
    </row>
    <row r="43" spans="1:54" s="147" customFormat="1" ht="80.099999999999994" customHeight="1" x14ac:dyDescent="0.35">
      <c r="A43" s="889"/>
      <c r="B43" s="423" t="s">
        <v>314</v>
      </c>
      <c r="C43" s="464"/>
      <c r="D43" s="146">
        <v>0</v>
      </c>
      <c r="E43" s="805"/>
      <c r="F43" s="146">
        <v>0</v>
      </c>
      <c r="G43" s="513" t="s">
        <v>189</v>
      </c>
      <c r="H43" s="145"/>
      <c r="I43" s="130"/>
      <c r="J43" s="130"/>
      <c r="K43" s="513" t="s">
        <v>189</v>
      </c>
      <c r="L43" s="130"/>
      <c r="M43" s="130"/>
      <c r="N43" s="130"/>
      <c r="O43" s="130"/>
      <c r="P43" s="130"/>
      <c r="Q43" s="193" t="s">
        <v>310</v>
      </c>
      <c r="R43" s="197" t="s">
        <v>466</v>
      </c>
      <c r="S43" s="130"/>
      <c r="T43" s="204" t="b">
        <v>0</v>
      </c>
      <c r="U43" s="130"/>
      <c r="V43" s="206"/>
      <c r="W43" s="206"/>
      <c r="X43" s="206"/>
      <c r="Y43" s="206"/>
      <c r="Z43" s="130"/>
      <c r="AA43" s="130"/>
      <c r="AB43" s="130"/>
      <c r="AC43" s="130"/>
      <c r="AD43" s="130"/>
      <c r="AE43" s="130"/>
      <c r="AF43" s="130"/>
      <c r="AG43" s="130"/>
      <c r="AH43" s="130"/>
      <c r="AI43" s="130"/>
      <c r="AJ43" s="130"/>
      <c r="AK43" s="130"/>
      <c r="AL43" s="130"/>
      <c r="AM43" s="130"/>
      <c r="AN43" s="130"/>
      <c r="AO43" s="130"/>
      <c r="AP43" s="130"/>
      <c r="AQ43" s="130"/>
      <c r="AR43" s="130"/>
      <c r="AS43" s="130"/>
      <c r="AT43" s="130"/>
      <c r="AU43" s="130"/>
      <c r="AV43" s="130"/>
      <c r="AW43" s="130"/>
      <c r="AX43" s="130"/>
      <c r="AY43" s="130"/>
      <c r="AZ43" s="130"/>
      <c r="BA43" s="130"/>
      <c r="BB43" s="130"/>
    </row>
    <row r="44" spans="1:54" s="147" customFormat="1" ht="80.099999999999994" customHeight="1" x14ac:dyDescent="0.35">
      <c r="A44" s="889"/>
      <c r="B44" s="423" t="s">
        <v>315</v>
      </c>
      <c r="C44" s="464"/>
      <c r="D44" s="146">
        <v>0</v>
      </c>
      <c r="E44" s="809"/>
      <c r="F44" s="146">
        <v>0</v>
      </c>
      <c r="G44" s="513" t="s">
        <v>438</v>
      </c>
      <c r="H44" s="145"/>
      <c r="I44" s="130"/>
      <c r="J44" s="130"/>
      <c r="K44" s="513" t="s">
        <v>438</v>
      </c>
      <c r="L44" s="130"/>
      <c r="M44" s="130"/>
      <c r="N44" s="130"/>
      <c r="O44" s="130"/>
      <c r="P44" s="130"/>
      <c r="Q44" s="193" t="s">
        <v>310</v>
      </c>
      <c r="R44" s="197" t="s">
        <v>466</v>
      </c>
      <c r="S44" s="130"/>
      <c r="T44" s="204" t="b">
        <v>0</v>
      </c>
      <c r="U44" s="130"/>
      <c r="V44" s="206"/>
      <c r="W44" s="206"/>
      <c r="X44" s="206"/>
      <c r="Y44" s="206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O44" s="130"/>
      <c r="AP44" s="130"/>
      <c r="AQ44" s="130"/>
      <c r="AR44" s="130"/>
      <c r="AS44" s="130"/>
      <c r="AT44" s="130"/>
      <c r="AU44" s="130"/>
      <c r="AV44" s="130"/>
      <c r="AW44" s="130"/>
      <c r="AX44" s="130"/>
      <c r="AY44" s="130"/>
      <c r="AZ44" s="130"/>
      <c r="BA44" s="130"/>
      <c r="BB44" s="130"/>
    </row>
    <row r="45" spans="1:54" s="147" customFormat="1" ht="80.099999999999994" customHeight="1" x14ac:dyDescent="0.45">
      <c r="A45" s="889"/>
      <c r="B45" s="423" t="s">
        <v>694</v>
      </c>
      <c r="C45" s="464"/>
      <c r="D45" s="146">
        <v>0</v>
      </c>
      <c r="E45" s="806"/>
      <c r="F45" s="146">
        <v>0</v>
      </c>
      <c r="G45" s="513" t="s">
        <v>418</v>
      </c>
      <c r="H45" s="145"/>
      <c r="I45" s="130"/>
      <c r="J45" s="130"/>
      <c r="K45" s="513" t="s">
        <v>418</v>
      </c>
      <c r="L45" s="130"/>
      <c r="M45" s="130"/>
      <c r="N45" s="130"/>
      <c r="O45" s="130"/>
      <c r="P45" s="130"/>
      <c r="Q45" s="193" t="s">
        <v>310</v>
      </c>
      <c r="R45" s="197" t="s">
        <v>466</v>
      </c>
      <c r="S45" s="130"/>
      <c r="T45" s="204" t="b">
        <v>0</v>
      </c>
      <c r="U45" s="130"/>
      <c r="V45" s="206"/>
      <c r="W45" s="206"/>
      <c r="X45" s="206"/>
      <c r="Y45" s="206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  <c r="AZ45" s="130"/>
      <c r="BA45" s="130"/>
      <c r="BB45" s="130"/>
    </row>
    <row r="46" spans="1:54" s="147" customFormat="1" ht="80.099999999999994" customHeight="1" x14ac:dyDescent="0.45">
      <c r="A46" s="889"/>
      <c r="B46" s="423" t="s">
        <v>695</v>
      </c>
      <c r="C46" s="464"/>
      <c r="D46" s="146">
        <v>0</v>
      </c>
      <c r="E46" s="806"/>
      <c r="F46" s="146">
        <v>0</v>
      </c>
      <c r="G46" s="513" t="s">
        <v>377</v>
      </c>
      <c r="H46" s="145"/>
      <c r="I46" s="130"/>
      <c r="J46" s="130"/>
      <c r="K46" s="513" t="s">
        <v>377</v>
      </c>
      <c r="L46" s="130"/>
      <c r="M46" s="130"/>
      <c r="N46" s="130"/>
      <c r="O46" s="130"/>
      <c r="P46" s="130"/>
      <c r="Q46" s="193" t="s">
        <v>310</v>
      </c>
      <c r="R46" s="197" t="s">
        <v>466</v>
      </c>
      <c r="S46" s="130"/>
      <c r="T46" s="204" t="b">
        <v>0</v>
      </c>
      <c r="U46" s="130"/>
      <c r="V46" s="206"/>
      <c r="W46" s="206"/>
      <c r="X46" s="206"/>
      <c r="Y46" s="206"/>
      <c r="Z46" s="130"/>
      <c r="AA46" s="130"/>
      <c r="AB46" s="130"/>
      <c r="AC46" s="130"/>
      <c r="AD46" s="130"/>
      <c r="AE46" s="130"/>
      <c r="AF46" s="130"/>
      <c r="AG46" s="130"/>
      <c r="AH46" s="130"/>
      <c r="AI46" s="130"/>
      <c r="AJ46" s="130"/>
      <c r="AK46" s="130"/>
      <c r="AL46" s="130"/>
      <c r="AM46" s="130"/>
      <c r="AN46" s="130"/>
      <c r="AO46" s="130"/>
      <c r="AP46" s="130"/>
      <c r="AQ46" s="130"/>
      <c r="AR46" s="130"/>
      <c r="AS46" s="130"/>
      <c r="AT46" s="130"/>
      <c r="AU46" s="130"/>
      <c r="AV46" s="130"/>
      <c r="AW46" s="130"/>
      <c r="AX46" s="130"/>
      <c r="AY46" s="130"/>
      <c r="AZ46" s="130"/>
      <c r="BA46" s="130"/>
      <c r="BB46" s="130"/>
    </row>
    <row r="47" spans="1:54" s="147" customFormat="1" ht="80.099999999999994" customHeight="1" x14ac:dyDescent="0.45">
      <c r="A47" s="889"/>
      <c r="B47" s="423" t="s">
        <v>696</v>
      </c>
      <c r="C47" s="464"/>
      <c r="D47" s="146">
        <v>0</v>
      </c>
      <c r="E47" s="806"/>
      <c r="F47" s="146">
        <v>0</v>
      </c>
      <c r="G47" s="513" t="s">
        <v>378</v>
      </c>
      <c r="H47" s="145"/>
      <c r="I47" s="130"/>
      <c r="J47" s="130"/>
      <c r="K47" s="513" t="s">
        <v>378</v>
      </c>
      <c r="L47" s="130"/>
      <c r="M47" s="130"/>
      <c r="N47" s="130"/>
      <c r="O47" s="130"/>
      <c r="P47" s="130"/>
      <c r="Q47" s="193" t="s">
        <v>310</v>
      </c>
      <c r="R47" s="197" t="s">
        <v>466</v>
      </c>
      <c r="S47" s="130"/>
      <c r="T47" s="204" t="b">
        <v>0</v>
      </c>
      <c r="U47" s="130"/>
      <c r="V47" s="206"/>
      <c r="W47" s="206"/>
      <c r="X47" s="206"/>
      <c r="Y47" s="206"/>
      <c r="Z47" s="130"/>
      <c r="AA47" s="130"/>
      <c r="AB47" s="130"/>
      <c r="AC47" s="130"/>
      <c r="AD47" s="130"/>
      <c r="AE47" s="130"/>
      <c r="AF47" s="130"/>
      <c r="AG47" s="130"/>
      <c r="AH47" s="130"/>
      <c r="AI47" s="130"/>
      <c r="AJ47" s="130"/>
      <c r="AK47" s="130"/>
      <c r="AL47" s="130"/>
      <c r="AM47" s="130"/>
      <c r="AN47" s="130"/>
      <c r="AO47" s="130"/>
      <c r="AP47" s="130"/>
      <c r="AQ47" s="130"/>
      <c r="AR47" s="130"/>
      <c r="AS47" s="130"/>
      <c r="AT47" s="130"/>
      <c r="AU47" s="130"/>
      <c r="AV47" s="130"/>
      <c r="AW47" s="130"/>
      <c r="AX47" s="130"/>
      <c r="AY47" s="130"/>
      <c r="AZ47" s="130"/>
      <c r="BA47" s="130"/>
      <c r="BB47" s="130"/>
    </row>
    <row r="48" spans="1:54" s="147" customFormat="1" ht="80.099999999999994" customHeight="1" x14ac:dyDescent="0.45">
      <c r="A48" s="889"/>
      <c r="B48" s="423" t="s">
        <v>697</v>
      </c>
      <c r="C48" s="464"/>
      <c r="D48" s="146">
        <v>0</v>
      </c>
      <c r="E48" s="809"/>
      <c r="F48" s="146">
        <v>0</v>
      </c>
      <c r="G48" s="513" t="s">
        <v>190</v>
      </c>
      <c r="H48" s="165" t="s">
        <v>313</v>
      </c>
      <c r="I48" s="130"/>
      <c r="J48" s="130"/>
      <c r="K48" s="513" t="s">
        <v>190</v>
      </c>
      <c r="L48" s="130"/>
      <c r="M48" s="130"/>
      <c r="N48" s="130"/>
      <c r="O48" s="130"/>
      <c r="P48" s="130"/>
      <c r="Q48" s="193" t="s">
        <v>310</v>
      </c>
      <c r="R48" s="197" t="s">
        <v>466</v>
      </c>
      <c r="S48" s="130"/>
      <c r="T48" s="204" t="b">
        <v>0</v>
      </c>
      <c r="U48" s="130"/>
      <c r="V48" s="206"/>
      <c r="W48" s="206"/>
      <c r="X48" s="206"/>
      <c r="Y48" s="206"/>
      <c r="Z48" s="130"/>
      <c r="AA48" s="130"/>
      <c r="AB48" s="130"/>
      <c r="AC48" s="130"/>
      <c r="AD48" s="130"/>
      <c r="AE48" s="130"/>
      <c r="AF48" s="130"/>
      <c r="AG48" s="130"/>
      <c r="AH48" s="130"/>
      <c r="AI48" s="130"/>
      <c r="AJ48" s="130"/>
      <c r="AK48" s="130"/>
      <c r="AL48" s="130"/>
      <c r="AM48" s="130"/>
      <c r="AN48" s="130"/>
      <c r="AO48" s="130"/>
      <c r="AP48" s="130"/>
      <c r="AQ48" s="130"/>
      <c r="AR48" s="130"/>
      <c r="AS48" s="130"/>
      <c r="AT48" s="130"/>
      <c r="AU48" s="130"/>
      <c r="AV48" s="130"/>
      <c r="AW48" s="130"/>
      <c r="AX48" s="130"/>
      <c r="AY48" s="130"/>
      <c r="AZ48" s="130"/>
      <c r="BA48" s="130"/>
      <c r="BB48" s="130"/>
    </row>
    <row r="49" spans="1:54" s="147" customFormat="1" ht="80.099999999999994" customHeight="1" x14ac:dyDescent="0.45">
      <c r="A49" s="889"/>
      <c r="B49" s="423" t="s">
        <v>698</v>
      </c>
      <c r="C49" s="464"/>
      <c r="D49" s="146">
        <v>0</v>
      </c>
      <c r="E49" s="809"/>
      <c r="F49" s="146">
        <v>0</v>
      </c>
      <c r="G49" s="513" t="s">
        <v>439</v>
      </c>
      <c r="H49" s="145"/>
      <c r="I49" s="130"/>
      <c r="J49" s="130"/>
      <c r="K49" s="513" t="s">
        <v>439</v>
      </c>
      <c r="L49" s="130"/>
      <c r="M49" s="130"/>
      <c r="N49" s="130"/>
      <c r="O49" s="130"/>
      <c r="P49" s="130"/>
      <c r="Q49" s="383" t="s">
        <v>310</v>
      </c>
      <c r="R49" s="197" t="s">
        <v>466</v>
      </c>
      <c r="S49" s="130"/>
      <c r="T49" s="204" t="b">
        <v>0</v>
      </c>
      <c r="U49" s="130"/>
      <c r="V49" s="206"/>
      <c r="W49" s="206"/>
      <c r="X49" s="206"/>
      <c r="Y49" s="206"/>
      <c r="Z49" s="130"/>
      <c r="AA49" s="130"/>
      <c r="AB49" s="130"/>
      <c r="AC49" s="130"/>
      <c r="AD49" s="130"/>
      <c r="AE49" s="130"/>
      <c r="AF49" s="130"/>
      <c r="AG49" s="130"/>
      <c r="AH49" s="130"/>
      <c r="AI49" s="130"/>
      <c r="AJ49" s="130"/>
      <c r="AK49" s="130"/>
      <c r="AL49" s="130"/>
      <c r="AM49" s="130"/>
      <c r="AN49" s="130"/>
      <c r="AO49" s="130"/>
      <c r="AP49" s="130"/>
      <c r="AQ49" s="130"/>
      <c r="AR49" s="130"/>
      <c r="AS49" s="130"/>
      <c r="AT49" s="130"/>
      <c r="AU49" s="130"/>
      <c r="AV49" s="130"/>
      <c r="AW49" s="130"/>
      <c r="AX49" s="130"/>
      <c r="AY49" s="130"/>
      <c r="AZ49" s="130"/>
      <c r="BA49" s="130"/>
      <c r="BB49" s="130"/>
    </row>
    <row r="50" spans="1:54" s="147" customFormat="1" ht="80.099999999999994" customHeight="1" x14ac:dyDescent="0.35">
      <c r="A50" s="889"/>
      <c r="B50" s="423" t="s">
        <v>316</v>
      </c>
      <c r="C50" s="464"/>
      <c r="D50" s="146">
        <v>0</v>
      </c>
      <c r="E50" s="807"/>
      <c r="F50" s="146">
        <v>0</v>
      </c>
      <c r="G50" s="513" t="s">
        <v>191</v>
      </c>
      <c r="H50" s="145"/>
      <c r="I50" s="130"/>
      <c r="J50" s="130"/>
      <c r="K50" s="513" t="s">
        <v>191</v>
      </c>
      <c r="L50" s="130"/>
      <c r="M50" s="130"/>
      <c r="N50" s="130"/>
      <c r="O50" s="130"/>
      <c r="P50" s="130"/>
      <c r="Q50" s="383" t="s">
        <v>310</v>
      </c>
      <c r="R50" s="197" t="s">
        <v>466</v>
      </c>
      <c r="S50" s="130"/>
      <c r="T50" s="204" t="b">
        <v>0</v>
      </c>
      <c r="U50" s="130"/>
      <c r="V50" s="206"/>
      <c r="W50" s="206"/>
      <c r="X50" s="206"/>
      <c r="Y50" s="206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</row>
    <row r="51" spans="1:54" s="147" customFormat="1" ht="80.099999999999994" customHeight="1" x14ac:dyDescent="0.35">
      <c r="A51" s="889"/>
      <c r="B51" s="423" t="s">
        <v>192</v>
      </c>
      <c r="C51" s="464" t="s">
        <v>193</v>
      </c>
      <c r="D51" s="146">
        <v>0</v>
      </c>
      <c r="E51" s="804"/>
      <c r="F51" s="146">
        <v>0</v>
      </c>
      <c r="G51" s="513" t="s">
        <v>194</v>
      </c>
      <c r="H51" s="145"/>
      <c r="I51" s="130"/>
      <c r="J51" s="130"/>
      <c r="K51" s="513" t="s">
        <v>842</v>
      </c>
      <c r="L51" s="130"/>
      <c r="M51" s="130"/>
      <c r="N51" s="130"/>
      <c r="O51" s="130"/>
      <c r="P51" s="130"/>
      <c r="Q51" s="193" t="s">
        <v>310</v>
      </c>
      <c r="R51" s="197" t="s">
        <v>466</v>
      </c>
      <c r="S51" s="130"/>
      <c r="T51" s="204" t="b">
        <v>0</v>
      </c>
      <c r="U51" s="130"/>
      <c r="V51" s="206"/>
      <c r="W51" s="206"/>
      <c r="X51" s="206"/>
      <c r="Y51" s="206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</row>
    <row r="52" spans="1:54" s="147" customFormat="1" ht="80.099999999999994" customHeight="1" x14ac:dyDescent="0.35">
      <c r="A52" s="889"/>
      <c r="B52" s="423" t="s">
        <v>195</v>
      </c>
      <c r="C52" s="464"/>
      <c r="D52" s="146">
        <v>0</v>
      </c>
      <c r="E52" s="809"/>
      <c r="F52" s="146">
        <v>0</v>
      </c>
      <c r="G52" s="513" t="s">
        <v>437</v>
      </c>
      <c r="H52" s="145"/>
      <c r="I52" s="130"/>
      <c r="J52" s="130"/>
      <c r="K52" s="513" t="s">
        <v>437</v>
      </c>
      <c r="L52" s="130"/>
      <c r="M52" s="130"/>
      <c r="N52" s="130"/>
      <c r="O52" s="130"/>
      <c r="P52" s="130"/>
      <c r="Q52" s="193" t="s">
        <v>310</v>
      </c>
      <c r="R52" s="197" t="s">
        <v>466</v>
      </c>
      <c r="S52" s="130"/>
      <c r="T52" s="204" t="b">
        <v>0</v>
      </c>
      <c r="U52" s="130"/>
      <c r="V52" s="206"/>
      <c r="W52" s="206"/>
      <c r="X52" s="206"/>
      <c r="Y52" s="206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</row>
    <row r="53" spans="1:54" s="147" customFormat="1" ht="80.099999999999994" customHeight="1" x14ac:dyDescent="0.35">
      <c r="A53" s="889"/>
      <c r="B53" s="423" t="s">
        <v>428</v>
      </c>
      <c r="C53" s="464"/>
      <c r="D53" s="146">
        <v>0</v>
      </c>
      <c r="E53" s="809"/>
      <c r="F53" s="146">
        <v>0</v>
      </c>
      <c r="G53" s="513" t="s">
        <v>197</v>
      </c>
      <c r="H53" s="165" t="s">
        <v>427</v>
      </c>
      <c r="I53" s="130"/>
      <c r="J53" s="130"/>
      <c r="K53" s="513" t="s">
        <v>197</v>
      </c>
      <c r="L53" s="130"/>
      <c r="M53" s="130"/>
      <c r="N53" s="130"/>
      <c r="O53" s="130"/>
      <c r="P53" s="130"/>
      <c r="Q53" s="193" t="s">
        <v>310</v>
      </c>
      <c r="R53" s="197" t="s">
        <v>466</v>
      </c>
      <c r="S53" s="130"/>
      <c r="T53" s="204" t="b">
        <v>0</v>
      </c>
      <c r="U53" s="130"/>
      <c r="V53" s="206"/>
      <c r="W53" s="206"/>
      <c r="X53" s="206"/>
      <c r="Y53" s="206"/>
      <c r="Z53" s="130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30"/>
      <c r="AZ53" s="130"/>
      <c r="BA53" s="130"/>
      <c r="BB53" s="130"/>
    </row>
    <row r="54" spans="1:54" s="166" customFormat="1" ht="80.099999999999994" customHeight="1" x14ac:dyDescent="0.35">
      <c r="A54" s="889"/>
      <c r="B54" s="423" t="s">
        <v>456</v>
      </c>
      <c r="C54" s="464"/>
      <c r="D54" s="146">
        <v>0</v>
      </c>
      <c r="E54" s="809"/>
      <c r="F54" s="146">
        <v>0</v>
      </c>
      <c r="G54" s="513" t="s">
        <v>457</v>
      </c>
      <c r="H54" s="165"/>
      <c r="K54" s="513" t="s">
        <v>883</v>
      </c>
      <c r="Q54" s="193" t="s">
        <v>310</v>
      </c>
      <c r="R54" s="197" t="s">
        <v>466</v>
      </c>
      <c r="T54" s="205" t="b">
        <v>0</v>
      </c>
      <c r="V54" s="208"/>
      <c r="W54" s="208"/>
      <c r="X54" s="208"/>
      <c r="Y54" s="208"/>
    </row>
    <row r="55" spans="1:54" s="147" customFormat="1" ht="80.099999999999994" customHeight="1" x14ac:dyDescent="0.35">
      <c r="A55" s="889"/>
      <c r="B55" s="423" t="s">
        <v>196</v>
      </c>
      <c r="C55" s="464" t="s">
        <v>193</v>
      </c>
      <c r="D55" s="146">
        <v>0</v>
      </c>
      <c r="E55" s="809"/>
      <c r="F55" s="146">
        <v>0</v>
      </c>
      <c r="G55" s="513" t="s">
        <v>429</v>
      </c>
      <c r="H55" s="165" t="s">
        <v>430</v>
      </c>
      <c r="I55" s="130"/>
      <c r="J55" s="130"/>
      <c r="K55" s="513" t="s">
        <v>429</v>
      </c>
      <c r="L55" s="130"/>
      <c r="M55" s="130"/>
      <c r="N55" s="130"/>
      <c r="O55" s="130"/>
      <c r="P55" s="130"/>
      <c r="Q55" s="193" t="s">
        <v>310</v>
      </c>
      <c r="R55" s="197" t="s">
        <v>466</v>
      </c>
      <c r="S55" s="130"/>
      <c r="T55" s="204" t="b">
        <v>0</v>
      </c>
      <c r="U55" s="130"/>
      <c r="V55" s="206"/>
      <c r="W55" s="206"/>
      <c r="X55" s="206"/>
      <c r="Y55" s="206"/>
      <c r="Z55" s="130"/>
      <c r="AA55" s="130"/>
      <c r="AB55" s="130"/>
      <c r="AC55" s="130"/>
      <c r="AD55" s="130"/>
      <c r="AE55" s="130"/>
      <c r="AF55" s="130"/>
      <c r="AG55" s="130"/>
      <c r="AH55" s="130"/>
      <c r="AI55" s="130"/>
      <c r="AJ55" s="130"/>
      <c r="AK55" s="130"/>
      <c r="AL55" s="130"/>
      <c r="AM55" s="130"/>
      <c r="AN55" s="130"/>
      <c r="AO55" s="130"/>
      <c r="AP55" s="130"/>
      <c r="AQ55" s="130"/>
      <c r="AR55" s="130"/>
      <c r="AS55" s="130"/>
      <c r="AT55" s="130"/>
      <c r="AU55" s="130"/>
      <c r="AV55" s="130"/>
      <c r="AW55" s="130"/>
      <c r="AX55" s="130"/>
      <c r="AY55" s="130"/>
      <c r="AZ55" s="130"/>
      <c r="BA55" s="130"/>
      <c r="BB55" s="130"/>
    </row>
    <row r="56" spans="1:54" s="147" customFormat="1" ht="80.099999999999994" customHeight="1" thickBot="1" x14ac:dyDescent="0.4">
      <c r="A56" s="890"/>
      <c r="B56" s="424" t="s">
        <v>76</v>
      </c>
      <c r="C56" s="465"/>
      <c r="D56" s="148">
        <v>0</v>
      </c>
      <c r="E56" s="808"/>
      <c r="F56" s="148">
        <v>0</v>
      </c>
      <c r="G56" s="514" t="s">
        <v>198</v>
      </c>
      <c r="H56" s="177"/>
      <c r="I56" s="550"/>
      <c r="J56" s="551"/>
      <c r="K56" s="514" t="s">
        <v>198</v>
      </c>
      <c r="L56" s="551"/>
      <c r="M56" s="130"/>
      <c r="N56" s="130"/>
      <c r="O56" s="130"/>
      <c r="P56" s="130"/>
      <c r="Q56" s="194" t="s">
        <v>310</v>
      </c>
      <c r="R56" s="200" t="s">
        <v>466</v>
      </c>
      <c r="S56" s="130"/>
      <c r="T56" s="204" t="b">
        <v>0</v>
      </c>
      <c r="U56" s="130"/>
      <c r="V56" s="206"/>
      <c r="W56" s="206"/>
      <c r="X56" s="206"/>
      <c r="Y56" s="206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</row>
    <row r="57" spans="1:54" s="147" customFormat="1" ht="80.099999999999994" customHeight="1" x14ac:dyDescent="0.5">
      <c r="A57" s="893" t="s">
        <v>199</v>
      </c>
      <c r="B57" s="425" t="s">
        <v>200</v>
      </c>
      <c r="C57" s="466"/>
      <c r="D57" s="366"/>
      <c r="E57" s="624"/>
      <c r="F57" s="403"/>
      <c r="G57" s="515" t="s">
        <v>201</v>
      </c>
      <c r="H57" s="367"/>
      <c r="I57" s="130"/>
      <c r="J57" s="130"/>
      <c r="K57" s="515" t="s">
        <v>201</v>
      </c>
      <c r="L57" s="150"/>
      <c r="M57" s="130"/>
      <c r="N57" s="130"/>
      <c r="O57" s="130"/>
      <c r="P57" s="130"/>
      <c r="Q57" s="354"/>
      <c r="R57" s="353" t="s">
        <v>467</v>
      </c>
      <c r="S57" s="130"/>
      <c r="T57" s="204" t="b">
        <v>0</v>
      </c>
      <c r="U57" s="130"/>
      <c r="V57" s="206"/>
      <c r="W57" s="206"/>
      <c r="X57" s="206"/>
      <c r="Y57" s="206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</row>
    <row r="58" spans="1:54" s="147" customFormat="1" ht="80.099999999999994" customHeight="1" x14ac:dyDescent="0.5">
      <c r="A58" s="894"/>
      <c r="B58" s="426" t="s">
        <v>211</v>
      </c>
      <c r="C58" s="467"/>
      <c r="D58" s="162"/>
      <c r="E58" s="625"/>
      <c r="F58" s="162"/>
      <c r="G58" s="498" t="s">
        <v>349</v>
      </c>
      <c r="H58" s="368"/>
      <c r="I58" s="130"/>
      <c r="J58" s="130"/>
      <c r="K58" s="498" t="s">
        <v>349</v>
      </c>
      <c r="L58" s="150"/>
      <c r="M58" s="130"/>
      <c r="N58" s="130"/>
      <c r="O58" s="130"/>
      <c r="P58" s="130"/>
      <c r="Q58" s="211"/>
      <c r="R58" s="212" t="s">
        <v>467</v>
      </c>
      <c r="S58" s="130"/>
      <c r="T58" s="204" t="b">
        <v>0</v>
      </c>
      <c r="U58" s="130"/>
      <c r="V58" s="206"/>
      <c r="W58" s="206"/>
      <c r="X58" s="206"/>
      <c r="Y58" s="206"/>
      <c r="Z58" s="130"/>
      <c r="AA58" s="130"/>
      <c r="AB58" s="130"/>
      <c r="AC58" s="130"/>
      <c r="AD58" s="130"/>
      <c r="AE58" s="130"/>
      <c r="AF58" s="130"/>
      <c r="AG58" s="130"/>
      <c r="AH58" s="130"/>
      <c r="AI58" s="130"/>
      <c r="AJ58" s="130"/>
      <c r="AK58" s="130"/>
      <c r="AL58" s="130"/>
      <c r="AM58" s="130"/>
      <c r="AN58" s="130"/>
      <c r="AO58" s="130"/>
      <c r="AP58" s="130"/>
      <c r="AQ58" s="130"/>
      <c r="AR58" s="130"/>
      <c r="AS58" s="130"/>
      <c r="AT58" s="130"/>
      <c r="AU58" s="130"/>
      <c r="AV58" s="130"/>
      <c r="AW58" s="130"/>
      <c r="AX58" s="130"/>
      <c r="AY58" s="130"/>
      <c r="AZ58" s="130"/>
    </row>
    <row r="59" spans="1:54" s="147" customFormat="1" ht="80.099999999999994" customHeight="1" x14ac:dyDescent="0.5">
      <c r="A59" s="894"/>
      <c r="B59" s="426" t="s">
        <v>202</v>
      </c>
      <c r="C59" s="468"/>
      <c r="D59" s="162"/>
      <c r="E59" s="625"/>
      <c r="F59" s="162"/>
      <c r="G59" s="498" t="s">
        <v>203</v>
      </c>
      <c r="H59" s="368"/>
      <c r="I59" s="130"/>
      <c r="J59" s="130"/>
      <c r="K59" s="498" t="s">
        <v>203</v>
      </c>
      <c r="L59" s="150"/>
      <c r="M59" s="130"/>
      <c r="N59" s="130"/>
      <c r="O59" s="130"/>
      <c r="P59" s="130"/>
      <c r="Q59" s="211"/>
      <c r="R59" s="212" t="s">
        <v>467</v>
      </c>
      <c r="S59" s="130"/>
      <c r="T59" s="204" t="b">
        <v>0</v>
      </c>
      <c r="U59" s="130"/>
      <c r="V59" s="206"/>
      <c r="W59" s="206"/>
      <c r="X59" s="206"/>
      <c r="Y59" s="206"/>
      <c r="Z59" s="130"/>
      <c r="AA59" s="130"/>
      <c r="AB59" s="130"/>
      <c r="AC59" s="130"/>
      <c r="AD59" s="130"/>
      <c r="AE59" s="130"/>
      <c r="AF59" s="130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0"/>
      <c r="AX59" s="130"/>
      <c r="AY59" s="130"/>
      <c r="AZ59" s="130"/>
    </row>
    <row r="60" spans="1:54" s="147" customFormat="1" ht="80.099999999999994" customHeight="1" x14ac:dyDescent="0.5">
      <c r="A60" s="894"/>
      <c r="B60" s="426" t="s">
        <v>41</v>
      </c>
      <c r="C60" s="468"/>
      <c r="D60" s="162"/>
      <c r="E60" s="626"/>
      <c r="F60" s="162"/>
      <c r="G60" s="498" t="s">
        <v>204</v>
      </c>
      <c r="H60" s="368"/>
      <c r="I60" s="130"/>
      <c r="J60" s="130"/>
      <c r="K60" s="498" t="s">
        <v>204</v>
      </c>
      <c r="L60" s="150"/>
      <c r="M60" s="130"/>
      <c r="N60" s="130"/>
      <c r="O60" s="130"/>
      <c r="P60" s="130"/>
      <c r="Q60" s="211"/>
      <c r="R60" s="212" t="s">
        <v>467</v>
      </c>
      <c r="S60" s="130"/>
      <c r="T60" s="204" t="b">
        <v>0</v>
      </c>
      <c r="U60" s="130"/>
      <c r="V60" s="206"/>
      <c r="W60" s="206"/>
      <c r="X60" s="206"/>
      <c r="Y60" s="206"/>
      <c r="Z60" s="130"/>
      <c r="AA60" s="130"/>
      <c r="AB60" s="130"/>
      <c r="AC60" s="130"/>
      <c r="AD60" s="130"/>
      <c r="AE60" s="130"/>
      <c r="AF60" s="130"/>
      <c r="AG60" s="130"/>
      <c r="AH60" s="130"/>
      <c r="AI60" s="130"/>
      <c r="AJ60" s="130"/>
      <c r="AK60" s="130"/>
      <c r="AL60" s="130"/>
      <c r="AM60" s="130"/>
      <c r="AN60" s="130"/>
      <c r="AO60" s="130"/>
      <c r="AP60" s="130"/>
      <c r="AQ60" s="130"/>
      <c r="AR60" s="130"/>
      <c r="AS60" s="130"/>
      <c r="AT60" s="130"/>
      <c r="AU60" s="130"/>
      <c r="AV60" s="130"/>
      <c r="AW60" s="130"/>
      <c r="AX60" s="130"/>
      <c r="AY60" s="130"/>
      <c r="AZ60" s="130"/>
    </row>
    <row r="61" spans="1:54" s="147" customFormat="1" ht="80.099999999999994" customHeight="1" x14ac:dyDescent="0.5">
      <c r="A61" s="894"/>
      <c r="B61" s="426" t="s">
        <v>205</v>
      </c>
      <c r="C61" s="468"/>
      <c r="D61" s="162"/>
      <c r="E61" s="626"/>
      <c r="F61" s="162"/>
      <c r="G61" s="498" t="s">
        <v>206</v>
      </c>
      <c r="H61" s="368"/>
      <c r="I61" s="130"/>
      <c r="J61" s="130"/>
      <c r="K61" s="498" t="s">
        <v>206</v>
      </c>
      <c r="L61" s="150"/>
      <c r="M61" s="130"/>
      <c r="N61" s="130"/>
      <c r="O61" s="130"/>
      <c r="P61" s="130"/>
      <c r="Q61" s="211"/>
      <c r="R61" s="212" t="s">
        <v>467</v>
      </c>
      <c r="S61" s="130"/>
      <c r="T61" s="204" t="b">
        <v>0</v>
      </c>
      <c r="U61" s="130"/>
      <c r="V61" s="206"/>
      <c r="W61" s="206"/>
      <c r="X61" s="206"/>
      <c r="Y61" s="206"/>
      <c r="Z61" s="130"/>
      <c r="AA61" s="130"/>
      <c r="AB61" s="130"/>
      <c r="AC61" s="130"/>
      <c r="AD61" s="130"/>
      <c r="AE61" s="130"/>
      <c r="AF61" s="130"/>
      <c r="AG61" s="130"/>
      <c r="AH61" s="130"/>
      <c r="AI61" s="130"/>
      <c r="AJ61" s="130"/>
      <c r="AK61" s="130"/>
      <c r="AL61" s="130"/>
      <c r="AM61" s="130"/>
      <c r="AN61" s="130"/>
      <c r="AO61" s="130"/>
      <c r="AP61" s="130"/>
      <c r="AQ61" s="130"/>
      <c r="AR61" s="130"/>
      <c r="AS61" s="130"/>
      <c r="AT61" s="130"/>
      <c r="AU61" s="130"/>
      <c r="AV61" s="130"/>
      <c r="AW61" s="130"/>
      <c r="AX61" s="130"/>
      <c r="AY61" s="130"/>
      <c r="AZ61" s="130"/>
    </row>
    <row r="62" spans="1:54" s="147" customFormat="1" ht="80.099999999999994" customHeight="1" thickBot="1" x14ac:dyDescent="0.55000000000000004">
      <c r="A62" s="895"/>
      <c r="B62" s="427" t="s">
        <v>207</v>
      </c>
      <c r="C62" s="469"/>
      <c r="D62" s="162"/>
      <c r="E62" s="627"/>
      <c r="F62" s="162">
        <v>0</v>
      </c>
      <c r="G62" s="516" t="s">
        <v>208</v>
      </c>
      <c r="H62" s="369"/>
      <c r="I62" s="130"/>
      <c r="J62" s="130"/>
      <c r="K62" s="516" t="s">
        <v>208</v>
      </c>
      <c r="L62" s="150"/>
      <c r="M62" s="130"/>
      <c r="N62" s="130"/>
      <c r="O62" s="130"/>
      <c r="P62" s="130"/>
      <c r="Q62" s="211"/>
      <c r="R62" s="212" t="s">
        <v>467</v>
      </c>
      <c r="S62" s="130"/>
      <c r="T62" s="204" t="b">
        <v>0</v>
      </c>
      <c r="U62" s="130"/>
      <c r="V62" s="206"/>
      <c r="W62" s="206"/>
      <c r="X62" s="206"/>
      <c r="Y62" s="206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</row>
    <row r="63" spans="1:54" s="147" customFormat="1" ht="80.099999999999994" customHeight="1" x14ac:dyDescent="0.5">
      <c r="A63" s="896" t="s">
        <v>209</v>
      </c>
      <c r="B63" s="425" t="s">
        <v>319</v>
      </c>
      <c r="C63" s="467"/>
      <c r="D63" s="370">
        <v>0</v>
      </c>
      <c r="E63" s="628"/>
      <c r="F63" s="370">
        <v>0</v>
      </c>
      <c r="G63" s="515" t="s">
        <v>210</v>
      </c>
      <c r="H63" s="371"/>
      <c r="I63" s="130"/>
      <c r="J63" s="130"/>
      <c r="K63" s="515" t="s">
        <v>210</v>
      </c>
      <c r="L63" s="150"/>
      <c r="M63" s="130"/>
      <c r="N63" s="130"/>
      <c r="O63" s="130"/>
      <c r="P63" s="130"/>
      <c r="Q63" s="211"/>
      <c r="R63" s="212" t="s">
        <v>467</v>
      </c>
      <c r="S63" s="130"/>
      <c r="T63" s="204" t="b">
        <v>0</v>
      </c>
      <c r="U63" s="130"/>
      <c r="V63" s="206"/>
      <c r="W63" s="206"/>
      <c r="X63" s="206"/>
      <c r="Y63" s="206"/>
      <c r="Z63" s="130"/>
      <c r="AA63" s="130"/>
      <c r="AB63" s="130"/>
      <c r="AC63" s="130"/>
      <c r="AD63" s="130"/>
      <c r="AE63" s="130"/>
      <c r="AF63" s="130"/>
      <c r="AG63" s="130"/>
      <c r="AH63" s="130"/>
      <c r="AI63" s="130"/>
      <c r="AJ63" s="130"/>
      <c r="AK63" s="130"/>
      <c r="AL63" s="130"/>
      <c r="AM63" s="130"/>
      <c r="AN63" s="130"/>
      <c r="AO63" s="130"/>
      <c r="AP63" s="130"/>
      <c r="AQ63" s="130"/>
      <c r="AR63" s="130"/>
      <c r="AS63" s="130"/>
      <c r="AT63" s="130"/>
      <c r="AU63" s="130"/>
      <c r="AV63" s="130"/>
      <c r="AW63" s="130"/>
      <c r="AX63" s="130"/>
      <c r="AY63" s="130"/>
      <c r="AZ63" s="130"/>
    </row>
    <row r="64" spans="1:54" s="147" customFormat="1" ht="80.099999999999994" customHeight="1" x14ac:dyDescent="0.5">
      <c r="A64" s="897"/>
      <c r="B64" s="426" t="s">
        <v>320</v>
      </c>
      <c r="C64" s="468"/>
      <c r="D64" s="372">
        <v>0</v>
      </c>
      <c r="E64" s="629"/>
      <c r="F64" s="372">
        <v>0</v>
      </c>
      <c r="G64" s="498" t="s">
        <v>212</v>
      </c>
      <c r="H64" s="368"/>
      <c r="I64" s="130"/>
      <c r="J64" s="130"/>
      <c r="K64" s="498" t="s">
        <v>212</v>
      </c>
      <c r="L64" s="150"/>
      <c r="M64" s="130"/>
      <c r="N64" s="130"/>
      <c r="O64" s="130"/>
      <c r="P64" s="130"/>
      <c r="Q64" s="211"/>
      <c r="R64" s="212" t="s">
        <v>467</v>
      </c>
      <c r="S64" s="130"/>
      <c r="T64" s="204" t="b">
        <v>0</v>
      </c>
      <c r="U64" s="130"/>
      <c r="V64" s="206"/>
      <c r="W64" s="206"/>
      <c r="X64" s="206"/>
      <c r="Y64" s="206"/>
      <c r="Z64" s="130"/>
      <c r="AA64" s="130"/>
      <c r="AB64" s="130"/>
      <c r="AC64" s="130"/>
      <c r="AD64" s="130"/>
      <c r="AE64" s="130"/>
      <c r="AF64" s="130"/>
      <c r="AG64" s="130"/>
      <c r="AH64" s="130"/>
      <c r="AI64" s="130"/>
      <c r="AJ64" s="130"/>
      <c r="AK64" s="130"/>
      <c r="AL64" s="130"/>
      <c r="AM64" s="130"/>
      <c r="AN64" s="130"/>
      <c r="AO64" s="130"/>
      <c r="AP64" s="130"/>
      <c r="AQ64" s="130"/>
      <c r="AR64" s="130"/>
      <c r="AS64" s="130"/>
      <c r="AT64" s="130"/>
      <c r="AU64" s="130"/>
      <c r="AV64" s="130"/>
      <c r="AW64" s="130"/>
      <c r="AX64" s="130"/>
      <c r="AY64" s="130"/>
      <c r="AZ64" s="130"/>
    </row>
    <row r="65" spans="1:52" s="147" customFormat="1" ht="80.099999999999994" customHeight="1" x14ac:dyDescent="0.5">
      <c r="A65" s="897"/>
      <c r="B65" s="426" t="s">
        <v>321</v>
      </c>
      <c r="C65" s="468"/>
      <c r="D65" s="372">
        <v>0</v>
      </c>
      <c r="E65" s="630"/>
      <c r="F65" s="372">
        <v>0</v>
      </c>
      <c r="G65" s="498" t="s">
        <v>213</v>
      </c>
      <c r="H65" s="368"/>
      <c r="I65" s="130"/>
      <c r="J65" s="130"/>
      <c r="K65" s="498" t="s">
        <v>213</v>
      </c>
      <c r="L65" s="150"/>
      <c r="M65" s="130"/>
      <c r="N65" s="130"/>
      <c r="O65" s="130"/>
      <c r="P65" s="130"/>
      <c r="Q65" s="211"/>
      <c r="R65" s="212" t="s">
        <v>467</v>
      </c>
      <c r="S65" s="130"/>
      <c r="T65" s="204" t="b">
        <v>0</v>
      </c>
      <c r="U65" s="130"/>
      <c r="V65" s="206"/>
      <c r="W65" s="206"/>
      <c r="X65" s="206"/>
      <c r="Y65" s="206"/>
      <c r="Z65" s="130"/>
      <c r="AA65" s="130"/>
      <c r="AB65" s="130"/>
      <c r="AC65" s="130"/>
      <c r="AD65" s="130"/>
      <c r="AE65" s="130"/>
      <c r="AF65" s="130"/>
      <c r="AG65" s="130"/>
      <c r="AH65" s="130"/>
      <c r="AI65" s="130"/>
      <c r="AJ65" s="130"/>
      <c r="AK65" s="130"/>
      <c r="AL65" s="130"/>
      <c r="AM65" s="130"/>
      <c r="AN65" s="130"/>
      <c r="AO65" s="130"/>
      <c r="AP65" s="130"/>
      <c r="AQ65" s="130"/>
      <c r="AR65" s="130"/>
      <c r="AS65" s="130"/>
      <c r="AT65" s="130"/>
      <c r="AU65" s="130"/>
      <c r="AV65" s="130"/>
      <c r="AW65" s="130"/>
      <c r="AX65" s="130"/>
      <c r="AY65" s="130"/>
      <c r="AZ65" s="130"/>
    </row>
    <row r="66" spans="1:52" s="147" customFormat="1" ht="80.099999999999994" customHeight="1" x14ac:dyDescent="0.5">
      <c r="A66" s="897"/>
      <c r="B66" s="426" t="s">
        <v>322</v>
      </c>
      <c r="C66" s="468"/>
      <c r="D66" s="372">
        <v>0</v>
      </c>
      <c r="E66" s="630"/>
      <c r="F66" s="372">
        <v>0</v>
      </c>
      <c r="G66" s="498" t="s">
        <v>214</v>
      </c>
      <c r="H66" s="368"/>
      <c r="I66" s="130"/>
      <c r="J66" s="130"/>
      <c r="K66" s="498" t="s">
        <v>214</v>
      </c>
      <c r="L66" s="150"/>
      <c r="M66" s="130"/>
      <c r="N66" s="130"/>
      <c r="O66" s="130"/>
      <c r="P66" s="130"/>
      <c r="Q66" s="211"/>
      <c r="R66" s="212" t="s">
        <v>467</v>
      </c>
      <c r="S66" s="130"/>
      <c r="T66" s="204" t="b">
        <v>0</v>
      </c>
      <c r="U66" s="130"/>
      <c r="V66" s="206"/>
      <c r="W66" s="206"/>
      <c r="X66" s="206"/>
      <c r="Y66" s="206"/>
      <c r="Z66" s="130"/>
      <c r="AA66" s="130"/>
      <c r="AB66" s="130"/>
      <c r="AC66" s="130"/>
      <c r="AD66" s="130"/>
      <c r="AE66" s="130"/>
      <c r="AF66" s="130"/>
      <c r="AG66" s="130"/>
      <c r="AH66" s="130"/>
      <c r="AI66" s="130"/>
      <c r="AJ66" s="130"/>
      <c r="AK66" s="130"/>
      <c r="AL66" s="130"/>
      <c r="AM66" s="130"/>
      <c r="AN66" s="130"/>
      <c r="AO66" s="130"/>
      <c r="AP66" s="130"/>
      <c r="AQ66" s="130"/>
      <c r="AR66" s="130"/>
      <c r="AS66" s="130"/>
      <c r="AT66" s="130"/>
      <c r="AU66" s="130"/>
      <c r="AV66" s="130"/>
      <c r="AW66" s="130"/>
      <c r="AX66" s="130"/>
      <c r="AY66" s="130"/>
      <c r="AZ66" s="130"/>
    </row>
    <row r="67" spans="1:52" s="147" customFormat="1" ht="80.099999999999994" customHeight="1" x14ac:dyDescent="0.5">
      <c r="A67" s="897"/>
      <c r="B67" s="426" t="s">
        <v>317</v>
      </c>
      <c r="C67" s="468"/>
      <c r="D67" s="372"/>
      <c r="E67" s="630"/>
      <c r="F67" s="372"/>
      <c r="G67" s="498" t="s">
        <v>350</v>
      </c>
      <c r="H67" s="368"/>
      <c r="I67" s="130"/>
      <c r="J67" s="130"/>
      <c r="K67" s="498" t="s">
        <v>350</v>
      </c>
      <c r="L67" s="150"/>
      <c r="M67" s="130"/>
      <c r="N67" s="130"/>
      <c r="O67" s="130"/>
      <c r="P67" s="130"/>
      <c r="Q67" s="211"/>
      <c r="R67" s="212" t="s">
        <v>467</v>
      </c>
      <c r="S67" s="130"/>
      <c r="T67" s="204" t="b">
        <v>0</v>
      </c>
      <c r="U67" s="130"/>
      <c r="V67" s="206"/>
      <c r="W67" s="206"/>
      <c r="X67" s="206"/>
      <c r="Y67" s="206"/>
      <c r="Z67" s="130"/>
      <c r="AA67" s="130"/>
      <c r="AB67" s="130"/>
      <c r="AC67" s="130"/>
      <c r="AD67" s="130"/>
      <c r="AE67" s="130"/>
      <c r="AF67" s="130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</row>
    <row r="68" spans="1:52" s="147" customFormat="1" ht="80.099999999999994" customHeight="1" x14ac:dyDescent="0.5">
      <c r="A68" s="897"/>
      <c r="B68" s="426" t="s">
        <v>699</v>
      </c>
      <c r="C68" s="468"/>
      <c r="D68" s="372"/>
      <c r="E68" s="630"/>
      <c r="F68" s="372"/>
      <c r="G68" s="498" t="s">
        <v>352</v>
      </c>
      <c r="H68" s="368"/>
      <c r="I68" s="130"/>
      <c r="J68" s="130"/>
      <c r="K68" s="498" t="s">
        <v>352</v>
      </c>
      <c r="L68" s="150"/>
      <c r="M68" s="130"/>
      <c r="N68" s="130"/>
      <c r="O68" s="130"/>
      <c r="P68" s="130"/>
      <c r="Q68" s="211"/>
      <c r="R68" s="212" t="s">
        <v>467</v>
      </c>
      <c r="S68" s="130"/>
      <c r="T68" s="204" t="b">
        <v>0</v>
      </c>
      <c r="U68" s="130"/>
      <c r="V68" s="206"/>
      <c r="W68" s="206"/>
      <c r="X68" s="206"/>
      <c r="Y68" s="206"/>
      <c r="Z68" s="130"/>
      <c r="AA68" s="130"/>
      <c r="AB68" s="130"/>
      <c r="AC68" s="130"/>
      <c r="AD68" s="130"/>
      <c r="AE68" s="130"/>
      <c r="AF68" s="130"/>
      <c r="AG68" s="130"/>
      <c r="AH68" s="130"/>
      <c r="AI68" s="130"/>
      <c r="AJ68" s="130"/>
      <c r="AK68" s="130"/>
      <c r="AL68" s="130"/>
      <c r="AM68" s="130"/>
      <c r="AN68" s="130"/>
      <c r="AO68" s="130"/>
      <c r="AP68" s="130"/>
      <c r="AQ68" s="130"/>
      <c r="AR68" s="130"/>
      <c r="AS68" s="130"/>
      <c r="AT68" s="130"/>
      <c r="AU68" s="130"/>
      <c r="AV68" s="130"/>
      <c r="AW68" s="130"/>
      <c r="AX68" s="130"/>
      <c r="AY68" s="130"/>
      <c r="AZ68" s="130"/>
    </row>
    <row r="69" spans="1:52" s="147" customFormat="1" ht="80.099999999999994" customHeight="1" thickBot="1" x14ac:dyDescent="0.55000000000000004">
      <c r="A69" s="898"/>
      <c r="B69" s="427" t="s">
        <v>318</v>
      </c>
      <c r="C69" s="469"/>
      <c r="D69" s="373"/>
      <c r="E69" s="631"/>
      <c r="F69" s="373"/>
      <c r="G69" s="517" t="s">
        <v>351</v>
      </c>
      <c r="H69" s="369"/>
      <c r="I69" s="130"/>
      <c r="J69" s="130"/>
      <c r="K69" s="517" t="s">
        <v>351</v>
      </c>
      <c r="L69" s="150"/>
      <c r="M69" s="130"/>
      <c r="N69" s="130"/>
      <c r="O69" s="130"/>
      <c r="P69" s="130"/>
      <c r="Q69" s="211"/>
      <c r="R69" s="212" t="s">
        <v>467</v>
      </c>
      <c r="S69" s="130"/>
      <c r="T69" s="204" t="b">
        <v>0</v>
      </c>
      <c r="U69" s="130"/>
      <c r="V69" s="206"/>
      <c r="W69" s="206"/>
      <c r="X69" s="206"/>
      <c r="Y69" s="206"/>
      <c r="Z69" s="130"/>
      <c r="AA69" s="130"/>
      <c r="AB69" s="130"/>
      <c r="AC69" s="130"/>
      <c r="AD69" s="130"/>
      <c r="AE69" s="130"/>
      <c r="AF69" s="130"/>
      <c r="AG69" s="130"/>
      <c r="AH69" s="130"/>
      <c r="AI69" s="130"/>
      <c r="AJ69" s="130"/>
      <c r="AK69" s="130"/>
      <c r="AL69" s="130"/>
      <c r="AM69" s="130"/>
      <c r="AN69" s="130"/>
      <c r="AO69" s="130"/>
      <c r="AP69" s="130"/>
      <c r="AQ69" s="130"/>
      <c r="AR69" s="130"/>
      <c r="AS69" s="130"/>
      <c r="AT69" s="130"/>
      <c r="AU69" s="130"/>
      <c r="AV69" s="130"/>
      <c r="AW69" s="130"/>
      <c r="AX69" s="130"/>
      <c r="AY69" s="130"/>
      <c r="AZ69" s="130"/>
    </row>
    <row r="70" spans="1:52" s="147" customFormat="1" ht="80.099999999999994" customHeight="1" x14ac:dyDescent="0.5">
      <c r="A70" s="896" t="s">
        <v>215</v>
      </c>
      <c r="B70" s="425" t="s">
        <v>216</v>
      </c>
      <c r="C70" s="467"/>
      <c r="D70" s="374"/>
      <c r="E70" s="628"/>
      <c r="F70" s="374"/>
      <c r="G70" s="518" t="s">
        <v>217</v>
      </c>
      <c r="H70" s="371"/>
      <c r="I70" s="130"/>
      <c r="J70" s="130"/>
      <c r="K70" s="518" t="s">
        <v>217</v>
      </c>
      <c r="L70" s="150"/>
      <c r="M70" s="130"/>
      <c r="N70" s="130"/>
      <c r="O70" s="130"/>
      <c r="P70" s="130"/>
      <c r="Q70" s="211"/>
      <c r="R70" s="212" t="s">
        <v>467</v>
      </c>
      <c r="S70" s="130"/>
      <c r="T70" s="204" t="b">
        <v>0</v>
      </c>
      <c r="U70" s="130"/>
      <c r="V70" s="206"/>
      <c r="W70" s="206"/>
      <c r="X70" s="206"/>
      <c r="Y70" s="206"/>
      <c r="Z70" s="130"/>
      <c r="AA70" s="130"/>
      <c r="AB70" s="130"/>
      <c r="AC70" s="130"/>
      <c r="AD70" s="130"/>
      <c r="AE70" s="130"/>
      <c r="AF70" s="130"/>
      <c r="AG70" s="130"/>
      <c r="AH70" s="130"/>
      <c r="AI70" s="130"/>
      <c r="AJ70" s="130"/>
      <c r="AK70" s="130"/>
      <c r="AL70" s="130"/>
      <c r="AM70" s="130"/>
      <c r="AN70" s="130"/>
      <c r="AO70" s="130"/>
      <c r="AP70" s="130"/>
      <c r="AQ70" s="130"/>
      <c r="AR70" s="130"/>
      <c r="AS70" s="130"/>
      <c r="AT70" s="130"/>
      <c r="AU70" s="130"/>
      <c r="AV70" s="130"/>
      <c r="AW70" s="130"/>
      <c r="AX70" s="130"/>
      <c r="AY70" s="130"/>
      <c r="AZ70" s="130"/>
    </row>
    <row r="71" spans="1:52" s="147" customFormat="1" ht="80.099999999999994" customHeight="1" x14ac:dyDescent="0.5">
      <c r="A71" s="897"/>
      <c r="B71" s="426" t="s">
        <v>218</v>
      </c>
      <c r="C71" s="468"/>
      <c r="D71" s="372"/>
      <c r="E71" s="629"/>
      <c r="F71" s="372"/>
      <c r="G71" s="498" t="s">
        <v>219</v>
      </c>
      <c r="H71" s="368"/>
      <c r="I71" s="130"/>
      <c r="J71" s="130"/>
      <c r="K71" s="498" t="s">
        <v>219</v>
      </c>
      <c r="L71" s="150"/>
      <c r="M71" s="130"/>
      <c r="N71" s="130"/>
      <c r="O71" s="130"/>
      <c r="P71" s="130"/>
      <c r="Q71" s="211"/>
      <c r="R71" s="212" t="s">
        <v>467</v>
      </c>
      <c r="S71" s="130"/>
      <c r="T71" s="204" t="b">
        <v>0</v>
      </c>
      <c r="U71" s="130"/>
      <c r="V71" s="206"/>
      <c r="W71" s="206"/>
      <c r="X71" s="206"/>
      <c r="Y71" s="206"/>
      <c r="Z71" s="130"/>
      <c r="AA71" s="130"/>
      <c r="AB71" s="130"/>
      <c r="AC71" s="130"/>
      <c r="AD71" s="130"/>
      <c r="AE71" s="130"/>
      <c r="AF71" s="130"/>
      <c r="AG71" s="130"/>
      <c r="AH71" s="130"/>
      <c r="AI71" s="130"/>
      <c r="AJ71" s="130"/>
      <c r="AK71" s="130"/>
      <c r="AL71" s="130"/>
      <c r="AM71" s="130"/>
      <c r="AN71" s="130"/>
      <c r="AO71" s="130"/>
      <c r="AP71" s="130"/>
      <c r="AQ71" s="130"/>
      <c r="AR71" s="130"/>
      <c r="AS71" s="130"/>
      <c r="AT71" s="130"/>
      <c r="AU71" s="130"/>
      <c r="AV71" s="130"/>
      <c r="AW71" s="130"/>
      <c r="AX71" s="130"/>
      <c r="AY71" s="130"/>
      <c r="AZ71" s="130"/>
    </row>
    <row r="72" spans="1:52" s="147" customFormat="1" ht="80.099999999999994" customHeight="1" x14ac:dyDescent="0.5">
      <c r="A72" s="897"/>
      <c r="B72" s="426" t="s">
        <v>317</v>
      </c>
      <c r="C72" s="468"/>
      <c r="D72" s="372">
        <v>0</v>
      </c>
      <c r="E72" s="630"/>
      <c r="F72" s="372">
        <v>0</v>
      </c>
      <c r="G72" s="498" t="s">
        <v>220</v>
      </c>
      <c r="H72" s="368"/>
      <c r="I72" s="130"/>
      <c r="J72" s="130"/>
      <c r="K72" s="498" t="s">
        <v>220</v>
      </c>
      <c r="L72" s="150"/>
      <c r="M72" s="130"/>
      <c r="N72" s="130"/>
      <c r="O72" s="130"/>
      <c r="P72" s="130"/>
      <c r="Q72" s="211"/>
      <c r="R72" s="212" t="s">
        <v>467</v>
      </c>
      <c r="S72" s="130"/>
      <c r="T72" s="204" t="b">
        <v>0</v>
      </c>
      <c r="U72" s="130"/>
      <c r="V72" s="206"/>
      <c r="W72" s="206"/>
      <c r="X72" s="206"/>
      <c r="Y72" s="206"/>
      <c r="Z72" s="130"/>
      <c r="AA72" s="130"/>
      <c r="AB72" s="130"/>
      <c r="AC72" s="130"/>
      <c r="AD72" s="130"/>
      <c r="AE72" s="130"/>
      <c r="AF72" s="130"/>
      <c r="AG72" s="130"/>
      <c r="AH72" s="130"/>
      <c r="AI72" s="130"/>
      <c r="AJ72" s="130"/>
      <c r="AK72" s="130"/>
      <c r="AL72" s="130"/>
      <c r="AM72" s="130"/>
      <c r="AN72" s="130"/>
      <c r="AO72" s="130"/>
      <c r="AP72" s="130"/>
      <c r="AQ72" s="130"/>
      <c r="AR72" s="130"/>
      <c r="AS72" s="130"/>
      <c r="AT72" s="130"/>
      <c r="AU72" s="130"/>
      <c r="AV72" s="130"/>
      <c r="AW72" s="130"/>
      <c r="AX72" s="130"/>
      <c r="AY72" s="130"/>
      <c r="AZ72" s="130"/>
    </row>
    <row r="73" spans="1:52" s="147" customFormat="1" ht="80.099999999999994" customHeight="1" x14ac:dyDescent="0.5">
      <c r="A73" s="897"/>
      <c r="B73" s="426" t="s">
        <v>479</v>
      </c>
      <c r="C73" s="468"/>
      <c r="D73" s="372"/>
      <c r="E73" s="630"/>
      <c r="F73" s="372"/>
      <c r="G73" s="498" t="s">
        <v>221</v>
      </c>
      <c r="H73" s="368"/>
      <c r="I73" s="130"/>
      <c r="J73" s="130"/>
      <c r="K73" s="498" t="s">
        <v>221</v>
      </c>
      <c r="L73" s="150"/>
      <c r="M73" s="130"/>
      <c r="N73" s="130"/>
      <c r="O73" s="130"/>
      <c r="P73" s="130"/>
      <c r="Q73" s="211"/>
      <c r="R73" s="212" t="s">
        <v>467</v>
      </c>
      <c r="S73" s="130"/>
      <c r="T73" s="204" t="b">
        <v>0</v>
      </c>
      <c r="U73" s="130"/>
      <c r="V73" s="206"/>
      <c r="W73" s="206"/>
      <c r="X73" s="206"/>
      <c r="Y73" s="206"/>
      <c r="Z73" s="130"/>
      <c r="AA73" s="130"/>
      <c r="AB73" s="130"/>
      <c r="AC73" s="130"/>
      <c r="AD73" s="130"/>
      <c r="AE73" s="130"/>
      <c r="AF73" s="130"/>
      <c r="AG73" s="130"/>
      <c r="AH73" s="130"/>
      <c r="AI73" s="130"/>
      <c r="AJ73" s="130"/>
      <c r="AK73" s="130"/>
      <c r="AL73" s="130"/>
      <c r="AM73" s="130"/>
      <c r="AN73" s="130"/>
      <c r="AO73" s="130"/>
      <c r="AP73" s="130"/>
      <c r="AQ73" s="130"/>
      <c r="AR73" s="130"/>
      <c r="AS73" s="130"/>
      <c r="AT73" s="130"/>
      <c r="AU73" s="130"/>
      <c r="AV73" s="130"/>
      <c r="AW73" s="130"/>
      <c r="AX73" s="130"/>
      <c r="AY73" s="130"/>
      <c r="AZ73" s="130"/>
    </row>
    <row r="74" spans="1:52" s="147" customFormat="1" ht="80.099999999999994" customHeight="1" x14ac:dyDescent="0.5">
      <c r="A74" s="897"/>
      <c r="B74" s="426" t="s">
        <v>480</v>
      </c>
      <c r="C74" s="468"/>
      <c r="D74" s="372">
        <v>0</v>
      </c>
      <c r="E74" s="862"/>
      <c r="F74" s="372">
        <v>0</v>
      </c>
      <c r="G74" s="498" t="s">
        <v>222</v>
      </c>
      <c r="H74" s="368"/>
      <c r="I74" s="130"/>
      <c r="J74" s="130"/>
      <c r="K74" s="498" t="s">
        <v>222</v>
      </c>
      <c r="L74" s="150"/>
      <c r="M74" s="130"/>
      <c r="N74" s="130"/>
      <c r="O74" s="130"/>
      <c r="P74" s="130"/>
      <c r="Q74" s="211"/>
      <c r="R74" s="212" t="s">
        <v>467</v>
      </c>
      <c r="S74" s="130"/>
      <c r="T74" s="204" t="b">
        <v>0</v>
      </c>
      <c r="U74" s="130"/>
      <c r="V74" s="206"/>
      <c r="W74" s="206"/>
      <c r="X74" s="206"/>
      <c r="Y74" s="206"/>
      <c r="Z74" s="130"/>
      <c r="AA74" s="130"/>
      <c r="AB74" s="130"/>
      <c r="AC74" s="130"/>
      <c r="AD74" s="130"/>
      <c r="AE74" s="130"/>
      <c r="AF74" s="130"/>
      <c r="AG74" s="130"/>
      <c r="AH74" s="130"/>
      <c r="AI74" s="130"/>
      <c r="AJ74" s="130"/>
      <c r="AK74" s="130"/>
      <c r="AL74" s="130"/>
      <c r="AM74" s="130"/>
      <c r="AN74" s="130"/>
      <c r="AO74" s="130"/>
      <c r="AP74" s="130"/>
      <c r="AQ74" s="130"/>
      <c r="AR74" s="130"/>
      <c r="AS74" s="130"/>
      <c r="AT74" s="130"/>
      <c r="AU74" s="130"/>
      <c r="AV74" s="130"/>
      <c r="AW74" s="130"/>
      <c r="AX74" s="130"/>
      <c r="AY74" s="130"/>
      <c r="AZ74" s="130"/>
    </row>
    <row r="75" spans="1:52" s="147" customFormat="1" ht="80.099999999999994" customHeight="1" thickBot="1" x14ac:dyDescent="0.55000000000000004">
      <c r="A75" s="898"/>
      <c r="B75" s="427" t="s">
        <v>481</v>
      </c>
      <c r="C75" s="470"/>
      <c r="D75" s="863"/>
      <c r="E75" s="869"/>
      <c r="F75" s="864"/>
      <c r="G75" s="517" t="s">
        <v>223</v>
      </c>
      <c r="H75" s="376"/>
      <c r="I75" s="130"/>
      <c r="J75" s="130"/>
      <c r="K75" s="517" t="s">
        <v>223</v>
      </c>
      <c r="L75" s="150"/>
      <c r="M75" s="130"/>
      <c r="N75" s="130"/>
      <c r="O75" s="130"/>
      <c r="P75" s="130"/>
      <c r="Q75" s="211"/>
      <c r="R75" s="212" t="s">
        <v>467</v>
      </c>
      <c r="S75" s="130"/>
      <c r="T75" s="204" t="b">
        <v>0</v>
      </c>
      <c r="U75" s="130"/>
      <c r="V75" s="206"/>
      <c r="W75" s="206"/>
      <c r="X75" s="206"/>
      <c r="Y75" s="206"/>
      <c r="Z75" s="130"/>
      <c r="AA75" s="130"/>
      <c r="AB75" s="130"/>
      <c r="AC75" s="130"/>
      <c r="AD75" s="130"/>
      <c r="AE75" s="130"/>
      <c r="AF75" s="130"/>
      <c r="AG75" s="130"/>
      <c r="AH75" s="130"/>
      <c r="AI75" s="130"/>
      <c r="AJ75" s="130"/>
      <c r="AK75" s="130"/>
      <c r="AL75" s="130"/>
      <c r="AM75" s="130"/>
      <c r="AN75" s="130"/>
      <c r="AO75" s="130"/>
      <c r="AP75" s="130"/>
      <c r="AQ75" s="130"/>
      <c r="AR75" s="130"/>
      <c r="AS75" s="130"/>
      <c r="AT75" s="130"/>
      <c r="AU75" s="130"/>
      <c r="AV75" s="130"/>
      <c r="AW75" s="130"/>
      <c r="AX75" s="130"/>
      <c r="AY75" s="130"/>
      <c r="AZ75" s="130"/>
    </row>
    <row r="76" spans="1:52" s="147" customFormat="1" ht="80.099999999999994" customHeight="1" x14ac:dyDescent="0.5">
      <c r="A76" s="904" t="s">
        <v>224</v>
      </c>
      <c r="B76" s="425" t="s">
        <v>621</v>
      </c>
      <c r="C76" s="466" t="s">
        <v>403</v>
      </c>
      <c r="D76" s="859">
        <v>0</v>
      </c>
      <c r="E76" s="868"/>
      <c r="F76" s="860">
        <v>0</v>
      </c>
      <c r="G76" s="518" t="s">
        <v>404</v>
      </c>
      <c r="H76" s="367"/>
      <c r="I76" s="130"/>
      <c r="J76" s="130"/>
      <c r="K76" s="518" t="s">
        <v>404</v>
      </c>
      <c r="L76" s="150"/>
      <c r="M76" s="130"/>
      <c r="N76" s="130"/>
      <c r="O76" s="130"/>
      <c r="P76" s="130"/>
      <c r="Q76" s="211"/>
      <c r="R76" s="212" t="s">
        <v>467</v>
      </c>
      <c r="S76" s="130"/>
      <c r="T76" s="204" t="b">
        <v>0</v>
      </c>
      <c r="U76" s="130"/>
      <c r="V76" s="206"/>
      <c r="W76" s="206"/>
      <c r="X76" s="206"/>
      <c r="Y76" s="206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</row>
    <row r="77" spans="1:52" s="147" customFormat="1" ht="80.099999999999994" customHeight="1" x14ac:dyDescent="0.5">
      <c r="A77" s="905"/>
      <c r="B77" s="426" t="s">
        <v>323</v>
      </c>
      <c r="C77" s="468"/>
      <c r="D77" s="377">
        <v>0</v>
      </c>
      <c r="E77" s="867"/>
      <c r="F77" s="861">
        <v>0</v>
      </c>
      <c r="G77" s="498" t="s">
        <v>225</v>
      </c>
      <c r="H77" s="368"/>
      <c r="I77" s="130"/>
      <c r="J77" s="130"/>
      <c r="K77" s="498" t="s">
        <v>225</v>
      </c>
      <c r="L77" s="150"/>
      <c r="M77" s="130"/>
      <c r="N77" s="130"/>
      <c r="O77" s="130"/>
      <c r="P77" s="130"/>
      <c r="Q77" s="211"/>
      <c r="R77" s="212" t="s">
        <v>467</v>
      </c>
      <c r="S77" s="130"/>
      <c r="T77" s="204" t="b">
        <v>0</v>
      </c>
      <c r="U77" s="130"/>
      <c r="V77" s="206">
        <f>E76*E$43</f>
        <v>0</v>
      </c>
      <c r="W77" s="206"/>
      <c r="X77" s="206"/>
      <c r="Y77" s="206">
        <f>E76*E$43</f>
        <v>0</v>
      </c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130"/>
      <c r="AK77" s="130"/>
      <c r="AL77" s="130"/>
      <c r="AM77" s="130"/>
      <c r="AN77" s="130"/>
      <c r="AO77" s="130"/>
      <c r="AP77" s="130"/>
      <c r="AQ77" s="130"/>
      <c r="AR77" s="130"/>
      <c r="AS77" s="130"/>
      <c r="AT77" s="130"/>
      <c r="AU77" s="130"/>
      <c r="AV77" s="130"/>
      <c r="AW77" s="130"/>
      <c r="AX77" s="130"/>
      <c r="AY77" s="130"/>
      <c r="AZ77" s="130"/>
    </row>
    <row r="78" spans="1:52" s="147" customFormat="1" ht="80.099999999999994" customHeight="1" x14ac:dyDescent="0.5">
      <c r="A78" s="905"/>
      <c r="B78" s="426" t="s">
        <v>482</v>
      </c>
      <c r="C78" s="468"/>
      <c r="D78" s="377">
        <v>0</v>
      </c>
      <c r="E78" s="867"/>
      <c r="F78" s="865">
        <v>0</v>
      </c>
      <c r="G78" s="498" t="s">
        <v>226</v>
      </c>
      <c r="H78" s="368"/>
      <c r="I78" s="130"/>
      <c r="J78" s="130"/>
      <c r="K78" s="498" t="s">
        <v>226</v>
      </c>
      <c r="L78" s="150"/>
      <c r="M78" s="130"/>
      <c r="N78" s="130"/>
      <c r="O78" s="130"/>
      <c r="P78" s="130"/>
      <c r="Q78" s="211"/>
      <c r="R78" s="212" t="s">
        <v>467</v>
      </c>
      <c r="S78" s="130"/>
      <c r="T78" s="204" t="b">
        <v>0</v>
      </c>
      <c r="U78" s="130"/>
      <c r="V78" s="206"/>
      <c r="W78" s="206"/>
      <c r="X78" s="206"/>
      <c r="Y78" s="206"/>
      <c r="Z78" s="130"/>
      <c r="AA78" s="130"/>
      <c r="AB78" s="130"/>
      <c r="AC78" s="130"/>
      <c r="AD78" s="130"/>
      <c r="AE78" s="130"/>
      <c r="AF78" s="130"/>
      <c r="AG78" s="130"/>
      <c r="AH78" s="130"/>
      <c r="AI78" s="130"/>
      <c r="AJ78" s="130"/>
      <c r="AK78" s="130"/>
      <c r="AL78" s="130"/>
      <c r="AM78" s="130"/>
      <c r="AN78" s="130"/>
      <c r="AO78" s="130"/>
      <c r="AP78" s="130"/>
      <c r="AQ78" s="130"/>
      <c r="AR78" s="130"/>
      <c r="AS78" s="130"/>
      <c r="AT78" s="130"/>
      <c r="AU78" s="130"/>
      <c r="AV78" s="130"/>
      <c r="AW78" s="130"/>
      <c r="AX78" s="130"/>
      <c r="AY78" s="130"/>
      <c r="AZ78" s="130"/>
    </row>
    <row r="79" spans="1:52" s="147" customFormat="1" ht="80.099999999999994" customHeight="1" x14ac:dyDescent="0.5">
      <c r="A79" s="905"/>
      <c r="B79" s="426" t="s">
        <v>622</v>
      </c>
      <c r="C79" s="468" t="s">
        <v>405</v>
      </c>
      <c r="D79" s="372">
        <v>0</v>
      </c>
      <c r="E79" s="866"/>
      <c r="F79" s="372">
        <v>0</v>
      </c>
      <c r="G79" s="498" t="s">
        <v>406</v>
      </c>
      <c r="H79" s="368"/>
      <c r="I79" s="130"/>
      <c r="J79" s="130"/>
      <c r="K79" s="498" t="s">
        <v>406</v>
      </c>
      <c r="L79" s="150"/>
      <c r="M79" s="130"/>
      <c r="N79" s="130"/>
      <c r="O79" s="130"/>
      <c r="P79" s="130"/>
      <c r="Q79" s="211"/>
      <c r="R79" s="212" t="s">
        <v>467</v>
      </c>
      <c r="S79" s="130"/>
      <c r="T79" s="204" t="b">
        <v>0</v>
      </c>
      <c r="U79" s="130"/>
      <c r="V79" s="206"/>
      <c r="W79" s="206"/>
      <c r="X79" s="206"/>
      <c r="Y79" s="206"/>
      <c r="Z79" s="130"/>
      <c r="AA79" s="130"/>
      <c r="AB79" s="130"/>
      <c r="AC79" s="130"/>
      <c r="AD79" s="130"/>
      <c r="AE79" s="130"/>
      <c r="AF79" s="130"/>
      <c r="AG79" s="130"/>
      <c r="AH79" s="130"/>
      <c r="AI79" s="130"/>
      <c r="AJ79" s="130"/>
      <c r="AK79" s="130"/>
      <c r="AL79" s="130"/>
      <c r="AM79" s="130"/>
      <c r="AN79" s="130"/>
      <c r="AO79" s="130"/>
      <c r="AP79" s="130"/>
      <c r="AQ79" s="130"/>
      <c r="AR79" s="130"/>
      <c r="AS79" s="130"/>
      <c r="AT79" s="130"/>
      <c r="AU79" s="130"/>
      <c r="AV79" s="130"/>
      <c r="AW79" s="130"/>
      <c r="AX79" s="130"/>
      <c r="AY79" s="130"/>
      <c r="AZ79" s="130"/>
    </row>
    <row r="80" spans="1:52" s="147" customFormat="1" ht="80.099999999999994" customHeight="1" x14ac:dyDescent="0.5">
      <c r="A80" s="905"/>
      <c r="B80" s="426" t="s">
        <v>324</v>
      </c>
      <c r="C80" s="468"/>
      <c r="D80" s="377">
        <v>0</v>
      </c>
      <c r="E80" s="630"/>
      <c r="F80" s="377">
        <v>0</v>
      </c>
      <c r="G80" s="498" t="s">
        <v>227</v>
      </c>
      <c r="H80" s="368"/>
      <c r="I80" s="130"/>
      <c r="J80" s="130"/>
      <c r="K80" s="498" t="s">
        <v>227</v>
      </c>
      <c r="L80" s="150"/>
      <c r="M80" s="130"/>
      <c r="N80" s="130"/>
      <c r="O80" s="130"/>
      <c r="P80" s="130"/>
      <c r="Q80" s="211"/>
      <c r="R80" s="212" t="s">
        <v>467</v>
      </c>
      <c r="S80" s="130"/>
      <c r="T80" s="204" t="b">
        <v>0</v>
      </c>
      <c r="U80" s="130"/>
      <c r="V80" s="206">
        <f>E79*E$43</f>
        <v>0</v>
      </c>
      <c r="W80" s="206"/>
      <c r="X80" s="206"/>
      <c r="Y80" s="206">
        <f>E79*E$43</f>
        <v>0</v>
      </c>
      <c r="Z80" s="130"/>
      <c r="AA80" s="130"/>
      <c r="AB80" s="130"/>
      <c r="AC80" s="130"/>
      <c r="AD80" s="130"/>
      <c r="AE80" s="130"/>
      <c r="AF80" s="130"/>
      <c r="AG80" s="130"/>
      <c r="AH80" s="130"/>
      <c r="AI80" s="130"/>
      <c r="AJ80" s="130"/>
      <c r="AK80" s="130"/>
      <c r="AL80" s="130"/>
      <c r="AM80" s="130"/>
      <c r="AN80" s="130"/>
      <c r="AO80" s="130"/>
      <c r="AP80" s="130"/>
      <c r="AQ80" s="130"/>
      <c r="AR80" s="130"/>
      <c r="AS80" s="130"/>
      <c r="AT80" s="130"/>
      <c r="AU80" s="130"/>
      <c r="AV80" s="130"/>
      <c r="AW80" s="130"/>
      <c r="AX80" s="130"/>
      <c r="AY80" s="130"/>
      <c r="AZ80" s="130"/>
    </row>
    <row r="81" spans="1:52" s="147" customFormat="1" ht="80.099999999999994" customHeight="1" thickBot="1" x14ac:dyDescent="0.55000000000000004">
      <c r="A81" s="906"/>
      <c r="B81" s="427" t="s">
        <v>325</v>
      </c>
      <c r="C81" s="470"/>
      <c r="D81" s="375">
        <v>0</v>
      </c>
      <c r="E81" s="808"/>
      <c r="F81" s="375">
        <v>0</v>
      </c>
      <c r="G81" s="516" t="s">
        <v>228</v>
      </c>
      <c r="H81" s="376"/>
      <c r="I81" s="130"/>
      <c r="J81" s="130"/>
      <c r="K81" s="516" t="s">
        <v>228</v>
      </c>
      <c r="L81" s="150"/>
      <c r="M81" s="130"/>
      <c r="N81" s="130"/>
      <c r="O81" s="130"/>
      <c r="P81" s="130"/>
      <c r="Q81" s="211"/>
      <c r="R81" s="212" t="s">
        <v>467</v>
      </c>
      <c r="S81" s="130"/>
      <c r="T81" s="204" t="b">
        <v>0</v>
      </c>
      <c r="U81" s="130"/>
      <c r="V81" s="206"/>
      <c r="W81" s="206"/>
      <c r="X81" s="206"/>
      <c r="Y81" s="206"/>
      <c r="Z81" s="130"/>
      <c r="AA81" s="130"/>
      <c r="AB81" s="130"/>
      <c r="AC81" s="130"/>
      <c r="AD81" s="130"/>
      <c r="AE81" s="130"/>
      <c r="AF81" s="130"/>
      <c r="AG81" s="130"/>
      <c r="AH81" s="130"/>
      <c r="AI81" s="130"/>
      <c r="AJ81" s="130"/>
      <c r="AK81" s="130"/>
      <c r="AL81" s="130"/>
      <c r="AM81" s="130"/>
      <c r="AN81" s="130"/>
      <c r="AO81" s="130"/>
      <c r="AP81" s="130"/>
      <c r="AQ81" s="130"/>
      <c r="AR81" s="130"/>
      <c r="AS81" s="130"/>
      <c r="AT81" s="130"/>
      <c r="AU81" s="130"/>
      <c r="AV81" s="130"/>
      <c r="AW81" s="130"/>
      <c r="AX81" s="130"/>
      <c r="AY81" s="130"/>
      <c r="AZ81" s="130"/>
    </row>
    <row r="82" spans="1:52" s="147" customFormat="1" ht="80.099999999999994" customHeight="1" x14ac:dyDescent="0.5">
      <c r="A82" s="904" t="s">
        <v>229</v>
      </c>
      <c r="B82" s="425" t="s">
        <v>623</v>
      </c>
      <c r="C82" s="466" t="s">
        <v>407</v>
      </c>
      <c r="D82" s="370">
        <v>0</v>
      </c>
      <c r="E82" s="628"/>
      <c r="F82" s="370">
        <v>0</v>
      </c>
      <c r="G82" s="515" t="s">
        <v>408</v>
      </c>
      <c r="H82" s="367"/>
      <c r="I82" s="130"/>
      <c r="J82" s="130"/>
      <c r="K82" s="515" t="s">
        <v>408</v>
      </c>
      <c r="L82" s="150"/>
      <c r="M82" s="130"/>
      <c r="N82" s="130"/>
      <c r="O82" s="130"/>
      <c r="P82" s="130"/>
      <c r="Q82" s="211"/>
      <c r="R82" s="212" t="s">
        <v>467</v>
      </c>
      <c r="S82" s="130"/>
      <c r="T82" s="204" t="b">
        <v>0</v>
      </c>
      <c r="U82" s="130"/>
      <c r="V82" s="206"/>
      <c r="W82" s="206"/>
      <c r="X82" s="206"/>
      <c r="Y82" s="206"/>
      <c r="Z82" s="130"/>
      <c r="AA82" s="130"/>
      <c r="AB82" s="130"/>
      <c r="AC82" s="130"/>
      <c r="AD82" s="130"/>
      <c r="AE82" s="130"/>
      <c r="AF82" s="130"/>
      <c r="AG82" s="130"/>
      <c r="AH82" s="130"/>
      <c r="AI82" s="130"/>
      <c r="AJ82" s="130"/>
      <c r="AK82" s="130"/>
      <c r="AL82" s="130"/>
      <c r="AM82" s="130"/>
      <c r="AN82" s="130"/>
      <c r="AO82" s="130"/>
      <c r="AP82" s="130"/>
      <c r="AQ82" s="130"/>
      <c r="AR82" s="130"/>
      <c r="AS82" s="130"/>
      <c r="AT82" s="130"/>
      <c r="AU82" s="130"/>
      <c r="AV82" s="130"/>
      <c r="AW82" s="130"/>
      <c r="AX82" s="130"/>
      <c r="AY82" s="130"/>
      <c r="AZ82" s="130"/>
    </row>
    <row r="83" spans="1:52" s="147" customFormat="1" ht="80.099999999999994" customHeight="1" x14ac:dyDescent="0.5">
      <c r="A83" s="905"/>
      <c r="B83" s="426" t="s">
        <v>326</v>
      </c>
      <c r="C83" s="468"/>
      <c r="D83" s="377">
        <v>0</v>
      </c>
      <c r="E83" s="630"/>
      <c r="F83" s="377">
        <v>0</v>
      </c>
      <c r="G83" s="498" t="s">
        <v>230</v>
      </c>
      <c r="H83" s="368"/>
      <c r="I83" s="130"/>
      <c r="J83" s="130"/>
      <c r="K83" s="498" t="s">
        <v>230</v>
      </c>
      <c r="L83" s="150"/>
      <c r="M83" s="130"/>
      <c r="N83" s="130"/>
      <c r="O83" s="130"/>
      <c r="P83" s="130"/>
      <c r="Q83" s="211"/>
      <c r="R83" s="212" t="s">
        <v>467</v>
      </c>
      <c r="S83" s="130"/>
      <c r="T83" s="204" t="b">
        <v>0</v>
      </c>
      <c r="U83" s="130"/>
      <c r="V83" s="206">
        <f>E82*E$43</f>
        <v>0</v>
      </c>
      <c r="W83" s="206"/>
      <c r="X83" s="206"/>
      <c r="Y83" s="206">
        <f>E82*E$43</f>
        <v>0</v>
      </c>
      <c r="Z83" s="130"/>
      <c r="AA83" s="130"/>
      <c r="AB83" s="130"/>
      <c r="AC83" s="130"/>
      <c r="AD83" s="130"/>
      <c r="AE83" s="130"/>
      <c r="AF83" s="130"/>
      <c r="AG83" s="130"/>
      <c r="AH83" s="130"/>
      <c r="AI83" s="130"/>
      <c r="AJ83" s="130"/>
      <c r="AK83" s="130"/>
      <c r="AL83" s="130"/>
      <c r="AM83" s="130"/>
      <c r="AN83" s="130"/>
      <c r="AO83" s="130"/>
      <c r="AP83" s="130"/>
      <c r="AQ83" s="130"/>
      <c r="AR83" s="130"/>
      <c r="AS83" s="130"/>
      <c r="AT83" s="130"/>
      <c r="AU83" s="130"/>
      <c r="AV83" s="130"/>
      <c r="AW83" s="130"/>
      <c r="AX83" s="130"/>
      <c r="AY83" s="130"/>
      <c r="AZ83" s="130"/>
    </row>
    <row r="84" spans="1:52" s="147" customFormat="1" ht="80.099999999999994" customHeight="1" x14ac:dyDescent="0.5">
      <c r="A84" s="905"/>
      <c r="B84" s="426" t="s">
        <v>327</v>
      </c>
      <c r="C84" s="468"/>
      <c r="D84" s="372">
        <v>0</v>
      </c>
      <c r="E84" s="630"/>
      <c r="F84" s="372">
        <v>0</v>
      </c>
      <c r="G84" s="498" t="s">
        <v>231</v>
      </c>
      <c r="H84" s="368"/>
      <c r="I84" s="130"/>
      <c r="J84" s="130"/>
      <c r="K84" s="498" t="s">
        <v>231</v>
      </c>
      <c r="L84" s="150"/>
      <c r="M84" s="130"/>
      <c r="N84" s="130"/>
      <c r="O84" s="130"/>
      <c r="P84" s="130"/>
      <c r="Q84" s="211"/>
      <c r="R84" s="212" t="s">
        <v>467</v>
      </c>
      <c r="S84" s="130"/>
      <c r="T84" s="204" t="b">
        <v>0</v>
      </c>
      <c r="U84" s="130"/>
      <c r="V84" s="206"/>
      <c r="W84" s="206"/>
      <c r="X84" s="206"/>
      <c r="Y84" s="206"/>
      <c r="Z84" s="130"/>
      <c r="AA84" s="130"/>
      <c r="AB84" s="130"/>
      <c r="AC84" s="130"/>
      <c r="AD84" s="130"/>
      <c r="AE84" s="130"/>
      <c r="AF84" s="130"/>
      <c r="AG84" s="130"/>
      <c r="AH84" s="130"/>
      <c r="AI84" s="130"/>
      <c r="AJ84" s="130"/>
      <c r="AK84" s="130"/>
      <c r="AL84" s="130"/>
      <c r="AM84" s="130"/>
      <c r="AN84" s="130"/>
      <c r="AO84" s="130"/>
      <c r="AP84" s="130"/>
      <c r="AQ84" s="130"/>
      <c r="AR84" s="130"/>
      <c r="AS84" s="130"/>
      <c r="AT84" s="130"/>
      <c r="AU84" s="130"/>
      <c r="AV84" s="130"/>
      <c r="AW84" s="130"/>
      <c r="AX84" s="130"/>
      <c r="AY84" s="130"/>
      <c r="AZ84" s="130"/>
    </row>
    <row r="85" spans="1:52" s="147" customFormat="1" ht="80.099999999999994" customHeight="1" x14ac:dyDescent="0.5">
      <c r="A85" s="905"/>
      <c r="B85" s="426" t="s">
        <v>624</v>
      </c>
      <c r="C85" s="468" t="s">
        <v>405</v>
      </c>
      <c r="D85" s="372">
        <v>0</v>
      </c>
      <c r="E85" s="630"/>
      <c r="F85" s="372">
        <v>0</v>
      </c>
      <c r="G85" s="498" t="s">
        <v>468</v>
      </c>
      <c r="H85" s="368"/>
      <c r="I85" s="130"/>
      <c r="J85" s="130"/>
      <c r="K85" s="498" t="s">
        <v>468</v>
      </c>
      <c r="L85" s="150"/>
      <c r="M85" s="130"/>
      <c r="N85" s="130"/>
      <c r="O85" s="130"/>
      <c r="P85" s="130"/>
      <c r="Q85" s="211"/>
      <c r="R85" s="212" t="s">
        <v>467</v>
      </c>
      <c r="S85" s="130"/>
      <c r="T85" s="204" t="b">
        <v>0</v>
      </c>
      <c r="U85" s="130"/>
      <c r="V85" s="206"/>
      <c r="W85" s="206"/>
      <c r="X85" s="206"/>
      <c r="Y85" s="206"/>
      <c r="Z85" s="130"/>
      <c r="AA85" s="130"/>
      <c r="AB85" s="130"/>
      <c r="AC85" s="130"/>
      <c r="AD85" s="130"/>
      <c r="AE85" s="130"/>
      <c r="AF85" s="130"/>
      <c r="AG85" s="130"/>
      <c r="AH85" s="130"/>
      <c r="AI85" s="130"/>
      <c r="AJ85" s="130"/>
      <c r="AK85" s="130"/>
      <c r="AL85" s="130"/>
      <c r="AM85" s="130"/>
      <c r="AN85" s="130"/>
      <c r="AO85" s="130"/>
      <c r="AP85" s="130"/>
      <c r="AQ85" s="130"/>
      <c r="AR85" s="130"/>
      <c r="AS85" s="130"/>
      <c r="AT85" s="130"/>
      <c r="AU85" s="130"/>
      <c r="AV85" s="130"/>
      <c r="AW85" s="130"/>
      <c r="AX85" s="130"/>
      <c r="AY85" s="130"/>
      <c r="AZ85" s="130"/>
    </row>
    <row r="86" spans="1:52" s="147" customFormat="1" ht="80.099999999999994" customHeight="1" x14ac:dyDescent="0.5">
      <c r="A86" s="905"/>
      <c r="B86" s="426" t="s">
        <v>328</v>
      </c>
      <c r="C86" s="468"/>
      <c r="D86" s="372">
        <v>0</v>
      </c>
      <c r="E86" s="630"/>
      <c r="F86" s="372">
        <v>0</v>
      </c>
      <c r="G86" s="498" t="s">
        <v>232</v>
      </c>
      <c r="H86" s="368"/>
      <c r="I86" s="130"/>
      <c r="J86" s="130"/>
      <c r="K86" s="498" t="s">
        <v>232</v>
      </c>
      <c r="L86" s="150"/>
      <c r="M86" s="130"/>
      <c r="N86" s="130"/>
      <c r="O86" s="130"/>
      <c r="P86" s="130"/>
      <c r="Q86" s="211"/>
      <c r="R86" s="212" t="s">
        <v>467</v>
      </c>
      <c r="S86" s="130"/>
      <c r="T86" s="204" t="b">
        <v>0</v>
      </c>
      <c r="U86" s="130"/>
      <c r="V86" s="206"/>
      <c r="W86" s="206"/>
      <c r="X86" s="206"/>
      <c r="Y86" s="206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</row>
    <row r="87" spans="1:52" s="147" customFormat="1" ht="80.099999999999994" customHeight="1" thickBot="1" x14ac:dyDescent="0.55000000000000004">
      <c r="A87" s="906"/>
      <c r="B87" s="428" t="s">
        <v>329</v>
      </c>
      <c r="C87" s="470"/>
      <c r="D87" s="373">
        <v>0</v>
      </c>
      <c r="E87" s="808"/>
      <c r="F87" s="373">
        <v>0</v>
      </c>
      <c r="G87" s="516" t="s">
        <v>233</v>
      </c>
      <c r="H87" s="376"/>
      <c r="I87" s="130"/>
      <c r="J87" s="130"/>
      <c r="K87" s="516" t="s">
        <v>233</v>
      </c>
      <c r="L87" s="150"/>
      <c r="M87" s="130"/>
      <c r="N87" s="130"/>
      <c r="O87" s="130"/>
      <c r="P87" s="130"/>
      <c r="Q87" s="211"/>
      <c r="R87" s="212" t="s">
        <v>467</v>
      </c>
      <c r="S87" s="130"/>
      <c r="T87" s="204" t="b">
        <v>0</v>
      </c>
      <c r="U87" s="130"/>
      <c r="V87" s="206"/>
      <c r="W87" s="206"/>
      <c r="X87" s="206"/>
      <c r="Y87" s="206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</row>
    <row r="88" spans="1:52" s="147" customFormat="1" ht="80.099999999999994" customHeight="1" x14ac:dyDescent="0.5">
      <c r="A88" s="902" t="s">
        <v>715</v>
      </c>
      <c r="B88" s="429" t="s">
        <v>330</v>
      </c>
      <c r="C88" s="466"/>
      <c r="D88" s="374">
        <v>0</v>
      </c>
      <c r="E88" s="628"/>
      <c r="F88" s="374">
        <v>0</v>
      </c>
      <c r="G88" s="515" t="s">
        <v>234</v>
      </c>
      <c r="H88" s="367"/>
      <c r="I88" s="130"/>
      <c r="J88" s="130"/>
      <c r="K88" s="515" t="s">
        <v>234</v>
      </c>
      <c r="L88" s="150"/>
      <c r="M88" s="130"/>
      <c r="N88" s="130"/>
      <c r="O88" s="130"/>
      <c r="P88" s="130"/>
      <c r="Q88" s="211"/>
      <c r="R88" s="212" t="s">
        <v>467</v>
      </c>
      <c r="S88" s="130"/>
      <c r="T88" s="204" t="b">
        <v>0</v>
      </c>
      <c r="U88" s="130"/>
      <c r="V88" s="206"/>
      <c r="W88" s="206"/>
      <c r="X88" s="206"/>
      <c r="Y88" s="206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</row>
    <row r="89" spans="1:52" s="147" customFormat="1" ht="80.099999999999994" customHeight="1" thickBot="1" x14ac:dyDescent="0.55000000000000004">
      <c r="A89" s="903"/>
      <c r="B89" s="427" t="s">
        <v>483</v>
      </c>
      <c r="C89" s="470"/>
      <c r="D89" s="375">
        <v>0</v>
      </c>
      <c r="E89" s="632"/>
      <c r="F89" s="375">
        <v>0</v>
      </c>
      <c r="G89" s="517" t="s">
        <v>235</v>
      </c>
      <c r="H89" s="376"/>
      <c r="I89" s="130"/>
      <c r="J89" s="130"/>
      <c r="K89" s="517" t="s">
        <v>235</v>
      </c>
      <c r="L89" s="150"/>
      <c r="M89" s="130"/>
      <c r="N89" s="130"/>
      <c r="O89" s="130"/>
      <c r="P89" s="130"/>
      <c r="Q89" s="211"/>
      <c r="R89" s="212" t="s">
        <v>467</v>
      </c>
      <c r="S89" s="130"/>
      <c r="T89" s="204" t="b">
        <v>0</v>
      </c>
      <c r="U89" s="130"/>
      <c r="V89" s="206"/>
      <c r="W89" s="206"/>
      <c r="X89" s="206"/>
      <c r="Y89" s="206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</row>
    <row r="90" spans="1:52" s="147" customFormat="1" ht="80.099999999999994" customHeight="1" x14ac:dyDescent="0.5">
      <c r="A90" s="902" t="s">
        <v>714</v>
      </c>
      <c r="B90" s="425" t="s">
        <v>331</v>
      </c>
      <c r="C90" s="466"/>
      <c r="D90" s="370">
        <v>0</v>
      </c>
      <c r="E90" s="628"/>
      <c r="F90" s="370">
        <v>0</v>
      </c>
      <c r="G90" s="518" t="s">
        <v>236</v>
      </c>
      <c r="H90" s="367"/>
      <c r="I90" s="130"/>
      <c r="J90" s="130"/>
      <c r="K90" s="518" t="s">
        <v>236</v>
      </c>
      <c r="L90" s="150"/>
      <c r="M90" s="130"/>
      <c r="N90" s="130"/>
      <c r="O90" s="130"/>
      <c r="P90" s="130"/>
      <c r="Q90" s="211"/>
      <c r="R90" s="212" t="s">
        <v>467</v>
      </c>
      <c r="S90" s="130"/>
      <c r="T90" s="204" t="b">
        <v>0</v>
      </c>
      <c r="U90" s="130"/>
      <c r="V90" s="206"/>
      <c r="W90" s="206"/>
      <c r="X90" s="206"/>
      <c r="Y90" s="206"/>
      <c r="Z90" s="130"/>
      <c r="AA90" s="130"/>
      <c r="AB90" s="130"/>
      <c r="AC90" s="130"/>
      <c r="AD90" s="130"/>
      <c r="AE90" s="130"/>
      <c r="AF90" s="130"/>
      <c r="AG90" s="130"/>
      <c r="AH90" s="130"/>
      <c r="AI90" s="130"/>
      <c r="AJ90" s="130"/>
      <c r="AK90" s="130"/>
      <c r="AL90" s="130"/>
      <c r="AM90" s="130"/>
      <c r="AN90" s="130"/>
      <c r="AO90" s="130"/>
      <c r="AP90" s="130"/>
      <c r="AQ90" s="130"/>
      <c r="AR90" s="130"/>
      <c r="AS90" s="130"/>
      <c r="AT90" s="130"/>
      <c r="AU90" s="130"/>
      <c r="AV90" s="130"/>
      <c r="AW90" s="130"/>
      <c r="AX90" s="130"/>
      <c r="AY90" s="130"/>
      <c r="AZ90" s="130"/>
    </row>
    <row r="91" spans="1:52" s="147" customFormat="1" ht="80.099999999999994" customHeight="1" thickBot="1" x14ac:dyDescent="0.55000000000000004">
      <c r="A91" s="903"/>
      <c r="B91" s="428" t="s">
        <v>484</v>
      </c>
      <c r="C91" s="468"/>
      <c r="D91" s="375">
        <v>0</v>
      </c>
      <c r="E91" s="632"/>
      <c r="F91" s="375">
        <v>0</v>
      </c>
      <c r="G91" s="516" t="s">
        <v>237</v>
      </c>
      <c r="H91" s="369"/>
      <c r="I91" s="130"/>
      <c r="J91" s="130"/>
      <c r="K91" s="516" t="s">
        <v>237</v>
      </c>
      <c r="L91" s="150"/>
      <c r="M91" s="130"/>
      <c r="N91" s="130"/>
      <c r="O91" s="130"/>
      <c r="P91" s="130"/>
      <c r="Q91" s="211"/>
      <c r="R91" s="212" t="s">
        <v>467</v>
      </c>
      <c r="S91" s="130"/>
      <c r="T91" s="204" t="b">
        <v>0</v>
      </c>
      <c r="U91" s="130"/>
      <c r="V91" s="206"/>
      <c r="W91" s="206"/>
      <c r="X91" s="206"/>
      <c r="Y91" s="206"/>
      <c r="Z91" s="130"/>
      <c r="AA91" s="130"/>
      <c r="AB91" s="130"/>
      <c r="AC91" s="130"/>
      <c r="AD91" s="130"/>
      <c r="AE91" s="130"/>
      <c r="AF91" s="130"/>
      <c r="AG91" s="130"/>
      <c r="AH91" s="130"/>
      <c r="AI91" s="130"/>
      <c r="AJ91" s="130"/>
      <c r="AK91" s="130"/>
      <c r="AL91" s="130"/>
      <c r="AM91" s="130"/>
      <c r="AN91" s="130"/>
      <c r="AO91" s="130"/>
      <c r="AP91" s="130"/>
      <c r="AQ91" s="130"/>
      <c r="AR91" s="130"/>
      <c r="AS91" s="130"/>
      <c r="AT91" s="130"/>
      <c r="AU91" s="130"/>
      <c r="AV91" s="130"/>
      <c r="AW91" s="130"/>
      <c r="AX91" s="130"/>
      <c r="AY91" s="130"/>
      <c r="AZ91" s="130"/>
    </row>
    <row r="92" spans="1:52" s="147" customFormat="1" ht="80.099999999999994" customHeight="1" x14ac:dyDescent="0.5">
      <c r="A92" s="907" t="s">
        <v>464</v>
      </c>
      <c r="B92" s="429" t="s">
        <v>625</v>
      </c>
      <c r="C92" s="466" t="s">
        <v>708</v>
      </c>
      <c r="D92" s="370">
        <v>0</v>
      </c>
      <c r="E92" s="628"/>
      <c r="F92" s="370">
        <v>0</v>
      </c>
      <c r="G92" s="515" t="s">
        <v>409</v>
      </c>
      <c r="H92" s="371"/>
      <c r="I92" s="130"/>
      <c r="J92" s="130"/>
      <c r="K92" s="515" t="s">
        <v>409</v>
      </c>
      <c r="L92" s="150"/>
      <c r="M92" s="130"/>
      <c r="N92" s="130"/>
      <c r="O92" s="130"/>
      <c r="P92" s="130"/>
      <c r="Q92" s="211"/>
      <c r="R92" s="212" t="s">
        <v>467</v>
      </c>
      <c r="S92" s="130"/>
      <c r="T92" s="204" t="b">
        <v>0</v>
      </c>
      <c r="U92" s="130"/>
      <c r="V92" s="206"/>
      <c r="W92" s="206"/>
      <c r="X92" s="206"/>
      <c r="Y92" s="206"/>
      <c r="Z92" s="130"/>
      <c r="AA92" s="130"/>
      <c r="AB92" s="130"/>
      <c r="AC92" s="130"/>
      <c r="AD92" s="130"/>
      <c r="AE92" s="130"/>
      <c r="AF92" s="130"/>
      <c r="AG92" s="130"/>
      <c r="AH92" s="130"/>
      <c r="AI92" s="130"/>
      <c r="AJ92" s="130"/>
      <c r="AK92" s="130"/>
      <c r="AL92" s="130"/>
      <c r="AM92" s="130"/>
      <c r="AN92" s="130"/>
      <c r="AO92" s="130"/>
      <c r="AP92" s="130"/>
      <c r="AQ92" s="130"/>
      <c r="AR92" s="130"/>
      <c r="AS92" s="130"/>
      <c r="AT92" s="130"/>
      <c r="AU92" s="130"/>
      <c r="AV92" s="130"/>
      <c r="AW92" s="130"/>
      <c r="AX92" s="130"/>
      <c r="AY92" s="130"/>
      <c r="AZ92" s="130"/>
    </row>
    <row r="93" spans="1:52" s="147" customFormat="1" ht="80.099999999999994" customHeight="1" x14ac:dyDescent="0.5">
      <c r="A93" s="908"/>
      <c r="B93" s="426" t="s">
        <v>332</v>
      </c>
      <c r="C93" s="468"/>
      <c r="D93" s="372">
        <v>0</v>
      </c>
      <c r="E93" s="633"/>
      <c r="F93" s="372">
        <v>0</v>
      </c>
      <c r="G93" s="498" t="s">
        <v>238</v>
      </c>
      <c r="H93" s="368"/>
      <c r="I93" s="130"/>
      <c r="J93" s="130"/>
      <c r="K93" s="498" t="s">
        <v>238</v>
      </c>
      <c r="L93" s="150"/>
      <c r="M93" s="130"/>
      <c r="N93" s="130"/>
      <c r="O93" s="130"/>
      <c r="P93" s="130"/>
      <c r="Q93" s="211"/>
      <c r="R93" s="212" t="s">
        <v>467</v>
      </c>
      <c r="S93" s="130"/>
      <c r="T93" s="204" t="b">
        <v>0</v>
      </c>
      <c r="U93" s="130"/>
      <c r="V93" s="206"/>
      <c r="W93" s="206"/>
      <c r="X93" s="206"/>
      <c r="Y93" s="206"/>
      <c r="Z93" s="130"/>
      <c r="AA93" s="130"/>
      <c r="AB93" s="130"/>
      <c r="AC93" s="130"/>
      <c r="AD93" s="130"/>
      <c r="AE93" s="130"/>
      <c r="AF93" s="130"/>
      <c r="AG93" s="130"/>
      <c r="AH93" s="130"/>
      <c r="AI93" s="130"/>
      <c r="AJ93" s="130"/>
      <c r="AK93" s="130"/>
      <c r="AL93" s="130"/>
      <c r="AM93" s="130"/>
      <c r="AN93" s="130"/>
      <c r="AO93" s="130"/>
      <c r="AP93" s="130"/>
      <c r="AQ93" s="130"/>
      <c r="AR93" s="130"/>
      <c r="AS93" s="130"/>
      <c r="AT93" s="130"/>
      <c r="AU93" s="130"/>
      <c r="AV93" s="130"/>
      <c r="AW93" s="130"/>
      <c r="AX93" s="130"/>
      <c r="AY93" s="130"/>
      <c r="AZ93" s="130"/>
    </row>
    <row r="94" spans="1:52" s="147" customFormat="1" ht="80.099999999999994" customHeight="1" x14ac:dyDescent="0.5">
      <c r="A94" s="908"/>
      <c r="B94" s="426" t="s">
        <v>354</v>
      </c>
      <c r="C94" s="468"/>
      <c r="D94" s="372">
        <v>0</v>
      </c>
      <c r="E94" s="634"/>
      <c r="F94" s="372">
        <v>0</v>
      </c>
      <c r="G94" s="498" t="s">
        <v>239</v>
      </c>
      <c r="H94" s="368"/>
      <c r="I94" s="130"/>
      <c r="J94" s="130"/>
      <c r="K94" s="498" t="s">
        <v>239</v>
      </c>
      <c r="L94" s="150"/>
      <c r="M94" s="130"/>
      <c r="N94" s="130"/>
      <c r="O94" s="130"/>
      <c r="P94" s="130"/>
      <c r="Q94" s="211"/>
      <c r="R94" s="212" t="s">
        <v>467</v>
      </c>
      <c r="S94" s="130"/>
      <c r="T94" s="204" t="b">
        <v>0</v>
      </c>
      <c r="U94" s="130"/>
      <c r="V94" s="206"/>
      <c r="W94" s="206"/>
      <c r="X94" s="206"/>
      <c r="Y94" s="206"/>
      <c r="Z94" s="130"/>
      <c r="AA94" s="130"/>
      <c r="AB94" s="130"/>
      <c r="AC94" s="130"/>
      <c r="AD94" s="130"/>
      <c r="AE94" s="130"/>
      <c r="AF94" s="130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0"/>
      <c r="AR94" s="130"/>
      <c r="AS94" s="130"/>
      <c r="AT94" s="130"/>
      <c r="AU94" s="130"/>
      <c r="AV94" s="130"/>
      <c r="AW94" s="130"/>
      <c r="AX94" s="130"/>
      <c r="AY94" s="130"/>
      <c r="AZ94" s="130"/>
    </row>
    <row r="95" spans="1:52" s="147" customFormat="1" ht="80.099999999999994" customHeight="1" thickBot="1" x14ac:dyDescent="0.55000000000000004">
      <c r="A95" s="909"/>
      <c r="B95" s="428" t="s">
        <v>240</v>
      </c>
      <c r="C95" s="469"/>
      <c r="D95" s="373">
        <v>0</v>
      </c>
      <c r="E95" s="635"/>
      <c r="F95" s="373">
        <v>0</v>
      </c>
      <c r="G95" s="517" t="s">
        <v>241</v>
      </c>
      <c r="H95" s="369"/>
      <c r="I95" s="130"/>
      <c r="J95" s="130"/>
      <c r="K95" s="517" t="s">
        <v>241</v>
      </c>
      <c r="L95" s="150"/>
      <c r="M95" s="130"/>
      <c r="N95" s="130"/>
      <c r="O95" s="130"/>
      <c r="P95" s="130"/>
      <c r="Q95" s="211"/>
      <c r="R95" s="212" t="s">
        <v>467</v>
      </c>
      <c r="S95" s="130"/>
      <c r="T95" s="204" t="b">
        <v>0</v>
      </c>
      <c r="U95" s="130"/>
      <c r="V95" s="206"/>
      <c r="W95" s="206"/>
      <c r="X95" s="206"/>
      <c r="Y95" s="206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</row>
    <row r="96" spans="1:52" s="147" customFormat="1" ht="80.099999999999994" customHeight="1" thickBot="1" x14ac:dyDescent="0.55000000000000004">
      <c r="A96" s="910" t="s">
        <v>710</v>
      </c>
      <c r="B96" s="422" t="s">
        <v>621</v>
      </c>
      <c r="C96" s="471" t="s">
        <v>709</v>
      </c>
      <c r="D96" s="404">
        <v>0</v>
      </c>
      <c r="E96" s="636"/>
      <c r="F96" s="149">
        <v>0</v>
      </c>
      <c r="G96" s="519" t="s">
        <v>393</v>
      </c>
      <c r="H96" s="174"/>
      <c r="I96" s="130"/>
      <c r="J96" s="130"/>
      <c r="K96" s="519" t="s">
        <v>393</v>
      </c>
      <c r="L96" s="150"/>
      <c r="M96" s="130"/>
      <c r="N96" s="130"/>
      <c r="O96" s="130"/>
      <c r="P96" s="130"/>
      <c r="Q96" s="352"/>
      <c r="R96" s="351" t="s">
        <v>467</v>
      </c>
      <c r="S96" s="130"/>
      <c r="T96" s="204" t="b">
        <v>0</v>
      </c>
      <c r="U96" s="130"/>
      <c r="V96" s="206"/>
      <c r="W96" s="206"/>
      <c r="X96" s="206"/>
      <c r="Y96" s="206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</row>
    <row r="97" spans="1:52" s="147" customFormat="1" ht="80.099999999999994" customHeight="1" x14ac:dyDescent="0.5">
      <c r="A97" s="911"/>
      <c r="B97" s="430" t="s">
        <v>333</v>
      </c>
      <c r="C97" s="472"/>
      <c r="D97" s="405">
        <v>0</v>
      </c>
      <c r="E97" s="633"/>
      <c r="F97" s="172">
        <v>0</v>
      </c>
      <c r="G97" s="513" t="s">
        <v>242</v>
      </c>
      <c r="H97" s="145"/>
      <c r="I97" s="130"/>
      <c r="J97" s="130"/>
      <c r="K97" s="513" t="s">
        <v>242</v>
      </c>
      <c r="L97" s="150"/>
      <c r="M97" s="130"/>
      <c r="N97" s="130"/>
      <c r="O97" s="130"/>
      <c r="P97" s="130"/>
      <c r="Q97" s="354"/>
      <c r="R97" s="353" t="s">
        <v>467</v>
      </c>
      <c r="S97" s="130"/>
      <c r="T97" s="204" t="b">
        <v>0</v>
      </c>
      <c r="U97" s="130"/>
      <c r="V97" s="206">
        <f>E96*E250</f>
        <v>0</v>
      </c>
      <c r="W97" s="206"/>
      <c r="X97" s="206"/>
      <c r="Y97" s="206">
        <f>E96*E250</f>
        <v>0</v>
      </c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</row>
    <row r="98" spans="1:52" s="147" customFormat="1" ht="80.099999999999994" customHeight="1" x14ac:dyDescent="0.5">
      <c r="A98" s="911"/>
      <c r="B98" s="423" t="s">
        <v>482</v>
      </c>
      <c r="C98" s="464"/>
      <c r="D98" s="406">
        <v>0</v>
      </c>
      <c r="E98" s="637"/>
      <c r="F98" s="146">
        <v>0</v>
      </c>
      <c r="G98" s="513" t="s">
        <v>243</v>
      </c>
      <c r="H98" s="145"/>
      <c r="I98" s="130"/>
      <c r="J98" s="130"/>
      <c r="K98" s="513" t="s">
        <v>243</v>
      </c>
      <c r="L98" s="150"/>
      <c r="M98" s="130"/>
      <c r="N98" s="130"/>
      <c r="O98" s="130"/>
      <c r="P98" s="130"/>
      <c r="Q98" s="211"/>
      <c r="R98" s="212" t="s">
        <v>467</v>
      </c>
      <c r="S98" s="130"/>
      <c r="T98" s="204" t="b">
        <v>0</v>
      </c>
      <c r="U98" s="130"/>
      <c r="V98" s="206"/>
      <c r="W98" s="206"/>
      <c r="X98" s="206"/>
      <c r="Y98" s="206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</row>
    <row r="99" spans="1:52" s="147" customFormat="1" ht="80.099999999999994" customHeight="1" x14ac:dyDescent="0.5">
      <c r="A99" s="911"/>
      <c r="B99" s="423" t="s">
        <v>353</v>
      </c>
      <c r="C99" s="464"/>
      <c r="D99" s="146">
        <v>0</v>
      </c>
      <c r="E99" s="634"/>
      <c r="F99" s="146">
        <v>0</v>
      </c>
      <c r="G99" s="513" t="s">
        <v>244</v>
      </c>
      <c r="H99" s="145"/>
      <c r="I99" s="130"/>
      <c r="J99" s="130"/>
      <c r="K99" s="513" t="s">
        <v>244</v>
      </c>
      <c r="L99" s="150"/>
      <c r="M99" s="130"/>
      <c r="N99" s="130"/>
      <c r="O99" s="130"/>
      <c r="P99" s="130"/>
      <c r="Q99" s="211"/>
      <c r="R99" s="212" t="s">
        <v>467</v>
      </c>
      <c r="S99" s="130"/>
      <c r="T99" s="204" t="b">
        <v>0</v>
      </c>
      <c r="U99" s="130"/>
      <c r="V99" s="206"/>
      <c r="W99" s="206"/>
      <c r="X99" s="206"/>
      <c r="Y99" s="206"/>
      <c r="Z99" s="130"/>
      <c r="AA99" s="130"/>
      <c r="AB99" s="130"/>
      <c r="AC99" s="130"/>
      <c r="AD99" s="130"/>
      <c r="AE99" s="130"/>
      <c r="AF99" s="130"/>
      <c r="AG99" s="130"/>
      <c r="AH99" s="130"/>
      <c r="AI99" s="130"/>
      <c r="AJ99" s="130"/>
      <c r="AK99" s="130"/>
      <c r="AL99" s="130"/>
      <c r="AM99" s="130"/>
      <c r="AN99" s="130"/>
      <c r="AO99" s="130"/>
      <c r="AP99" s="130"/>
      <c r="AQ99" s="130"/>
      <c r="AR99" s="130"/>
      <c r="AS99" s="130"/>
      <c r="AT99" s="130"/>
      <c r="AU99" s="130"/>
      <c r="AV99" s="130"/>
      <c r="AW99" s="130"/>
      <c r="AX99" s="130"/>
      <c r="AY99" s="130"/>
      <c r="AZ99" s="130"/>
    </row>
    <row r="100" spans="1:52" s="147" customFormat="1" ht="80.099999999999994" customHeight="1" thickBot="1" x14ac:dyDescent="0.55000000000000004">
      <c r="A100" s="912"/>
      <c r="B100" s="423" t="s">
        <v>325</v>
      </c>
      <c r="C100" s="464"/>
      <c r="D100" s="146">
        <v>0</v>
      </c>
      <c r="E100" s="638"/>
      <c r="F100" s="146">
        <v>0</v>
      </c>
      <c r="G100" s="514" t="s">
        <v>245</v>
      </c>
      <c r="H100" s="175"/>
      <c r="I100" s="130"/>
      <c r="J100" s="130"/>
      <c r="K100" s="514" t="s">
        <v>245</v>
      </c>
      <c r="L100" s="150"/>
      <c r="M100" s="130"/>
      <c r="N100" s="130"/>
      <c r="O100" s="130"/>
      <c r="P100" s="130"/>
      <c r="Q100" s="211"/>
      <c r="R100" s="212" t="s">
        <v>467</v>
      </c>
      <c r="S100" s="130"/>
      <c r="T100" s="204" t="b">
        <v>0</v>
      </c>
      <c r="U100" s="130"/>
      <c r="V100" s="206"/>
      <c r="W100" s="206"/>
      <c r="X100" s="206"/>
      <c r="Y100" s="206"/>
      <c r="Z100" s="130"/>
      <c r="AA100" s="130"/>
      <c r="AB100" s="130"/>
      <c r="AC100" s="130"/>
      <c r="AD100" s="130"/>
      <c r="AE100" s="130"/>
      <c r="AF100" s="130"/>
      <c r="AG100" s="130"/>
      <c r="AH100" s="130"/>
      <c r="AI100" s="130"/>
      <c r="AJ100" s="130"/>
      <c r="AK100" s="130"/>
      <c r="AL100" s="130"/>
      <c r="AM100" s="130"/>
      <c r="AN100" s="130"/>
      <c r="AO100" s="130"/>
      <c r="AP100" s="130"/>
      <c r="AQ100" s="130"/>
      <c r="AR100" s="130"/>
      <c r="AS100" s="130"/>
      <c r="AT100" s="130"/>
      <c r="AU100" s="130"/>
      <c r="AV100" s="130"/>
      <c r="AW100" s="130"/>
      <c r="AX100" s="130"/>
      <c r="AY100" s="130"/>
      <c r="AZ100" s="130"/>
    </row>
    <row r="101" spans="1:52" s="147" customFormat="1" ht="80.099999999999994" customHeight="1" x14ac:dyDescent="0.5">
      <c r="A101" s="913" t="s">
        <v>711</v>
      </c>
      <c r="B101" s="422" t="s">
        <v>623</v>
      </c>
      <c r="C101" s="471" t="s">
        <v>709</v>
      </c>
      <c r="D101" s="404">
        <v>0</v>
      </c>
      <c r="E101" s="633"/>
      <c r="F101" s="149">
        <v>0</v>
      </c>
      <c r="G101" s="512" t="s">
        <v>392</v>
      </c>
      <c r="H101" s="176"/>
      <c r="I101" s="130"/>
      <c r="J101" s="130"/>
      <c r="K101" s="512" t="s">
        <v>392</v>
      </c>
      <c r="L101" s="150"/>
      <c r="M101" s="130"/>
      <c r="N101" s="130"/>
      <c r="O101" s="130"/>
      <c r="P101" s="130"/>
      <c r="Q101" s="211"/>
      <c r="R101" s="212" t="s">
        <v>467</v>
      </c>
      <c r="S101" s="130"/>
      <c r="T101" s="204" t="b">
        <v>0</v>
      </c>
      <c r="U101" s="130"/>
      <c r="V101" s="206"/>
      <c r="W101" s="206"/>
      <c r="X101" s="206"/>
      <c r="Y101" s="206"/>
      <c r="Z101" s="130"/>
      <c r="AA101" s="130"/>
      <c r="AB101" s="130"/>
      <c r="AC101" s="130"/>
      <c r="AD101" s="130"/>
      <c r="AE101" s="130"/>
      <c r="AF101" s="130"/>
      <c r="AG101" s="130"/>
      <c r="AH101" s="130"/>
      <c r="AI101" s="130"/>
      <c r="AJ101" s="130"/>
      <c r="AK101" s="130"/>
      <c r="AL101" s="130"/>
      <c r="AM101" s="130"/>
      <c r="AN101" s="130"/>
      <c r="AO101" s="130"/>
      <c r="AP101" s="130"/>
      <c r="AQ101" s="130"/>
      <c r="AR101" s="130"/>
      <c r="AS101" s="130"/>
      <c r="AT101" s="130"/>
      <c r="AU101" s="130"/>
      <c r="AV101" s="130"/>
      <c r="AW101" s="130"/>
      <c r="AX101" s="130"/>
      <c r="AY101" s="130"/>
      <c r="AZ101" s="130"/>
    </row>
    <row r="102" spans="1:52" s="147" customFormat="1" ht="80.099999999999994" customHeight="1" x14ac:dyDescent="0.5">
      <c r="A102" s="914"/>
      <c r="B102" s="423" t="s">
        <v>334</v>
      </c>
      <c r="C102" s="464"/>
      <c r="D102" s="406">
        <v>0</v>
      </c>
      <c r="E102" s="639"/>
      <c r="F102" s="171">
        <v>0</v>
      </c>
      <c r="G102" s="513" t="s">
        <v>246</v>
      </c>
      <c r="H102" s="145"/>
      <c r="I102" s="130"/>
      <c r="J102" s="130"/>
      <c r="K102" s="513" t="s">
        <v>246</v>
      </c>
      <c r="L102" s="150"/>
      <c r="M102" s="130"/>
      <c r="N102" s="130"/>
      <c r="O102" s="130"/>
      <c r="P102" s="130"/>
      <c r="Q102" s="211"/>
      <c r="R102" s="212" t="s">
        <v>467</v>
      </c>
      <c r="S102" s="130"/>
      <c r="T102" s="204" t="b">
        <v>0</v>
      </c>
      <c r="U102" s="130"/>
      <c r="V102" s="206" t="str">
        <f>IF(E101&lt;&gt;"",E101*$E$250,"")</f>
        <v/>
      </c>
      <c r="W102" s="206"/>
      <c r="X102" s="206"/>
      <c r="Y102" s="206" t="str">
        <f>IF(E101&lt;&gt;"",E101*$E$250,"")</f>
        <v/>
      </c>
      <c r="Z102" s="130"/>
      <c r="AA102" s="130"/>
      <c r="AB102" s="130"/>
      <c r="AC102" s="130"/>
      <c r="AD102" s="130"/>
      <c r="AE102" s="130"/>
      <c r="AF102" s="130"/>
      <c r="AG102" s="130"/>
      <c r="AH102" s="130"/>
      <c r="AI102" s="130"/>
      <c r="AJ102" s="130"/>
      <c r="AK102" s="130"/>
      <c r="AL102" s="130"/>
      <c r="AM102" s="130"/>
      <c r="AN102" s="130"/>
      <c r="AO102" s="130"/>
      <c r="AP102" s="130"/>
      <c r="AQ102" s="130"/>
      <c r="AR102" s="130"/>
      <c r="AS102" s="130"/>
      <c r="AT102" s="130"/>
      <c r="AU102" s="130"/>
      <c r="AV102" s="130"/>
      <c r="AW102" s="130"/>
      <c r="AX102" s="130"/>
      <c r="AY102" s="130"/>
      <c r="AZ102" s="130"/>
    </row>
    <row r="103" spans="1:52" s="147" customFormat="1" ht="80.099999999999994" customHeight="1" x14ac:dyDescent="0.5">
      <c r="A103" s="914"/>
      <c r="B103" s="423" t="s">
        <v>327</v>
      </c>
      <c r="C103" s="464"/>
      <c r="D103" s="406">
        <v>0</v>
      </c>
      <c r="E103" s="639"/>
      <c r="F103" s="146">
        <v>0</v>
      </c>
      <c r="G103" s="513" t="s">
        <v>247</v>
      </c>
      <c r="H103" s="145"/>
      <c r="I103" s="130"/>
      <c r="J103" s="130"/>
      <c r="K103" s="513" t="s">
        <v>247</v>
      </c>
      <c r="L103" s="150"/>
      <c r="M103" s="130"/>
      <c r="N103" s="130"/>
      <c r="O103" s="130"/>
      <c r="P103" s="130"/>
      <c r="Q103" s="211"/>
      <c r="R103" s="212" t="s">
        <v>467</v>
      </c>
      <c r="S103" s="130"/>
      <c r="T103" s="204" t="b">
        <v>0</v>
      </c>
      <c r="U103" s="130"/>
      <c r="V103" s="206"/>
      <c r="W103" s="206"/>
      <c r="X103" s="206"/>
      <c r="Y103" s="206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</row>
    <row r="104" spans="1:52" s="147" customFormat="1" ht="80.099999999999994" customHeight="1" x14ac:dyDescent="0.5">
      <c r="A104" s="914"/>
      <c r="B104" s="423" t="s">
        <v>624</v>
      </c>
      <c r="C104" s="472" t="s">
        <v>709</v>
      </c>
      <c r="D104" s="406">
        <v>0</v>
      </c>
      <c r="E104" s="639"/>
      <c r="F104" s="146">
        <v>0</v>
      </c>
      <c r="G104" s="513" t="s">
        <v>394</v>
      </c>
      <c r="H104" s="145"/>
      <c r="I104" s="130"/>
      <c r="J104" s="130"/>
      <c r="K104" s="513" t="s">
        <v>394</v>
      </c>
      <c r="L104" s="150"/>
      <c r="M104" s="130"/>
      <c r="N104" s="130"/>
      <c r="O104" s="130"/>
      <c r="P104" s="130"/>
      <c r="Q104" s="211"/>
      <c r="R104" s="212" t="s">
        <v>467</v>
      </c>
      <c r="S104" s="130"/>
      <c r="T104" s="204" t="b">
        <v>0</v>
      </c>
      <c r="U104" s="130"/>
      <c r="V104" s="206"/>
      <c r="W104" s="206"/>
      <c r="X104" s="206"/>
      <c r="Y104" s="206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</row>
    <row r="105" spans="1:52" s="147" customFormat="1" ht="80.099999999999994" customHeight="1" x14ac:dyDescent="0.5">
      <c r="A105" s="914"/>
      <c r="B105" s="423" t="s">
        <v>335</v>
      </c>
      <c r="C105" s="464"/>
      <c r="D105" s="146">
        <v>0</v>
      </c>
      <c r="E105" s="634"/>
      <c r="F105" s="146">
        <v>0</v>
      </c>
      <c r="G105" s="513" t="s">
        <v>248</v>
      </c>
      <c r="H105" s="145"/>
      <c r="I105" s="130"/>
      <c r="J105" s="130"/>
      <c r="K105" s="513" t="s">
        <v>248</v>
      </c>
      <c r="L105" s="150"/>
      <c r="M105" s="130"/>
      <c r="N105" s="130"/>
      <c r="O105" s="130"/>
      <c r="P105" s="130"/>
      <c r="Q105" s="211"/>
      <c r="R105" s="212" t="s">
        <v>467</v>
      </c>
      <c r="S105" s="130"/>
      <c r="T105" s="204" t="b">
        <v>0</v>
      </c>
      <c r="U105" s="130"/>
      <c r="V105" s="206" t="str">
        <f>IF(E104&lt;&gt;"",E104*$E$250,"")</f>
        <v/>
      </c>
      <c r="W105" s="206"/>
      <c r="X105" s="206"/>
      <c r="Y105" s="206" t="str">
        <f>IF(E104&lt;&gt;"",E104*$E$250,"")</f>
        <v/>
      </c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</row>
    <row r="106" spans="1:52" s="147" customFormat="1" ht="80.099999999999994" customHeight="1" thickBot="1" x14ac:dyDescent="0.55000000000000004">
      <c r="A106" s="915"/>
      <c r="B106" s="424" t="s">
        <v>329</v>
      </c>
      <c r="C106" s="473"/>
      <c r="D106" s="152">
        <v>0</v>
      </c>
      <c r="E106" s="634"/>
      <c r="F106" s="152">
        <v>0</v>
      </c>
      <c r="G106" s="514" t="s">
        <v>249</v>
      </c>
      <c r="H106" s="173"/>
      <c r="I106" s="130"/>
      <c r="J106" s="130"/>
      <c r="K106" s="514" t="s">
        <v>249</v>
      </c>
      <c r="L106" s="150"/>
      <c r="M106" s="130"/>
      <c r="N106" s="130"/>
      <c r="O106" s="130"/>
      <c r="P106" s="130"/>
      <c r="Q106" s="211"/>
      <c r="R106" s="212" t="s">
        <v>467</v>
      </c>
      <c r="S106" s="130"/>
      <c r="T106" s="204" t="b">
        <v>0</v>
      </c>
      <c r="U106" s="130"/>
      <c r="V106" s="206"/>
      <c r="W106" s="206"/>
      <c r="X106" s="206"/>
      <c r="Y106" s="206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</row>
    <row r="107" spans="1:52" s="147" customFormat="1" ht="80.099999999999994" customHeight="1" x14ac:dyDescent="0.5">
      <c r="A107" s="891" t="s">
        <v>712</v>
      </c>
      <c r="B107" s="422" t="s">
        <v>330</v>
      </c>
      <c r="C107" s="472"/>
      <c r="D107" s="151">
        <v>0</v>
      </c>
      <c r="E107" s="640"/>
      <c r="F107" s="151">
        <v>0</v>
      </c>
      <c r="G107" s="512" t="s">
        <v>250</v>
      </c>
      <c r="H107" s="174"/>
      <c r="I107" s="130"/>
      <c r="J107" s="130"/>
      <c r="K107" s="512" t="s">
        <v>250</v>
      </c>
      <c r="L107" s="150"/>
      <c r="M107" s="130"/>
      <c r="N107" s="130"/>
      <c r="O107" s="130"/>
      <c r="P107" s="130"/>
      <c r="Q107" s="211"/>
      <c r="R107" s="212" t="s">
        <v>467</v>
      </c>
      <c r="S107" s="130"/>
      <c r="T107" s="204" t="b">
        <v>0</v>
      </c>
      <c r="U107" s="130"/>
      <c r="V107" s="206"/>
      <c r="W107" s="206"/>
      <c r="X107" s="206"/>
      <c r="Y107" s="206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</row>
    <row r="108" spans="1:52" s="147" customFormat="1" ht="80.099999999999994" customHeight="1" thickBot="1" x14ac:dyDescent="0.55000000000000004">
      <c r="A108" s="892"/>
      <c r="B108" s="431" t="s">
        <v>483</v>
      </c>
      <c r="C108" s="473"/>
      <c r="D108" s="152">
        <v>0</v>
      </c>
      <c r="E108" s="641"/>
      <c r="F108" s="152">
        <v>0</v>
      </c>
      <c r="G108" s="514" t="s">
        <v>251</v>
      </c>
      <c r="H108" s="175"/>
      <c r="I108" s="130"/>
      <c r="J108" s="130"/>
      <c r="K108" s="514" t="s">
        <v>251</v>
      </c>
      <c r="L108" s="150"/>
      <c r="M108" s="130"/>
      <c r="N108" s="130"/>
      <c r="O108" s="130"/>
      <c r="P108" s="130"/>
      <c r="Q108" s="211"/>
      <c r="R108" s="212" t="s">
        <v>467</v>
      </c>
      <c r="S108" s="130"/>
      <c r="T108" s="204" t="b">
        <v>0</v>
      </c>
      <c r="U108" s="130"/>
      <c r="V108" s="206"/>
      <c r="W108" s="206"/>
      <c r="X108" s="206"/>
      <c r="Y108" s="206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</row>
    <row r="109" spans="1:52" s="147" customFormat="1" ht="80.099999999999994" customHeight="1" x14ac:dyDescent="0.5">
      <c r="A109" s="891" t="s">
        <v>713</v>
      </c>
      <c r="B109" s="430" t="s">
        <v>331</v>
      </c>
      <c r="C109" s="472"/>
      <c r="D109" s="151">
        <v>0</v>
      </c>
      <c r="E109" s="640"/>
      <c r="F109" s="151">
        <v>0</v>
      </c>
      <c r="G109" s="512" t="s">
        <v>252</v>
      </c>
      <c r="H109" s="176"/>
      <c r="I109" s="130"/>
      <c r="J109" s="130"/>
      <c r="K109" s="512" t="s">
        <v>252</v>
      </c>
      <c r="L109" s="150"/>
      <c r="M109" s="130"/>
      <c r="N109" s="130"/>
      <c r="O109" s="130"/>
      <c r="P109" s="130"/>
      <c r="Q109" s="211"/>
      <c r="R109" s="212" t="s">
        <v>467</v>
      </c>
      <c r="S109" s="130"/>
      <c r="T109" s="204" t="b">
        <v>0</v>
      </c>
      <c r="U109" s="130"/>
      <c r="V109" s="206"/>
      <c r="W109" s="206"/>
      <c r="X109" s="206"/>
      <c r="Y109" s="206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</row>
    <row r="110" spans="1:52" s="147" customFormat="1" ht="80.099999999999994" customHeight="1" thickBot="1" x14ac:dyDescent="0.55000000000000004">
      <c r="A110" s="892"/>
      <c r="B110" s="424" t="s">
        <v>484</v>
      </c>
      <c r="C110" s="464"/>
      <c r="D110" s="152">
        <v>0</v>
      </c>
      <c r="E110" s="638"/>
      <c r="F110" s="152">
        <v>0</v>
      </c>
      <c r="G110" s="514" t="s">
        <v>253</v>
      </c>
      <c r="H110" s="173"/>
      <c r="I110" s="130"/>
      <c r="J110" s="130"/>
      <c r="K110" s="514" t="s">
        <v>253</v>
      </c>
      <c r="L110" s="150"/>
      <c r="M110" s="130"/>
      <c r="N110" s="130"/>
      <c r="O110" s="130"/>
      <c r="P110" s="130"/>
      <c r="Q110" s="211"/>
      <c r="R110" s="212" t="s">
        <v>467</v>
      </c>
      <c r="S110" s="130"/>
      <c r="T110" s="204" t="b">
        <v>0</v>
      </c>
      <c r="U110" s="130"/>
      <c r="V110" s="206"/>
      <c r="W110" s="206"/>
      <c r="X110" s="206"/>
      <c r="Y110" s="206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</row>
    <row r="111" spans="1:52" s="147" customFormat="1" ht="80.099999999999994" customHeight="1" x14ac:dyDescent="0.5">
      <c r="A111" s="928" t="s">
        <v>626</v>
      </c>
      <c r="B111" s="422" t="s">
        <v>395</v>
      </c>
      <c r="C111" s="471" t="s">
        <v>709</v>
      </c>
      <c r="D111" s="151">
        <v>0</v>
      </c>
      <c r="E111" s="642"/>
      <c r="F111" s="151">
        <v>0</v>
      </c>
      <c r="G111" s="512" t="s">
        <v>396</v>
      </c>
      <c r="H111" s="174"/>
      <c r="I111" s="130"/>
      <c r="J111" s="130"/>
      <c r="K111" s="512" t="s">
        <v>396</v>
      </c>
      <c r="L111" s="150"/>
      <c r="M111" s="130"/>
      <c r="N111" s="130"/>
      <c r="O111" s="130"/>
      <c r="P111" s="130"/>
      <c r="Q111" s="193" t="s">
        <v>310</v>
      </c>
      <c r="R111" s="197" t="s">
        <v>466</v>
      </c>
      <c r="S111" s="130"/>
      <c r="T111" s="204" t="b">
        <v>0</v>
      </c>
      <c r="U111" s="130"/>
      <c r="V111" s="206"/>
      <c r="W111" s="206"/>
      <c r="X111" s="206"/>
      <c r="Y111" s="206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</row>
    <row r="112" spans="1:52" s="147" customFormat="1" ht="80.099999999999994" customHeight="1" x14ac:dyDescent="0.5">
      <c r="A112" s="929"/>
      <c r="B112" s="423" t="s">
        <v>356</v>
      </c>
      <c r="C112" s="464"/>
      <c r="D112" s="171">
        <v>0</v>
      </c>
      <c r="E112" s="643"/>
      <c r="F112" s="171">
        <v>0</v>
      </c>
      <c r="G112" s="513" t="s">
        <v>254</v>
      </c>
      <c r="H112" s="145"/>
      <c r="I112" s="130"/>
      <c r="J112" s="130"/>
      <c r="K112" s="513" t="s">
        <v>254</v>
      </c>
      <c r="L112" s="150"/>
      <c r="M112" s="130"/>
      <c r="N112" s="130"/>
      <c r="O112" s="130"/>
      <c r="P112" s="130"/>
      <c r="Q112" s="193" t="s">
        <v>310</v>
      </c>
      <c r="R112" s="197" t="s">
        <v>466</v>
      </c>
      <c r="S112" s="130"/>
      <c r="T112" s="204" t="b">
        <v>0</v>
      </c>
      <c r="U112" s="130"/>
      <c r="V112" s="206" t="str">
        <f>IF(E111&lt;&gt;"",E111*$E$250, "")</f>
        <v/>
      </c>
      <c r="W112" s="206"/>
      <c r="X112" s="206"/>
      <c r="Y112" s="206" t="str">
        <f>IF(E111&lt;&gt;"",E111*$E$250, "")</f>
        <v/>
      </c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</row>
    <row r="113" spans="1:54" s="147" customFormat="1" ht="80.099999999999994" customHeight="1" x14ac:dyDescent="0.5">
      <c r="A113" s="929"/>
      <c r="B113" s="423" t="s">
        <v>354</v>
      </c>
      <c r="C113" s="464"/>
      <c r="D113" s="146">
        <v>0</v>
      </c>
      <c r="E113" s="644"/>
      <c r="F113" s="146">
        <v>0</v>
      </c>
      <c r="G113" s="513" t="s">
        <v>255</v>
      </c>
      <c r="H113" s="145"/>
      <c r="I113" s="130"/>
      <c r="J113" s="130"/>
      <c r="K113" s="513" t="s">
        <v>255</v>
      </c>
      <c r="L113" s="150"/>
      <c r="M113" s="130"/>
      <c r="N113" s="130"/>
      <c r="O113" s="130"/>
      <c r="P113" s="130"/>
      <c r="Q113" s="193" t="s">
        <v>310</v>
      </c>
      <c r="R113" s="197" t="s">
        <v>466</v>
      </c>
      <c r="S113" s="130"/>
      <c r="T113" s="204" t="b">
        <v>0</v>
      </c>
      <c r="U113" s="130"/>
      <c r="V113" s="206"/>
      <c r="W113" s="206"/>
      <c r="X113" s="206"/>
      <c r="Y113" s="206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</row>
    <row r="114" spans="1:54" s="147" customFormat="1" ht="80.099999999999994" customHeight="1" thickBot="1" x14ac:dyDescent="0.55000000000000004">
      <c r="A114" s="930"/>
      <c r="B114" s="424" t="s">
        <v>355</v>
      </c>
      <c r="C114" s="465"/>
      <c r="D114" s="148">
        <v>0</v>
      </c>
      <c r="E114" s="634"/>
      <c r="F114" s="148">
        <v>0</v>
      </c>
      <c r="G114" s="520" t="s">
        <v>256</v>
      </c>
      <c r="H114" s="175"/>
      <c r="I114" s="130"/>
      <c r="J114" s="130"/>
      <c r="K114" s="520" t="s">
        <v>256</v>
      </c>
      <c r="L114" s="150"/>
      <c r="M114" s="130"/>
      <c r="N114" s="130"/>
      <c r="O114" s="130"/>
      <c r="P114" s="130"/>
      <c r="Q114" s="194" t="s">
        <v>310</v>
      </c>
      <c r="R114" s="200" t="s">
        <v>466</v>
      </c>
      <c r="S114" s="130"/>
      <c r="T114" s="204" t="b">
        <v>0</v>
      </c>
      <c r="U114" s="130"/>
      <c r="V114" s="206"/>
      <c r="W114" s="206"/>
      <c r="X114" s="206"/>
      <c r="Y114" s="206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</row>
    <row r="115" spans="1:54" s="147" customFormat="1" ht="80.099999999999994" customHeight="1" x14ac:dyDescent="0.35">
      <c r="A115" s="931" t="s">
        <v>463</v>
      </c>
      <c r="B115" s="432" t="s">
        <v>39</v>
      </c>
      <c r="C115" s="474" t="s">
        <v>257</v>
      </c>
      <c r="D115" s="169"/>
      <c r="E115" s="645"/>
      <c r="F115" s="169"/>
      <c r="G115" s="521"/>
      <c r="H115" s="157"/>
      <c r="I115" s="130"/>
      <c r="J115" s="130"/>
      <c r="K115" s="521"/>
      <c r="L115" s="130"/>
      <c r="M115" s="130"/>
      <c r="N115" s="130"/>
      <c r="O115" s="130"/>
      <c r="P115" s="130"/>
      <c r="Q115" s="192" t="s">
        <v>310</v>
      </c>
      <c r="R115" s="199" t="s">
        <v>466</v>
      </c>
      <c r="S115" s="130"/>
      <c r="T115" s="204" t="b">
        <v>0</v>
      </c>
      <c r="U115" s="130"/>
      <c r="V115" s="206" t="s">
        <v>258</v>
      </c>
      <c r="W115" s="206"/>
      <c r="X115" s="206"/>
      <c r="Y115" s="206" t="s">
        <v>258</v>
      </c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</row>
    <row r="116" spans="1:54" s="147" customFormat="1" ht="80.099999999999994" customHeight="1" thickBot="1" x14ac:dyDescent="0.4">
      <c r="A116" s="932"/>
      <c r="B116" s="433" t="s">
        <v>43</v>
      </c>
      <c r="C116" s="475" t="s">
        <v>259</v>
      </c>
      <c r="D116" s="170"/>
      <c r="E116" s="646"/>
      <c r="F116" s="170"/>
      <c r="G116" s="522"/>
      <c r="H116" s="156"/>
      <c r="I116" s="130"/>
      <c r="J116" s="130"/>
      <c r="K116" s="522"/>
      <c r="L116" s="130"/>
      <c r="M116" s="130"/>
      <c r="N116" s="130"/>
      <c r="O116" s="130"/>
      <c r="P116" s="130"/>
      <c r="Q116" s="194" t="s">
        <v>310</v>
      </c>
      <c r="R116" s="200" t="s">
        <v>466</v>
      </c>
      <c r="S116" s="130"/>
      <c r="T116" s="204" t="b">
        <v>0</v>
      </c>
      <c r="U116" s="130"/>
      <c r="V116" s="206" t="s">
        <v>260</v>
      </c>
      <c r="W116" s="206"/>
      <c r="X116" s="206"/>
      <c r="Y116" s="206" t="s">
        <v>260</v>
      </c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</row>
    <row r="117" spans="1:54" s="158" customFormat="1" ht="80.099999999999994" customHeight="1" x14ac:dyDescent="0.35">
      <c r="A117" s="933" t="s">
        <v>261</v>
      </c>
      <c r="B117" s="434" t="s">
        <v>401</v>
      </c>
      <c r="C117" s="476"/>
      <c r="D117" s="159">
        <v>0</v>
      </c>
      <c r="E117" s="809"/>
      <c r="F117" s="159">
        <v>0</v>
      </c>
      <c r="G117" s="521" t="s">
        <v>402</v>
      </c>
      <c r="H117" s="157"/>
      <c r="I117" s="130"/>
      <c r="J117" s="130"/>
      <c r="K117" s="521" t="s">
        <v>402</v>
      </c>
      <c r="L117" s="130"/>
      <c r="M117" s="130"/>
      <c r="N117" s="130"/>
      <c r="O117" s="130"/>
      <c r="P117" s="130"/>
      <c r="Q117" s="354"/>
      <c r="R117" s="353" t="s">
        <v>467</v>
      </c>
      <c r="S117" s="130"/>
      <c r="T117" s="204" t="b">
        <v>0</v>
      </c>
      <c r="U117" s="130"/>
      <c r="V117" s="206"/>
      <c r="W117" s="206"/>
      <c r="X117" s="206"/>
      <c r="Y117" s="206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</row>
    <row r="118" spans="1:54" s="158" customFormat="1" ht="80.099999999999994" customHeight="1" thickBot="1" x14ac:dyDescent="0.4">
      <c r="A118" s="934"/>
      <c r="B118" s="434" t="s">
        <v>357</v>
      </c>
      <c r="C118" s="476"/>
      <c r="D118" s="159">
        <v>0</v>
      </c>
      <c r="E118" s="647"/>
      <c r="F118" s="159">
        <v>0</v>
      </c>
      <c r="G118" s="523" t="s">
        <v>399</v>
      </c>
      <c r="H118" s="154"/>
      <c r="I118" s="130"/>
      <c r="J118" s="130"/>
      <c r="K118" s="523" t="s">
        <v>399</v>
      </c>
      <c r="L118" s="130"/>
      <c r="M118" s="130"/>
      <c r="N118" s="130"/>
      <c r="O118" s="130"/>
      <c r="P118" s="130"/>
      <c r="Q118" s="214"/>
      <c r="R118" s="213" t="s">
        <v>467</v>
      </c>
      <c r="S118" s="130"/>
      <c r="T118" s="204" t="b">
        <v>0</v>
      </c>
      <c r="U118" s="130"/>
      <c r="V118" s="206"/>
      <c r="W118" s="206"/>
      <c r="X118" s="206"/>
      <c r="Y118" s="206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</row>
    <row r="119" spans="1:54" s="158" customFormat="1" ht="80.099999999999994" customHeight="1" thickBot="1" x14ac:dyDescent="0.4">
      <c r="A119" s="934"/>
      <c r="B119" s="434" t="s">
        <v>262</v>
      </c>
      <c r="C119" s="476" t="s">
        <v>372</v>
      </c>
      <c r="D119" s="168"/>
      <c r="E119" s="844" t="str">
        <f>E117&amp; " " &amp;E118</f>
        <v xml:space="preserve"> </v>
      </c>
      <c r="F119" s="168"/>
      <c r="G119" s="523" t="s">
        <v>263</v>
      </c>
      <c r="H119" s="154"/>
      <c r="I119" s="130"/>
      <c r="J119" s="130"/>
      <c r="K119" s="523" t="s">
        <v>263</v>
      </c>
      <c r="L119" s="130"/>
      <c r="M119" s="130"/>
      <c r="N119" s="130"/>
      <c r="O119" s="130"/>
      <c r="P119" s="130"/>
      <c r="Q119" s="216"/>
      <c r="R119" s="215" t="s">
        <v>465</v>
      </c>
      <c r="S119" s="130"/>
      <c r="T119" s="204" t="b">
        <v>0</v>
      </c>
      <c r="U119" s="130"/>
      <c r="V119" s="206" t="str">
        <f>E117&amp; " " &amp;E118</f>
        <v xml:space="preserve"> </v>
      </c>
      <c r="W119" s="206"/>
      <c r="X119" s="206"/>
      <c r="Y119" s="206" t="str">
        <f>E117&amp; " " &amp;E118</f>
        <v xml:space="preserve"> </v>
      </c>
      <c r="Z119" s="130"/>
      <c r="AA119" s="130"/>
      <c r="AB119" s="130"/>
      <c r="AC119" s="130"/>
      <c r="AD119" s="130"/>
      <c r="AE119" s="130"/>
      <c r="AF119" s="130"/>
      <c r="AG119" s="130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0"/>
      <c r="AR119" s="130"/>
      <c r="AS119" s="130"/>
      <c r="AT119" s="130"/>
      <c r="AU119" s="130"/>
      <c r="AV119" s="130"/>
      <c r="AW119" s="130"/>
      <c r="AX119" s="130"/>
      <c r="AY119" s="130"/>
      <c r="AZ119" s="130"/>
      <c r="BA119" s="130"/>
      <c r="BB119" s="130"/>
    </row>
    <row r="120" spans="1:54" s="158" customFormat="1" ht="80.099999999999994" customHeight="1" x14ac:dyDescent="0.35">
      <c r="A120" s="934"/>
      <c r="B120" s="434"/>
      <c r="C120" s="476"/>
      <c r="D120" s="153"/>
      <c r="E120" s="649"/>
      <c r="F120" s="153"/>
      <c r="G120" s="523"/>
      <c r="H120" s="154"/>
      <c r="I120" s="130"/>
      <c r="J120" s="130"/>
      <c r="K120" s="523"/>
      <c r="L120" s="130"/>
      <c r="M120" s="130"/>
      <c r="N120" s="130"/>
      <c r="O120" s="130"/>
      <c r="P120" s="130"/>
      <c r="Q120" s="192" t="s">
        <v>310</v>
      </c>
      <c r="R120" s="199" t="s">
        <v>466</v>
      </c>
      <c r="S120" s="130"/>
      <c r="T120" s="204" t="b">
        <v>0</v>
      </c>
      <c r="U120" s="130"/>
      <c r="V120" s="206"/>
      <c r="W120" s="206"/>
      <c r="X120" s="206"/>
      <c r="Y120" s="206"/>
      <c r="Z120" s="130"/>
      <c r="AA120" s="130"/>
      <c r="AB120" s="130"/>
      <c r="AC120" s="130"/>
      <c r="AD120" s="130"/>
      <c r="AE120" s="130"/>
      <c r="AF120" s="130"/>
      <c r="AG120" s="130"/>
      <c r="AH120" s="130"/>
      <c r="AI120" s="130"/>
      <c r="AJ120" s="130"/>
      <c r="AK120" s="130"/>
      <c r="AL120" s="130"/>
      <c r="AM120" s="130"/>
      <c r="AN120" s="130"/>
      <c r="AO120" s="130"/>
      <c r="AP120" s="130"/>
      <c r="AQ120" s="130"/>
      <c r="AR120" s="130"/>
      <c r="AS120" s="130"/>
      <c r="AT120" s="130"/>
      <c r="AU120" s="130"/>
      <c r="AV120" s="130"/>
      <c r="AW120" s="130"/>
      <c r="AX120" s="130"/>
      <c r="AY120" s="130"/>
      <c r="AZ120" s="130"/>
      <c r="BA120" s="130"/>
      <c r="BB120" s="130"/>
    </row>
    <row r="121" spans="1:54" s="158" customFormat="1" ht="80.099999999999994" customHeight="1" x14ac:dyDescent="0.35">
      <c r="A121" s="935"/>
      <c r="B121" s="435" t="s">
        <v>411</v>
      </c>
      <c r="C121" s="477"/>
      <c r="D121" s="159">
        <v>0</v>
      </c>
      <c r="E121" s="809"/>
      <c r="F121" s="159">
        <v>0</v>
      </c>
      <c r="G121" s="523" t="s">
        <v>264</v>
      </c>
      <c r="H121" s="154"/>
      <c r="I121" s="130"/>
      <c r="J121" s="130"/>
      <c r="K121" s="523" t="s">
        <v>264</v>
      </c>
      <c r="L121" s="130"/>
      <c r="M121" s="130"/>
      <c r="N121" s="130"/>
      <c r="O121" s="130"/>
      <c r="P121" s="130"/>
      <c r="Q121" s="211"/>
      <c r="R121" s="212" t="s">
        <v>467</v>
      </c>
      <c r="S121" s="130"/>
      <c r="T121" s="204" t="b">
        <v>0</v>
      </c>
      <c r="U121" s="130"/>
      <c r="V121" s="206"/>
      <c r="W121" s="206"/>
      <c r="X121" s="206"/>
      <c r="Y121" s="206"/>
      <c r="Z121" s="130"/>
      <c r="AA121" s="130"/>
      <c r="AB121" s="130"/>
      <c r="AC121" s="130"/>
      <c r="AD121" s="130"/>
      <c r="AE121" s="130"/>
      <c r="AF121" s="130"/>
      <c r="AG121" s="130"/>
      <c r="AH121" s="130"/>
      <c r="AI121" s="130"/>
      <c r="AJ121" s="130"/>
      <c r="AK121" s="130"/>
      <c r="AL121" s="130"/>
      <c r="AM121" s="130"/>
      <c r="AN121" s="130"/>
      <c r="AO121" s="130"/>
      <c r="AP121" s="130"/>
      <c r="AQ121" s="130"/>
      <c r="AR121" s="130"/>
      <c r="AS121" s="130"/>
      <c r="AT121" s="130"/>
      <c r="AU121" s="130"/>
      <c r="AV121" s="130"/>
      <c r="AW121" s="130"/>
      <c r="AX121" s="130"/>
      <c r="AY121" s="130"/>
      <c r="AZ121" s="130"/>
      <c r="BA121" s="130"/>
      <c r="BB121" s="130"/>
    </row>
    <row r="122" spans="1:54" s="158" customFormat="1" ht="80.099999999999994" customHeight="1" x14ac:dyDescent="0.35">
      <c r="A122" s="935"/>
      <c r="B122" s="435" t="s">
        <v>642</v>
      </c>
      <c r="C122" s="477"/>
      <c r="D122" s="159"/>
      <c r="E122" s="809"/>
      <c r="F122" s="159"/>
      <c r="G122" s="523" t="s">
        <v>647</v>
      </c>
      <c r="H122" s="154"/>
      <c r="I122" s="130"/>
      <c r="J122" s="130"/>
      <c r="K122" s="523" t="s">
        <v>647</v>
      </c>
      <c r="L122" s="130"/>
      <c r="M122" s="130"/>
      <c r="N122" s="130"/>
      <c r="O122" s="130"/>
      <c r="P122" s="130"/>
      <c r="Q122" s="211"/>
      <c r="R122" s="212" t="s">
        <v>467</v>
      </c>
      <c r="S122" s="130"/>
      <c r="T122" s="204"/>
      <c r="U122" s="130"/>
      <c r="V122" s="206"/>
      <c r="W122" s="206"/>
      <c r="X122" s="206"/>
      <c r="Y122" s="206"/>
      <c r="Z122" s="130"/>
      <c r="AA122" s="130"/>
      <c r="AB122" s="130"/>
      <c r="AC122" s="130"/>
      <c r="AD122" s="130"/>
      <c r="AE122" s="130"/>
      <c r="AF122" s="130"/>
      <c r="AG122" s="130"/>
      <c r="AH122" s="130"/>
      <c r="AI122" s="130"/>
      <c r="AJ122" s="130"/>
      <c r="AK122" s="130"/>
      <c r="AL122" s="130"/>
      <c r="AM122" s="130"/>
      <c r="AN122" s="130"/>
      <c r="AO122" s="130"/>
      <c r="AP122" s="130"/>
      <c r="AQ122" s="130"/>
      <c r="AR122" s="130"/>
      <c r="AS122" s="130"/>
      <c r="AT122" s="130"/>
      <c r="AU122" s="130"/>
      <c r="AV122" s="130"/>
      <c r="AW122" s="130"/>
      <c r="AX122" s="130"/>
      <c r="AY122" s="130"/>
      <c r="AZ122" s="130"/>
      <c r="BA122" s="130"/>
      <c r="BB122" s="130"/>
    </row>
    <row r="123" spans="1:54" s="158" customFormat="1" ht="80.099999999999994" customHeight="1" x14ac:dyDescent="0.35">
      <c r="A123" s="935"/>
      <c r="B123" s="435" t="s">
        <v>410</v>
      </c>
      <c r="C123" s="477"/>
      <c r="D123" s="159">
        <v>0</v>
      </c>
      <c r="E123" s="806"/>
      <c r="F123" s="159">
        <v>0</v>
      </c>
      <c r="G123" s="523" t="s">
        <v>265</v>
      </c>
      <c r="H123" s="154"/>
      <c r="I123" s="130"/>
      <c r="J123" s="130"/>
      <c r="K123" s="523" t="s">
        <v>265</v>
      </c>
      <c r="L123" s="130"/>
      <c r="M123" s="130"/>
      <c r="N123" s="130"/>
      <c r="O123" s="130"/>
      <c r="P123" s="130"/>
      <c r="Q123" s="211"/>
      <c r="R123" s="212" t="s">
        <v>467</v>
      </c>
      <c r="S123" s="130"/>
      <c r="T123" s="204" t="b">
        <v>0</v>
      </c>
      <c r="U123" s="130"/>
      <c r="V123" s="206"/>
      <c r="W123" s="206"/>
      <c r="X123" s="206"/>
      <c r="Y123" s="206"/>
      <c r="Z123" s="130"/>
      <c r="AA123" s="130"/>
      <c r="AB123" s="130"/>
      <c r="AC123" s="130"/>
      <c r="AD123" s="130"/>
      <c r="AE123" s="130"/>
      <c r="AF123" s="130"/>
      <c r="AG123" s="130"/>
      <c r="AH123" s="130"/>
      <c r="AI123" s="130"/>
      <c r="AJ123" s="130"/>
      <c r="AK123" s="130"/>
      <c r="AL123" s="130"/>
      <c r="AM123" s="130"/>
      <c r="AN123" s="130"/>
      <c r="AO123" s="130"/>
      <c r="AP123" s="130"/>
      <c r="AQ123" s="130"/>
      <c r="AR123" s="130"/>
      <c r="AS123" s="130"/>
      <c r="AT123" s="130"/>
      <c r="AU123" s="130"/>
      <c r="AV123" s="130"/>
      <c r="AW123" s="130"/>
      <c r="AX123" s="130"/>
      <c r="AY123" s="130"/>
      <c r="AZ123" s="130"/>
      <c r="BA123" s="130"/>
      <c r="BB123" s="130"/>
    </row>
    <row r="124" spans="1:54" s="158" customFormat="1" ht="80.099999999999994" customHeight="1" x14ac:dyDescent="0.35">
      <c r="A124" s="935"/>
      <c r="B124" s="436" t="s">
        <v>641</v>
      </c>
      <c r="C124" s="478"/>
      <c r="D124" s="360"/>
      <c r="E124" s="806"/>
      <c r="F124" s="360"/>
      <c r="G124" s="523" t="s">
        <v>648</v>
      </c>
      <c r="H124" s="181"/>
      <c r="I124" s="130"/>
      <c r="J124" s="130"/>
      <c r="K124" s="523" t="s">
        <v>648</v>
      </c>
      <c r="L124" s="130"/>
      <c r="M124" s="130"/>
      <c r="N124" s="130"/>
      <c r="O124" s="130"/>
      <c r="P124" s="130"/>
      <c r="Q124" s="211"/>
      <c r="R124" s="212" t="s">
        <v>467</v>
      </c>
      <c r="S124" s="130"/>
      <c r="T124" s="204"/>
      <c r="U124" s="130"/>
      <c r="V124" s="206"/>
      <c r="W124" s="206"/>
      <c r="X124" s="206"/>
      <c r="Y124" s="206"/>
      <c r="Z124" s="130"/>
      <c r="AA124" s="130"/>
      <c r="AB124" s="130"/>
      <c r="AC124" s="130"/>
      <c r="AD124" s="130"/>
      <c r="AE124" s="130"/>
      <c r="AF124" s="130"/>
      <c r="AG124" s="130"/>
      <c r="AH124" s="130"/>
      <c r="AI124" s="130"/>
      <c r="AJ124" s="130"/>
      <c r="AK124" s="130"/>
      <c r="AL124" s="130"/>
      <c r="AM124" s="130"/>
      <c r="AN124" s="130"/>
      <c r="AO124" s="130"/>
      <c r="AP124" s="130"/>
      <c r="AQ124" s="130"/>
      <c r="AR124" s="130"/>
      <c r="AS124" s="130"/>
      <c r="AT124" s="130"/>
      <c r="AU124" s="130"/>
      <c r="AV124" s="130"/>
      <c r="AW124" s="130"/>
      <c r="AX124" s="130"/>
      <c r="AY124" s="130"/>
      <c r="AZ124" s="130"/>
      <c r="BA124" s="130"/>
      <c r="BB124" s="130"/>
    </row>
    <row r="125" spans="1:54" s="158" customFormat="1" ht="80.099999999999994" customHeight="1" thickBot="1" x14ac:dyDescent="0.4">
      <c r="A125" s="935"/>
      <c r="B125" s="437" t="s">
        <v>266</v>
      </c>
      <c r="C125" s="475"/>
      <c r="D125" s="360">
        <v>0</v>
      </c>
      <c r="E125" s="650"/>
      <c r="F125" s="361">
        <v>0</v>
      </c>
      <c r="G125" s="522" t="s">
        <v>267</v>
      </c>
      <c r="H125" s="156"/>
      <c r="I125" s="130"/>
      <c r="J125" s="130"/>
      <c r="K125" s="522" t="s">
        <v>267</v>
      </c>
      <c r="L125" s="130"/>
      <c r="M125" s="130"/>
      <c r="N125" s="130"/>
      <c r="O125" s="130"/>
      <c r="P125" s="130"/>
      <c r="Q125" s="211"/>
      <c r="R125" s="212" t="s">
        <v>467</v>
      </c>
      <c r="S125" s="130"/>
      <c r="T125" s="204" t="b">
        <v>0</v>
      </c>
      <c r="U125" s="130"/>
      <c r="V125" s="206"/>
      <c r="W125" s="206"/>
      <c r="X125" s="206"/>
      <c r="Y125" s="206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</row>
    <row r="126" spans="1:54" s="158" customFormat="1" ht="80.099999999999994" customHeight="1" x14ac:dyDescent="0.35">
      <c r="A126" s="935"/>
      <c r="B126" s="434" t="s">
        <v>358</v>
      </c>
      <c r="C126" s="476"/>
      <c r="D126" s="387"/>
      <c r="E126" s="651"/>
      <c r="F126" s="386"/>
      <c r="G126" s="521" t="s">
        <v>367</v>
      </c>
      <c r="H126" s="157"/>
      <c r="I126" s="130"/>
      <c r="J126" s="130"/>
      <c r="K126" s="521" t="s">
        <v>367</v>
      </c>
      <c r="L126" s="130"/>
      <c r="M126" s="130"/>
      <c r="N126" s="130"/>
      <c r="O126" s="130"/>
      <c r="P126" s="130"/>
      <c r="Q126" s="211"/>
      <c r="R126" s="212" t="s">
        <v>467</v>
      </c>
      <c r="S126" s="130"/>
      <c r="T126" s="204" t="b">
        <v>0</v>
      </c>
      <c r="U126" s="130"/>
      <c r="V126" s="206"/>
      <c r="W126" s="206"/>
      <c r="X126" s="206"/>
      <c r="Y126" s="206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</row>
    <row r="127" spans="1:54" s="158" customFormat="1" ht="80.099999999999994" customHeight="1" thickBot="1" x14ac:dyDescent="0.4">
      <c r="A127" s="935"/>
      <c r="B127" s="435" t="s">
        <v>359</v>
      </c>
      <c r="C127" s="477"/>
      <c r="D127" s="388"/>
      <c r="E127" s="652"/>
      <c r="F127" s="153"/>
      <c r="G127" s="523" t="s">
        <v>360</v>
      </c>
      <c r="H127" s="154"/>
      <c r="I127" s="130"/>
      <c r="J127" s="130"/>
      <c r="K127" s="523" t="s">
        <v>360</v>
      </c>
      <c r="L127" s="130"/>
      <c r="M127" s="130"/>
      <c r="N127" s="130"/>
      <c r="O127" s="130"/>
      <c r="P127" s="130"/>
      <c r="Q127" s="211"/>
      <c r="R127" s="212" t="s">
        <v>467</v>
      </c>
      <c r="S127" s="130"/>
      <c r="T127" s="204" t="b">
        <v>0</v>
      </c>
      <c r="U127" s="130"/>
      <c r="V127" s="206"/>
      <c r="W127" s="206"/>
      <c r="X127" s="206"/>
      <c r="Y127" s="206"/>
      <c r="Z127" s="130"/>
      <c r="AA127" s="130"/>
      <c r="AB127" s="130"/>
      <c r="AC127" s="130"/>
      <c r="AD127" s="130"/>
      <c r="AE127" s="130"/>
      <c r="AF127" s="130"/>
      <c r="AG127" s="130"/>
      <c r="AH127" s="130"/>
      <c r="AI127" s="130"/>
      <c r="AJ127" s="130"/>
      <c r="AK127" s="130"/>
      <c r="AL127" s="130"/>
      <c r="AM127" s="130"/>
      <c r="AN127" s="130"/>
      <c r="AO127" s="130"/>
      <c r="AP127" s="130"/>
      <c r="AQ127" s="130"/>
      <c r="AR127" s="130"/>
      <c r="AS127" s="130"/>
      <c r="AT127" s="130"/>
      <c r="AU127" s="130"/>
      <c r="AV127" s="130"/>
      <c r="AW127" s="130"/>
      <c r="AX127" s="130"/>
      <c r="AY127" s="130"/>
      <c r="AZ127" s="130"/>
      <c r="BA127" s="130"/>
      <c r="BB127" s="130"/>
    </row>
    <row r="128" spans="1:54" s="158" customFormat="1" ht="80.099999999999994" customHeight="1" thickBot="1" x14ac:dyDescent="0.4">
      <c r="A128" s="935"/>
      <c r="B128" s="435" t="s">
        <v>268</v>
      </c>
      <c r="C128" s="477" t="s">
        <v>372</v>
      </c>
      <c r="D128" s="401"/>
      <c r="E128" s="845" t="str">
        <f>E126&amp; " " &amp;E127</f>
        <v xml:space="preserve"> </v>
      </c>
      <c r="F128" s="153"/>
      <c r="G128" s="523" t="s">
        <v>269</v>
      </c>
      <c r="H128" s="154"/>
      <c r="I128" s="130"/>
      <c r="J128" s="130"/>
      <c r="K128" s="523" t="s">
        <v>269</v>
      </c>
      <c r="L128" s="130"/>
      <c r="M128" s="130"/>
      <c r="N128" s="130"/>
      <c r="O128" s="130"/>
      <c r="P128" s="130"/>
      <c r="Q128" s="196"/>
      <c r="R128" s="210" t="s">
        <v>465</v>
      </c>
      <c r="S128" s="130"/>
      <c r="T128" s="204" t="b">
        <v>0</v>
      </c>
      <c r="U128" s="130"/>
      <c r="V128" s="206" t="str">
        <f>E126&amp; " " &amp;E127</f>
        <v xml:space="preserve"> </v>
      </c>
      <c r="W128" s="206"/>
      <c r="X128" s="206"/>
      <c r="Y128" s="206" t="str">
        <f>E126&amp; " " &amp;E127</f>
        <v xml:space="preserve"> </v>
      </c>
      <c r="Z128" s="130"/>
      <c r="AA128" s="130"/>
      <c r="AB128" s="130"/>
      <c r="AC128" s="130"/>
      <c r="AD128" s="130"/>
      <c r="AE128" s="130"/>
      <c r="AF128" s="130"/>
      <c r="AG128" s="130"/>
      <c r="AH128" s="130"/>
      <c r="AI128" s="130"/>
      <c r="AJ128" s="130"/>
      <c r="AK128" s="130"/>
      <c r="AL128" s="130"/>
      <c r="AM128" s="130"/>
      <c r="AN128" s="130"/>
      <c r="AO128" s="130"/>
      <c r="AP128" s="130"/>
      <c r="AQ128" s="130"/>
      <c r="AR128" s="130"/>
      <c r="AS128" s="130"/>
      <c r="AT128" s="130"/>
      <c r="AU128" s="130"/>
      <c r="AV128" s="130"/>
      <c r="AW128" s="130"/>
      <c r="AX128" s="130"/>
      <c r="AY128" s="130"/>
      <c r="AZ128" s="130"/>
      <c r="BA128" s="130"/>
      <c r="BB128" s="130"/>
    </row>
    <row r="129" spans="1:54" s="158" customFormat="1" ht="80.099999999999994" customHeight="1" x14ac:dyDescent="0.35">
      <c r="A129" s="935"/>
      <c r="B129" s="435" t="s">
        <v>470</v>
      </c>
      <c r="C129" s="477"/>
      <c r="D129" s="388"/>
      <c r="E129" s="651"/>
      <c r="F129" s="153"/>
      <c r="G129" s="524" t="s">
        <v>472</v>
      </c>
      <c r="H129" s="154"/>
      <c r="I129" s="130"/>
      <c r="J129" s="130"/>
      <c r="K129" s="524" t="s">
        <v>472</v>
      </c>
      <c r="L129" s="130"/>
      <c r="M129" s="130"/>
      <c r="N129" s="130"/>
      <c r="O129" s="130"/>
      <c r="P129" s="130"/>
      <c r="Q129" s="211"/>
      <c r="R129" s="212" t="s">
        <v>467</v>
      </c>
      <c r="S129" s="130"/>
      <c r="T129" s="204" t="b">
        <v>0</v>
      </c>
      <c r="U129" s="130"/>
      <c r="V129" s="206"/>
      <c r="W129" s="206"/>
      <c r="X129" s="206"/>
      <c r="Y129" s="206"/>
      <c r="Z129" s="130"/>
      <c r="AA129" s="130"/>
      <c r="AB129" s="130"/>
      <c r="AC129" s="130"/>
      <c r="AD129" s="130"/>
      <c r="AE129" s="130"/>
      <c r="AF129" s="130"/>
      <c r="AG129" s="130"/>
      <c r="AH129" s="130"/>
      <c r="AI129" s="130"/>
      <c r="AJ129" s="130"/>
      <c r="AK129" s="130"/>
      <c r="AL129" s="130"/>
      <c r="AM129" s="130"/>
      <c r="AN129" s="130"/>
      <c r="AO129" s="130"/>
      <c r="AP129" s="130"/>
      <c r="AQ129" s="130"/>
      <c r="AR129" s="130"/>
      <c r="AS129" s="130"/>
      <c r="AT129" s="130"/>
      <c r="AU129" s="130"/>
      <c r="AV129" s="130"/>
      <c r="AW129" s="130"/>
      <c r="AX129" s="130"/>
      <c r="AY129" s="130"/>
      <c r="AZ129" s="130"/>
      <c r="BA129" s="130"/>
      <c r="BB129" s="130"/>
    </row>
    <row r="130" spans="1:54" s="158" customFormat="1" ht="80.099999999999994" customHeight="1" x14ac:dyDescent="0.35">
      <c r="A130" s="935"/>
      <c r="B130" s="435" t="s">
        <v>469</v>
      </c>
      <c r="C130" s="477" t="s">
        <v>270</v>
      </c>
      <c r="D130" s="388"/>
      <c r="E130" s="653"/>
      <c r="F130" s="153"/>
      <c r="G130" s="523" t="s">
        <v>471</v>
      </c>
      <c r="H130" s="154"/>
      <c r="I130" s="130"/>
      <c r="J130" s="130"/>
      <c r="K130" s="523" t="s">
        <v>471</v>
      </c>
      <c r="L130" s="130"/>
      <c r="M130" s="130"/>
      <c r="N130" s="130"/>
      <c r="O130" s="130"/>
      <c r="P130" s="130"/>
      <c r="Q130" s="211"/>
      <c r="R130" s="212" t="s">
        <v>467</v>
      </c>
      <c r="S130" s="130"/>
      <c r="T130" s="204" t="b">
        <v>0</v>
      </c>
      <c r="U130" s="130"/>
      <c r="V130" s="206"/>
      <c r="W130" s="206"/>
      <c r="X130" s="206"/>
      <c r="Y130" s="206"/>
      <c r="Z130" s="130"/>
      <c r="AA130" s="130"/>
      <c r="AB130" s="130"/>
      <c r="AC130" s="130"/>
      <c r="AD130" s="130"/>
      <c r="AE130" s="130"/>
      <c r="AF130" s="130"/>
      <c r="AG130" s="130"/>
      <c r="AH130" s="130"/>
      <c r="AI130" s="130"/>
      <c r="AJ130" s="130"/>
      <c r="AK130" s="130"/>
      <c r="AL130" s="130"/>
      <c r="AM130" s="130"/>
      <c r="AN130" s="130"/>
      <c r="AO130" s="130"/>
      <c r="AP130" s="130"/>
      <c r="AQ130" s="130"/>
      <c r="AR130" s="130"/>
      <c r="AS130" s="130"/>
      <c r="AT130" s="130"/>
      <c r="AU130" s="130"/>
      <c r="AV130" s="130"/>
      <c r="AW130" s="130"/>
      <c r="AX130" s="130"/>
      <c r="AY130" s="130"/>
      <c r="AZ130" s="130"/>
      <c r="BA130" s="130"/>
      <c r="BB130" s="130"/>
    </row>
    <row r="131" spans="1:54" s="158" customFormat="1" ht="80.099999999999994" customHeight="1" x14ac:dyDescent="0.35">
      <c r="A131" s="935"/>
      <c r="B131" s="435" t="s">
        <v>654</v>
      </c>
      <c r="C131" s="477"/>
      <c r="D131" s="388"/>
      <c r="E131" s="653"/>
      <c r="F131" s="153"/>
      <c r="G131" s="523" t="s">
        <v>658</v>
      </c>
      <c r="H131" s="154"/>
      <c r="I131" s="130"/>
      <c r="J131" s="130"/>
      <c r="K131" s="523" t="s">
        <v>658</v>
      </c>
      <c r="L131" s="130"/>
      <c r="M131" s="130"/>
      <c r="N131" s="130"/>
      <c r="O131" s="130"/>
      <c r="P131" s="130"/>
      <c r="Q131" s="211"/>
      <c r="R131" s="212" t="s">
        <v>467</v>
      </c>
      <c r="S131" s="130"/>
      <c r="T131" s="204"/>
      <c r="U131" s="130"/>
      <c r="V131" s="206"/>
      <c r="W131" s="206"/>
      <c r="X131" s="206"/>
      <c r="Y131" s="206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</row>
    <row r="132" spans="1:54" s="158" customFormat="1" ht="80.099999999999994" customHeight="1" thickBot="1" x14ac:dyDescent="0.4">
      <c r="A132" s="935"/>
      <c r="B132" s="435" t="s">
        <v>655</v>
      </c>
      <c r="C132" s="477"/>
      <c r="D132" s="388"/>
      <c r="E132" s="653"/>
      <c r="F132" s="153"/>
      <c r="G132" s="523" t="s">
        <v>659</v>
      </c>
      <c r="H132" s="154"/>
      <c r="I132" s="130"/>
      <c r="J132" s="130"/>
      <c r="K132" s="523" t="s">
        <v>659</v>
      </c>
      <c r="L132" s="130"/>
      <c r="M132" s="130"/>
      <c r="N132" s="130"/>
      <c r="O132" s="130"/>
      <c r="P132" s="130"/>
      <c r="Q132" s="211"/>
      <c r="R132" s="212" t="s">
        <v>467</v>
      </c>
      <c r="S132" s="130"/>
      <c r="T132" s="204"/>
      <c r="U132" s="130"/>
      <c r="V132" s="206"/>
      <c r="W132" s="206"/>
      <c r="X132" s="206"/>
      <c r="Y132" s="206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</row>
    <row r="133" spans="1:54" s="158" customFormat="1" ht="80.099999999999994" customHeight="1" x14ac:dyDescent="0.35">
      <c r="A133" s="935"/>
      <c r="B133" s="435" t="s">
        <v>474</v>
      </c>
      <c r="C133" s="477"/>
      <c r="D133" s="388"/>
      <c r="E133" s="651"/>
      <c r="F133" s="153"/>
      <c r="G133" s="523" t="s">
        <v>476</v>
      </c>
      <c r="H133" s="154"/>
      <c r="I133" s="130"/>
      <c r="J133" s="130"/>
      <c r="K133" s="523" t="s">
        <v>476</v>
      </c>
      <c r="L133" s="130"/>
      <c r="M133" s="130"/>
      <c r="N133" s="130"/>
      <c r="O133" s="130"/>
      <c r="P133" s="130"/>
      <c r="Q133" s="211"/>
      <c r="R133" s="212" t="s">
        <v>467</v>
      </c>
      <c r="S133" s="130"/>
      <c r="T133" s="204" t="b">
        <v>0</v>
      </c>
      <c r="U133" s="130"/>
      <c r="V133" s="206"/>
      <c r="W133" s="206"/>
      <c r="X133" s="206"/>
      <c r="Y133" s="206"/>
      <c r="Z133" s="130"/>
      <c r="AA133" s="130"/>
      <c r="AB133" s="130"/>
      <c r="AC133" s="130"/>
      <c r="AD133" s="130"/>
      <c r="AE133" s="130"/>
      <c r="AF133" s="130"/>
      <c r="AG133" s="130"/>
      <c r="AH133" s="130"/>
      <c r="AI133" s="130"/>
      <c r="AJ133" s="130"/>
      <c r="AK133" s="130"/>
      <c r="AL133" s="130"/>
      <c r="AM133" s="130"/>
      <c r="AN133" s="130"/>
      <c r="AO133" s="130"/>
      <c r="AP133" s="130"/>
      <c r="AQ133" s="130"/>
      <c r="AR133" s="130"/>
      <c r="AS133" s="130"/>
      <c r="AT133" s="130"/>
      <c r="AU133" s="130"/>
      <c r="AV133" s="130"/>
      <c r="AW133" s="130"/>
      <c r="AX133" s="130"/>
      <c r="AY133" s="130"/>
      <c r="AZ133" s="130"/>
      <c r="BA133" s="130"/>
      <c r="BB133" s="130"/>
    </row>
    <row r="134" spans="1:54" s="158" customFormat="1" ht="80.099999999999994" customHeight="1" x14ac:dyDescent="0.35">
      <c r="A134" s="935"/>
      <c r="B134" s="435" t="s">
        <v>473</v>
      </c>
      <c r="C134" s="477" t="s">
        <v>270</v>
      </c>
      <c r="D134" s="388"/>
      <c r="E134" s="654"/>
      <c r="F134" s="153"/>
      <c r="G134" s="523" t="s">
        <v>475</v>
      </c>
      <c r="H134" s="154"/>
      <c r="I134" s="130"/>
      <c r="J134" s="130"/>
      <c r="K134" s="523" t="s">
        <v>475</v>
      </c>
      <c r="L134" s="130"/>
      <c r="M134" s="130"/>
      <c r="N134" s="130"/>
      <c r="O134" s="130"/>
      <c r="P134" s="130"/>
      <c r="Q134" s="211"/>
      <c r="R134" s="212" t="s">
        <v>467</v>
      </c>
      <c r="S134" s="130"/>
      <c r="T134" s="204" t="b">
        <v>0</v>
      </c>
      <c r="U134" s="130"/>
      <c r="V134" s="206"/>
      <c r="W134" s="206"/>
      <c r="X134" s="206"/>
      <c r="Y134" s="206"/>
      <c r="Z134" s="130"/>
      <c r="AA134" s="130"/>
      <c r="AB134" s="130"/>
      <c r="AC134" s="130"/>
      <c r="AD134" s="130"/>
      <c r="AE134" s="130"/>
      <c r="AF134" s="130"/>
      <c r="AG134" s="130"/>
      <c r="AH134" s="130"/>
      <c r="AI134" s="130"/>
      <c r="AJ134" s="130"/>
      <c r="AK134" s="130"/>
      <c r="AL134" s="130"/>
      <c r="AM134" s="130"/>
      <c r="AN134" s="130"/>
      <c r="AO134" s="130"/>
      <c r="AP134" s="130"/>
      <c r="AQ134" s="130"/>
      <c r="AR134" s="130"/>
      <c r="AS134" s="130"/>
      <c r="AT134" s="130"/>
      <c r="AU134" s="130"/>
      <c r="AV134" s="130"/>
      <c r="AW134" s="130"/>
      <c r="AX134" s="130"/>
      <c r="AY134" s="130"/>
      <c r="AZ134" s="130"/>
      <c r="BA134" s="130"/>
      <c r="BB134" s="130"/>
    </row>
    <row r="135" spans="1:54" s="158" customFormat="1" ht="80.099999999999994" customHeight="1" x14ac:dyDescent="0.35">
      <c r="A135" s="935"/>
      <c r="B135" s="436" t="s">
        <v>656</v>
      </c>
      <c r="C135" s="478"/>
      <c r="D135" s="388"/>
      <c r="E135" s="653"/>
      <c r="F135" s="153"/>
      <c r="G135" s="525" t="s">
        <v>660</v>
      </c>
      <c r="H135" s="181"/>
      <c r="I135" s="130"/>
      <c r="J135" s="130"/>
      <c r="K135" s="525" t="s">
        <v>660</v>
      </c>
      <c r="L135" s="130"/>
      <c r="M135" s="130"/>
      <c r="N135" s="130"/>
      <c r="O135" s="130"/>
      <c r="P135" s="130"/>
      <c r="Q135" s="211"/>
      <c r="R135" s="212" t="s">
        <v>467</v>
      </c>
      <c r="S135" s="130"/>
      <c r="T135" s="204"/>
      <c r="U135" s="130"/>
      <c r="V135" s="206"/>
      <c r="W135" s="206"/>
      <c r="X135" s="206"/>
      <c r="Y135" s="206"/>
      <c r="Z135" s="130"/>
      <c r="AA135" s="130"/>
      <c r="AB135" s="130"/>
      <c r="AC135" s="130"/>
      <c r="AD135" s="130"/>
      <c r="AE135" s="130"/>
      <c r="AF135" s="130"/>
      <c r="AG135" s="130"/>
      <c r="AH135" s="130"/>
      <c r="AI135" s="130"/>
      <c r="AJ135" s="130"/>
      <c r="AK135" s="130"/>
      <c r="AL135" s="130"/>
      <c r="AM135" s="130"/>
      <c r="AN135" s="130"/>
      <c r="AO135" s="130"/>
      <c r="AP135" s="130"/>
      <c r="AQ135" s="130"/>
      <c r="AR135" s="130"/>
      <c r="AS135" s="130"/>
      <c r="AT135" s="130"/>
      <c r="AU135" s="130"/>
      <c r="AV135" s="130"/>
      <c r="AW135" s="130"/>
      <c r="AX135" s="130"/>
      <c r="AY135" s="130"/>
      <c r="AZ135" s="130"/>
      <c r="BA135" s="130"/>
      <c r="BB135" s="130"/>
    </row>
    <row r="136" spans="1:54" s="158" customFormat="1" ht="80.099999999999994" customHeight="1" x14ac:dyDescent="0.35">
      <c r="A136" s="935"/>
      <c r="B136" s="436" t="s">
        <v>657</v>
      </c>
      <c r="C136" s="478"/>
      <c r="D136" s="388"/>
      <c r="E136" s="654"/>
      <c r="F136" s="153"/>
      <c r="G136" s="525" t="s">
        <v>661</v>
      </c>
      <c r="H136" s="181"/>
      <c r="I136" s="130"/>
      <c r="J136" s="130"/>
      <c r="K136" s="525" t="s">
        <v>661</v>
      </c>
      <c r="L136" s="130"/>
      <c r="M136" s="130"/>
      <c r="N136" s="130"/>
      <c r="O136" s="130"/>
      <c r="P136" s="130"/>
      <c r="Q136" s="211"/>
      <c r="R136" s="212" t="s">
        <v>467</v>
      </c>
      <c r="S136" s="130"/>
      <c r="T136" s="204"/>
      <c r="U136" s="130"/>
      <c r="V136" s="206"/>
      <c r="W136" s="206"/>
      <c r="X136" s="206"/>
      <c r="Y136" s="206"/>
      <c r="Z136" s="130"/>
      <c r="AA136" s="130"/>
      <c r="AB136" s="130"/>
      <c r="AC136" s="130"/>
      <c r="AD136" s="130"/>
      <c r="AE136" s="130"/>
      <c r="AF136" s="130"/>
      <c r="AG136" s="130"/>
      <c r="AH136" s="130"/>
      <c r="AI136" s="130"/>
      <c r="AJ136" s="130"/>
      <c r="AK136" s="130"/>
      <c r="AL136" s="130"/>
      <c r="AM136" s="130"/>
      <c r="AN136" s="130"/>
      <c r="AO136" s="130"/>
      <c r="AP136" s="130"/>
      <c r="AQ136" s="130"/>
      <c r="AR136" s="130"/>
      <c r="AS136" s="130"/>
      <c r="AT136" s="130"/>
      <c r="AU136" s="130"/>
      <c r="AV136" s="130"/>
      <c r="AW136" s="130"/>
      <c r="AX136" s="130"/>
      <c r="AY136" s="130"/>
      <c r="AZ136" s="130"/>
      <c r="BA136" s="130"/>
      <c r="BB136" s="130"/>
    </row>
    <row r="137" spans="1:54" s="158" customFormat="1" ht="80.099999999999994" customHeight="1" x14ac:dyDescent="0.35">
      <c r="A137" s="935"/>
      <c r="B137" s="436" t="s">
        <v>733</v>
      </c>
      <c r="C137" s="478"/>
      <c r="D137" s="388"/>
      <c r="E137" s="655"/>
      <c r="F137" s="153"/>
      <c r="G137" s="525" t="s">
        <v>478</v>
      </c>
      <c r="H137" s="181"/>
      <c r="I137" s="130"/>
      <c r="J137" s="130"/>
      <c r="K137" s="525" t="s">
        <v>850</v>
      </c>
      <c r="L137" s="130"/>
      <c r="M137" s="130"/>
      <c r="N137" s="130"/>
      <c r="O137" s="130"/>
      <c r="P137" s="130"/>
      <c r="Q137" s="211"/>
      <c r="R137" s="212" t="s">
        <v>467</v>
      </c>
      <c r="S137" s="130"/>
      <c r="T137" s="204" t="b">
        <v>0</v>
      </c>
      <c r="U137" s="130"/>
      <c r="V137" s="206"/>
      <c r="W137" s="206"/>
      <c r="X137" s="206"/>
      <c r="Y137" s="206"/>
      <c r="Z137" s="130"/>
      <c r="AA137" s="130"/>
      <c r="AB137" s="130"/>
      <c r="AC137" s="130"/>
      <c r="AD137" s="130"/>
      <c r="AE137" s="130"/>
      <c r="AF137" s="130"/>
      <c r="AG137" s="130"/>
      <c r="AH137" s="130"/>
      <c r="AI137" s="130"/>
      <c r="AJ137" s="130"/>
      <c r="AK137" s="130"/>
      <c r="AL137" s="130"/>
      <c r="AM137" s="130"/>
      <c r="AN137" s="130"/>
      <c r="AO137" s="130"/>
      <c r="AP137" s="130"/>
      <c r="AQ137" s="130"/>
      <c r="AR137" s="130"/>
      <c r="AS137" s="130"/>
      <c r="AT137" s="130"/>
      <c r="AU137" s="130"/>
      <c r="AV137" s="130"/>
      <c r="AW137" s="130"/>
      <c r="AX137" s="130"/>
      <c r="AY137" s="130"/>
      <c r="AZ137" s="130"/>
      <c r="BA137" s="130"/>
      <c r="BB137" s="130"/>
    </row>
    <row r="138" spans="1:54" s="158" customFormat="1" ht="80.099999999999994" customHeight="1" x14ac:dyDescent="0.35">
      <c r="A138" s="935"/>
      <c r="B138" s="435" t="s">
        <v>734</v>
      </c>
      <c r="C138" s="477" t="s">
        <v>271</v>
      </c>
      <c r="D138" s="388"/>
      <c r="E138" s="653"/>
      <c r="F138" s="153"/>
      <c r="G138" s="523" t="s">
        <v>477</v>
      </c>
      <c r="H138" s="181"/>
      <c r="I138" s="130"/>
      <c r="J138" s="130"/>
      <c r="K138" s="523" t="s">
        <v>851</v>
      </c>
      <c r="L138" s="130"/>
      <c r="M138" s="130"/>
      <c r="N138" s="130"/>
      <c r="O138" s="130"/>
      <c r="P138" s="130"/>
      <c r="Q138" s="211"/>
      <c r="R138" s="212" t="s">
        <v>467</v>
      </c>
      <c r="S138" s="130"/>
      <c r="T138" s="204"/>
      <c r="U138" s="130"/>
      <c r="V138" s="206"/>
      <c r="W138" s="206"/>
      <c r="X138" s="206"/>
      <c r="Y138" s="206"/>
      <c r="Z138" s="130"/>
      <c r="AA138" s="130"/>
      <c r="AB138" s="130"/>
      <c r="AC138" s="130"/>
      <c r="AD138" s="130"/>
      <c r="AE138" s="130"/>
      <c r="AF138" s="130"/>
      <c r="AG138" s="130"/>
      <c r="AH138" s="130"/>
      <c r="AI138" s="130"/>
      <c r="AJ138" s="130"/>
      <c r="AK138" s="130"/>
      <c r="AL138" s="130"/>
      <c r="AM138" s="130"/>
      <c r="AN138" s="130"/>
      <c r="AO138" s="130"/>
      <c r="AP138" s="130"/>
      <c r="AQ138" s="130"/>
      <c r="AR138" s="130"/>
      <c r="AS138" s="130"/>
      <c r="AT138" s="130"/>
      <c r="AU138" s="130"/>
      <c r="AV138" s="130"/>
      <c r="AW138" s="130"/>
      <c r="AX138" s="130"/>
      <c r="AY138" s="130"/>
      <c r="AZ138" s="130"/>
      <c r="BA138" s="130"/>
      <c r="BB138" s="130"/>
    </row>
    <row r="139" spans="1:54" s="158" customFormat="1" ht="80.099999999999994" customHeight="1" x14ac:dyDescent="0.35">
      <c r="A139" s="935"/>
      <c r="B139" s="435" t="s">
        <v>735</v>
      </c>
      <c r="C139" s="477"/>
      <c r="D139" s="388"/>
      <c r="E139" s="654"/>
      <c r="F139" s="153"/>
      <c r="G139" s="523" t="s">
        <v>649</v>
      </c>
      <c r="H139" s="154"/>
      <c r="I139" s="130"/>
      <c r="J139" s="130"/>
      <c r="K139" s="523" t="s">
        <v>649</v>
      </c>
      <c r="L139" s="130"/>
      <c r="M139" s="130"/>
      <c r="N139" s="130"/>
      <c r="O139" s="130"/>
      <c r="P139" s="130"/>
      <c r="Q139" s="211"/>
      <c r="R139" s="212" t="s">
        <v>467</v>
      </c>
      <c r="S139" s="130"/>
      <c r="T139" s="204"/>
      <c r="U139" s="130"/>
      <c r="V139" s="206"/>
      <c r="W139" s="206"/>
      <c r="X139" s="206"/>
      <c r="Y139" s="206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</row>
    <row r="140" spans="1:54" s="158" customFormat="1" ht="80.099999999999994" customHeight="1" x14ac:dyDescent="0.35">
      <c r="A140" s="935"/>
      <c r="B140" s="435" t="s">
        <v>736</v>
      </c>
      <c r="C140" s="477"/>
      <c r="D140" s="388"/>
      <c r="E140" s="654"/>
      <c r="F140" s="153"/>
      <c r="G140" s="523" t="s">
        <v>650</v>
      </c>
      <c r="H140" s="154"/>
      <c r="I140" s="130"/>
      <c r="J140" s="130"/>
      <c r="K140" s="523" t="s">
        <v>843</v>
      </c>
      <c r="L140" s="130"/>
      <c r="M140" s="130"/>
      <c r="N140" s="130"/>
      <c r="O140" s="130"/>
      <c r="P140" s="130"/>
      <c r="Q140" s="211"/>
      <c r="R140" s="212" t="s">
        <v>467</v>
      </c>
      <c r="S140" s="130"/>
      <c r="T140" s="204"/>
      <c r="U140" s="130"/>
      <c r="V140" s="206"/>
      <c r="W140" s="206"/>
      <c r="X140" s="206"/>
      <c r="Y140" s="206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</row>
    <row r="141" spans="1:54" s="158" customFormat="1" ht="80.099999999999994" customHeight="1" x14ac:dyDescent="0.35">
      <c r="A141" s="935"/>
      <c r="B141" s="435" t="s">
        <v>737</v>
      </c>
      <c r="C141" s="477"/>
      <c r="D141" s="388"/>
      <c r="E141" s="654"/>
      <c r="F141" s="153"/>
      <c r="G141" s="523" t="s">
        <v>651</v>
      </c>
      <c r="H141" s="154"/>
      <c r="I141" s="130"/>
      <c r="J141" s="130"/>
      <c r="K141" s="523" t="s">
        <v>651</v>
      </c>
      <c r="L141" s="130"/>
      <c r="M141" s="130"/>
      <c r="N141" s="130"/>
      <c r="O141" s="130"/>
      <c r="P141" s="130"/>
      <c r="Q141" s="211"/>
      <c r="R141" s="212" t="s">
        <v>467</v>
      </c>
      <c r="S141" s="130"/>
      <c r="T141" s="204"/>
      <c r="U141" s="130"/>
      <c r="V141" s="206"/>
      <c r="W141" s="206"/>
      <c r="X141" s="206"/>
      <c r="Y141" s="206"/>
      <c r="Z141" s="130"/>
      <c r="AA141" s="130"/>
      <c r="AB141" s="130"/>
      <c r="AC141" s="130"/>
      <c r="AD141" s="130"/>
      <c r="AE141" s="130"/>
      <c r="AF141" s="130"/>
      <c r="AG141" s="130"/>
      <c r="AH141" s="130"/>
      <c r="AI141" s="130"/>
      <c r="AJ141" s="130"/>
      <c r="AK141" s="130"/>
      <c r="AL141" s="130"/>
      <c r="AM141" s="130"/>
      <c r="AN141" s="130"/>
      <c r="AO141" s="130"/>
      <c r="AP141" s="130"/>
      <c r="AQ141" s="130"/>
      <c r="AR141" s="130"/>
      <c r="AS141" s="130"/>
      <c r="AT141" s="130"/>
      <c r="AU141" s="130"/>
      <c r="AV141" s="130"/>
      <c r="AW141" s="130"/>
      <c r="AX141" s="130"/>
      <c r="AY141" s="130"/>
      <c r="AZ141" s="130"/>
      <c r="BA141" s="130"/>
      <c r="BB141" s="130"/>
    </row>
    <row r="142" spans="1:54" s="158" customFormat="1" ht="80.099999999999994" customHeight="1" x14ac:dyDescent="0.35">
      <c r="A142" s="935"/>
      <c r="B142" s="435" t="s">
        <v>738</v>
      </c>
      <c r="C142" s="477"/>
      <c r="D142" s="388"/>
      <c r="E142" s="656"/>
      <c r="F142" s="153"/>
      <c r="G142" s="523" t="s">
        <v>652</v>
      </c>
      <c r="H142" s="154"/>
      <c r="I142" s="130"/>
      <c r="J142" s="130"/>
      <c r="K142" s="523" t="s">
        <v>844</v>
      </c>
      <c r="L142" s="130"/>
      <c r="M142" s="130"/>
      <c r="N142" s="130"/>
      <c r="O142" s="130"/>
      <c r="P142" s="130"/>
      <c r="Q142" s="211"/>
      <c r="R142" s="212" t="s">
        <v>467</v>
      </c>
      <c r="S142" s="130"/>
      <c r="T142" s="204"/>
      <c r="U142" s="130"/>
      <c r="V142" s="206"/>
      <c r="W142" s="206"/>
      <c r="X142" s="206"/>
      <c r="Y142" s="206"/>
      <c r="Z142" s="130"/>
      <c r="AA142" s="130"/>
      <c r="AB142" s="130"/>
      <c r="AC142" s="130"/>
      <c r="AD142" s="130"/>
      <c r="AE142" s="130"/>
      <c r="AF142" s="130"/>
      <c r="AG142" s="130"/>
      <c r="AH142" s="130"/>
      <c r="AI142" s="130"/>
      <c r="AJ142" s="130"/>
      <c r="AK142" s="130"/>
      <c r="AL142" s="130"/>
      <c r="AM142" s="130"/>
      <c r="AN142" s="130"/>
      <c r="AO142" s="130"/>
      <c r="AP142" s="130"/>
      <c r="AQ142" s="130"/>
      <c r="AR142" s="130"/>
      <c r="AS142" s="130"/>
      <c r="AT142" s="130"/>
      <c r="AU142" s="130"/>
      <c r="AV142" s="130"/>
      <c r="AW142" s="130"/>
      <c r="AX142" s="130"/>
      <c r="AY142" s="130"/>
      <c r="AZ142" s="130"/>
      <c r="BA142" s="130"/>
      <c r="BB142" s="130"/>
    </row>
    <row r="143" spans="1:54" s="158" customFormat="1" ht="80.099999999999994" customHeight="1" thickBot="1" x14ac:dyDescent="0.4">
      <c r="A143" s="935"/>
      <c r="B143" s="437" t="s">
        <v>739</v>
      </c>
      <c r="C143" s="475"/>
      <c r="D143" s="389"/>
      <c r="E143" s="656"/>
      <c r="F143" s="155"/>
      <c r="G143" s="522" t="s">
        <v>653</v>
      </c>
      <c r="H143" s="156"/>
      <c r="I143" s="130"/>
      <c r="J143" s="130"/>
      <c r="K143" s="522" t="s">
        <v>653</v>
      </c>
      <c r="L143" s="130"/>
      <c r="M143" s="130"/>
      <c r="N143" s="130"/>
      <c r="O143" s="130"/>
      <c r="P143" s="130"/>
      <c r="Q143" s="211"/>
      <c r="R143" s="212" t="s">
        <v>467</v>
      </c>
      <c r="S143" s="130"/>
      <c r="T143" s="204" t="b">
        <v>0</v>
      </c>
      <c r="U143" s="130"/>
      <c r="V143" s="206"/>
      <c r="W143" s="206"/>
      <c r="X143" s="206"/>
      <c r="Y143" s="206"/>
      <c r="Z143" s="130"/>
      <c r="AA143" s="130"/>
      <c r="AB143" s="130"/>
      <c r="AC143" s="130"/>
      <c r="AD143" s="130"/>
      <c r="AE143" s="130"/>
      <c r="AF143" s="130"/>
      <c r="AG143" s="130"/>
      <c r="AH143" s="130"/>
      <c r="AI143" s="130"/>
      <c r="AJ143" s="130"/>
      <c r="AK143" s="130"/>
      <c r="AL143" s="130"/>
      <c r="AM143" s="130"/>
      <c r="AN143" s="130"/>
      <c r="AO143" s="130"/>
      <c r="AP143" s="130"/>
      <c r="AQ143" s="130"/>
      <c r="AR143" s="130"/>
      <c r="AS143" s="130"/>
      <c r="AT143" s="130"/>
      <c r="AU143" s="130"/>
      <c r="AV143" s="130"/>
      <c r="AW143" s="130"/>
      <c r="AX143" s="130"/>
      <c r="AY143" s="130"/>
      <c r="AZ143" s="130"/>
      <c r="BA143" s="130"/>
      <c r="BB143" s="130"/>
    </row>
    <row r="144" spans="1:54" s="158" customFormat="1" ht="80.099999999999994" customHeight="1" thickBot="1" x14ac:dyDescent="0.4">
      <c r="A144" s="935"/>
      <c r="B144" s="434" t="s">
        <v>746</v>
      </c>
      <c r="C144" s="476" t="s">
        <v>372</v>
      </c>
      <c r="D144" s="153"/>
      <c r="E144" s="846" t="str">
        <f>E145 &amp;" " &amp;E146</f>
        <v xml:space="preserve"> </v>
      </c>
      <c r="F144" s="399"/>
      <c r="G144" s="521" t="s">
        <v>435</v>
      </c>
      <c r="H144" s="157"/>
      <c r="I144" s="130"/>
      <c r="J144" s="130"/>
      <c r="K144" s="521" t="s">
        <v>435</v>
      </c>
      <c r="L144" s="130"/>
      <c r="M144" s="130"/>
      <c r="N144" s="130"/>
      <c r="O144" s="130"/>
      <c r="P144" s="130"/>
      <c r="Q144" s="193" t="s">
        <v>310</v>
      </c>
      <c r="R144" s="197" t="s">
        <v>466</v>
      </c>
      <c r="S144" s="130"/>
      <c r="T144" s="204" t="b">
        <v>0</v>
      </c>
      <c r="U144" s="130"/>
      <c r="V144" s="206" t="str">
        <f>E145 &amp;" " &amp;E146</f>
        <v xml:space="preserve"> </v>
      </c>
      <c r="W144" s="206"/>
      <c r="X144" s="206"/>
      <c r="Y144" s="206" t="str">
        <f>E145 &amp;" " &amp;E146</f>
        <v xml:space="preserve"> </v>
      </c>
      <c r="Z144" s="130"/>
      <c r="AA144" s="130"/>
      <c r="AB144" s="130"/>
      <c r="AC144" s="130"/>
      <c r="AD144" s="130"/>
      <c r="AE144" s="130"/>
      <c r="AF144" s="130"/>
      <c r="AG144" s="130"/>
      <c r="AH144" s="130"/>
      <c r="AI144" s="130"/>
      <c r="AJ144" s="130"/>
      <c r="AK144" s="130"/>
      <c r="AL144" s="130"/>
      <c r="AM144" s="130"/>
      <c r="AN144" s="130"/>
      <c r="AO144" s="130"/>
      <c r="AP144" s="130"/>
      <c r="AQ144" s="130"/>
      <c r="AR144" s="130"/>
      <c r="AS144" s="130"/>
      <c r="AT144" s="130"/>
      <c r="AU144" s="130"/>
      <c r="AV144" s="130"/>
      <c r="AW144" s="130"/>
      <c r="AX144" s="130"/>
      <c r="AY144" s="130"/>
      <c r="AZ144" s="130"/>
      <c r="BA144" s="130"/>
      <c r="BB144" s="130"/>
    </row>
    <row r="145" spans="1:54" s="158" customFormat="1" ht="80.099999999999994" customHeight="1" x14ac:dyDescent="0.35">
      <c r="A145" s="935"/>
      <c r="B145" s="435" t="s">
        <v>747</v>
      </c>
      <c r="C145" s="477"/>
      <c r="D145" s="388"/>
      <c r="E145" s="657"/>
      <c r="F145" s="153"/>
      <c r="G145" s="523" t="s">
        <v>400</v>
      </c>
      <c r="H145" s="154"/>
      <c r="I145" s="130"/>
      <c r="J145" s="130"/>
      <c r="K145" s="523" t="s">
        <v>400</v>
      </c>
      <c r="L145" s="130"/>
      <c r="M145" s="130"/>
      <c r="N145" s="130"/>
      <c r="O145" s="130"/>
      <c r="P145" s="130"/>
      <c r="Q145" s="193" t="s">
        <v>310</v>
      </c>
      <c r="R145" s="197" t="s">
        <v>466</v>
      </c>
      <c r="S145" s="130"/>
      <c r="T145" s="204" t="b">
        <v>0</v>
      </c>
      <c r="U145" s="130"/>
      <c r="V145" s="206"/>
      <c r="W145" s="206"/>
      <c r="X145" s="206"/>
      <c r="Y145" s="206"/>
      <c r="Z145" s="130"/>
      <c r="AA145" s="130"/>
      <c r="AB145" s="130"/>
      <c r="AC145" s="130"/>
      <c r="AD145" s="130"/>
      <c r="AE145" s="130"/>
      <c r="AF145" s="130"/>
      <c r="AG145" s="130"/>
      <c r="AH145" s="130"/>
      <c r="AI145" s="130"/>
      <c r="AJ145" s="130"/>
      <c r="AK145" s="130"/>
      <c r="AL145" s="130"/>
      <c r="AM145" s="130"/>
      <c r="AN145" s="130"/>
      <c r="AO145" s="130"/>
      <c r="AP145" s="130"/>
      <c r="AQ145" s="130"/>
      <c r="AR145" s="130"/>
      <c r="AS145" s="130"/>
      <c r="AT145" s="130"/>
      <c r="AU145" s="130"/>
      <c r="AV145" s="130"/>
      <c r="AW145" s="130"/>
      <c r="AX145" s="130"/>
      <c r="AY145" s="130"/>
      <c r="AZ145" s="130"/>
      <c r="BA145" s="130"/>
      <c r="BB145" s="130"/>
    </row>
    <row r="146" spans="1:54" s="158" customFormat="1" ht="80.099999999999994" customHeight="1" x14ac:dyDescent="0.35">
      <c r="A146" s="935"/>
      <c r="B146" s="435" t="s">
        <v>748</v>
      </c>
      <c r="C146" s="477"/>
      <c r="D146" s="388"/>
      <c r="E146" s="658"/>
      <c r="F146" s="153"/>
      <c r="G146" s="523" t="s">
        <v>272</v>
      </c>
      <c r="H146" s="154"/>
      <c r="I146" s="130"/>
      <c r="J146" s="130"/>
      <c r="K146" s="523" t="s">
        <v>272</v>
      </c>
      <c r="L146" s="130"/>
      <c r="M146" s="130"/>
      <c r="N146" s="130"/>
      <c r="O146" s="130"/>
      <c r="P146" s="130"/>
      <c r="Q146" s="193" t="s">
        <v>310</v>
      </c>
      <c r="R146" s="197" t="s">
        <v>466</v>
      </c>
      <c r="S146" s="130"/>
      <c r="T146" s="204" t="b">
        <v>0</v>
      </c>
      <c r="U146" s="130"/>
      <c r="V146" s="206"/>
      <c r="W146" s="206"/>
      <c r="X146" s="206"/>
      <c r="Y146" s="206"/>
      <c r="Z146" s="130"/>
      <c r="AA146" s="130"/>
      <c r="AB146" s="130"/>
      <c r="AC146" s="130"/>
      <c r="AD146" s="130"/>
      <c r="AE146" s="130"/>
      <c r="AF146" s="130"/>
      <c r="AG146" s="130"/>
      <c r="AH146" s="130"/>
      <c r="AI146" s="130"/>
      <c r="AJ146" s="130"/>
      <c r="AK146" s="130"/>
      <c r="AL146" s="130"/>
      <c r="AM146" s="130"/>
      <c r="AN146" s="130"/>
      <c r="AO146" s="130"/>
      <c r="AP146" s="130"/>
      <c r="AQ146" s="130"/>
      <c r="AR146" s="130"/>
      <c r="AS146" s="130"/>
      <c r="AT146" s="130"/>
      <c r="AU146" s="130"/>
      <c r="AV146" s="130"/>
      <c r="AW146" s="130"/>
      <c r="AX146" s="130"/>
      <c r="AY146" s="130"/>
      <c r="AZ146" s="130"/>
      <c r="BA146" s="130"/>
      <c r="BB146" s="130"/>
    </row>
    <row r="147" spans="1:54" s="158" customFormat="1" ht="80.099999999999994" customHeight="1" x14ac:dyDescent="0.35">
      <c r="A147" s="935"/>
      <c r="B147" s="435" t="s">
        <v>749</v>
      </c>
      <c r="C147" s="477"/>
      <c r="D147" s="388"/>
      <c r="E147" s="658"/>
      <c r="F147" s="153"/>
      <c r="G147" s="523" t="s">
        <v>273</v>
      </c>
      <c r="H147" s="154"/>
      <c r="I147" s="130"/>
      <c r="J147" s="130"/>
      <c r="K147" s="523" t="s">
        <v>273</v>
      </c>
      <c r="L147" s="130"/>
      <c r="M147" s="130"/>
      <c r="N147" s="130"/>
      <c r="O147" s="130"/>
      <c r="P147" s="130"/>
      <c r="Q147" s="211"/>
      <c r="R147" s="212" t="s">
        <v>467</v>
      </c>
      <c r="S147" s="130"/>
      <c r="T147" s="204" t="b">
        <v>0</v>
      </c>
      <c r="U147" s="130"/>
      <c r="V147" s="206"/>
      <c r="W147" s="206"/>
      <c r="X147" s="206"/>
      <c r="Y147" s="206"/>
      <c r="Z147" s="130"/>
      <c r="AA147" s="130"/>
      <c r="AB147" s="130"/>
      <c r="AC147" s="130"/>
      <c r="AD147" s="130"/>
      <c r="AE147" s="130"/>
      <c r="AF147" s="130"/>
      <c r="AG147" s="130"/>
      <c r="AH147" s="130"/>
      <c r="AI147" s="130"/>
      <c r="AJ147" s="130"/>
      <c r="AK147" s="130"/>
      <c r="AL147" s="130"/>
      <c r="AM147" s="130"/>
      <c r="AN147" s="130"/>
      <c r="AO147" s="130"/>
      <c r="AP147" s="130"/>
      <c r="AQ147" s="130"/>
      <c r="AR147" s="130"/>
      <c r="AS147" s="130"/>
      <c r="AT147" s="130"/>
      <c r="AU147" s="130"/>
      <c r="AV147" s="130"/>
      <c r="AW147" s="130"/>
      <c r="AX147" s="130"/>
      <c r="AY147" s="130"/>
      <c r="AZ147" s="130"/>
      <c r="BA147" s="130"/>
      <c r="BB147" s="130"/>
    </row>
    <row r="148" spans="1:54" s="158" customFormat="1" ht="80.099999999999994" customHeight="1" x14ac:dyDescent="0.35">
      <c r="A148" s="935"/>
      <c r="B148" s="435" t="s">
        <v>642</v>
      </c>
      <c r="C148" s="477"/>
      <c r="D148" s="388"/>
      <c r="E148" s="658"/>
      <c r="F148" s="153"/>
      <c r="G148" s="523" t="s">
        <v>643</v>
      </c>
      <c r="H148" s="154"/>
      <c r="I148" s="130"/>
      <c r="J148" s="130"/>
      <c r="K148" s="523" t="s">
        <v>643</v>
      </c>
      <c r="L148" s="130"/>
      <c r="M148" s="130"/>
      <c r="N148" s="130"/>
      <c r="O148" s="130"/>
      <c r="P148" s="130"/>
      <c r="Q148" s="211"/>
      <c r="R148" s="212" t="s">
        <v>467</v>
      </c>
      <c r="S148" s="130"/>
      <c r="T148" s="204"/>
      <c r="U148" s="130"/>
      <c r="V148" s="206"/>
      <c r="W148" s="206"/>
      <c r="X148" s="206"/>
      <c r="Y148" s="206"/>
      <c r="Z148" s="130"/>
      <c r="AA148" s="130"/>
      <c r="AB148" s="130"/>
      <c r="AC148" s="130"/>
      <c r="AD148" s="130"/>
      <c r="AE148" s="130"/>
      <c r="AF148" s="130"/>
      <c r="AG148" s="130"/>
      <c r="AH148" s="130"/>
      <c r="AI148" s="130"/>
      <c r="AJ148" s="130"/>
      <c r="AK148" s="130"/>
      <c r="AL148" s="130"/>
      <c r="AM148" s="130"/>
      <c r="AN148" s="130"/>
      <c r="AO148" s="130"/>
      <c r="AP148" s="130"/>
      <c r="AQ148" s="130"/>
      <c r="AR148" s="130"/>
      <c r="AS148" s="130"/>
      <c r="AT148" s="130"/>
      <c r="AU148" s="130"/>
      <c r="AV148" s="130"/>
      <c r="AW148" s="130"/>
      <c r="AX148" s="130"/>
      <c r="AY148" s="130"/>
      <c r="AZ148" s="130"/>
      <c r="BA148" s="130"/>
      <c r="BB148" s="130"/>
    </row>
    <row r="149" spans="1:54" s="158" customFormat="1" ht="90.75" customHeight="1" x14ac:dyDescent="0.35">
      <c r="A149" s="935"/>
      <c r="B149" s="435" t="s">
        <v>750</v>
      </c>
      <c r="C149" s="477"/>
      <c r="D149" s="388"/>
      <c r="E149" s="658"/>
      <c r="F149" s="153"/>
      <c r="G149" s="523" t="s">
        <v>274</v>
      </c>
      <c r="H149" s="154"/>
      <c r="I149" s="130"/>
      <c r="J149" s="130"/>
      <c r="K149" s="523" t="s">
        <v>274</v>
      </c>
      <c r="L149" s="130"/>
      <c r="M149" s="130"/>
      <c r="N149" s="130"/>
      <c r="O149" s="130"/>
      <c r="P149" s="130"/>
      <c r="Q149" s="211"/>
      <c r="R149" s="212" t="s">
        <v>467</v>
      </c>
      <c r="S149" s="130"/>
      <c r="T149" s="204" t="b">
        <v>0</v>
      </c>
      <c r="U149" s="130"/>
      <c r="V149" s="206"/>
      <c r="W149" s="206"/>
      <c r="X149" s="206"/>
      <c r="Y149" s="206"/>
      <c r="Z149" s="130"/>
      <c r="AA149" s="130"/>
      <c r="AB149" s="130"/>
      <c r="AC149" s="130"/>
      <c r="AD149" s="130"/>
      <c r="AE149" s="130"/>
      <c r="AF149" s="130"/>
      <c r="AG149" s="130"/>
      <c r="AH149" s="130"/>
      <c r="AI149" s="130"/>
      <c r="AJ149" s="130"/>
      <c r="AK149" s="130"/>
      <c r="AL149" s="130"/>
      <c r="AM149" s="130"/>
      <c r="AN149" s="130"/>
      <c r="AO149" s="130"/>
      <c r="AP149" s="130"/>
      <c r="AQ149" s="130"/>
      <c r="AR149" s="130"/>
      <c r="AS149" s="130"/>
      <c r="AT149" s="130"/>
      <c r="AU149" s="130"/>
      <c r="AV149" s="130"/>
      <c r="AW149" s="130"/>
      <c r="AX149" s="130"/>
      <c r="AY149" s="130"/>
      <c r="AZ149" s="130"/>
      <c r="BA149" s="130"/>
      <c r="BB149" s="130"/>
    </row>
    <row r="150" spans="1:54" s="158" customFormat="1" ht="80.099999999999994" customHeight="1" x14ac:dyDescent="0.35">
      <c r="A150" s="935"/>
      <c r="B150" s="435" t="s">
        <v>641</v>
      </c>
      <c r="C150" s="477"/>
      <c r="D150" s="388"/>
      <c r="E150" s="658"/>
      <c r="F150" s="153"/>
      <c r="G150" s="523" t="s">
        <v>644</v>
      </c>
      <c r="H150" s="154"/>
      <c r="I150" s="130"/>
      <c r="J150" s="130"/>
      <c r="K150" s="523" t="s">
        <v>644</v>
      </c>
      <c r="L150" s="130"/>
      <c r="M150" s="130"/>
      <c r="N150" s="130"/>
      <c r="O150" s="130"/>
      <c r="P150" s="130"/>
      <c r="Q150" s="211"/>
      <c r="R150" s="212" t="s">
        <v>467</v>
      </c>
      <c r="S150" s="130"/>
      <c r="T150" s="204"/>
      <c r="U150" s="130"/>
      <c r="V150" s="206"/>
      <c r="W150" s="206"/>
      <c r="X150" s="206"/>
      <c r="Y150" s="206"/>
      <c r="Z150" s="130"/>
      <c r="AA150" s="130"/>
      <c r="AB150" s="130"/>
      <c r="AC150" s="130"/>
      <c r="AD150" s="130"/>
      <c r="AE150" s="130"/>
      <c r="AF150" s="130"/>
      <c r="AG150" s="130"/>
      <c r="AH150" s="130"/>
      <c r="AI150" s="130"/>
      <c r="AJ150" s="130"/>
      <c r="AK150" s="130"/>
      <c r="AL150" s="130"/>
      <c r="AM150" s="130"/>
      <c r="AN150" s="130"/>
      <c r="AO150" s="130"/>
      <c r="AP150" s="130"/>
      <c r="AQ150" s="130"/>
      <c r="AR150" s="130"/>
      <c r="AS150" s="130"/>
      <c r="AT150" s="130"/>
      <c r="AU150" s="130"/>
      <c r="AV150" s="130"/>
      <c r="AW150" s="130"/>
      <c r="AX150" s="130"/>
      <c r="AY150" s="130"/>
      <c r="AZ150" s="130"/>
      <c r="BA150" s="130"/>
      <c r="BB150" s="130"/>
    </row>
    <row r="151" spans="1:54" s="158" customFormat="1" ht="80.099999999999994" customHeight="1" x14ac:dyDescent="0.35">
      <c r="A151" s="935"/>
      <c r="B151" s="435" t="s">
        <v>645</v>
      </c>
      <c r="C151" s="477"/>
      <c r="D151" s="388"/>
      <c r="E151" s="658"/>
      <c r="F151" s="153"/>
      <c r="G151" s="523" t="s">
        <v>646</v>
      </c>
      <c r="H151" s="154"/>
      <c r="I151" s="130"/>
      <c r="J151" s="130"/>
      <c r="K151" s="523" t="s">
        <v>646</v>
      </c>
      <c r="L151" s="130"/>
      <c r="M151" s="130"/>
      <c r="N151" s="130"/>
      <c r="O151" s="130"/>
      <c r="P151" s="130"/>
      <c r="Q151" s="211"/>
      <c r="R151" s="212" t="s">
        <v>467</v>
      </c>
      <c r="S151" s="130"/>
      <c r="T151" s="204"/>
      <c r="U151" s="130"/>
      <c r="V151" s="206"/>
      <c r="W151" s="206"/>
      <c r="X151" s="206"/>
      <c r="Y151" s="206"/>
      <c r="Z151" s="130"/>
      <c r="AA151" s="130"/>
      <c r="AB151" s="130"/>
      <c r="AC151" s="130"/>
      <c r="AD151" s="130"/>
      <c r="AE151" s="130"/>
      <c r="AF151" s="130"/>
      <c r="AG151" s="130"/>
      <c r="AH151" s="130"/>
      <c r="AI151" s="130"/>
      <c r="AJ151" s="130"/>
      <c r="AK151" s="130"/>
      <c r="AL151" s="130"/>
      <c r="AM151" s="130"/>
      <c r="AN151" s="130"/>
      <c r="AO151" s="130"/>
      <c r="AP151" s="130"/>
      <c r="AQ151" s="130"/>
      <c r="AR151" s="130"/>
      <c r="AS151" s="130"/>
      <c r="AT151" s="130"/>
      <c r="AU151" s="130"/>
      <c r="AV151" s="130"/>
      <c r="AW151" s="130"/>
      <c r="AX151" s="130"/>
      <c r="AY151" s="130"/>
      <c r="AZ151" s="130"/>
      <c r="BA151" s="130"/>
      <c r="BB151" s="130"/>
    </row>
    <row r="152" spans="1:54" s="158" customFormat="1" ht="80.099999999999994" customHeight="1" thickBot="1" x14ac:dyDescent="0.4">
      <c r="A152" s="935"/>
      <c r="B152" s="435" t="s">
        <v>751</v>
      </c>
      <c r="C152" s="477"/>
      <c r="D152" s="388"/>
      <c r="E152" s="659"/>
      <c r="F152" s="153"/>
      <c r="G152" s="523" t="s">
        <v>275</v>
      </c>
      <c r="H152" s="154"/>
      <c r="I152" s="130"/>
      <c r="J152" s="130"/>
      <c r="K152" s="523" t="s">
        <v>275</v>
      </c>
      <c r="L152" s="130"/>
      <c r="M152" s="130"/>
      <c r="N152" s="130"/>
      <c r="O152" s="130"/>
      <c r="P152" s="130"/>
      <c r="Q152" s="193" t="s">
        <v>310</v>
      </c>
      <c r="R152" s="197" t="s">
        <v>466</v>
      </c>
      <c r="S152" s="130"/>
      <c r="T152" s="204" t="b">
        <v>0</v>
      </c>
      <c r="U152" s="130"/>
      <c r="V152" s="206"/>
      <c r="W152" s="206"/>
      <c r="X152" s="206"/>
      <c r="Y152" s="206"/>
      <c r="Z152" s="130"/>
      <c r="AA152" s="130"/>
      <c r="AB152" s="130"/>
      <c r="AC152" s="130"/>
      <c r="AD152" s="130"/>
      <c r="AE152" s="130"/>
      <c r="AF152" s="130"/>
      <c r="AG152" s="130"/>
      <c r="AH152" s="130"/>
      <c r="AI152" s="130"/>
      <c r="AJ152" s="130"/>
      <c r="AK152" s="130"/>
      <c r="AL152" s="130"/>
      <c r="AM152" s="130"/>
      <c r="AN152" s="130"/>
      <c r="AO152" s="130"/>
      <c r="AP152" s="130"/>
      <c r="AQ152" s="130"/>
      <c r="AR152" s="130"/>
      <c r="AS152" s="130"/>
      <c r="AT152" s="130"/>
      <c r="AU152" s="130"/>
      <c r="AV152" s="130"/>
      <c r="AW152" s="130"/>
      <c r="AX152" s="130"/>
      <c r="AY152" s="130"/>
      <c r="AZ152" s="130"/>
      <c r="BA152" s="130"/>
      <c r="BB152" s="130"/>
    </row>
    <row r="153" spans="1:54" s="158" customFormat="1" ht="80.099999999999994" customHeight="1" thickBot="1" x14ac:dyDescent="0.4">
      <c r="A153" s="935"/>
      <c r="B153" s="435" t="s">
        <v>276</v>
      </c>
      <c r="C153" s="476" t="s">
        <v>372</v>
      </c>
      <c r="D153" s="388"/>
      <c r="E153" s="847" t="str">
        <f>E154&amp; " "&amp; E155</f>
        <v xml:space="preserve"> </v>
      </c>
      <c r="F153" s="400"/>
      <c r="G153" s="523" t="s">
        <v>436</v>
      </c>
      <c r="H153" s="154"/>
      <c r="I153" s="130"/>
      <c r="J153" s="130"/>
      <c r="K153" s="523" t="s">
        <v>436</v>
      </c>
      <c r="L153" s="130"/>
      <c r="M153" s="130"/>
      <c r="N153" s="130"/>
      <c r="O153" s="130"/>
      <c r="P153" s="130"/>
      <c r="Q153" s="193" t="s">
        <v>310</v>
      </c>
      <c r="R153" s="197" t="s">
        <v>466</v>
      </c>
      <c r="S153" s="130"/>
      <c r="T153" s="204" t="b">
        <v>0</v>
      </c>
      <c r="U153" s="130"/>
      <c r="V153" s="206" t="str">
        <f>E154&amp; " "&amp; E155</f>
        <v xml:space="preserve"> </v>
      </c>
      <c r="W153" s="206"/>
      <c r="X153" s="206"/>
      <c r="Y153" s="206" t="str">
        <f>E154&amp; " "&amp; E155</f>
        <v xml:space="preserve"> </v>
      </c>
      <c r="Z153" s="130"/>
      <c r="AA153" s="130"/>
      <c r="AB153" s="130"/>
      <c r="AC153" s="130"/>
      <c r="AD153" s="130"/>
      <c r="AE153" s="130"/>
      <c r="AF153" s="130"/>
      <c r="AG153" s="130"/>
      <c r="AH153" s="130"/>
      <c r="AI153" s="130"/>
      <c r="AJ153" s="130"/>
      <c r="AK153" s="130"/>
      <c r="AL153" s="130"/>
      <c r="AM153" s="130"/>
      <c r="AN153" s="130"/>
      <c r="AO153" s="130"/>
      <c r="AP153" s="130"/>
      <c r="AQ153" s="130"/>
      <c r="AR153" s="130"/>
      <c r="AS153" s="130"/>
      <c r="AT153" s="130"/>
      <c r="AU153" s="130"/>
      <c r="AV153" s="130"/>
      <c r="AW153" s="130"/>
      <c r="AX153" s="130"/>
      <c r="AY153" s="130"/>
      <c r="AZ153" s="130"/>
      <c r="BA153" s="130"/>
      <c r="BB153" s="130"/>
    </row>
    <row r="154" spans="1:54" s="158" customFormat="1" ht="80.099999999999994" customHeight="1" x14ac:dyDescent="0.35">
      <c r="A154" s="935"/>
      <c r="B154" s="435" t="s">
        <v>361</v>
      </c>
      <c r="C154" s="477"/>
      <c r="D154" s="388"/>
      <c r="E154" s="657"/>
      <c r="F154" s="153"/>
      <c r="G154" s="523" t="s">
        <v>368</v>
      </c>
      <c r="H154" s="154"/>
      <c r="I154" s="130"/>
      <c r="J154" s="130"/>
      <c r="K154" s="523" t="s">
        <v>368</v>
      </c>
      <c r="L154" s="130"/>
      <c r="M154" s="130"/>
      <c r="N154" s="130"/>
      <c r="O154" s="130"/>
      <c r="P154" s="130"/>
      <c r="Q154" s="211"/>
      <c r="R154" s="212" t="s">
        <v>467</v>
      </c>
      <c r="S154" s="130"/>
      <c r="T154" s="204" t="b">
        <v>0</v>
      </c>
      <c r="U154" s="130"/>
      <c r="V154" s="206"/>
      <c r="W154" s="206"/>
      <c r="X154" s="206"/>
      <c r="Y154" s="206"/>
      <c r="Z154" s="130"/>
      <c r="AA154" s="130"/>
      <c r="AB154" s="130"/>
      <c r="AC154" s="130"/>
      <c r="AD154" s="130"/>
      <c r="AE154" s="130"/>
      <c r="AF154" s="130"/>
      <c r="AG154" s="130"/>
      <c r="AH154" s="130"/>
      <c r="AI154" s="130"/>
      <c r="AJ154" s="130"/>
      <c r="AK154" s="130"/>
      <c r="AL154" s="130"/>
      <c r="AM154" s="130"/>
      <c r="AN154" s="130"/>
      <c r="AO154" s="130"/>
      <c r="AP154" s="130"/>
      <c r="AQ154" s="130"/>
      <c r="AR154" s="130"/>
      <c r="AS154" s="130"/>
      <c r="AT154" s="130"/>
      <c r="AU154" s="130"/>
      <c r="AV154" s="130"/>
      <c r="AW154" s="130"/>
      <c r="AX154" s="130"/>
      <c r="AY154" s="130"/>
      <c r="AZ154" s="130"/>
      <c r="BA154" s="130"/>
      <c r="BB154" s="130"/>
    </row>
    <row r="155" spans="1:54" s="158" customFormat="1" ht="80.099999999999994" customHeight="1" x14ac:dyDescent="0.35">
      <c r="A155" s="935"/>
      <c r="B155" s="435" t="s">
        <v>362</v>
      </c>
      <c r="C155" s="477"/>
      <c r="D155" s="388"/>
      <c r="E155" s="658"/>
      <c r="F155" s="153"/>
      <c r="G155" s="523" t="s">
        <v>369</v>
      </c>
      <c r="H155" s="154"/>
      <c r="I155" s="130"/>
      <c r="J155" s="130"/>
      <c r="K155" s="523" t="s">
        <v>369</v>
      </c>
      <c r="L155" s="130"/>
      <c r="M155" s="130"/>
      <c r="N155" s="130"/>
      <c r="O155" s="130"/>
      <c r="P155" s="130"/>
      <c r="Q155" s="211"/>
      <c r="R155" s="212" t="s">
        <v>467</v>
      </c>
      <c r="S155" s="130"/>
      <c r="T155" s="204" t="b">
        <v>0</v>
      </c>
      <c r="U155" s="130"/>
      <c r="V155" s="206"/>
      <c r="W155" s="206"/>
      <c r="X155" s="206"/>
      <c r="Y155" s="206"/>
      <c r="Z155" s="130"/>
      <c r="AA155" s="130"/>
      <c r="AB155" s="130"/>
      <c r="AC155" s="130"/>
      <c r="AD155" s="130"/>
      <c r="AE155" s="130"/>
      <c r="AF155" s="130"/>
      <c r="AG155" s="130"/>
      <c r="AH155" s="130"/>
      <c r="AI155" s="130"/>
      <c r="AJ155" s="130"/>
      <c r="AK155" s="130"/>
      <c r="AL155" s="130"/>
      <c r="AM155" s="130"/>
      <c r="AN155" s="130"/>
      <c r="AO155" s="130"/>
      <c r="AP155" s="130"/>
      <c r="AQ155" s="130"/>
      <c r="AR155" s="130"/>
      <c r="AS155" s="130"/>
      <c r="AT155" s="130"/>
      <c r="AU155" s="130"/>
      <c r="AV155" s="130"/>
      <c r="AW155" s="130"/>
      <c r="AX155" s="130"/>
      <c r="AY155" s="130"/>
      <c r="AZ155" s="130"/>
      <c r="BA155" s="130"/>
      <c r="BB155" s="130"/>
    </row>
    <row r="156" spans="1:54" s="158" customFormat="1" ht="80.099999999999994" customHeight="1" x14ac:dyDescent="0.35">
      <c r="A156" s="935"/>
      <c r="B156" s="436"/>
      <c r="C156" s="478"/>
      <c r="D156" s="388"/>
      <c r="E156" s="658"/>
      <c r="F156" s="153"/>
      <c r="G156" s="525"/>
      <c r="H156" s="181"/>
      <c r="I156" s="130"/>
      <c r="J156" s="130"/>
      <c r="K156" s="525"/>
      <c r="L156" s="130"/>
      <c r="M156" s="130"/>
      <c r="N156" s="130"/>
      <c r="O156" s="130"/>
      <c r="P156" s="130"/>
      <c r="Q156" s="211"/>
      <c r="R156" s="212" t="s">
        <v>467</v>
      </c>
      <c r="S156" s="130"/>
      <c r="T156" s="204" t="b">
        <v>0</v>
      </c>
      <c r="U156" s="130"/>
      <c r="V156" s="206"/>
      <c r="W156" s="206"/>
      <c r="X156" s="206"/>
      <c r="Y156" s="206"/>
      <c r="Z156" s="130"/>
      <c r="AA156" s="130"/>
      <c r="AB156" s="130"/>
      <c r="AC156" s="130"/>
      <c r="AD156" s="130"/>
      <c r="AE156" s="130"/>
      <c r="AF156" s="130"/>
      <c r="AG156" s="130"/>
      <c r="AH156" s="130"/>
      <c r="AI156" s="130"/>
      <c r="AJ156" s="130"/>
      <c r="AK156" s="130"/>
      <c r="AL156" s="130"/>
      <c r="AM156" s="130"/>
      <c r="AN156" s="130"/>
      <c r="AO156" s="130"/>
      <c r="AP156" s="130"/>
      <c r="AQ156" s="130"/>
      <c r="AR156" s="130"/>
      <c r="AS156" s="130"/>
      <c r="AT156" s="130"/>
      <c r="AU156" s="130"/>
      <c r="AV156" s="130"/>
      <c r="AW156" s="130"/>
      <c r="AX156" s="130"/>
      <c r="AY156" s="130"/>
      <c r="AZ156" s="130"/>
      <c r="BA156" s="130"/>
      <c r="BB156" s="130"/>
    </row>
    <row r="157" spans="1:54" s="158" customFormat="1" ht="80.099999999999994" customHeight="1" thickBot="1" x14ac:dyDescent="0.4">
      <c r="A157" s="935"/>
      <c r="B157" s="437"/>
      <c r="C157" s="475"/>
      <c r="D157" s="389"/>
      <c r="E157" s="660"/>
      <c r="F157" s="155"/>
      <c r="G157" s="522"/>
      <c r="H157" s="156"/>
      <c r="I157" s="130"/>
      <c r="J157" s="130"/>
      <c r="K157" s="522"/>
      <c r="L157" s="130"/>
      <c r="M157" s="130"/>
      <c r="N157" s="130"/>
      <c r="O157" s="130"/>
      <c r="P157" s="130"/>
      <c r="Q157" s="211"/>
      <c r="R157" s="212" t="s">
        <v>467</v>
      </c>
      <c r="S157" s="130"/>
      <c r="T157" s="204" t="b">
        <v>0</v>
      </c>
      <c r="U157" s="130"/>
      <c r="V157" s="206"/>
      <c r="W157" s="206"/>
      <c r="X157" s="206"/>
      <c r="Y157" s="206"/>
      <c r="Z157" s="130"/>
      <c r="AA157" s="130"/>
      <c r="AB157" s="130"/>
      <c r="AC157" s="130"/>
      <c r="AD157" s="130"/>
      <c r="AE157" s="130"/>
      <c r="AF157" s="130"/>
      <c r="AG157" s="130"/>
      <c r="AH157" s="130"/>
      <c r="AI157" s="130"/>
      <c r="AJ157" s="130"/>
      <c r="AK157" s="130"/>
      <c r="AL157" s="130"/>
      <c r="AM157" s="130"/>
      <c r="AN157" s="130"/>
      <c r="AO157" s="130"/>
      <c r="AP157" s="130"/>
      <c r="AQ157" s="130"/>
      <c r="AR157" s="130"/>
      <c r="AS157" s="130"/>
      <c r="AT157" s="130"/>
      <c r="AU157" s="130"/>
      <c r="AV157" s="130"/>
      <c r="AW157" s="130"/>
      <c r="AX157" s="130"/>
      <c r="AY157" s="130"/>
      <c r="AZ157" s="130"/>
      <c r="BA157" s="130"/>
      <c r="BB157" s="130"/>
    </row>
    <row r="158" spans="1:54" s="158" customFormat="1" ht="80.099999999999994" customHeight="1" thickBot="1" x14ac:dyDescent="0.4">
      <c r="A158" s="935"/>
      <c r="B158" s="432" t="s">
        <v>662</v>
      </c>
      <c r="C158" s="474" t="s">
        <v>372</v>
      </c>
      <c r="D158" s="153"/>
      <c r="E158" s="844" t="str">
        <f>E159&amp; " "&amp; E160</f>
        <v xml:space="preserve"> </v>
      </c>
      <c r="F158" s="153"/>
      <c r="G158" s="521" t="s">
        <v>277</v>
      </c>
      <c r="H158" s="154"/>
      <c r="I158" s="130"/>
      <c r="J158" s="130"/>
      <c r="K158" s="521" t="s">
        <v>277</v>
      </c>
      <c r="L158" s="130"/>
      <c r="M158" s="130"/>
      <c r="N158" s="130"/>
      <c r="O158" s="130"/>
      <c r="P158" s="130"/>
      <c r="Q158" s="193" t="s">
        <v>310</v>
      </c>
      <c r="R158" s="197" t="s">
        <v>466</v>
      </c>
      <c r="S158" s="130"/>
      <c r="T158" s="204"/>
      <c r="U158" s="130"/>
      <c r="V158" s="206"/>
      <c r="W158" s="206"/>
      <c r="X158" s="206"/>
      <c r="Y158" s="206"/>
      <c r="Z158" s="130"/>
      <c r="AA158" s="130"/>
      <c r="AB158" s="130"/>
      <c r="AC158" s="130"/>
      <c r="AD158" s="130"/>
      <c r="AE158" s="130"/>
      <c r="AF158" s="130"/>
      <c r="AG158" s="130"/>
      <c r="AH158" s="130"/>
      <c r="AI158" s="130"/>
      <c r="AJ158" s="130"/>
      <c r="AK158" s="130"/>
      <c r="AL158" s="130"/>
      <c r="AM158" s="130"/>
      <c r="AN158" s="130"/>
      <c r="AO158" s="130"/>
      <c r="AP158" s="130"/>
      <c r="AQ158" s="130"/>
      <c r="AR158" s="130"/>
      <c r="AS158" s="130"/>
      <c r="AT158" s="130"/>
      <c r="AU158" s="130"/>
      <c r="AV158" s="130"/>
      <c r="AW158" s="130"/>
      <c r="AX158" s="130"/>
      <c r="AY158" s="130"/>
      <c r="AZ158" s="130"/>
      <c r="BA158" s="130"/>
      <c r="BB158" s="130"/>
    </row>
    <row r="159" spans="1:54" s="158" customFormat="1" ht="80.099999999999994" customHeight="1" x14ac:dyDescent="0.35">
      <c r="A159" s="935"/>
      <c r="B159" s="435" t="s">
        <v>663</v>
      </c>
      <c r="C159" s="477"/>
      <c r="D159" s="388"/>
      <c r="E159" s="810"/>
      <c r="F159" s="153"/>
      <c r="G159" s="523" t="s">
        <v>363</v>
      </c>
      <c r="H159" s="154"/>
      <c r="I159" s="130"/>
      <c r="J159" s="130"/>
      <c r="K159" s="523" t="s">
        <v>363</v>
      </c>
      <c r="L159" s="130"/>
      <c r="M159" s="130"/>
      <c r="N159" s="130"/>
      <c r="O159" s="130"/>
      <c r="P159" s="130"/>
      <c r="Q159" s="211"/>
      <c r="R159" s="212" t="s">
        <v>467</v>
      </c>
      <c r="S159" s="130"/>
      <c r="T159" s="204"/>
      <c r="U159" s="130"/>
      <c r="V159" s="206"/>
      <c r="W159" s="206"/>
      <c r="X159" s="206"/>
      <c r="Y159" s="206"/>
      <c r="Z159" s="130"/>
      <c r="AA159" s="130"/>
      <c r="AB159" s="130"/>
      <c r="AC159" s="130"/>
      <c r="AD159" s="130"/>
      <c r="AE159" s="130"/>
      <c r="AF159" s="130"/>
      <c r="AG159" s="130"/>
      <c r="AH159" s="130"/>
      <c r="AI159" s="130"/>
      <c r="AJ159" s="130"/>
      <c r="AK159" s="130"/>
      <c r="AL159" s="130"/>
      <c r="AM159" s="130"/>
      <c r="AN159" s="130"/>
      <c r="AO159" s="130"/>
      <c r="AP159" s="130"/>
      <c r="AQ159" s="130"/>
      <c r="AR159" s="130"/>
      <c r="AS159" s="130"/>
      <c r="AT159" s="130"/>
      <c r="AU159" s="130"/>
      <c r="AV159" s="130"/>
      <c r="AW159" s="130"/>
      <c r="AX159" s="130"/>
      <c r="AY159" s="130"/>
      <c r="AZ159" s="130"/>
      <c r="BA159" s="130"/>
      <c r="BB159" s="130"/>
    </row>
    <row r="160" spans="1:54" s="158" customFormat="1" ht="80.099999999999994" customHeight="1" thickBot="1" x14ac:dyDescent="0.4">
      <c r="A160" s="935"/>
      <c r="B160" s="435" t="s">
        <v>664</v>
      </c>
      <c r="C160" s="477"/>
      <c r="D160" s="388"/>
      <c r="E160" s="661"/>
      <c r="F160" s="153"/>
      <c r="G160" s="523" t="s">
        <v>364</v>
      </c>
      <c r="H160" s="154"/>
      <c r="I160" s="130"/>
      <c r="J160" s="130"/>
      <c r="K160" s="523" t="s">
        <v>364</v>
      </c>
      <c r="L160" s="130"/>
      <c r="M160" s="130"/>
      <c r="N160" s="130"/>
      <c r="O160" s="130"/>
      <c r="P160" s="130"/>
      <c r="Q160" s="211"/>
      <c r="R160" s="212" t="s">
        <v>467</v>
      </c>
      <c r="S160" s="130"/>
      <c r="T160" s="204"/>
      <c r="U160" s="130"/>
      <c r="V160" s="206"/>
      <c r="W160" s="206"/>
      <c r="X160" s="206"/>
      <c r="Y160" s="206"/>
      <c r="Z160" s="130"/>
      <c r="AA160" s="130"/>
      <c r="AB160" s="130"/>
      <c r="AC160" s="130"/>
      <c r="AD160" s="130"/>
      <c r="AE160" s="130"/>
      <c r="AF160" s="130"/>
      <c r="AG160" s="130"/>
      <c r="AH160" s="130"/>
      <c r="AI160" s="130"/>
      <c r="AJ160" s="130"/>
      <c r="AK160" s="130"/>
      <c r="AL160" s="130"/>
      <c r="AM160" s="130"/>
      <c r="AN160" s="130"/>
      <c r="AO160" s="130"/>
      <c r="AP160" s="130"/>
      <c r="AQ160" s="130"/>
      <c r="AR160" s="130"/>
      <c r="AS160" s="130"/>
      <c r="AT160" s="130"/>
      <c r="AU160" s="130"/>
      <c r="AV160" s="130"/>
      <c r="AW160" s="130"/>
      <c r="AX160" s="130"/>
      <c r="AY160" s="130"/>
      <c r="AZ160" s="130"/>
      <c r="BA160" s="130"/>
      <c r="BB160" s="130"/>
    </row>
    <row r="161" spans="1:54" s="158" customFormat="1" ht="80.099999999999994" customHeight="1" thickBot="1" x14ac:dyDescent="0.4">
      <c r="A161" s="935"/>
      <c r="B161" s="435" t="s">
        <v>665</v>
      </c>
      <c r="C161" s="477" t="s">
        <v>372</v>
      </c>
      <c r="D161" s="153"/>
      <c r="E161" s="648"/>
      <c r="F161" s="153"/>
      <c r="G161" s="523" t="s">
        <v>278</v>
      </c>
      <c r="H161" s="154"/>
      <c r="I161" s="130"/>
      <c r="J161" s="130"/>
      <c r="K161" s="523" t="s">
        <v>278</v>
      </c>
      <c r="L161" s="130"/>
      <c r="M161" s="130"/>
      <c r="N161" s="130"/>
      <c r="O161" s="130"/>
      <c r="P161" s="130"/>
      <c r="Q161" s="196"/>
      <c r="R161" s="210" t="s">
        <v>465</v>
      </c>
      <c r="S161" s="130"/>
      <c r="T161" s="204"/>
      <c r="U161" s="130"/>
      <c r="V161" s="206"/>
      <c r="W161" s="206"/>
      <c r="X161" s="206"/>
      <c r="Y161" s="206"/>
      <c r="Z161" s="130"/>
      <c r="AA161" s="130"/>
      <c r="AB161" s="130"/>
      <c r="AC161" s="130"/>
      <c r="AD161" s="130"/>
      <c r="AE161" s="130"/>
      <c r="AF161" s="130"/>
      <c r="AG161" s="130"/>
      <c r="AH161" s="130"/>
      <c r="AI161" s="130"/>
      <c r="AJ161" s="130"/>
      <c r="AK161" s="130"/>
      <c r="AL161" s="130"/>
      <c r="AM161" s="130"/>
      <c r="AN161" s="130"/>
      <c r="AO161" s="130"/>
      <c r="AP161" s="130"/>
      <c r="AQ161" s="130"/>
      <c r="AR161" s="130"/>
      <c r="AS161" s="130"/>
      <c r="AT161" s="130"/>
      <c r="AU161" s="130"/>
      <c r="AV161" s="130"/>
      <c r="AW161" s="130"/>
      <c r="AX161" s="130"/>
      <c r="AY161" s="130"/>
      <c r="AZ161" s="130"/>
      <c r="BA161" s="130"/>
      <c r="BB161" s="130"/>
    </row>
    <row r="162" spans="1:54" s="158" customFormat="1" ht="80.099999999999994" customHeight="1" x14ac:dyDescent="0.35">
      <c r="A162" s="935"/>
      <c r="B162" s="435" t="s">
        <v>666</v>
      </c>
      <c r="C162" s="477"/>
      <c r="D162" s="388"/>
      <c r="E162" s="651"/>
      <c r="F162" s="153"/>
      <c r="G162" s="523" t="s">
        <v>365</v>
      </c>
      <c r="H162" s="154"/>
      <c r="I162" s="130"/>
      <c r="J162" s="130"/>
      <c r="K162" s="523" t="s">
        <v>365</v>
      </c>
      <c r="L162" s="130"/>
      <c r="M162" s="130"/>
      <c r="N162" s="130"/>
      <c r="O162" s="130"/>
      <c r="P162" s="130"/>
      <c r="Q162" s="211"/>
      <c r="R162" s="212" t="s">
        <v>467</v>
      </c>
      <c r="S162" s="130"/>
      <c r="T162" s="204"/>
      <c r="U162" s="130"/>
      <c r="V162" s="206"/>
      <c r="W162" s="206"/>
      <c r="X162" s="206"/>
      <c r="Y162" s="206"/>
      <c r="Z162" s="130"/>
      <c r="AA162" s="130"/>
      <c r="AB162" s="130"/>
      <c r="AC162" s="130"/>
      <c r="AD162" s="130"/>
      <c r="AE162" s="130"/>
      <c r="AF162" s="130"/>
      <c r="AG162" s="130"/>
      <c r="AH162" s="130"/>
      <c r="AI162" s="130"/>
      <c r="AJ162" s="130"/>
      <c r="AK162" s="130"/>
      <c r="AL162" s="130"/>
      <c r="AM162" s="130"/>
      <c r="AN162" s="130"/>
      <c r="AO162" s="130"/>
      <c r="AP162" s="130"/>
      <c r="AQ162" s="130"/>
      <c r="AR162" s="130"/>
      <c r="AS162" s="130"/>
      <c r="AT162" s="130"/>
      <c r="AU162" s="130"/>
      <c r="AV162" s="130"/>
      <c r="AW162" s="130"/>
      <c r="AX162" s="130"/>
      <c r="AY162" s="130"/>
      <c r="AZ162" s="130"/>
      <c r="BA162" s="130"/>
      <c r="BB162" s="130"/>
    </row>
    <row r="163" spans="1:54" s="158" customFormat="1" ht="80.099999999999994" customHeight="1" x14ac:dyDescent="0.35">
      <c r="A163" s="935"/>
      <c r="B163" s="435" t="s">
        <v>667</v>
      </c>
      <c r="C163" s="477"/>
      <c r="D163" s="388"/>
      <c r="E163" s="654"/>
      <c r="F163" s="153"/>
      <c r="G163" s="523" t="s">
        <v>366</v>
      </c>
      <c r="H163" s="154"/>
      <c r="I163" s="130"/>
      <c r="J163" s="130"/>
      <c r="K163" s="523" t="s">
        <v>366</v>
      </c>
      <c r="L163" s="130"/>
      <c r="M163" s="130"/>
      <c r="N163" s="130"/>
      <c r="O163" s="130"/>
      <c r="P163" s="130"/>
      <c r="Q163" s="211"/>
      <c r="R163" s="212" t="s">
        <v>467</v>
      </c>
      <c r="S163" s="130"/>
      <c r="T163" s="204"/>
      <c r="U163" s="130"/>
      <c r="V163" s="206"/>
      <c r="W163" s="206"/>
      <c r="X163" s="206"/>
      <c r="Y163" s="206"/>
      <c r="Z163" s="130"/>
      <c r="AA163" s="130"/>
      <c r="AB163" s="130"/>
      <c r="AC163" s="130"/>
      <c r="AD163" s="130"/>
      <c r="AE163" s="130"/>
      <c r="AF163" s="130"/>
      <c r="AG163" s="130"/>
      <c r="AH163" s="130"/>
      <c r="AI163" s="130"/>
      <c r="AJ163" s="130"/>
      <c r="AK163" s="130"/>
      <c r="AL163" s="130"/>
      <c r="AM163" s="130"/>
      <c r="AN163" s="130"/>
      <c r="AO163" s="130"/>
      <c r="AP163" s="130"/>
      <c r="AQ163" s="130"/>
      <c r="AR163" s="130"/>
      <c r="AS163" s="130"/>
      <c r="AT163" s="130"/>
      <c r="AU163" s="130"/>
      <c r="AV163" s="130"/>
      <c r="AW163" s="130"/>
      <c r="AX163" s="130"/>
      <c r="AY163" s="130"/>
      <c r="AZ163" s="130"/>
      <c r="BA163" s="130"/>
      <c r="BB163" s="130"/>
    </row>
    <row r="164" spans="1:54" s="158" customFormat="1" ht="80.099999999999994" customHeight="1" x14ac:dyDescent="0.35">
      <c r="A164" s="935"/>
      <c r="B164" s="435" t="s">
        <v>668</v>
      </c>
      <c r="C164" s="477"/>
      <c r="D164" s="388"/>
      <c r="E164" s="654"/>
      <c r="F164" s="153"/>
      <c r="G164" s="523" t="s">
        <v>397</v>
      </c>
      <c r="H164" s="154"/>
      <c r="I164" s="130"/>
      <c r="J164" s="130"/>
      <c r="K164" s="523" t="s">
        <v>397</v>
      </c>
      <c r="L164" s="130"/>
      <c r="M164" s="130"/>
      <c r="N164" s="130"/>
      <c r="O164" s="130"/>
      <c r="P164" s="130"/>
      <c r="Q164" s="211"/>
      <c r="R164" s="212" t="s">
        <v>467</v>
      </c>
      <c r="S164" s="130"/>
      <c r="T164" s="204"/>
      <c r="U164" s="130"/>
      <c r="V164" s="206"/>
      <c r="W164" s="206"/>
      <c r="X164" s="206"/>
      <c r="Y164" s="206"/>
      <c r="Z164" s="130"/>
      <c r="AA164" s="130"/>
      <c r="AB164" s="130"/>
      <c r="AC164" s="130"/>
      <c r="AD164" s="130"/>
      <c r="AE164" s="130"/>
      <c r="AF164" s="130"/>
      <c r="AG164" s="130"/>
      <c r="AH164" s="130"/>
      <c r="AI164" s="130"/>
      <c r="AJ164" s="130"/>
      <c r="AK164" s="130"/>
      <c r="AL164" s="130"/>
      <c r="AM164" s="130"/>
      <c r="AN164" s="130"/>
      <c r="AO164" s="130"/>
      <c r="AP164" s="130"/>
      <c r="AQ164" s="130"/>
      <c r="AR164" s="130"/>
      <c r="AS164" s="130"/>
      <c r="AT164" s="130"/>
      <c r="AU164" s="130"/>
      <c r="AV164" s="130"/>
      <c r="AW164" s="130"/>
      <c r="AX164" s="130"/>
      <c r="AY164" s="130"/>
      <c r="AZ164" s="130"/>
      <c r="BA164" s="130"/>
      <c r="BB164" s="130"/>
    </row>
    <row r="165" spans="1:54" s="158" customFormat="1" ht="80.099999999999994" customHeight="1" x14ac:dyDescent="0.35">
      <c r="A165" s="935"/>
      <c r="B165" s="435" t="s">
        <v>669</v>
      </c>
      <c r="C165" s="477" t="s">
        <v>279</v>
      </c>
      <c r="D165" s="388"/>
      <c r="E165" s="654"/>
      <c r="F165" s="153"/>
      <c r="G165" s="523" t="s">
        <v>340</v>
      </c>
      <c r="H165" s="154"/>
      <c r="I165" s="130"/>
      <c r="J165" s="130"/>
      <c r="K165" s="523" t="s">
        <v>340</v>
      </c>
      <c r="L165" s="130"/>
      <c r="M165" s="130"/>
      <c r="N165" s="130"/>
      <c r="O165" s="130"/>
      <c r="P165" s="130"/>
      <c r="Q165" s="211"/>
      <c r="R165" s="212" t="s">
        <v>467</v>
      </c>
      <c r="S165" s="130"/>
      <c r="T165" s="204"/>
      <c r="U165" s="130"/>
      <c r="V165" s="206"/>
      <c r="W165" s="206"/>
      <c r="X165" s="206"/>
      <c r="Y165" s="206"/>
      <c r="Z165" s="130"/>
      <c r="AA165" s="130"/>
      <c r="AB165" s="130"/>
      <c r="AC165" s="130"/>
      <c r="AD165" s="130"/>
      <c r="AE165" s="130"/>
      <c r="AF165" s="130"/>
      <c r="AG165" s="130"/>
      <c r="AH165" s="130"/>
      <c r="AI165" s="130"/>
      <c r="AJ165" s="130"/>
      <c r="AK165" s="130"/>
      <c r="AL165" s="130"/>
      <c r="AM165" s="130"/>
      <c r="AN165" s="130"/>
      <c r="AO165" s="130"/>
      <c r="AP165" s="130"/>
      <c r="AQ165" s="130"/>
      <c r="AR165" s="130"/>
      <c r="AS165" s="130"/>
      <c r="AT165" s="130"/>
      <c r="AU165" s="130"/>
      <c r="AV165" s="130"/>
      <c r="AW165" s="130"/>
      <c r="AX165" s="130"/>
      <c r="AY165" s="130"/>
      <c r="AZ165" s="130"/>
      <c r="BA165" s="130"/>
      <c r="BB165" s="130"/>
    </row>
    <row r="166" spans="1:54" s="158" customFormat="1" ht="80.099999999999994" customHeight="1" x14ac:dyDescent="0.35">
      <c r="A166" s="935"/>
      <c r="B166" s="435" t="s">
        <v>670</v>
      </c>
      <c r="C166" s="477"/>
      <c r="D166" s="388"/>
      <c r="E166" s="654"/>
      <c r="F166" s="153"/>
      <c r="G166" s="523" t="s">
        <v>398</v>
      </c>
      <c r="H166" s="154"/>
      <c r="I166" s="130"/>
      <c r="J166" s="130"/>
      <c r="K166" s="523" t="s">
        <v>398</v>
      </c>
      <c r="L166" s="130"/>
      <c r="M166" s="130"/>
      <c r="N166" s="130"/>
      <c r="O166" s="130"/>
      <c r="P166" s="130"/>
      <c r="Q166" s="211"/>
      <c r="R166" s="212" t="s">
        <v>467</v>
      </c>
      <c r="S166" s="130"/>
      <c r="T166" s="204"/>
      <c r="U166" s="130"/>
      <c r="V166" s="206"/>
      <c r="W166" s="206"/>
      <c r="X166" s="206"/>
      <c r="Y166" s="206"/>
      <c r="Z166" s="130"/>
      <c r="AA166" s="130"/>
      <c r="AB166" s="130"/>
      <c r="AC166" s="130"/>
      <c r="AD166" s="130"/>
      <c r="AE166" s="130"/>
      <c r="AF166" s="130"/>
      <c r="AG166" s="130"/>
      <c r="AH166" s="130"/>
      <c r="AI166" s="130"/>
      <c r="AJ166" s="130"/>
      <c r="AK166" s="130"/>
      <c r="AL166" s="130"/>
      <c r="AM166" s="130"/>
      <c r="AN166" s="130"/>
      <c r="AO166" s="130"/>
      <c r="AP166" s="130"/>
      <c r="AQ166" s="130"/>
      <c r="AR166" s="130"/>
      <c r="AS166" s="130"/>
      <c r="AT166" s="130"/>
      <c r="AU166" s="130"/>
      <c r="AV166" s="130"/>
      <c r="AW166" s="130"/>
      <c r="AX166" s="130"/>
      <c r="AY166" s="130"/>
      <c r="AZ166" s="130"/>
      <c r="BA166" s="130"/>
      <c r="BB166" s="130"/>
    </row>
    <row r="167" spans="1:54" s="158" customFormat="1" ht="80.099999999999994" customHeight="1" thickBot="1" x14ac:dyDescent="0.4">
      <c r="A167" s="935"/>
      <c r="B167" s="435" t="s">
        <v>671</v>
      </c>
      <c r="C167" s="477" t="s">
        <v>280</v>
      </c>
      <c r="D167" s="389"/>
      <c r="E167" s="652"/>
      <c r="F167" s="585"/>
      <c r="G167" s="522" t="s">
        <v>379</v>
      </c>
      <c r="H167" s="156"/>
      <c r="I167" s="130"/>
      <c r="J167" s="130"/>
      <c r="K167" s="522" t="s">
        <v>379</v>
      </c>
      <c r="L167" s="130"/>
      <c r="M167" s="130"/>
      <c r="N167" s="130"/>
      <c r="O167" s="130"/>
      <c r="P167" s="130"/>
      <c r="Q167" s="193" t="s">
        <v>310</v>
      </c>
      <c r="R167" s="197" t="s">
        <v>466</v>
      </c>
      <c r="S167" s="130"/>
      <c r="T167" s="204"/>
      <c r="U167" s="130"/>
      <c r="V167" s="206"/>
      <c r="W167" s="206"/>
      <c r="X167" s="206"/>
      <c r="Y167" s="206"/>
      <c r="Z167" s="130"/>
      <c r="AA167" s="130"/>
      <c r="AB167" s="130"/>
      <c r="AC167" s="130"/>
      <c r="AD167" s="130"/>
      <c r="AE167" s="130"/>
      <c r="AF167" s="130"/>
      <c r="AG167" s="130"/>
      <c r="AH167" s="130"/>
      <c r="AI167" s="130"/>
      <c r="AJ167" s="130"/>
      <c r="AK167" s="130"/>
      <c r="AL167" s="130"/>
      <c r="AM167" s="130"/>
      <c r="AN167" s="130"/>
      <c r="AO167" s="130"/>
      <c r="AP167" s="130"/>
      <c r="AQ167" s="130"/>
      <c r="AR167" s="130"/>
      <c r="AS167" s="130"/>
      <c r="AT167" s="130"/>
      <c r="AU167" s="130"/>
      <c r="AV167" s="130"/>
      <c r="AW167" s="130"/>
      <c r="AX167" s="130"/>
      <c r="AY167" s="130"/>
      <c r="AZ167" s="130"/>
      <c r="BA167" s="130"/>
      <c r="BB167" s="130"/>
    </row>
    <row r="168" spans="1:54" s="158" customFormat="1" ht="80.099999999999994" customHeight="1" thickBot="1" x14ac:dyDescent="0.4">
      <c r="A168" s="935"/>
      <c r="B168" s="432" t="s">
        <v>672</v>
      </c>
      <c r="C168" s="474" t="s">
        <v>372</v>
      </c>
      <c r="D168" s="188"/>
      <c r="E168" s="844" t="str">
        <f>E169&amp; " "&amp; E170</f>
        <v xml:space="preserve"> </v>
      </c>
      <c r="F168" s="153"/>
      <c r="G168" s="521" t="s">
        <v>682</v>
      </c>
      <c r="H168" s="157"/>
      <c r="I168" s="130"/>
      <c r="J168" s="130"/>
      <c r="K168" s="521" t="s">
        <v>682</v>
      </c>
      <c r="L168" s="130"/>
      <c r="M168" s="130"/>
      <c r="N168" s="130"/>
      <c r="O168" s="130"/>
      <c r="P168" s="130"/>
      <c r="Q168" s="193" t="s">
        <v>310</v>
      </c>
      <c r="R168" s="197" t="s">
        <v>466</v>
      </c>
      <c r="S168" s="130"/>
      <c r="T168" s="204" t="b">
        <v>0</v>
      </c>
      <c r="U168" s="130"/>
      <c r="V168" s="206" t="str">
        <f>E169&amp; " "&amp; E170</f>
        <v xml:space="preserve"> </v>
      </c>
      <c r="W168" s="206"/>
      <c r="X168" s="206"/>
      <c r="Y168" s="206" t="str">
        <f>E169&amp; " "&amp; E170</f>
        <v xml:space="preserve"> </v>
      </c>
      <c r="Z168" s="130"/>
      <c r="AA168" s="130"/>
      <c r="AB168" s="130"/>
      <c r="AC168" s="130"/>
      <c r="AD168" s="130"/>
      <c r="AE168" s="130"/>
      <c r="AF168" s="130"/>
      <c r="AG168" s="130"/>
      <c r="AH168" s="130"/>
      <c r="AI168" s="130"/>
      <c r="AJ168" s="130"/>
      <c r="AK168" s="130"/>
      <c r="AL168" s="130"/>
      <c r="AM168" s="130"/>
      <c r="AN168" s="130"/>
      <c r="AO168" s="130"/>
      <c r="AP168" s="130"/>
      <c r="AQ168" s="130"/>
      <c r="AR168" s="130"/>
      <c r="AS168" s="130"/>
      <c r="AT168" s="130"/>
      <c r="AU168" s="130"/>
      <c r="AV168" s="130"/>
      <c r="AW168" s="130"/>
      <c r="AX168" s="130"/>
      <c r="AY168" s="130"/>
      <c r="AZ168" s="130"/>
      <c r="BA168" s="130"/>
      <c r="BB168" s="130"/>
    </row>
    <row r="169" spans="1:54" s="158" customFormat="1" ht="80.099999999999994" customHeight="1" x14ac:dyDescent="0.35">
      <c r="A169" s="935"/>
      <c r="B169" s="435" t="s">
        <v>673</v>
      </c>
      <c r="C169" s="477"/>
      <c r="D169" s="388"/>
      <c r="E169" s="810"/>
      <c r="F169" s="153"/>
      <c r="G169" s="523" t="s">
        <v>683</v>
      </c>
      <c r="H169" s="154"/>
      <c r="I169" s="130"/>
      <c r="J169" s="130"/>
      <c r="K169" s="523" t="s">
        <v>683</v>
      </c>
      <c r="L169" s="130"/>
      <c r="M169" s="130"/>
      <c r="N169" s="130"/>
      <c r="O169" s="130"/>
      <c r="P169" s="130"/>
      <c r="Q169" s="211"/>
      <c r="R169" s="212" t="s">
        <v>467</v>
      </c>
      <c r="S169" s="130"/>
      <c r="T169" s="204" t="b">
        <v>0</v>
      </c>
      <c r="U169" s="130"/>
      <c r="V169" s="206"/>
      <c r="W169" s="206"/>
      <c r="X169" s="206"/>
      <c r="Y169" s="206"/>
      <c r="Z169" s="130"/>
      <c r="AA169" s="130"/>
      <c r="AB169" s="130"/>
      <c r="AC169" s="130"/>
      <c r="AD169" s="130"/>
      <c r="AE169" s="130"/>
      <c r="AF169" s="130"/>
      <c r="AG169" s="130"/>
      <c r="AH169" s="130"/>
      <c r="AI169" s="130"/>
      <c r="AJ169" s="130"/>
      <c r="AK169" s="130"/>
      <c r="AL169" s="130"/>
      <c r="AM169" s="130"/>
      <c r="AN169" s="130"/>
      <c r="AO169" s="130"/>
      <c r="AP169" s="130"/>
      <c r="AQ169" s="130"/>
      <c r="AR169" s="130"/>
      <c r="AS169" s="130"/>
      <c r="AT169" s="130"/>
      <c r="AU169" s="130"/>
      <c r="AV169" s="130"/>
      <c r="AW169" s="130"/>
      <c r="AX169" s="130"/>
      <c r="AY169" s="130"/>
      <c r="AZ169" s="130"/>
      <c r="BA169" s="130"/>
      <c r="BB169" s="130"/>
    </row>
    <row r="170" spans="1:54" s="158" customFormat="1" ht="80.099999999999994" customHeight="1" thickBot="1" x14ac:dyDescent="0.4">
      <c r="A170" s="935"/>
      <c r="B170" s="435" t="s">
        <v>674</v>
      </c>
      <c r="C170" s="477"/>
      <c r="D170" s="388"/>
      <c r="E170" s="662"/>
      <c r="F170" s="153"/>
      <c r="G170" s="523" t="s">
        <v>684</v>
      </c>
      <c r="H170" s="154"/>
      <c r="I170" s="130"/>
      <c r="J170" s="130"/>
      <c r="K170" s="523" t="s">
        <v>684</v>
      </c>
      <c r="L170" s="130"/>
      <c r="M170" s="130"/>
      <c r="N170" s="130"/>
      <c r="O170" s="130"/>
      <c r="P170" s="130"/>
      <c r="Q170" s="211"/>
      <c r="R170" s="212" t="s">
        <v>467</v>
      </c>
      <c r="S170" s="130"/>
      <c r="T170" s="204" t="b">
        <v>0</v>
      </c>
      <c r="U170" s="130"/>
      <c r="V170" s="206"/>
      <c r="W170" s="206"/>
      <c r="X170" s="206"/>
      <c r="Y170" s="206"/>
      <c r="Z170" s="130"/>
      <c r="AA170" s="130"/>
      <c r="AB170" s="130"/>
      <c r="AC170" s="130"/>
      <c r="AD170" s="130"/>
      <c r="AE170" s="130"/>
      <c r="AF170" s="130"/>
      <c r="AG170" s="130"/>
      <c r="AH170" s="130"/>
      <c r="AI170" s="130"/>
      <c r="AJ170" s="130"/>
      <c r="AK170" s="130"/>
      <c r="AL170" s="130"/>
      <c r="AM170" s="130"/>
      <c r="AN170" s="130"/>
      <c r="AO170" s="130"/>
      <c r="AP170" s="130"/>
      <c r="AQ170" s="130"/>
      <c r="AR170" s="130"/>
      <c r="AS170" s="130"/>
      <c r="AT170" s="130"/>
      <c r="AU170" s="130"/>
      <c r="AV170" s="130"/>
      <c r="AW170" s="130"/>
      <c r="AX170" s="130"/>
      <c r="AY170" s="130"/>
      <c r="AZ170" s="130"/>
      <c r="BA170" s="130"/>
      <c r="BB170" s="130"/>
    </row>
    <row r="171" spans="1:54" s="158" customFormat="1" ht="80.099999999999994" customHeight="1" thickBot="1" x14ac:dyDescent="0.4">
      <c r="A171" s="935"/>
      <c r="B171" s="435" t="s">
        <v>675</v>
      </c>
      <c r="C171" s="477" t="s">
        <v>372</v>
      </c>
      <c r="D171" s="153"/>
      <c r="E171" s="844" t="str">
        <f>E172 &amp;"/" &amp;E173</f>
        <v>/</v>
      </c>
      <c r="F171" s="153"/>
      <c r="G171" s="523" t="s">
        <v>685</v>
      </c>
      <c r="H171" s="154"/>
      <c r="I171" s="130"/>
      <c r="J171" s="130"/>
      <c r="K171" s="523" t="s">
        <v>685</v>
      </c>
      <c r="L171" s="130"/>
      <c r="M171" s="130"/>
      <c r="N171" s="130"/>
      <c r="O171" s="130"/>
      <c r="P171" s="130"/>
      <c r="Q171" s="196"/>
      <c r="R171" s="210" t="s">
        <v>465</v>
      </c>
      <c r="S171" s="130"/>
      <c r="T171" s="204" t="b">
        <v>0</v>
      </c>
      <c r="U171" s="130"/>
      <c r="V171" s="206" t="str">
        <f>E172 &amp;"/" &amp;E173</f>
        <v>/</v>
      </c>
      <c r="W171" s="206"/>
      <c r="X171" s="206"/>
      <c r="Y171" s="206" t="str">
        <f>E172 &amp;"/" &amp;E173</f>
        <v>/</v>
      </c>
      <c r="Z171" s="130"/>
      <c r="AA171" s="130"/>
      <c r="AB171" s="130"/>
      <c r="AC171" s="130"/>
      <c r="AD171" s="130"/>
      <c r="AE171" s="130"/>
      <c r="AF171" s="130"/>
      <c r="AG171" s="130"/>
      <c r="AH171" s="130"/>
      <c r="AI171" s="130"/>
      <c r="AJ171" s="130"/>
      <c r="AK171" s="130"/>
      <c r="AL171" s="130"/>
      <c r="AM171" s="130"/>
      <c r="AN171" s="130"/>
      <c r="AO171" s="130"/>
      <c r="AP171" s="130"/>
      <c r="AQ171" s="130"/>
      <c r="AR171" s="130"/>
      <c r="AS171" s="130"/>
      <c r="AT171" s="130"/>
      <c r="AU171" s="130"/>
      <c r="AV171" s="130"/>
      <c r="AW171" s="130"/>
      <c r="AX171" s="130"/>
      <c r="AY171" s="130"/>
      <c r="AZ171" s="130"/>
      <c r="BA171" s="130"/>
      <c r="BB171" s="130"/>
    </row>
    <row r="172" spans="1:54" s="158" customFormat="1" ht="80.099999999999994" customHeight="1" x14ac:dyDescent="0.35">
      <c r="A172" s="935"/>
      <c r="B172" s="435" t="s">
        <v>676</v>
      </c>
      <c r="C172" s="477"/>
      <c r="D172" s="388"/>
      <c r="E172" s="651"/>
      <c r="F172" s="153"/>
      <c r="G172" s="523" t="s">
        <v>686</v>
      </c>
      <c r="H172" s="154"/>
      <c r="I172" s="130"/>
      <c r="J172" s="130"/>
      <c r="K172" s="523" t="s">
        <v>686</v>
      </c>
      <c r="L172" s="130"/>
      <c r="M172" s="130"/>
      <c r="N172" s="130"/>
      <c r="O172" s="130"/>
      <c r="P172" s="130"/>
      <c r="Q172" s="211"/>
      <c r="R172" s="212" t="s">
        <v>467</v>
      </c>
      <c r="S172" s="130"/>
      <c r="T172" s="204" t="b">
        <v>0</v>
      </c>
      <c r="U172" s="130"/>
      <c r="V172" s="206"/>
      <c r="W172" s="206"/>
      <c r="X172" s="206"/>
      <c r="Y172" s="206"/>
      <c r="Z172" s="130"/>
      <c r="AA172" s="130"/>
      <c r="AB172" s="130"/>
      <c r="AC172" s="130"/>
      <c r="AD172" s="130"/>
      <c r="AE172" s="130"/>
      <c r="AF172" s="130"/>
      <c r="AG172" s="130"/>
      <c r="AH172" s="130"/>
      <c r="AI172" s="130"/>
      <c r="AJ172" s="130"/>
      <c r="AK172" s="130"/>
      <c r="AL172" s="130"/>
      <c r="AM172" s="130"/>
      <c r="AN172" s="130"/>
      <c r="AO172" s="130"/>
      <c r="AP172" s="130"/>
      <c r="AQ172" s="130"/>
      <c r="AR172" s="130"/>
      <c r="AS172" s="130"/>
      <c r="AT172" s="130"/>
      <c r="AU172" s="130"/>
      <c r="AV172" s="130"/>
      <c r="AW172" s="130"/>
      <c r="AX172" s="130"/>
      <c r="AY172" s="130"/>
      <c r="AZ172" s="130"/>
      <c r="BA172" s="130"/>
      <c r="BB172" s="130"/>
    </row>
    <row r="173" spans="1:54" s="158" customFormat="1" ht="80.099999999999994" customHeight="1" x14ac:dyDescent="0.35">
      <c r="A173" s="935"/>
      <c r="B173" s="435" t="s">
        <v>677</v>
      </c>
      <c r="C173" s="477"/>
      <c r="D173" s="388"/>
      <c r="E173" s="655"/>
      <c r="F173" s="153"/>
      <c r="G173" s="523" t="s">
        <v>687</v>
      </c>
      <c r="H173" s="154"/>
      <c r="I173" s="130"/>
      <c r="J173" s="130"/>
      <c r="K173" s="523" t="s">
        <v>687</v>
      </c>
      <c r="L173" s="130"/>
      <c r="M173" s="130"/>
      <c r="N173" s="130"/>
      <c r="O173" s="130"/>
      <c r="P173" s="130"/>
      <c r="Q173" s="211"/>
      <c r="R173" s="212" t="s">
        <v>467</v>
      </c>
      <c r="S173" s="130"/>
      <c r="T173" s="204" t="b">
        <v>0</v>
      </c>
      <c r="U173" s="130"/>
      <c r="V173" s="206"/>
      <c r="W173" s="206"/>
      <c r="X173" s="206"/>
      <c r="Y173" s="206"/>
      <c r="Z173" s="130"/>
      <c r="AA173" s="130"/>
      <c r="AB173" s="130"/>
      <c r="AC173" s="130"/>
      <c r="AD173" s="130"/>
      <c r="AE173" s="130"/>
      <c r="AF173" s="130"/>
      <c r="AG173" s="130"/>
      <c r="AH173" s="130"/>
      <c r="AI173" s="130"/>
      <c r="AJ173" s="130"/>
      <c r="AK173" s="130"/>
      <c r="AL173" s="130"/>
      <c r="AM173" s="130"/>
      <c r="AN173" s="130"/>
      <c r="AO173" s="130"/>
      <c r="AP173" s="130"/>
      <c r="AQ173" s="130"/>
      <c r="AR173" s="130"/>
      <c r="AS173" s="130"/>
      <c r="AT173" s="130"/>
      <c r="AU173" s="130"/>
      <c r="AV173" s="130"/>
      <c r="AW173" s="130"/>
      <c r="AX173" s="130"/>
      <c r="AY173" s="130"/>
      <c r="AZ173" s="130"/>
      <c r="BA173" s="130"/>
      <c r="BB173" s="130"/>
    </row>
    <row r="174" spans="1:54" s="158" customFormat="1" ht="80.099999999999994" customHeight="1" x14ac:dyDescent="0.35">
      <c r="A174" s="935"/>
      <c r="B174" s="435" t="s">
        <v>678</v>
      </c>
      <c r="C174" s="477"/>
      <c r="D174" s="390"/>
      <c r="E174" s="655"/>
      <c r="F174" s="153"/>
      <c r="G174" s="523" t="s">
        <v>688</v>
      </c>
      <c r="H174" s="154"/>
      <c r="I174" s="130"/>
      <c r="J174" s="130"/>
      <c r="K174" s="523" t="s">
        <v>688</v>
      </c>
      <c r="L174" s="130"/>
      <c r="M174" s="130"/>
      <c r="N174" s="130"/>
      <c r="O174" s="130"/>
      <c r="P174" s="130"/>
      <c r="Q174" s="211"/>
      <c r="R174" s="212" t="s">
        <v>467</v>
      </c>
      <c r="S174" s="130"/>
      <c r="T174" s="204" t="b">
        <v>0</v>
      </c>
      <c r="U174" s="130"/>
      <c r="V174" s="206"/>
      <c r="W174" s="206"/>
      <c r="X174" s="206"/>
      <c r="Y174" s="206"/>
      <c r="Z174" s="130"/>
      <c r="AA174" s="130"/>
      <c r="AB174" s="130"/>
      <c r="AC174" s="130"/>
      <c r="AD174" s="130"/>
      <c r="AE174" s="130"/>
      <c r="AF174" s="130"/>
      <c r="AG174" s="130"/>
      <c r="AH174" s="130"/>
      <c r="AI174" s="130"/>
      <c r="AJ174" s="130"/>
      <c r="AK174" s="130"/>
      <c r="AL174" s="130"/>
      <c r="AM174" s="130"/>
      <c r="AN174" s="130"/>
      <c r="AO174" s="130"/>
      <c r="AP174" s="130"/>
      <c r="AQ174" s="130"/>
      <c r="AR174" s="130"/>
      <c r="AS174" s="130"/>
      <c r="AT174" s="130"/>
      <c r="AU174" s="130"/>
      <c r="AV174" s="130"/>
      <c r="AW174" s="130"/>
      <c r="AX174" s="130"/>
      <c r="AY174" s="130"/>
      <c r="AZ174" s="130"/>
      <c r="BA174" s="130"/>
      <c r="BB174" s="130"/>
    </row>
    <row r="175" spans="1:54" s="158" customFormat="1" ht="80.099999999999994" customHeight="1" x14ac:dyDescent="0.35">
      <c r="A175" s="935"/>
      <c r="B175" s="435" t="s">
        <v>679</v>
      </c>
      <c r="C175" s="477" t="s">
        <v>279</v>
      </c>
      <c r="D175" s="159">
        <v>0</v>
      </c>
      <c r="E175" s="809"/>
      <c r="F175" s="159">
        <v>0</v>
      </c>
      <c r="G175" s="523" t="s">
        <v>689</v>
      </c>
      <c r="H175" s="154"/>
      <c r="I175" s="130"/>
      <c r="J175" s="130"/>
      <c r="K175" s="523" t="s">
        <v>689</v>
      </c>
      <c r="L175" s="130"/>
      <c r="M175" s="130"/>
      <c r="N175" s="130"/>
      <c r="O175" s="130"/>
      <c r="P175" s="130"/>
      <c r="Q175" s="211"/>
      <c r="R175" s="212" t="s">
        <v>467</v>
      </c>
      <c r="S175" s="130"/>
      <c r="T175" s="204" t="b">
        <v>0</v>
      </c>
      <c r="U175" s="130"/>
      <c r="V175" s="206"/>
      <c r="W175" s="206"/>
      <c r="X175" s="206"/>
      <c r="Y175" s="206"/>
      <c r="Z175" s="130"/>
      <c r="AA175" s="130"/>
      <c r="AB175" s="130"/>
      <c r="AC175" s="130"/>
      <c r="AD175" s="130"/>
      <c r="AE175" s="130"/>
      <c r="AF175" s="130"/>
      <c r="AG175" s="130"/>
      <c r="AH175" s="130"/>
      <c r="AI175" s="130"/>
      <c r="AJ175" s="130"/>
      <c r="AK175" s="130"/>
      <c r="AL175" s="130"/>
      <c r="AM175" s="130"/>
      <c r="AN175" s="130"/>
      <c r="AO175" s="130"/>
      <c r="AP175" s="130"/>
      <c r="AQ175" s="130"/>
      <c r="AR175" s="130"/>
      <c r="AS175" s="130"/>
      <c r="AT175" s="130"/>
      <c r="AU175" s="130"/>
      <c r="AV175" s="130"/>
      <c r="AW175" s="130"/>
      <c r="AX175" s="130"/>
      <c r="AY175" s="130"/>
      <c r="AZ175" s="130"/>
      <c r="BA175" s="130"/>
      <c r="BB175" s="130"/>
    </row>
    <row r="176" spans="1:54" s="158" customFormat="1" ht="80.099999999999994" customHeight="1" x14ac:dyDescent="0.35">
      <c r="A176" s="935"/>
      <c r="B176" s="435" t="s">
        <v>680</v>
      </c>
      <c r="C176" s="477"/>
      <c r="D176" s="159">
        <v>0</v>
      </c>
      <c r="E176" s="809"/>
      <c r="F176" s="159">
        <v>0</v>
      </c>
      <c r="G176" s="523" t="s">
        <v>690</v>
      </c>
      <c r="H176" s="154"/>
      <c r="I176" s="130"/>
      <c r="J176" s="130"/>
      <c r="K176" s="523" t="s">
        <v>690</v>
      </c>
      <c r="L176" s="130"/>
      <c r="M176" s="130"/>
      <c r="N176" s="130"/>
      <c r="O176" s="130"/>
      <c r="P176" s="130"/>
      <c r="Q176" s="211"/>
      <c r="R176" s="212" t="s">
        <v>467</v>
      </c>
      <c r="S176" s="130"/>
      <c r="T176" s="204" t="b">
        <v>0</v>
      </c>
      <c r="U176" s="130"/>
      <c r="V176" s="206"/>
      <c r="W176" s="206"/>
      <c r="X176" s="206"/>
      <c r="Y176" s="206"/>
      <c r="Z176" s="130"/>
      <c r="AA176" s="130"/>
      <c r="AB176" s="130"/>
      <c r="AC176" s="130"/>
      <c r="AD176" s="130"/>
      <c r="AE176" s="130"/>
      <c r="AF176" s="130"/>
      <c r="AG176" s="130"/>
      <c r="AH176" s="130"/>
      <c r="AI176" s="130"/>
      <c r="AJ176" s="130"/>
      <c r="AK176" s="130"/>
      <c r="AL176" s="130"/>
      <c r="AM176" s="130"/>
      <c r="AN176" s="130"/>
      <c r="AO176" s="130"/>
      <c r="AP176" s="130"/>
      <c r="AQ176" s="130"/>
      <c r="AR176" s="130"/>
      <c r="AS176" s="130"/>
      <c r="AT176" s="130"/>
      <c r="AU176" s="130"/>
      <c r="AV176" s="130"/>
      <c r="AW176" s="130"/>
      <c r="AX176" s="130"/>
      <c r="AY176" s="130"/>
      <c r="AZ176" s="130"/>
      <c r="BA176" s="130"/>
      <c r="BB176" s="130"/>
    </row>
    <row r="177" spans="1:54" s="158" customFormat="1" ht="80.099999999999994" customHeight="1" x14ac:dyDescent="0.35">
      <c r="A177" s="935"/>
      <c r="B177" s="435" t="s">
        <v>681</v>
      </c>
      <c r="C177" s="477" t="s">
        <v>280</v>
      </c>
      <c r="D177" s="159">
        <v>0</v>
      </c>
      <c r="E177" s="809"/>
      <c r="F177" s="159">
        <v>0</v>
      </c>
      <c r="G177" s="523" t="s">
        <v>691</v>
      </c>
      <c r="H177" s="154"/>
      <c r="I177" s="130"/>
      <c r="J177" s="130"/>
      <c r="K177" s="523" t="s">
        <v>691</v>
      </c>
      <c r="L177" s="130"/>
      <c r="M177" s="130"/>
      <c r="N177" s="130"/>
      <c r="O177" s="130"/>
      <c r="P177" s="130"/>
      <c r="Q177" s="193" t="s">
        <v>310</v>
      </c>
      <c r="R177" s="197" t="s">
        <v>466</v>
      </c>
      <c r="S177" s="130"/>
      <c r="T177" s="204" t="b">
        <v>0</v>
      </c>
      <c r="U177" s="130"/>
      <c r="V177" s="206"/>
      <c r="W177" s="206"/>
      <c r="X177" s="206"/>
      <c r="Y177" s="206"/>
      <c r="Z177" s="130"/>
      <c r="AA177" s="130"/>
      <c r="AB177" s="130"/>
      <c r="AC177" s="130"/>
      <c r="AD177" s="130"/>
      <c r="AE177" s="130"/>
      <c r="AF177" s="130"/>
      <c r="AG177" s="130"/>
      <c r="AH177" s="130"/>
      <c r="AI177" s="130"/>
      <c r="AJ177" s="130"/>
      <c r="AK177" s="130"/>
      <c r="AL177" s="130"/>
      <c r="AM177" s="130"/>
      <c r="AN177" s="130"/>
      <c r="AO177" s="130"/>
      <c r="AP177" s="130"/>
      <c r="AQ177" s="130"/>
      <c r="AR177" s="130"/>
      <c r="AS177" s="130"/>
      <c r="AT177" s="130"/>
      <c r="AU177" s="130"/>
      <c r="AV177" s="130"/>
      <c r="AW177" s="130"/>
      <c r="AX177" s="130"/>
      <c r="AY177" s="130"/>
      <c r="AZ177" s="130"/>
      <c r="BA177" s="130"/>
      <c r="BB177" s="130"/>
    </row>
    <row r="178" spans="1:54" s="158" customFormat="1" ht="80.099999999999994" customHeight="1" x14ac:dyDescent="0.35">
      <c r="A178" s="935"/>
      <c r="B178" s="435" t="s">
        <v>281</v>
      </c>
      <c r="C178" s="477"/>
      <c r="D178" s="391"/>
      <c r="E178" s="811"/>
      <c r="F178" s="153"/>
      <c r="G178" s="523" t="s">
        <v>281</v>
      </c>
      <c r="H178" s="154"/>
      <c r="I178" s="130"/>
      <c r="J178" s="130"/>
      <c r="K178" s="523" t="s">
        <v>281</v>
      </c>
      <c r="L178" s="130"/>
      <c r="M178" s="130"/>
      <c r="N178" s="130"/>
      <c r="O178" s="130"/>
      <c r="P178" s="130"/>
      <c r="Q178" s="193" t="s">
        <v>310</v>
      </c>
      <c r="R178" s="197" t="s">
        <v>466</v>
      </c>
      <c r="S178" s="130"/>
      <c r="T178" s="204" t="b">
        <v>0</v>
      </c>
      <c r="U178" s="130"/>
      <c r="V178" s="206"/>
      <c r="W178" s="206"/>
      <c r="X178" s="206"/>
      <c r="Y178" s="206"/>
      <c r="Z178" s="130"/>
      <c r="AA178" s="130"/>
      <c r="AB178" s="130"/>
      <c r="AC178" s="130"/>
      <c r="AD178" s="130"/>
      <c r="AE178" s="130"/>
      <c r="AF178" s="130"/>
      <c r="AG178" s="130"/>
      <c r="AH178" s="130"/>
      <c r="AI178" s="130"/>
      <c r="AJ178" s="130"/>
      <c r="AK178" s="130"/>
      <c r="AL178" s="130"/>
      <c r="AM178" s="130"/>
      <c r="AN178" s="130"/>
      <c r="AO178" s="130"/>
      <c r="AP178" s="130"/>
      <c r="AQ178" s="130"/>
      <c r="AR178" s="130"/>
      <c r="AS178" s="130"/>
      <c r="AT178" s="130"/>
      <c r="AU178" s="130"/>
      <c r="AV178" s="130"/>
      <c r="AW178" s="130"/>
      <c r="AX178" s="130"/>
      <c r="AY178" s="130"/>
      <c r="AZ178" s="130"/>
      <c r="BA178" s="130"/>
      <c r="BB178" s="130"/>
    </row>
    <row r="179" spans="1:54" s="158" customFormat="1" ht="80.099999999999994" customHeight="1" thickBot="1" x14ac:dyDescent="0.4">
      <c r="A179" s="936"/>
      <c r="B179" s="437" t="s">
        <v>282</v>
      </c>
      <c r="C179" s="475"/>
      <c r="D179" s="389">
        <v>0</v>
      </c>
      <c r="E179" s="662"/>
      <c r="F179" s="153">
        <v>0</v>
      </c>
      <c r="G179" s="525" t="s">
        <v>283</v>
      </c>
      <c r="H179" s="156"/>
      <c r="I179" s="130"/>
      <c r="J179" s="130"/>
      <c r="K179" s="525" t="s">
        <v>283</v>
      </c>
      <c r="L179" s="130"/>
      <c r="M179" s="130"/>
      <c r="N179" s="130"/>
      <c r="O179" s="130"/>
      <c r="P179" s="130"/>
      <c r="Q179" s="194" t="s">
        <v>310</v>
      </c>
      <c r="R179" s="200" t="s">
        <v>466</v>
      </c>
      <c r="S179" s="130"/>
      <c r="T179" s="204" t="b">
        <v>0</v>
      </c>
      <c r="U179" s="130"/>
      <c r="V179" s="206"/>
      <c r="W179" s="206"/>
      <c r="X179" s="206"/>
      <c r="Y179" s="206"/>
      <c r="Z179" s="130"/>
      <c r="AA179" s="130"/>
      <c r="AB179" s="130"/>
      <c r="AC179" s="130"/>
      <c r="AD179" s="130"/>
      <c r="AE179" s="130"/>
      <c r="AF179" s="130"/>
      <c r="AG179" s="130"/>
      <c r="AH179" s="130"/>
      <c r="AI179" s="130"/>
      <c r="AJ179" s="130"/>
      <c r="AK179" s="130"/>
      <c r="AL179" s="130"/>
      <c r="AM179" s="130"/>
      <c r="AN179" s="130"/>
      <c r="AO179" s="130"/>
      <c r="AP179" s="130"/>
      <c r="AQ179" s="130"/>
      <c r="AR179" s="130"/>
      <c r="AS179" s="130"/>
      <c r="AT179" s="130"/>
      <c r="AU179" s="130"/>
      <c r="AV179" s="130"/>
      <c r="AW179" s="130"/>
      <c r="AX179" s="130"/>
      <c r="AY179" s="130"/>
      <c r="AZ179" s="130"/>
      <c r="BA179" s="130"/>
      <c r="BB179" s="130"/>
    </row>
    <row r="180" spans="1:54" s="147" customFormat="1" ht="80.099999999999994" customHeight="1" x14ac:dyDescent="0.35">
      <c r="A180" s="937" t="s">
        <v>284</v>
      </c>
      <c r="B180" s="438" t="s">
        <v>285</v>
      </c>
      <c r="C180" s="474" t="s">
        <v>286</v>
      </c>
      <c r="D180" s="387"/>
      <c r="E180" s="651"/>
      <c r="F180" s="392"/>
      <c r="G180" s="526" t="s">
        <v>288</v>
      </c>
      <c r="H180" s="157"/>
      <c r="I180" s="130"/>
      <c r="J180" s="130"/>
      <c r="K180" s="526" t="s">
        <v>288</v>
      </c>
      <c r="L180" s="130"/>
      <c r="M180" s="130"/>
      <c r="N180" s="130"/>
      <c r="O180" s="130"/>
      <c r="P180" s="130"/>
      <c r="Q180" s="354"/>
      <c r="R180" s="353" t="s">
        <v>467</v>
      </c>
      <c r="S180" s="130"/>
      <c r="T180" s="204" t="b">
        <v>0</v>
      </c>
      <c r="U180" s="130"/>
      <c r="V180" s="206"/>
      <c r="W180" s="206"/>
      <c r="X180" s="206"/>
      <c r="Y180" s="206"/>
      <c r="Z180" s="130"/>
      <c r="AA180" s="130"/>
      <c r="AB180" s="130"/>
      <c r="AC180" s="130"/>
      <c r="AD180" s="130"/>
      <c r="AE180" s="130"/>
      <c r="AF180" s="130"/>
      <c r="AG180" s="130"/>
      <c r="AH180" s="130"/>
      <c r="AI180" s="130"/>
      <c r="AJ180" s="130"/>
      <c r="AK180" s="130"/>
      <c r="AL180" s="130"/>
      <c r="AM180" s="130"/>
      <c r="AN180" s="130"/>
      <c r="AO180" s="130"/>
      <c r="AP180" s="130"/>
      <c r="AQ180" s="130"/>
      <c r="AR180" s="130"/>
      <c r="AS180" s="130"/>
      <c r="AT180" s="130"/>
      <c r="AU180" s="130"/>
      <c r="AV180" s="130"/>
      <c r="AW180" s="130"/>
      <c r="AX180" s="130"/>
      <c r="AY180" s="130"/>
      <c r="AZ180" s="130"/>
      <c r="BA180" s="130"/>
      <c r="BB180" s="130"/>
    </row>
    <row r="181" spans="1:54" s="147" customFormat="1" ht="80.099999999999994" customHeight="1" x14ac:dyDescent="0.35">
      <c r="A181" s="938"/>
      <c r="B181" s="434" t="s">
        <v>629</v>
      </c>
      <c r="C181" s="476"/>
      <c r="D181" s="388"/>
      <c r="E181" s="655"/>
      <c r="F181" s="378"/>
      <c r="G181" s="521" t="s">
        <v>631</v>
      </c>
      <c r="H181" s="157"/>
      <c r="I181" s="130"/>
      <c r="J181" s="130"/>
      <c r="K181" s="521" t="s">
        <v>631</v>
      </c>
      <c r="L181" s="130"/>
      <c r="M181" s="130"/>
      <c r="N181" s="130"/>
      <c r="O181" s="130"/>
      <c r="P181" s="130"/>
      <c r="Q181" s="214"/>
      <c r="R181" s="213" t="s">
        <v>467</v>
      </c>
      <c r="S181" s="130"/>
      <c r="T181" s="204"/>
      <c r="U181" s="130"/>
      <c r="V181" s="206"/>
      <c r="W181" s="206"/>
      <c r="X181" s="206"/>
      <c r="Y181" s="206"/>
      <c r="Z181" s="130"/>
      <c r="AA181" s="130"/>
      <c r="AB181" s="130"/>
      <c r="AC181" s="130"/>
      <c r="AD181" s="130"/>
      <c r="AE181" s="130"/>
      <c r="AF181" s="130"/>
      <c r="AG181" s="130"/>
      <c r="AH181" s="130"/>
      <c r="AI181" s="130"/>
      <c r="AJ181" s="130"/>
      <c r="AK181" s="130"/>
      <c r="AL181" s="130"/>
      <c r="AM181" s="130"/>
      <c r="AN181" s="130"/>
      <c r="AO181" s="130"/>
      <c r="AP181" s="130"/>
      <c r="AQ181" s="130"/>
      <c r="AR181" s="130"/>
      <c r="AS181" s="130"/>
      <c r="AT181" s="130"/>
      <c r="AU181" s="130"/>
      <c r="AV181" s="130"/>
      <c r="AW181" s="130"/>
      <c r="AX181" s="130"/>
      <c r="AY181" s="130"/>
      <c r="AZ181" s="130"/>
      <c r="BA181" s="130"/>
      <c r="BB181" s="130"/>
    </row>
    <row r="182" spans="1:54" s="147" customFormat="1" ht="80.099999999999994" customHeight="1" x14ac:dyDescent="0.35">
      <c r="A182" s="938"/>
      <c r="B182" s="434" t="s">
        <v>630</v>
      </c>
      <c r="C182" s="476"/>
      <c r="D182" s="388"/>
      <c r="E182" s="655"/>
      <c r="F182" s="378"/>
      <c r="G182" s="521" t="s">
        <v>632</v>
      </c>
      <c r="H182" s="157"/>
      <c r="I182" s="130"/>
      <c r="J182" s="130"/>
      <c r="K182" s="521" t="s">
        <v>632</v>
      </c>
      <c r="L182" s="130"/>
      <c r="M182" s="130"/>
      <c r="N182" s="130"/>
      <c r="O182" s="130"/>
      <c r="P182" s="130"/>
      <c r="Q182" s="214"/>
      <c r="R182" s="213" t="s">
        <v>467</v>
      </c>
      <c r="S182" s="130"/>
      <c r="T182" s="204"/>
      <c r="U182" s="130"/>
      <c r="V182" s="206"/>
      <c r="W182" s="206"/>
      <c r="X182" s="206"/>
      <c r="Y182" s="206"/>
      <c r="Z182" s="130"/>
      <c r="AA182" s="130"/>
      <c r="AB182" s="130"/>
      <c r="AC182" s="130"/>
      <c r="AD182" s="130"/>
      <c r="AE182" s="130"/>
      <c r="AF182" s="130"/>
      <c r="AG182" s="130"/>
      <c r="AH182" s="130"/>
      <c r="AI182" s="130"/>
      <c r="AJ182" s="130"/>
      <c r="AK182" s="130"/>
      <c r="AL182" s="130"/>
      <c r="AM182" s="130"/>
      <c r="AN182" s="130"/>
      <c r="AO182" s="130"/>
      <c r="AP182" s="130"/>
      <c r="AQ182" s="130"/>
      <c r="AR182" s="130"/>
      <c r="AS182" s="130"/>
      <c r="AT182" s="130"/>
      <c r="AU182" s="130"/>
      <c r="AV182" s="130"/>
      <c r="AW182" s="130"/>
      <c r="AX182" s="130"/>
      <c r="AY182" s="130"/>
      <c r="AZ182" s="130"/>
      <c r="BA182" s="130"/>
      <c r="BB182" s="130"/>
    </row>
    <row r="183" spans="1:54" s="147" customFormat="1" ht="80.099999999999994" customHeight="1" x14ac:dyDescent="0.35">
      <c r="A183" s="938"/>
      <c r="B183" s="434" t="s">
        <v>627</v>
      </c>
      <c r="C183" s="476"/>
      <c r="D183" s="388"/>
      <c r="E183" s="655"/>
      <c r="F183" s="378"/>
      <c r="G183" s="521" t="s">
        <v>634</v>
      </c>
      <c r="H183" s="157"/>
      <c r="I183" s="130"/>
      <c r="J183" s="130"/>
      <c r="K183" s="521" t="s">
        <v>634</v>
      </c>
      <c r="L183" s="130"/>
      <c r="M183" s="130"/>
      <c r="N183" s="130"/>
      <c r="O183" s="130"/>
      <c r="P183" s="130"/>
      <c r="Q183" s="214"/>
      <c r="R183" s="213" t="s">
        <v>467</v>
      </c>
      <c r="S183" s="130"/>
      <c r="T183" s="204"/>
      <c r="U183" s="130"/>
      <c r="V183" s="206"/>
      <c r="W183" s="206"/>
      <c r="X183" s="206"/>
      <c r="Y183" s="206"/>
      <c r="Z183" s="130"/>
      <c r="AA183" s="130"/>
      <c r="AB183" s="130"/>
      <c r="AC183" s="130"/>
      <c r="AD183" s="130"/>
      <c r="AE183" s="130"/>
      <c r="AF183" s="130"/>
      <c r="AG183" s="130"/>
      <c r="AH183" s="130"/>
      <c r="AI183" s="130"/>
      <c r="AJ183" s="130"/>
      <c r="AK183" s="130"/>
      <c r="AL183" s="130"/>
      <c r="AM183" s="130"/>
      <c r="AN183" s="130"/>
      <c r="AO183" s="130"/>
      <c r="AP183" s="130"/>
      <c r="AQ183" s="130"/>
      <c r="AR183" s="130"/>
      <c r="AS183" s="130"/>
      <c r="AT183" s="130"/>
      <c r="AU183" s="130"/>
      <c r="AV183" s="130"/>
      <c r="AW183" s="130"/>
      <c r="AX183" s="130"/>
      <c r="AY183" s="130"/>
      <c r="AZ183" s="130"/>
      <c r="BA183" s="130"/>
      <c r="BB183" s="130"/>
    </row>
    <row r="184" spans="1:54" s="147" customFormat="1" ht="80.099999999999994" customHeight="1" x14ac:dyDescent="0.35">
      <c r="A184" s="938"/>
      <c r="B184" s="434" t="s">
        <v>628</v>
      </c>
      <c r="C184" s="476"/>
      <c r="D184" s="388"/>
      <c r="E184" s="655"/>
      <c r="F184" s="378"/>
      <c r="G184" s="521" t="s">
        <v>633</v>
      </c>
      <c r="H184" s="157"/>
      <c r="I184" s="130"/>
      <c r="J184" s="130"/>
      <c r="K184" s="521" t="s">
        <v>633</v>
      </c>
      <c r="L184" s="130"/>
      <c r="M184" s="130"/>
      <c r="N184" s="130"/>
      <c r="O184" s="130"/>
      <c r="P184" s="130"/>
      <c r="Q184" s="214"/>
      <c r="R184" s="213" t="s">
        <v>467</v>
      </c>
      <c r="S184" s="130"/>
      <c r="T184" s="204"/>
      <c r="U184" s="130"/>
      <c r="V184" s="206"/>
      <c r="W184" s="206"/>
      <c r="X184" s="206"/>
      <c r="Y184" s="206"/>
      <c r="Z184" s="130"/>
      <c r="AA184" s="130"/>
      <c r="AB184" s="130"/>
      <c r="AC184" s="130"/>
      <c r="AD184" s="130"/>
      <c r="AE184" s="130"/>
      <c r="AF184" s="130"/>
      <c r="AG184" s="130"/>
      <c r="AH184" s="130"/>
      <c r="AI184" s="130"/>
      <c r="AJ184" s="130"/>
      <c r="AK184" s="130"/>
      <c r="AL184" s="130"/>
      <c r="AM184" s="130"/>
      <c r="AN184" s="130"/>
      <c r="AO184" s="130"/>
      <c r="AP184" s="130"/>
      <c r="AQ184" s="130"/>
      <c r="AR184" s="130"/>
      <c r="AS184" s="130"/>
      <c r="AT184" s="130"/>
      <c r="AU184" s="130"/>
      <c r="AV184" s="130"/>
      <c r="AW184" s="130"/>
      <c r="AX184" s="130"/>
      <c r="AY184" s="130"/>
      <c r="AZ184" s="130"/>
      <c r="BA184" s="130"/>
      <c r="BB184" s="130"/>
    </row>
    <row r="185" spans="1:54" s="147" customFormat="1" ht="80.099999999999994" customHeight="1" x14ac:dyDescent="0.35">
      <c r="A185" s="939"/>
      <c r="B185" s="435" t="s">
        <v>289</v>
      </c>
      <c r="C185" s="477"/>
      <c r="D185" s="388"/>
      <c r="E185" s="655"/>
      <c r="F185" s="153"/>
      <c r="G185" s="523" t="s">
        <v>380</v>
      </c>
      <c r="H185" s="154"/>
      <c r="I185" s="130"/>
      <c r="J185" s="130"/>
      <c r="K185" s="523" t="s">
        <v>380</v>
      </c>
      <c r="L185" s="130"/>
      <c r="M185" s="130"/>
      <c r="N185" s="130"/>
      <c r="O185" s="130"/>
      <c r="P185" s="130"/>
      <c r="Q185" s="193" t="s">
        <v>310</v>
      </c>
      <c r="R185" s="197" t="s">
        <v>466</v>
      </c>
      <c r="S185" s="130"/>
      <c r="T185" s="204" t="b">
        <v>0</v>
      </c>
      <c r="U185" s="130"/>
      <c r="V185" s="206"/>
      <c r="W185" s="206"/>
      <c r="X185" s="206"/>
      <c r="Y185" s="206"/>
      <c r="Z185" s="130"/>
      <c r="AA185" s="130"/>
      <c r="AB185" s="130"/>
      <c r="AC185" s="130"/>
      <c r="AD185" s="130"/>
      <c r="AE185" s="130"/>
      <c r="AF185" s="130"/>
      <c r="AG185" s="130"/>
      <c r="AH185" s="130"/>
      <c r="AI185" s="130"/>
      <c r="AJ185" s="130"/>
      <c r="AK185" s="130"/>
      <c r="AL185" s="130"/>
      <c r="AM185" s="130"/>
      <c r="AN185" s="130"/>
      <c r="AO185" s="130"/>
      <c r="AP185" s="130"/>
      <c r="AQ185" s="130"/>
      <c r="AR185" s="130"/>
      <c r="AS185" s="130"/>
      <c r="AT185" s="130"/>
      <c r="AU185" s="130"/>
      <c r="AV185" s="130"/>
      <c r="AW185" s="130"/>
      <c r="AX185" s="130"/>
      <c r="AY185" s="130"/>
      <c r="AZ185" s="130"/>
      <c r="BA185" s="130"/>
      <c r="BB185" s="130"/>
    </row>
    <row r="186" spans="1:54" s="147" customFormat="1" ht="80.099999999999994" customHeight="1" x14ac:dyDescent="0.35">
      <c r="A186" s="939"/>
      <c r="B186" s="435" t="s">
        <v>287</v>
      </c>
      <c r="C186" s="477"/>
      <c r="D186" s="388"/>
      <c r="E186" s="655"/>
      <c r="F186" s="153"/>
      <c r="G186" s="523" t="s">
        <v>381</v>
      </c>
      <c r="H186" s="154"/>
      <c r="I186" s="130"/>
      <c r="J186" s="130"/>
      <c r="K186" s="523" t="s">
        <v>381</v>
      </c>
      <c r="L186" s="130"/>
      <c r="M186" s="130"/>
      <c r="N186" s="130"/>
      <c r="O186" s="130"/>
      <c r="P186" s="130"/>
      <c r="Q186" s="193" t="s">
        <v>310</v>
      </c>
      <c r="R186" s="197" t="s">
        <v>466</v>
      </c>
      <c r="S186" s="130"/>
      <c r="T186" s="204" t="b">
        <v>0</v>
      </c>
      <c r="U186" s="130"/>
      <c r="V186" s="206"/>
      <c r="W186" s="206"/>
      <c r="X186" s="206"/>
      <c r="Y186" s="206"/>
      <c r="Z186" s="130"/>
      <c r="AA186" s="130"/>
      <c r="AB186" s="130"/>
      <c r="AC186" s="130"/>
      <c r="AD186" s="130"/>
      <c r="AE186" s="130"/>
      <c r="AF186" s="130"/>
      <c r="AG186" s="130"/>
      <c r="AH186" s="130"/>
      <c r="AI186" s="130"/>
      <c r="AJ186" s="130"/>
      <c r="AK186" s="130"/>
      <c r="AL186" s="130"/>
      <c r="AM186" s="130"/>
      <c r="AN186" s="130"/>
      <c r="AO186" s="130"/>
      <c r="AP186" s="130"/>
      <c r="AQ186" s="130"/>
      <c r="AR186" s="130"/>
      <c r="AS186" s="130"/>
      <c r="AT186" s="130"/>
      <c r="AU186" s="130"/>
      <c r="AV186" s="130"/>
      <c r="AW186" s="130"/>
      <c r="AX186" s="130"/>
      <c r="AY186" s="130"/>
      <c r="AZ186" s="130"/>
      <c r="BA186" s="130"/>
      <c r="BB186" s="130"/>
    </row>
    <row r="187" spans="1:54" s="147" customFormat="1" ht="80.099999999999994" customHeight="1" thickBot="1" x14ac:dyDescent="0.4">
      <c r="A187" s="940"/>
      <c r="B187" s="437" t="s">
        <v>290</v>
      </c>
      <c r="C187" s="475"/>
      <c r="D187" s="389"/>
      <c r="E187" s="652"/>
      <c r="F187" s="155"/>
      <c r="G187" s="525" t="s">
        <v>382</v>
      </c>
      <c r="H187" s="181"/>
      <c r="I187" s="130"/>
      <c r="J187" s="130"/>
      <c r="K187" s="525" t="s">
        <v>382</v>
      </c>
      <c r="L187" s="130"/>
      <c r="M187" s="130"/>
      <c r="N187" s="130"/>
      <c r="O187" s="130"/>
      <c r="P187" s="130"/>
      <c r="Q187" s="193" t="s">
        <v>310</v>
      </c>
      <c r="R187" s="201" t="s">
        <v>466</v>
      </c>
      <c r="S187" s="130"/>
      <c r="T187" s="204" t="b">
        <v>0</v>
      </c>
      <c r="U187" s="130"/>
      <c r="V187" s="206"/>
      <c r="W187" s="206"/>
      <c r="X187" s="206"/>
      <c r="Y187" s="206"/>
      <c r="Z187" s="130"/>
      <c r="AA187" s="130"/>
      <c r="AB187" s="130"/>
      <c r="AC187" s="130"/>
      <c r="AD187" s="130"/>
      <c r="AE187" s="130"/>
      <c r="AF187" s="130"/>
      <c r="AG187" s="130"/>
      <c r="AH187" s="130"/>
      <c r="AI187" s="130"/>
      <c r="AJ187" s="130"/>
      <c r="AK187" s="130"/>
      <c r="AL187" s="130"/>
      <c r="AM187" s="130"/>
      <c r="AN187" s="130"/>
      <c r="AO187" s="130"/>
      <c r="AP187" s="130"/>
      <c r="AQ187" s="130"/>
      <c r="AR187" s="130"/>
      <c r="AS187" s="130"/>
      <c r="AT187" s="130"/>
      <c r="AU187" s="130"/>
      <c r="AV187" s="130"/>
      <c r="AW187" s="130"/>
      <c r="AX187" s="130"/>
      <c r="AY187" s="130"/>
      <c r="AZ187" s="130"/>
      <c r="BA187" s="130"/>
      <c r="BB187" s="130"/>
    </row>
    <row r="188" spans="1:54" s="147" customFormat="1" ht="80.099999999999994" customHeight="1" thickBot="1" x14ac:dyDescent="0.4">
      <c r="A188" s="885" t="s">
        <v>291</v>
      </c>
      <c r="B188" s="439" t="s">
        <v>384</v>
      </c>
      <c r="C188" s="479"/>
      <c r="D188" s="159">
        <v>0</v>
      </c>
      <c r="E188" s="664" t="s">
        <v>886</v>
      </c>
      <c r="F188" s="159">
        <v>0</v>
      </c>
      <c r="G188" s="527" t="s">
        <v>459</v>
      </c>
      <c r="H188" s="182"/>
      <c r="I188" s="130"/>
      <c r="J188" s="130"/>
      <c r="K188" s="527" t="s">
        <v>459</v>
      </c>
      <c r="L188" s="130"/>
      <c r="M188" s="130"/>
      <c r="N188" s="130"/>
      <c r="O188" s="130"/>
      <c r="P188" s="130"/>
      <c r="Q188" s="352"/>
      <c r="R188" s="351" t="s">
        <v>467</v>
      </c>
      <c r="S188" s="130"/>
      <c r="T188" s="204" t="b">
        <v>0</v>
      </c>
      <c r="U188" s="130"/>
      <c r="V188" s="206"/>
      <c r="W188" s="206"/>
      <c r="X188" s="206"/>
      <c r="Y188" s="206"/>
      <c r="Z188" s="130"/>
      <c r="AA188" s="130"/>
      <c r="AB188" s="130"/>
      <c r="AC188" s="130"/>
      <c r="AD188" s="130"/>
      <c r="AE188" s="130"/>
      <c r="AF188" s="130"/>
      <c r="AG188" s="130"/>
      <c r="AH188" s="130"/>
      <c r="AI188" s="130"/>
      <c r="AJ188" s="130"/>
      <c r="AK188" s="130"/>
      <c r="AL188" s="130"/>
      <c r="AM188" s="130"/>
      <c r="AN188" s="130"/>
      <c r="AO188" s="130"/>
      <c r="AP188" s="130"/>
      <c r="AQ188" s="130"/>
      <c r="AR188" s="130"/>
      <c r="AS188" s="130"/>
      <c r="AT188" s="130"/>
      <c r="AU188" s="130"/>
      <c r="AV188" s="130"/>
      <c r="AW188" s="130"/>
      <c r="AX188" s="130"/>
      <c r="AY188" s="130"/>
      <c r="AZ188" s="130"/>
      <c r="BA188" s="130"/>
      <c r="BB188" s="130"/>
    </row>
    <row r="189" spans="1:54" s="158" customFormat="1" ht="80.099999999999994" customHeight="1" x14ac:dyDescent="0.35">
      <c r="A189" s="886"/>
      <c r="B189" s="440" t="s">
        <v>390</v>
      </c>
      <c r="C189" s="480"/>
      <c r="D189" s="159">
        <v>0</v>
      </c>
      <c r="E189" s="622"/>
      <c r="F189" s="159">
        <v>0</v>
      </c>
      <c r="G189" s="502" t="s">
        <v>460</v>
      </c>
      <c r="H189" s="167" t="s">
        <v>423</v>
      </c>
      <c r="I189" s="130"/>
      <c r="J189" s="130"/>
      <c r="K189" s="502" t="s">
        <v>460</v>
      </c>
      <c r="L189" s="130"/>
      <c r="M189" s="130"/>
      <c r="N189" s="130"/>
      <c r="O189" s="130"/>
      <c r="P189" s="130"/>
      <c r="Q189" s="354"/>
      <c r="R189" s="353" t="s">
        <v>467</v>
      </c>
      <c r="S189" s="130"/>
      <c r="T189" s="204" t="b">
        <v>0</v>
      </c>
      <c r="U189" s="130"/>
      <c r="V189" s="206"/>
      <c r="W189" s="206"/>
      <c r="X189" s="206"/>
      <c r="Y189" s="206"/>
      <c r="Z189" s="130"/>
      <c r="AA189" s="130"/>
      <c r="AB189" s="130"/>
      <c r="AC189" s="130"/>
      <c r="AD189" s="130"/>
      <c r="AE189" s="130"/>
      <c r="AF189" s="130"/>
      <c r="AG189" s="130"/>
      <c r="AH189" s="130"/>
      <c r="AI189" s="130"/>
      <c r="AJ189" s="130"/>
      <c r="AK189" s="130"/>
      <c r="AL189" s="130"/>
      <c r="AM189" s="130"/>
      <c r="AN189" s="130"/>
      <c r="AO189" s="130"/>
      <c r="AP189" s="130"/>
      <c r="AQ189" s="130"/>
      <c r="AR189" s="130"/>
      <c r="AS189" s="130"/>
      <c r="AT189" s="130"/>
      <c r="AU189" s="130"/>
      <c r="AV189" s="130"/>
      <c r="AW189" s="130"/>
      <c r="AX189" s="130"/>
      <c r="AY189" s="130"/>
      <c r="AZ189" s="130"/>
      <c r="BA189" s="130"/>
      <c r="BB189" s="130"/>
    </row>
    <row r="190" spans="1:54" s="158" customFormat="1" ht="80.099999999999994" customHeight="1" thickBot="1" x14ac:dyDescent="0.4">
      <c r="A190" s="886"/>
      <c r="B190" s="440" t="s">
        <v>389</v>
      </c>
      <c r="C190" s="480"/>
      <c r="D190" s="159">
        <v>0</v>
      </c>
      <c r="E190" s="622"/>
      <c r="F190" s="159">
        <v>0</v>
      </c>
      <c r="G190" s="502" t="s">
        <v>292</v>
      </c>
      <c r="H190" s="161"/>
      <c r="I190" s="130"/>
      <c r="J190" s="130"/>
      <c r="K190" s="502" t="s">
        <v>292</v>
      </c>
      <c r="L190" s="130"/>
      <c r="M190" s="130"/>
      <c r="N190" s="130"/>
      <c r="O190" s="130"/>
      <c r="P190" s="130"/>
      <c r="Q190" s="214"/>
      <c r="R190" s="213" t="s">
        <v>467</v>
      </c>
      <c r="S190" s="130"/>
      <c r="T190" s="204" t="b">
        <v>0</v>
      </c>
      <c r="U190" s="130"/>
      <c r="V190" s="206"/>
      <c r="W190" s="206"/>
      <c r="X190" s="206"/>
      <c r="Y190" s="206"/>
      <c r="Z190" s="130"/>
      <c r="AA190" s="130"/>
      <c r="AB190" s="130"/>
      <c r="AC190" s="130"/>
      <c r="AD190" s="130"/>
      <c r="AE190" s="130"/>
      <c r="AF190" s="130"/>
      <c r="AG190" s="130"/>
      <c r="AH190" s="130"/>
      <c r="AI190" s="130"/>
      <c r="AJ190" s="130"/>
      <c r="AK190" s="130"/>
      <c r="AL190" s="130"/>
      <c r="AM190" s="130"/>
      <c r="AN190" s="130"/>
      <c r="AO190" s="130"/>
      <c r="AP190" s="130"/>
      <c r="AQ190" s="130"/>
      <c r="AR190" s="130"/>
      <c r="AS190" s="130"/>
      <c r="AT190" s="130"/>
      <c r="AU190" s="130"/>
      <c r="AV190" s="130"/>
      <c r="AW190" s="130"/>
      <c r="AX190" s="130"/>
      <c r="AY190" s="130"/>
      <c r="AZ190" s="130"/>
      <c r="BA190" s="130"/>
      <c r="BB190" s="130"/>
    </row>
    <row r="191" spans="1:54" s="158" customFormat="1" ht="80.099999999999994" customHeight="1" x14ac:dyDescent="0.35">
      <c r="A191" s="886"/>
      <c r="B191" s="441" t="s">
        <v>6</v>
      </c>
      <c r="C191" s="480"/>
      <c r="D191" s="159">
        <v>0</v>
      </c>
      <c r="E191" s="665" t="s">
        <v>762</v>
      </c>
      <c r="F191" s="159">
        <v>0</v>
      </c>
      <c r="G191" s="502" t="s">
        <v>293</v>
      </c>
      <c r="H191" s="161"/>
      <c r="I191" s="130"/>
      <c r="J191" s="130"/>
      <c r="K191" s="502" t="s">
        <v>293</v>
      </c>
      <c r="L191" s="130"/>
      <c r="M191" s="130"/>
      <c r="N191" s="130"/>
      <c r="O191" s="130"/>
      <c r="P191" s="130"/>
      <c r="Q191" s="193" t="s">
        <v>310</v>
      </c>
      <c r="R191" s="197" t="s">
        <v>466</v>
      </c>
      <c r="S191" s="130"/>
      <c r="T191" s="204" t="b">
        <v>0</v>
      </c>
      <c r="U191" s="130"/>
      <c r="V191" s="206"/>
      <c r="W191" s="206"/>
      <c r="X191" s="206"/>
      <c r="Y191" s="206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</row>
    <row r="192" spans="1:54" s="158" customFormat="1" ht="80.099999999999994" customHeight="1" x14ac:dyDescent="0.35">
      <c r="A192" s="886"/>
      <c r="B192" s="441" t="s">
        <v>311</v>
      </c>
      <c r="C192" s="480"/>
      <c r="D192" s="159">
        <v>0</v>
      </c>
      <c r="E192" s="622"/>
      <c r="F192" s="159">
        <v>0</v>
      </c>
      <c r="G192" s="502" t="s">
        <v>433</v>
      </c>
      <c r="H192" s="161"/>
      <c r="I192" s="130"/>
      <c r="J192" s="130"/>
      <c r="K192" s="502" t="s">
        <v>831</v>
      </c>
      <c r="L192" s="130"/>
      <c r="M192" s="130"/>
      <c r="N192" s="130"/>
      <c r="O192" s="130"/>
      <c r="P192" s="130"/>
      <c r="Q192" s="211"/>
      <c r="R192" s="212" t="s">
        <v>467</v>
      </c>
      <c r="S192" s="130"/>
      <c r="T192" s="204" t="b">
        <v>0</v>
      </c>
      <c r="U192" s="130"/>
      <c r="V192" s="206"/>
      <c r="W192" s="206"/>
      <c r="X192" s="206"/>
      <c r="Y192" s="206"/>
      <c r="Z192" s="130"/>
      <c r="AA192" s="130"/>
      <c r="AB192" s="130"/>
      <c r="AC192" s="130"/>
      <c r="AD192" s="130"/>
      <c r="AE192" s="130"/>
      <c r="AF192" s="130"/>
      <c r="AG192" s="130"/>
      <c r="AH192" s="130"/>
      <c r="AI192" s="130"/>
      <c r="AJ192" s="130"/>
      <c r="AK192" s="130"/>
      <c r="AL192" s="130"/>
      <c r="AM192" s="130"/>
      <c r="AN192" s="130"/>
      <c r="AO192" s="130"/>
      <c r="AP192" s="130"/>
      <c r="AQ192" s="130"/>
      <c r="AR192" s="130"/>
      <c r="AS192" s="130"/>
      <c r="AT192" s="130"/>
      <c r="AU192" s="130"/>
      <c r="AV192" s="130"/>
      <c r="AW192" s="130"/>
      <c r="AX192" s="130"/>
      <c r="AY192" s="130"/>
      <c r="AZ192" s="130"/>
      <c r="BA192" s="130"/>
      <c r="BB192" s="130"/>
    </row>
    <row r="193" spans="1:54" s="158" customFormat="1" ht="80.099999999999994" customHeight="1" x14ac:dyDescent="0.35">
      <c r="A193" s="886"/>
      <c r="B193" s="441" t="s">
        <v>312</v>
      </c>
      <c r="C193" s="480"/>
      <c r="D193" s="159">
        <v>0</v>
      </c>
      <c r="E193" s="809"/>
      <c r="F193" s="159">
        <v>0</v>
      </c>
      <c r="G193" s="502" t="s">
        <v>434</v>
      </c>
      <c r="H193" s="161"/>
      <c r="I193" s="130"/>
      <c r="J193" s="130"/>
      <c r="K193" s="502" t="s">
        <v>434</v>
      </c>
      <c r="L193" s="130"/>
      <c r="M193" s="130"/>
      <c r="N193" s="130"/>
      <c r="O193" s="130"/>
      <c r="P193" s="130"/>
      <c r="Q193" s="211"/>
      <c r="R193" s="212" t="s">
        <v>467</v>
      </c>
      <c r="S193" s="130"/>
      <c r="T193" s="204" t="b">
        <v>0</v>
      </c>
      <c r="U193" s="130"/>
      <c r="V193" s="206"/>
      <c r="W193" s="206"/>
      <c r="X193" s="206"/>
      <c r="Y193" s="206"/>
      <c r="Z193" s="130"/>
      <c r="AA193" s="130"/>
      <c r="AB193" s="130"/>
      <c r="AC193" s="130"/>
      <c r="AD193" s="130"/>
      <c r="AE193" s="130"/>
      <c r="AF193" s="130"/>
      <c r="AG193" s="130"/>
      <c r="AH193" s="130"/>
      <c r="AI193" s="130"/>
      <c r="AJ193" s="130"/>
      <c r="AK193" s="130"/>
      <c r="AL193" s="130"/>
      <c r="AM193" s="130"/>
      <c r="AN193" s="130"/>
      <c r="AO193" s="130"/>
      <c r="AP193" s="130"/>
      <c r="AQ193" s="130"/>
      <c r="AR193" s="130"/>
      <c r="AS193" s="130"/>
      <c r="AT193" s="130"/>
      <c r="AU193" s="130"/>
      <c r="AV193" s="130"/>
      <c r="AW193" s="130"/>
      <c r="AX193" s="130"/>
      <c r="AY193" s="130"/>
      <c r="AZ193" s="130"/>
      <c r="BA193" s="130"/>
      <c r="BB193" s="130"/>
    </row>
    <row r="194" spans="1:54" s="158" customFormat="1" ht="80.099999999999994" customHeight="1" x14ac:dyDescent="0.35">
      <c r="A194" s="886"/>
      <c r="B194" s="441" t="s">
        <v>336</v>
      </c>
      <c r="C194" s="481"/>
      <c r="D194" s="159">
        <v>0</v>
      </c>
      <c r="E194" s="809"/>
      <c r="F194" s="159">
        <v>0</v>
      </c>
      <c r="G194" s="502" t="s">
        <v>294</v>
      </c>
      <c r="H194" s="161"/>
      <c r="I194" s="130"/>
      <c r="J194" s="130"/>
      <c r="K194" s="502" t="s">
        <v>294</v>
      </c>
      <c r="L194" s="130"/>
      <c r="M194" s="130"/>
      <c r="N194" s="130"/>
      <c r="O194" s="130"/>
      <c r="P194" s="130"/>
      <c r="Q194" s="193" t="s">
        <v>310</v>
      </c>
      <c r="R194" s="197" t="s">
        <v>466</v>
      </c>
      <c r="S194" s="130"/>
      <c r="T194" s="204" t="b">
        <v>0</v>
      </c>
      <c r="U194" s="130"/>
      <c r="V194" s="206"/>
      <c r="W194" s="206"/>
      <c r="X194" s="206"/>
      <c r="Y194" s="206"/>
      <c r="Z194" s="130"/>
      <c r="AA194" s="130"/>
      <c r="AB194" s="130"/>
      <c r="AC194" s="130"/>
      <c r="AD194" s="130"/>
      <c r="AE194" s="130"/>
      <c r="AF194" s="130"/>
      <c r="AG194" s="130"/>
      <c r="AH194" s="130"/>
      <c r="AI194" s="130"/>
      <c r="AJ194" s="130"/>
      <c r="AK194" s="130"/>
      <c r="AL194" s="130"/>
      <c r="AM194" s="130"/>
      <c r="AN194" s="130"/>
      <c r="AO194" s="130"/>
      <c r="AP194" s="130"/>
      <c r="AQ194" s="130"/>
      <c r="AR194" s="130"/>
      <c r="AS194" s="130"/>
      <c r="AT194" s="130"/>
      <c r="AU194" s="130"/>
      <c r="AV194" s="130"/>
      <c r="AW194" s="130"/>
      <c r="AX194" s="130"/>
      <c r="AY194" s="130"/>
      <c r="AZ194" s="130"/>
      <c r="BA194" s="130"/>
      <c r="BB194" s="130"/>
    </row>
    <row r="195" spans="1:54" s="158" customFormat="1" ht="80.099999999999994" customHeight="1" thickBot="1" x14ac:dyDescent="0.4">
      <c r="A195" s="886"/>
      <c r="B195" s="441" t="s">
        <v>337</v>
      </c>
      <c r="C195" s="481"/>
      <c r="D195" s="159">
        <v>0</v>
      </c>
      <c r="E195" s="634"/>
      <c r="F195" s="159">
        <v>0</v>
      </c>
      <c r="G195" s="502" t="s">
        <v>296</v>
      </c>
      <c r="H195" s="161"/>
      <c r="I195" s="130"/>
      <c r="J195" s="130"/>
      <c r="K195" s="502" t="s">
        <v>296</v>
      </c>
      <c r="L195" s="130"/>
      <c r="M195" s="130"/>
      <c r="N195" s="130"/>
      <c r="O195" s="130"/>
      <c r="P195" s="130"/>
      <c r="Q195" s="211"/>
      <c r="R195" s="212" t="s">
        <v>467</v>
      </c>
      <c r="S195" s="130"/>
      <c r="T195" s="204" t="b">
        <v>0</v>
      </c>
      <c r="U195" s="130"/>
      <c r="V195" s="206"/>
      <c r="W195" s="206"/>
      <c r="X195" s="206"/>
      <c r="Y195" s="206"/>
      <c r="Z195" s="130"/>
      <c r="AA195" s="130"/>
      <c r="AB195" s="130"/>
      <c r="AC195" s="130"/>
      <c r="AD195" s="130"/>
      <c r="AE195" s="130"/>
      <c r="AF195" s="130"/>
      <c r="AG195" s="130"/>
      <c r="AH195" s="130"/>
      <c r="AI195" s="130"/>
      <c r="AJ195" s="130"/>
      <c r="AK195" s="130"/>
      <c r="AL195" s="130"/>
      <c r="AM195" s="130"/>
      <c r="AN195" s="130"/>
      <c r="AO195" s="130"/>
      <c r="AP195" s="130"/>
      <c r="AQ195" s="130"/>
      <c r="AR195" s="130"/>
      <c r="AS195" s="130"/>
      <c r="AT195" s="130"/>
      <c r="AU195" s="130"/>
      <c r="AV195" s="130"/>
      <c r="AW195" s="130"/>
      <c r="AX195" s="130"/>
      <c r="AY195" s="130"/>
      <c r="AZ195" s="130"/>
      <c r="BA195" s="130"/>
      <c r="BB195" s="130"/>
    </row>
    <row r="196" spans="1:54" s="158" customFormat="1" ht="80.099999999999994" customHeight="1" thickBot="1" x14ac:dyDescent="0.4">
      <c r="A196" s="886"/>
      <c r="B196" s="441" t="s">
        <v>297</v>
      </c>
      <c r="C196" s="481"/>
      <c r="D196" s="160"/>
      <c r="E196" s="667">
        <f>Berechnungen!D4</f>
        <v>0</v>
      </c>
      <c r="F196" s="160"/>
      <c r="G196" s="502" t="s">
        <v>458</v>
      </c>
      <c r="H196" s="161"/>
      <c r="I196" s="130"/>
      <c r="J196" s="130"/>
      <c r="K196" s="502" t="s">
        <v>458</v>
      </c>
      <c r="L196" s="130"/>
      <c r="M196" s="130"/>
      <c r="N196" s="130"/>
      <c r="O196" s="130"/>
      <c r="P196" s="130"/>
      <c r="Q196" s="193" t="s">
        <v>310</v>
      </c>
      <c r="R196" s="197" t="s">
        <v>466</v>
      </c>
      <c r="S196" s="130"/>
      <c r="T196" s="204" t="b">
        <v>0</v>
      </c>
      <c r="U196" s="130"/>
      <c r="V196" s="206"/>
      <c r="W196" s="206"/>
      <c r="X196" s="206"/>
      <c r="Y196" s="206"/>
      <c r="Z196" s="130"/>
      <c r="AA196" s="130"/>
      <c r="AB196" s="130"/>
      <c r="AC196" s="130"/>
      <c r="AD196" s="130"/>
      <c r="AE196" s="130"/>
      <c r="AF196" s="130"/>
      <c r="AG196" s="130"/>
      <c r="AH196" s="130"/>
      <c r="AI196" s="130"/>
      <c r="AJ196" s="130"/>
      <c r="AK196" s="130"/>
      <c r="AL196" s="130"/>
      <c r="AM196" s="130"/>
      <c r="AN196" s="130"/>
      <c r="AO196" s="130"/>
      <c r="AP196" s="130"/>
      <c r="AQ196" s="130"/>
      <c r="AR196" s="130"/>
      <c r="AS196" s="130"/>
      <c r="AT196" s="130"/>
      <c r="AU196" s="130"/>
      <c r="AV196" s="130"/>
      <c r="AW196" s="130"/>
      <c r="AX196" s="130"/>
      <c r="AY196" s="130"/>
      <c r="AZ196" s="130"/>
      <c r="BA196" s="130"/>
      <c r="BB196" s="130"/>
    </row>
    <row r="197" spans="1:54" s="158" customFormat="1" ht="80.099999999999994" customHeight="1" x14ac:dyDescent="0.35">
      <c r="A197" s="886"/>
      <c r="B197" s="441" t="s">
        <v>298</v>
      </c>
      <c r="C197" s="481"/>
      <c r="D197" s="160"/>
      <c r="E197" s="667"/>
      <c r="F197" s="160"/>
      <c r="G197" s="502" t="s">
        <v>299</v>
      </c>
      <c r="H197" s="161"/>
      <c r="I197" s="130"/>
      <c r="J197" s="130"/>
      <c r="K197" s="502" t="s">
        <v>299</v>
      </c>
      <c r="L197" s="130"/>
      <c r="M197" s="130"/>
      <c r="N197" s="130"/>
      <c r="O197" s="130"/>
      <c r="P197" s="130"/>
      <c r="Q197" s="193" t="s">
        <v>310</v>
      </c>
      <c r="R197" s="197" t="s">
        <v>466</v>
      </c>
      <c r="S197" s="130"/>
      <c r="T197" s="204" t="b">
        <v>0</v>
      </c>
      <c r="U197" s="130"/>
      <c r="V197" s="206">
        <f>MAX(Berechnungen!B21:B24)</f>
        <v>0.61</v>
      </c>
      <c r="W197" s="206"/>
      <c r="X197" s="206"/>
      <c r="Y197" s="206">
        <f>MAX(Berechnungen!B21:B24)</f>
        <v>0.61</v>
      </c>
      <c r="Z197" s="130"/>
      <c r="AA197" s="130"/>
      <c r="AB197" s="130"/>
      <c r="AC197" s="130"/>
      <c r="AD197" s="130"/>
      <c r="AE197" s="130"/>
      <c r="AF197" s="130"/>
      <c r="AG197" s="130"/>
      <c r="AH197" s="130"/>
      <c r="AI197" s="130"/>
      <c r="AJ197" s="130"/>
      <c r="AK197" s="130"/>
      <c r="AL197" s="130"/>
      <c r="AM197" s="130"/>
      <c r="AN197" s="130"/>
      <c r="AO197" s="130"/>
      <c r="AP197" s="130"/>
      <c r="AQ197" s="130"/>
      <c r="AR197" s="130"/>
      <c r="AS197" s="130"/>
      <c r="AT197" s="130"/>
      <c r="AU197" s="130"/>
      <c r="AV197" s="130"/>
      <c r="AW197" s="130"/>
      <c r="AX197" s="130"/>
      <c r="AY197" s="130"/>
      <c r="AZ197" s="130"/>
      <c r="BA197" s="130"/>
      <c r="BB197" s="130"/>
    </row>
    <row r="198" spans="1:54" s="158" customFormat="1" ht="80.099999999999994" customHeight="1" x14ac:dyDescent="0.35">
      <c r="A198" s="886"/>
      <c r="B198" s="441" t="s">
        <v>300</v>
      </c>
      <c r="C198" s="481"/>
      <c r="D198" s="160"/>
      <c r="E198" s="668"/>
      <c r="F198" s="160"/>
      <c r="G198" s="502" t="s">
        <v>301</v>
      </c>
      <c r="H198" s="161"/>
      <c r="I198" s="130"/>
      <c r="J198" s="130"/>
      <c r="K198" s="502" t="s">
        <v>301</v>
      </c>
      <c r="L198" s="130"/>
      <c r="M198" s="130"/>
      <c r="N198" s="130"/>
      <c r="O198" s="130"/>
      <c r="P198" s="130"/>
      <c r="Q198" s="193" t="s">
        <v>310</v>
      </c>
      <c r="R198" s="197" t="s">
        <v>466</v>
      </c>
      <c r="S198" s="130"/>
      <c r="T198" s="204" t="b">
        <v>0</v>
      </c>
      <c r="U198" s="130"/>
      <c r="V198" s="206">
        <f>MAX(Berechnungen!G21:G24)</f>
        <v>6.05</v>
      </c>
      <c r="W198" s="206"/>
      <c r="X198" s="206"/>
      <c r="Y198" s="206">
        <f>MAX(Berechnungen!G21:G24)</f>
        <v>6.05</v>
      </c>
      <c r="Z198" s="130"/>
      <c r="AA198" s="130"/>
      <c r="AB198" s="130"/>
      <c r="AC198" s="130"/>
      <c r="AD198" s="130"/>
      <c r="AE198" s="130"/>
      <c r="AF198" s="130"/>
      <c r="AG198" s="130"/>
      <c r="AH198" s="130"/>
      <c r="AI198" s="130"/>
      <c r="AJ198" s="130"/>
      <c r="AK198" s="130"/>
      <c r="AL198" s="130"/>
      <c r="AM198" s="130"/>
      <c r="AN198" s="130"/>
      <c r="AO198" s="130"/>
      <c r="AP198" s="130"/>
      <c r="AQ198" s="130"/>
      <c r="AR198" s="130"/>
      <c r="AS198" s="130"/>
      <c r="AT198" s="130"/>
      <c r="AU198" s="130"/>
      <c r="AV198" s="130"/>
      <c r="AW198" s="130"/>
      <c r="AX198" s="130"/>
      <c r="AY198" s="130"/>
      <c r="AZ198" s="130"/>
      <c r="BA198" s="130"/>
      <c r="BB198" s="130"/>
    </row>
    <row r="199" spans="1:54" s="158" customFormat="1" ht="80.099999999999994" customHeight="1" thickBot="1" x14ac:dyDescent="0.4">
      <c r="A199" s="886"/>
      <c r="B199" s="441" t="s">
        <v>302</v>
      </c>
      <c r="C199" s="482"/>
      <c r="D199" s="160"/>
      <c r="E199" s="669"/>
      <c r="F199" s="160"/>
      <c r="G199" s="502" t="s">
        <v>303</v>
      </c>
      <c r="H199" s="161"/>
      <c r="I199" s="130"/>
      <c r="J199" s="130"/>
      <c r="K199" s="502" t="s">
        <v>303</v>
      </c>
      <c r="L199" s="130"/>
      <c r="M199" s="130"/>
      <c r="N199" s="130"/>
      <c r="O199" s="130"/>
      <c r="P199" s="130"/>
      <c r="Q199" s="193" t="s">
        <v>310</v>
      </c>
      <c r="R199" s="197" t="s">
        <v>466</v>
      </c>
      <c r="S199" s="130"/>
      <c r="T199" s="204" t="b">
        <v>0</v>
      </c>
      <c r="U199" s="130"/>
      <c r="V199" s="206">
        <f>MAX(Berechnungen!C21:C24)</f>
        <v>0.9</v>
      </c>
      <c r="W199" s="206"/>
      <c r="X199" s="206"/>
      <c r="Y199" s="206">
        <f>MAX(Berechnungen!C21:C24)</f>
        <v>0.9</v>
      </c>
      <c r="Z199" s="130"/>
      <c r="AA199" s="130"/>
      <c r="AB199" s="130"/>
      <c r="AC199" s="130"/>
      <c r="AD199" s="130"/>
      <c r="AE199" s="130"/>
      <c r="AF199" s="130"/>
      <c r="AG199" s="130"/>
      <c r="AH199" s="130"/>
      <c r="AI199" s="130"/>
      <c r="AJ199" s="130"/>
      <c r="AK199" s="130"/>
      <c r="AL199" s="130"/>
      <c r="AM199" s="130"/>
      <c r="AN199" s="130"/>
      <c r="AO199" s="130"/>
      <c r="AP199" s="130"/>
      <c r="AQ199" s="130"/>
      <c r="AR199" s="130"/>
      <c r="AS199" s="130"/>
      <c r="AT199" s="130"/>
      <c r="AU199" s="130"/>
      <c r="AV199" s="130"/>
      <c r="AW199" s="130"/>
      <c r="AX199" s="130"/>
      <c r="AY199" s="130"/>
      <c r="AZ199" s="130"/>
      <c r="BA199" s="130"/>
      <c r="BB199" s="130"/>
    </row>
    <row r="200" spans="1:54" s="158" customFormat="1" ht="80.099999999999994" customHeight="1" x14ac:dyDescent="0.35">
      <c r="A200" s="886"/>
      <c r="B200" s="441" t="s">
        <v>304</v>
      </c>
      <c r="C200" s="482"/>
      <c r="D200" s="393"/>
      <c r="E200" s="810">
        <v>6</v>
      </c>
      <c r="F200" s="160"/>
      <c r="G200" s="502" t="s">
        <v>348</v>
      </c>
      <c r="H200" s="161"/>
      <c r="I200" s="130"/>
      <c r="J200" s="130"/>
      <c r="K200" s="502" t="s">
        <v>348</v>
      </c>
      <c r="L200" s="130"/>
      <c r="M200" s="130"/>
      <c r="N200" s="130"/>
      <c r="O200" s="130"/>
      <c r="P200" s="130"/>
      <c r="Q200" s="193" t="s">
        <v>310</v>
      </c>
      <c r="R200" s="197" t="s">
        <v>466</v>
      </c>
      <c r="S200" s="130"/>
      <c r="T200" s="204" t="b">
        <v>0</v>
      </c>
      <c r="U200" s="130"/>
      <c r="V200" s="206"/>
      <c r="W200" s="206"/>
      <c r="X200" s="206"/>
      <c r="Y200" s="206"/>
      <c r="Z200" s="130"/>
      <c r="AA200" s="130"/>
      <c r="AB200" s="130"/>
      <c r="AC200" s="130"/>
      <c r="AD200" s="130"/>
      <c r="AE200" s="130"/>
      <c r="AF200" s="130"/>
      <c r="AG200" s="130"/>
      <c r="AH200" s="130"/>
      <c r="AI200" s="130"/>
      <c r="AJ200" s="130"/>
      <c r="AK200" s="130"/>
      <c r="AL200" s="130"/>
      <c r="AM200" s="130"/>
      <c r="AN200" s="130"/>
      <c r="AO200" s="130"/>
      <c r="AP200" s="130"/>
      <c r="AQ200" s="130"/>
      <c r="AR200" s="130"/>
      <c r="AS200" s="130"/>
      <c r="AT200" s="130"/>
      <c r="AU200" s="130"/>
      <c r="AV200" s="130"/>
      <c r="AW200" s="130"/>
      <c r="AX200" s="130"/>
      <c r="AY200" s="130"/>
      <c r="AZ200" s="130"/>
      <c r="BA200" s="130"/>
      <c r="BB200" s="130"/>
    </row>
    <row r="201" spans="1:54" s="158" customFormat="1" ht="80.099999999999994" customHeight="1" x14ac:dyDescent="0.35">
      <c r="A201" s="886"/>
      <c r="B201" s="441" t="s">
        <v>342</v>
      </c>
      <c r="C201" s="482" t="s">
        <v>339</v>
      </c>
      <c r="D201" s="393"/>
      <c r="E201" s="811" t="s">
        <v>601</v>
      </c>
      <c r="F201" s="160"/>
      <c r="G201" s="502" t="s">
        <v>345</v>
      </c>
      <c r="H201" s="161"/>
      <c r="I201" s="130"/>
      <c r="J201" s="130"/>
      <c r="K201" s="502" t="s">
        <v>345</v>
      </c>
      <c r="L201" s="130"/>
      <c r="M201" s="130"/>
      <c r="N201" s="130"/>
      <c r="O201" s="130"/>
      <c r="P201" s="130"/>
      <c r="Q201" s="193" t="s">
        <v>310</v>
      </c>
      <c r="R201" s="197" t="s">
        <v>466</v>
      </c>
      <c r="S201" s="130"/>
      <c r="T201" s="204" t="b">
        <v>0</v>
      </c>
      <c r="U201" s="130"/>
      <c r="V201" s="206"/>
      <c r="W201" s="206"/>
      <c r="X201" s="206"/>
      <c r="Y201" s="206"/>
      <c r="Z201" s="130"/>
      <c r="AA201" s="130"/>
      <c r="AB201" s="130"/>
      <c r="AC201" s="130"/>
      <c r="AD201" s="130"/>
      <c r="AE201" s="130"/>
      <c r="AF201" s="130"/>
      <c r="AG201" s="130"/>
      <c r="AH201" s="130"/>
      <c r="AI201" s="130"/>
      <c r="AJ201" s="130"/>
      <c r="AK201" s="130"/>
      <c r="AL201" s="130"/>
      <c r="AM201" s="130"/>
      <c r="AN201" s="130"/>
      <c r="AO201" s="130"/>
      <c r="AP201" s="130"/>
      <c r="AQ201" s="130"/>
      <c r="AR201" s="130"/>
      <c r="AS201" s="130"/>
      <c r="AT201" s="130"/>
      <c r="AU201" s="130"/>
      <c r="AV201" s="130"/>
      <c r="AW201" s="130"/>
      <c r="AX201" s="130"/>
      <c r="AY201" s="130"/>
      <c r="AZ201" s="130"/>
      <c r="BA201" s="130"/>
      <c r="BB201" s="130"/>
    </row>
    <row r="202" spans="1:54" s="158" customFormat="1" ht="80.099999999999994" customHeight="1" x14ac:dyDescent="0.35">
      <c r="A202" s="886"/>
      <c r="B202" s="441" t="s">
        <v>343</v>
      </c>
      <c r="C202" s="482" t="s">
        <v>421</v>
      </c>
      <c r="D202" s="393"/>
      <c r="E202" s="811">
        <v>51.06</v>
      </c>
      <c r="F202" s="160"/>
      <c r="G202" s="502" t="s">
        <v>346</v>
      </c>
      <c r="H202" s="161"/>
      <c r="I202" s="130"/>
      <c r="J202" s="130"/>
      <c r="K202" s="502" t="s">
        <v>346</v>
      </c>
      <c r="L202" s="130"/>
      <c r="M202" s="130"/>
      <c r="N202" s="130"/>
      <c r="O202" s="130"/>
      <c r="P202" s="130"/>
      <c r="Q202" s="193" t="s">
        <v>310</v>
      </c>
      <c r="R202" s="197" t="s">
        <v>466</v>
      </c>
      <c r="S202" s="130"/>
      <c r="T202" s="204" t="b">
        <v>0</v>
      </c>
      <c r="U202" s="130"/>
      <c r="V202" s="206"/>
      <c r="W202" s="206"/>
      <c r="X202" s="206"/>
      <c r="Y202" s="206"/>
      <c r="Z202" s="130"/>
      <c r="AA202" s="130"/>
      <c r="AB202" s="130"/>
      <c r="AC202" s="130"/>
      <c r="AD202" s="130"/>
      <c r="AE202" s="130"/>
      <c r="AF202" s="130"/>
      <c r="AG202" s="130"/>
      <c r="AH202" s="130"/>
      <c r="AI202" s="130"/>
      <c r="AJ202" s="130"/>
      <c r="AK202" s="130"/>
      <c r="AL202" s="130"/>
      <c r="AM202" s="130"/>
      <c r="AN202" s="130"/>
      <c r="AO202" s="130"/>
      <c r="AP202" s="130"/>
      <c r="AQ202" s="130"/>
      <c r="AR202" s="130"/>
      <c r="AS202" s="130"/>
      <c r="AT202" s="130"/>
      <c r="AU202" s="130"/>
      <c r="AV202" s="130"/>
      <c r="AW202" s="130"/>
      <c r="AX202" s="130"/>
      <c r="AY202" s="130"/>
      <c r="AZ202" s="130"/>
      <c r="BA202" s="130"/>
      <c r="BB202" s="130"/>
    </row>
    <row r="203" spans="1:54" s="158" customFormat="1" ht="80.099999999999994" customHeight="1" x14ac:dyDescent="0.35">
      <c r="A203" s="886"/>
      <c r="B203" s="441" t="s">
        <v>344</v>
      </c>
      <c r="C203" s="482" t="s">
        <v>422</v>
      </c>
      <c r="D203" s="393"/>
      <c r="E203" s="811">
        <v>9.4</v>
      </c>
      <c r="F203" s="160"/>
      <c r="G203" s="502" t="s">
        <v>347</v>
      </c>
      <c r="H203" s="161"/>
      <c r="I203" s="130"/>
      <c r="J203" s="130"/>
      <c r="K203" s="502" t="s">
        <v>347</v>
      </c>
      <c r="L203" s="130"/>
      <c r="M203" s="130"/>
      <c r="N203" s="130"/>
      <c r="O203" s="130"/>
      <c r="P203" s="130"/>
      <c r="Q203" s="193" t="s">
        <v>310</v>
      </c>
      <c r="R203" s="197" t="s">
        <v>466</v>
      </c>
      <c r="S203" s="130"/>
      <c r="T203" s="204" t="b">
        <v>0</v>
      </c>
      <c r="U203" s="130"/>
      <c r="V203" s="206"/>
      <c r="W203" s="206"/>
      <c r="X203" s="206"/>
      <c r="Y203" s="206"/>
      <c r="Z203" s="130"/>
      <c r="AA203" s="130"/>
      <c r="AB203" s="130"/>
      <c r="AC203" s="130"/>
      <c r="AD203" s="130"/>
      <c r="AE203" s="130"/>
      <c r="AF203" s="130"/>
      <c r="AG203" s="130"/>
      <c r="AH203" s="130"/>
      <c r="AI203" s="130"/>
      <c r="AJ203" s="130"/>
      <c r="AK203" s="130"/>
      <c r="AL203" s="130"/>
      <c r="AM203" s="130"/>
      <c r="AN203" s="130"/>
      <c r="AO203" s="130"/>
      <c r="AP203" s="130"/>
      <c r="AQ203" s="130"/>
      <c r="AR203" s="130"/>
      <c r="AS203" s="130"/>
      <c r="AT203" s="130"/>
      <c r="AU203" s="130"/>
      <c r="AV203" s="130"/>
      <c r="AW203" s="130"/>
      <c r="AX203" s="130"/>
      <c r="AY203" s="130"/>
      <c r="AZ203" s="130"/>
      <c r="BA203" s="130"/>
      <c r="BB203" s="130"/>
    </row>
    <row r="204" spans="1:54" s="158" customFormat="1" ht="80.099999999999994" customHeight="1" x14ac:dyDescent="0.35">
      <c r="A204" s="886"/>
      <c r="B204" s="441" t="s">
        <v>452</v>
      </c>
      <c r="C204" s="482" t="s">
        <v>421</v>
      </c>
      <c r="D204" s="393"/>
      <c r="E204" s="811">
        <v>34.380000000000003</v>
      </c>
      <c r="F204" s="160"/>
      <c r="G204" s="502" t="s">
        <v>453</v>
      </c>
      <c r="H204" s="161"/>
      <c r="I204" s="130"/>
      <c r="J204" s="130"/>
      <c r="K204" s="502" t="s">
        <v>845</v>
      </c>
      <c r="L204" s="130"/>
      <c r="M204" s="130"/>
      <c r="N204" s="130"/>
      <c r="O204" s="130"/>
      <c r="P204" s="130"/>
      <c r="Q204" s="193" t="s">
        <v>310</v>
      </c>
      <c r="R204" s="197" t="s">
        <v>466</v>
      </c>
      <c r="S204" s="130"/>
      <c r="T204" s="204" t="b">
        <v>0</v>
      </c>
      <c r="U204" s="130"/>
      <c r="V204" s="206"/>
      <c r="W204" s="206"/>
      <c r="X204" s="206"/>
      <c r="Y204" s="206"/>
      <c r="Z204" s="130"/>
      <c r="AA204" s="130"/>
      <c r="AB204" s="130"/>
      <c r="AC204" s="130"/>
      <c r="AD204" s="130"/>
      <c r="AE204" s="130"/>
      <c r="AF204" s="130"/>
      <c r="AG204" s="130"/>
      <c r="AH204" s="130"/>
      <c r="AI204" s="130"/>
      <c r="AJ204" s="130"/>
      <c r="AK204" s="130"/>
      <c r="AL204" s="130"/>
      <c r="AM204" s="130"/>
      <c r="AN204" s="130"/>
      <c r="AO204" s="130"/>
      <c r="AP204" s="130"/>
      <c r="AQ204" s="130"/>
      <c r="AR204" s="130"/>
      <c r="AS204" s="130"/>
      <c r="AT204" s="130"/>
      <c r="AU204" s="130"/>
      <c r="AV204" s="130"/>
      <c r="AW204" s="130"/>
      <c r="AX204" s="130"/>
      <c r="AY204" s="130"/>
      <c r="AZ204" s="130"/>
      <c r="BA204" s="130"/>
      <c r="BB204" s="130"/>
    </row>
    <row r="205" spans="1:54" s="166" customFormat="1" ht="80.099999999999994" customHeight="1" x14ac:dyDescent="0.45">
      <c r="A205" s="886"/>
      <c r="B205" s="441" t="s">
        <v>700</v>
      </c>
      <c r="C205" s="482" t="s">
        <v>339</v>
      </c>
      <c r="D205" s="393"/>
      <c r="E205" s="811" t="s">
        <v>601</v>
      </c>
      <c r="F205" s="160"/>
      <c r="G205" s="502" t="s">
        <v>454</v>
      </c>
      <c r="H205" s="161"/>
      <c r="K205" s="502" t="s">
        <v>846</v>
      </c>
      <c r="Q205" s="193" t="s">
        <v>310</v>
      </c>
      <c r="R205" s="197" t="s">
        <v>466</v>
      </c>
      <c r="T205" s="205" t="b">
        <v>0</v>
      </c>
      <c r="V205" s="208"/>
      <c r="W205" s="208"/>
      <c r="X205" s="208"/>
      <c r="Y205" s="208"/>
    </row>
    <row r="206" spans="1:54" s="158" customFormat="1" ht="80.099999999999994" customHeight="1" x14ac:dyDescent="0.35">
      <c r="A206" s="886"/>
      <c r="B206" s="441" t="s">
        <v>451</v>
      </c>
      <c r="C206" s="482"/>
      <c r="D206" s="393"/>
      <c r="E206" s="663"/>
      <c r="F206" s="160"/>
      <c r="G206" s="502"/>
      <c r="H206" s="161"/>
      <c r="I206" s="130"/>
      <c r="J206" s="130"/>
      <c r="K206" s="502"/>
      <c r="L206" s="130"/>
      <c r="M206" s="130"/>
      <c r="N206" s="130"/>
      <c r="O206" s="130"/>
      <c r="P206" s="130"/>
      <c r="Q206" s="194" t="s">
        <v>310</v>
      </c>
      <c r="R206" s="200" t="s">
        <v>466</v>
      </c>
      <c r="S206" s="130"/>
      <c r="T206" s="204" t="b">
        <v>0</v>
      </c>
      <c r="U206" s="130"/>
      <c r="V206" s="206"/>
      <c r="W206" s="206"/>
      <c r="X206" s="206"/>
      <c r="Y206" s="206"/>
      <c r="Z206" s="130"/>
      <c r="AA206" s="130"/>
      <c r="AB206" s="130"/>
      <c r="AC206" s="130"/>
      <c r="AD206" s="130"/>
      <c r="AE206" s="130"/>
      <c r="AF206" s="130"/>
      <c r="AG206" s="130"/>
      <c r="AH206" s="130"/>
      <c r="AI206" s="130"/>
      <c r="AJ206" s="130"/>
      <c r="AK206" s="130"/>
      <c r="AL206" s="130"/>
      <c r="AM206" s="130"/>
      <c r="AN206" s="130"/>
      <c r="AO206" s="130"/>
      <c r="AP206" s="130"/>
      <c r="AQ206" s="130"/>
      <c r="AR206" s="130"/>
      <c r="AS206" s="130"/>
      <c r="AT206" s="130"/>
      <c r="AU206" s="130"/>
      <c r="AV206" s="130"/>
      <c r="AW206" s="130"/>
      <c r="AX206" s="130"/>
      <c r="AY206" s="130"/>
      <c r="AZ206" s="130"/>
      <c r="BA206" s="130"/>
      <c r="BB206" s="130"/>
    </row>
    <row r="207" spans="1:54" s="158" customFormat="1" ht="80.099999999999994" customHeight="1" thickBot="1" x14ac:dyDescent="0.4">
      <c r="A207" s="887"/>
      <c r="B207" s="417" t="s">
        <v>305</v>
      </c>
      <c r="C207" s="458"/>
      <c r="D207" s="581"/>
      <c r="E207" s="848"/>
      <c r="F207" s="582"/>
      <c r="G207" s="507" t="s">
        <v>383</v>
      </c>
      <c r="H207" s="583"/>
      <c r="I207" s="130"/>
      <c r="J207" s="130"/>
      <c r="K207" s="507" t="s">
        <v>383</v>
      </c>
      <c r="L207" s="130"/>
      <c r="M207" s="130"/>
      <c r="N207" s="130"/>
      <c r="O207" s="130"/>
      <c r="P207" s="130"/>
      <c r="Q207" s="350"/>
      <c r="R207" s="349" t="s">
        <v>467</v>
      </c>
      <c r="S207" s="130"/>
      <c r="T207" s="204" t="b">
        <v>0</v>
      </c>
      <c r="U207" s="130"/>
      <c r="V207" s="206"/>
      <c r="W207" s="206"/>
      <c r="X207" s="206"/>
      <c r="Y207" s="206"/>
      <c r="Z207" s="130"/>
      <c r="AA207" s="130"/>
      <c r="AB207" s="130"/>
      <c r="AC207" s="130"/>
      <c r="AD207" s="130"/>
      <c r="AE207" s="130"/>
      <c r="AF207" s="130"/>
      <c r="AG207" s="130"/>
      <c r="AH207" s="130"/>
      <c r="AI207" s="130"/>
      <c r="AJ207" s="130"/>
      <c r="AK207" s="130"/>
      <c r="AL207" s="130"/>
      <c r="AM207" s="130"/>
      <c r="AN207" s="130"/>
      <c r="AO207" s="130"/>
      <c r="AP207" s="130"/>
      <c r="AQ207" s="130"/>
      <c r="AR207" s="130"/>
      <c r="AS207" s="130"/>
      <c r="AT207" s="130"/>
      <c r="AU207" s="130"/>
      <c r="AV207" s="130"/>
      <c r="AW207" s="130"/>
      <c r="AX207" s="130"/>
      <c r="AY207" s="130"/>
      <c r="AZ207" s="130"/>
      <c r="BA207" s="130"/>
      <c r="BB207" s="130"/>
    </row>
    <row r="208" spans="1:54" ht="80.099999999999994" customHeight="1" thickBot="1" x14ac:dyDescent="0.4">
      <c r="A208" s="885" t="s">
        <v>291</v>
      </c>
      <c r="B208" s="439" t="s">
        <v>384</v>
      </c>
      <c r="C208" s="479"/>
      <c r="D208" s="578">
        <v>0</v>
      </c>
      <c r="E208" s="670"/>
      <c r="F208" s="578">
        <v>0</v>
      </c>
      <c r="G208" s="579" t="s">
        <v>545</v>
      </c>
      <c r="H208" s="580"/>
      <c r="K208" s="579" t="s">
        <v>545</v>
      </c>
      <c r="Q208" s="354"/>
      <c r="R208" s="353" t="s">
        <v>467</v>
      </c>
      <c r="T208" s="204" t="b">
        <v>0</v>
      </c>
    </row>
    <row r="209" spans="1:25" ht="80.099999999999994" customHeight="1" x14ac:dyDescent="0.35">
      <c r="A209" s="886"/>
      <c r="B209" s="440" t="s">
        <v>390</v>
      </c>
      <c r="C209" s="480"/>
      <c r="D209" s="159">
        <v>0</v>
      </c>
      <c r="E209" s="666"/>
      <c r="F209" s="159">
        <v>0</v>
      </c>
      <c r="G209" s="502" t="s">
        <v>546</v>
      </c>
      <c r="H209" s="161"/>
      <c r="K209" s="502" t="s">
        <v>546</v>
      </c>
      <c r="Q209" s="214"/>
      <c r="R209" s="213" t="s">
        <v>467</v>
      </c>
      <c r="T209" s="204" t="b">
        <v>0</v>
      </c>
    </row>
    <row r="210" spans="1:25" ht="80.099999999999994" customHeight="1" thickBot="1" x14ac:dyDescent="0.4">
      <c r="A210" s="886"/>
      <c r="B210" s="440" t="s">
        <v>389</v>
      </c>
      <c r="C210" s="480"/>
      <c r="D210" s="159">
        <v>0</v>
      </c>
      <c r="E210" s="620"/>
      <c r="F210" s="159">
        <v>0</v>
      </c>
      <c r="G210" s="502" t="s">
        <v>547</v>
      </c>
      <c r="H210" s="161"/>
      <c r="K210" s="502" t="s">
        <v>547</v>
      </c>
      <c r="Q210" s="214"/>
      <c r="R210" s="213" t="s">
        <v>467</v>
      </c>
      <c r="T210" s="204" t="b">
        <v>0</v>
      </c>
    </row>
    <row r="211" spans="1:25" ht="80.099999999999994" customHeight="1" thickBot="1" x14ac:dyDescent="0.4">
      <c r="A211" s="886"/>
      <c r="B211" s="441" t="s">
        <v>6</v>
      </c>
      <c r="C211" s="480"/>
      <c r="D211" s="159">
        <v>0</v>
      </c>
      <c r="E211" s="671"/>
      <c r="F211" s="159">
        <v>0</v>
      </c>
      <c r="G211" s="502" t="s">
        <v>548</v>
      </c>
      <c r="H211" s="161"/>
      <c r="K211" s="502" t="s">
        <v>548</v>
      </c>
      <c r="Q211" s="193" t="s">
        <v>310</v>
      </c>
      <c r="R211" s="197" t="s">
        <v>466</v>
      </c>
      <c r="T211" s="204" t="b">
        <v>0</v>
      </c>
    </row>
    <row r="212" spans="1:25" ht="80.099999999999994" customHeight="1" x14ac:dyDescent="0.35">
      <c r="A212" s="886"/>
      <c r="B212" s="441" t="s">
        <v>311</v>
      </c>
      <c r="C212" s="480"/>
      <c r="D212" s="159">
        <v>0</v>
      </c>
      <c r="E212" s="622"/>
      <c r="F212" s="159">
        <v>0</v>
      </c>
      <c r="G212" s="502" t="s">
        <v>549</v>
      </c>
      <c r="H212" s="161"/>
      <c r="K212" s="502" t="s">
        <v>832</v>
      </c>
      <c r="Q212" s="194" t="s">
        <v>310</v>
      </c>
      <c r="R212" s="200" t="s">
        <v>466</v>
      </c>
      <c r="T212" s="204" t="b">
        <v>0</v>
      </c>
    </row>
    <row r="213" spans="1:25" ht="80.099999999999994" customHeight="1" x14ac:dyDescent="0.35">
      <c r="A213" s="886"/>
      <c r="B213" s="441" t="s">
        <v>312</v>
      </c>
      <c r="C213" s="480"/>
      <c r="D213" s="159">
        <v>0</v>
      </c>
      <c r="E213" s="620"/>
      <c r="F213" s="159">
        <v>0</v>
      </c>
      <c r="G213" s="502" t="s">
        <v>550</v>
      </c>
      <c r="H213" s="161"/>
      <c r="K213" s="502" t="s">
        <v>550</v>
      </c>
      <c r="Q213" s="194" t="s">
        <v>310</v>
      </c>
      <c r="R213" s="200" t="s">
        <v>466</v>
      </c>
      <c r="T213" s="204" t="b">
        <v>0</v>
      </c>
    </row>
    <row r="214" spans="1:25" ht="80.099999999999994" customHeight="1" x14ac:dyDescent="0.35">
      <c r="A214" s="886"/>
      <c r="B214" s="441" t="s">
        <v>336</v>
      </c>
      <c r="C214" s="481"/>
      <c r="D214" s="159">
        <v>0</v>
      </c>
      <c r="E214" s="620"/>
      <c r="F214" s="159">
        <v>0</v>
      </c>
      <c r="G214" s="502" t="s">
        <v>551</v>
      </c>
      <c r="H214" s="161"/>
      <c r="K214" s="502" t="s">
        <v>551</v>
      </c>
      <c r="Q214" s="193" t="s">
        <v>310</v>
      </c>
      <c r="R214" s="201" t="s">
        <v>466</v>
      </c>
      <c r="T214" s="204" t="b">
        <v>0</v>
      </c>
    </row>
    <row r="215" spans="1:25" ht="80.099999999999994" customHeight="1" thickBot="1" x14ac:dyDescent="0.4">
      <c r="A215" s="886"/>
      <c r="B215" s="441" t="s">
        <v>337</v>
      </c>
      <c r="C215" s="481"/>
      <c r="D215" s="159">
        <v>0</v>
      </c>
      <c r="E215" s="634"/>
      <c r="F215" s="159">
        <v>0</v>
      </c>
      <c r="G215" s="502" t="s">
        <v>552</v>
      </c>
      <c r="H215" s="161"/>
      <c r="K215" s="502" t="s">
        <v>552</v>
      </c>
      <c r="Q215" s="352"/>
      <c r="R215" s="351" t="s">
        <v>467</v>
      </c>
      <c r="T215" s="204" t="b">
        <v>0</v>
      </c>
    </row>
    <row r="216" spans="1:25" ht="80.099999999999994" customHeight="1" thickBot="1" x14ac:dyDescent="0.4">
      <c r="A216" s="886"/>
      <c r="B216" s="441" t="s">
        <v>297</v>
      </c>
      <c r="C216" s="481"/>
      <c r="D216" s="160"/>
      <c r="E216" s="667"/>
      <c r="F216" s="160"/>
      <c r="G216" s="502" t="s">
        <v>553</v>
      </c>
      <c r="H216" s="161"/>
      <c r="K216" s="502" t="s">
        <v>553</v>
      </c>
      <c r="Q216" s="192" t="s">
        <v>310</v>
      </c>
      <c r="R216" s="199" t="s">
        <v>466</v>
      </c>
      <c r="T216" s="204" t="b">
        <v>0</v>
      </c>
    </row>
    <row r="217" spans="1:25" ht="80.099999999999994" customHeight="1" x14ac:dyDescent="0.35">
      <c r="A217" s="886"/>
      <c r="B217" s="441" t="s">
        <v>298</v>
      </c>
      <c r="C217" s="481"/>
      <c r="D217" s="160"/>
      <c r="E217" s="667"/>
      <c r="F217" s="160"/>
      <c r="G217" s="502" t="s">
        <v>554</v>
      </c>
      <c r="H217" s="161"/>
      <c r="K217" s="502" t="s">
        <v>554</v>
      </c>
      <c r="Q217" s="193" t="s">
        <v>310</v>
      </c>
      <c r="R217" s="197" t="s">
        <v>466</v>
      </c>
      <c r="T217" s="204" t="b">
        <v>0</v>
      </c>
      <c r="Y217" s="206">
        <f>MAX(Berechnungen!B27:B30)</f>
        <v>0</v>
      </c>
    </row>
    <row r="218" spans="1:25" ht="80.099999999999994" customHeight="1" thickBot="1" x14ac:dyDescent="0.4">
      <c r="A218" s="886"/>
      <c r="B218" s="441" t="s">
        <v>300</v>
      </c>
      <c r="C218" s="481"/>
      <c r="D218" s="160"/>
      <c r="E218" s="668"/>
      <c r="F218" s="160"/>
      <c r="G218" s="502" t="s">
        <v>555</v>
      </c>
      <c r="H218" s="161"/>
      <c r="K218" s="502" t="s">
        <v>555</v>
      </c>
      <c r="Q218" s="195" t="s">
        <v>310</v>
      </c>
      <c r="R218" s="202" t="s">
        <v>466</v>
      </c>
      <c r="T218" s="204" t="b">
        <v>0</v>
      </c>
      <c r="Y218" s="206">
        <f>MAX(Berechnungen!G27:G30)</f>
        <v>0</v>
      </c>
    </row>
    <row r="219" spans="1:25" ht="80.099999999999994" customHeight="1" thickBot="1" x14ac:dyDescent="0.4">
      <c r="A219" s="886"/>
      <c r="B219" s="441" t="s">
        <v>302</v>
      </c>
      <c r="C219" s="482"/>
      <c r="D219" s="160"/>
      <c r="E219" s="669"/>
      <c r="F219" s="160"/>
      <c r="G219" s="502" t="s">
        <v>556</v>
      </c>
      <c r="H219" s="161"/>
      <c r="K219" s="502" t="s">
        <v>556</v>
      </c>
      <c r="Q219" s="193" t="s">
        <v>310</v>
      </c>
      <c r="R219" s="201" t="s">
        <v>466</v>
      </c>
      <c r="T219" s="204" t="b">
        <v>0</v>
      </c>
      <c r="V219" s="206" t="e">
        <f>ROUND(Berechnungen!K80*100,2)</f>
        <v>#DIV/0!</v>
      </c>
      <c r="Y219" s="206">
        <f>MAX(Berechnungen!C27:C30)</f>
        <v>0</v>
      </c>
    </row>
    <row r="220" spans="1:25" ht="80.099999999999994" customHeight="1" x14ac:dyDescent="0.35">
      <c r="A220" s="886"/>
      <c r="B220" s="441" t="s">
        <v>304</v>
      </c>
      <c r="C220" s="482"/>
      <c r="D220" s="393"/>
      <c r="E220" s="651"/>
      <c r="F220" s="160"/>
      <c r="G220" s="502" t="s">
        <v>557</v>
      </c>
      <c r="H220" s="161"/>
      <c r="K220" s="502" t="s">
        <v>557</v>
      </c>
      <c r="Q220" s="193" t="s">
        <v>310</v>
      </c>
      <c r="R220" s="201" t="s">
        <v>466</v>
      </c>
      <c r="T220" s="204" t="b">
        <v>0</v>
      </c>
      <c r="V220" s="206" t="e">
        <f>ROUND(Berechnungen!K81*100,2)</f>
        <v>#DIV/0!</v>
      </c>
    </row>
    <row r="221" spans="1:25" ht="80.099999999999994" customHeight="1" x14ac:dyDescent="0.35">
      <c r="A221" s="886"/>
      <c r="B221" s="441" t="s">
        <v>342</v>
      </c>
      <c r="C221" s="482" t="s">
        <v>339</v>
      </c>
      <c r="D221" s="393"/>
      <c r="E221" s="655"/>
      <c r="F221" s="160"/>
      <c r="G221" s="502" t="s">
        <v>558</v>
      </c>
      <c r="H221" s="161"/>
      <c r="K221" s="502" t="s">
        <v>558</v>
      </c>
      <c r="Q221" s="193" t="s">
        <v>310</v>
      </c>
      <c r="R221" s="201" t="s">
        <v>466</v>
      </c>
      <c r="T221" s="204" t="b">
        <v>0</v>
      </c>
      <c r="V221" s="206" t="e">
        <f>ROUND(Berechnungen!K82*100,2)</f>
        <v>#DIV/0!</v>
      </c>
    </row>
    <row r="222" spans="1:25" ht="80.099999999999994" customHeight="1" x14ac:dyDescent="0.35">
      <c r="A222" s="886"/>
      <c r="B222" s="441" t="s">
        <v>343</v>
      </c>
      <c r="C222" s="482" t="s">
        <v>421</v>
      </c>
      <c r="D222" s="393"/>
      <c r="E222" s="655"/>
      <c r="F222" s="160"/>
      <c r="G222" s="502" t="s">
        <v>559</v>
      </c>
      <c r="H222" s="161"/>
      <c r="K222" s="502" t="s">
        <v>559</v>
      </c>
      <c r="Q222" s="193" t="s">
        <v>310</v>
      </c>
      <c r="R222" s="201" t="s">
        <v>466</v>
      </c>
      <c r="T222" s="204" t="b">
        <v>0</v>
      </c>
      <c r="V222" s="206" t="e">
        <f>ROUND(Berechnungen!J90*100,2)</f>
        <v>#DIV/0!</v>
      </c>
    </row>
    <row r="223" spans="1:25" ht="74.25" customHeight="1" x14ac:dyDescent="0.35">
      <c r="A223" s="886"/>
      <c r="B223" s="441" t="s">
        <v>344</v>
      </c>
      <c r="C223" s="482" t="s">
        <v>422</v>
      </c>
      <c r="D223" s="393"/>
      <c r="E223" s="655"/>
      <c r="F223" s="160"/>
      <c r="G223" s="502" t="s">
        <v>560</v>
      </c>
      <c r="H223" s="161"/>
      <c r="K223" s="502" t="s">
        <v>560</v>
      </c>
      <c r="Q223" s="193" t="s">
        <v>310</v>
      </c>
      <c r="R223" s="201" t="s">
        <v>466</v>
      </c>
      <c r="T223" s="204" t="b">
        <v>0</v>
      </c>
      <c r="V223" s="206" t="e">
        <f>ROUND(Berechnungen!J92*100,2)</f>
        <v>#DIV/0!</v>
      </c>
    </row>
    <row r="224" spans="1:25" ht="74.25" customHeight="1" x14ac:dyDescent="0.35">
      <c r="A224" s="886"/>
      <c r="B224" s="441" t="s">
        <v>452</v>
      </c>
      <c r="C224" s="482" t="s">
        <v>421</v>
      </c>
      <c r="D224" s="393"/>
      <c r="E224" s="655"/>
      <c r="F224" s="160"/>
      <c r="G224" s="502" t="s">
        <v>561</v>
      </c>
      <c r="H224" s="161"/>
      <c r="K224" s="502" t="s">
        <v>847</v>
      </c>
      <c r="Q224" s="193" t="s">
        <v>310</v>
      </c>
      <c r="R224" s="201" t="s">
        <v>466</v>
      </c>
      <c r="T224" s="204" t="b">
        <v>0</v>
      </c>
      <c r="V224" s="206" t="e">
        <f>ROUND(Berechnungen!J94,2)</f>
        <v>#DIV/0!</v>
      </c>
    </row>
    <row r="225" spans="1:25" ht="66.75" customHeight="1" x14ac:dyDescent="0.45">
      <c r="A225" s="886"/>
      <c r="B225" s="441" t="s">
        <v>700</v>
      </c>
      <c r="C225" s="482" t="s">
        <v>339</v>
      </c>
      <c r="D225" s="393"/>
      <c r="E225" s="672"/>
      <c r="F225" s="160"/>
      <c r="G225" s="502" t="s">
        <v>562</v>
      </c>
      <c r="H225" s="161"/>
      <c r="K225" s="502" t="s">
        <v>848</v>
      </c>
      <c r="Q225" s="193" t="s">
        <v>310</v>
      </c>
      <c r="R225" s="201" t="s">
        <v>466</v>
      </c>
      <c r="T225" s="204" t="b">
        <v>0</v>
      </c>
      <c r="V225" s="209" t="e">
        <f>ROUND(Berechnungen!J96,2)</f>
        <v>#DIV/0!</v>
      </c>
      <c r="Y225" s="209"/>
    </row>
    <row r="226" spans="1:25" ht="72.75" customHeight="1" x14ac:dyDescent="0.35">
      <c r="A226" s="886"/>
      <c r="B226" s="441" t="s">
        <v>451</v>
      </c>
      <c r="C226" s="482"/>
      <c r="D226" s="393"/>
      <c r="E226" s="672"/>
      <c r="F226" s="160"/>
      <c r="G226" s="528"/>
      <c r="H226" s="586"/>
      <c r="K226" s="528"/>
      <c r="Q226" s="193" t="s">
        <v>310</v>
      </c>
      <c r="R226" s="201" t="s">
        <v>466</v>
      </c>
      <c r="T226" s="204" t="b">
        <v>0</v>
      </c>
      <c r="V226" s="209" t="e">
        <f>ROUND(Berechnungen!#REF!,3)</f>
        <v>#REF!</v>
      </c>
      <c r="Y226" s="209"/>
    </row>
    <row r="227" spans="1:25" ht="50.1" customHeight="1" thickBot="1" x14ac:dyDescent="0.4">
      <c r="A227" s="887"/>
      <c r="B227" s="417" t="s">
        <v>305</v>
      </c>
      <c r="C227" s="458"/>
      <c r="D227" s="395"/>
      <c r="E227" s="652"/>
      <c r="F227" s="133"/>
      <c r="G227" s="507" t="s">
        <v>563</v>
      </c>
      <c r="H227" s="587"/>
      <c r="K227" s="507" t="s">
        <v>563</v>
      </c>
      <c r="Q227" s="211"/>
      <c r="R227" s="355" t="s">
        <v>467</v>
      </c>
      <c r="T227" s="204" t="b">
        <v>0</v>
      </c>
    </row>
    <row r="228" spans="1:25" ht="50.1" customHeight="1" x14ac:dyDescent="0.35">
      <c r="A228" s="893" t="s">
        <v>306</v>
      </c>
      <c r="B228" s="425" t="s">
        <v>307</v>
      </c>
      <c r="C228" s="466"/>
      <c r="D228" s="396"/>
      <c r="E228" s="654"/>
      <c r="F228" s="394"/>
      <c r="G228" s="518" t="s">
        <v>385</v>
      </c>
      <c r="H228" s="584"/>
      <c r="K228" s="518" t="s">
        <v>789</v>
      </c>
      <c r="Q228" s="193" t="s">
        <v>310</v>
      </c>
      <c r="R228" s="201" t="s">
        <v>466</v>
      </c>
    </row>
    <row r="229" spans="1:25" ht="50.1" customHeight="1" x14ac:dyDescent="0.35">
      <c r="A229" s="894"/>
      <c r="B229" s="426" t="s">
        <v>384</v>
      </c>
      <c r="C229" s="467"/>
      <c r="D229" s="397"/>
      <c r="E229" s="655"/>
      <c r="F229" s="162"/>
      <c r="G229" s="498" t="s">
        <v>388</v>
      </c>
      <c r="H229" s="163"/>
      <c r="K229" s="498" t="s">
        <v>790</v>
      </c>
      <c r="Q229" s="211"/>
      <c r="R229" s="355" t="s">
        <v>467</v>
      </c>
    </row>
    <row r="230" spans="1:25" ht="50.1" customHeight="1" x14ac:dyDescent="0.35">
      <c r="A230" s="894"/>
      <c r="B230" s="426" t="s">
        <v>390</v>
      </c>
      <c r="C230" s="467"/>
      <c r="D230" s="397"/>
      <c r="E230" s="655"/>
      <c r="F230" s="162"/>
      <c r="G230" s="498" t="s">
        <v>391</v>
      </c>
      <c r="H230" s="163"/>
      <c r="K230" s="498" t="s">
        <v>791</v>
      </c>
      <c r="Q230" s="211"/>
      <c r="R230" s="355" t="s">
        <v>467</v>
      </c>
    </row>
    <row r="231" spans="1:25" ht="50.1" customHeight="1" x14ac:dyDescent="0.35">
      <c r="A231" s="894"/>
      <c r="B231" s="426" t="s">
        <v>389</v>
      </c>
      <c r="C231" s="468"/>
      <c r="D231" s="397"/>
      <c r="E231" s="655"/>
      <c r="F231" s="162"/>
      <c r="G231" s="498" t="s">
        <v>308</v>
      </c>
      <c r="H231" s="163"/>
      <c r="K231" s="498" t="s">
        <v>792</v>
      </c>
      <c r="Q231" s="211"/>
      <c r="R231" s="355" t="s">
        <v>467</v>
      </c>
    </row>
    <row r="232" spans="1:25" ht="50.1" customHeight="1" x14ac:dyDescent="0.35">
      <c r="A232" s="894"/>
      <c r="B232" s="427" t="s">
        <v>336</v>
      </c>
      <c r="C232" s="470"/>
      <c r="D232" s="397"/>
      <c r="E232" s="655"/>
      <c r="F232" s="162"/>
      <c r="G232" s="498" t="s">
        <v>413</v>
      </c>
      <c r="H232" s="163"/>
      <c r="K232" s="498" t="s">
        <v>793</v>
      </c>
      <c r="Q232" s="193" t="s">
        <v>310</v>
      </c>
      <c r="R232" s="201" t="s">
        <v>466</v>
      </c>
    </row>
    <row r="233" spans="1:25" ht="50.1" customHeight="1" x14ac:dyDescent="0.35">
      <c r="A233" s="894"/>
      <c r="B233" s="427" t="s">
        <v>295</v>
      </c>
      <c r="C233" s="470"/>
      <c r="D233" s="397"/>
      <c r="E233" s="656"/>
      <c r="F233" s="162"/>
      <c r="G233" s="498" t="s">
        <v>309</v>
      </c>
      <c r="H233" s="163"/>
      <c r="K233" s="498" t="s">
        <v>794</v>
      </c>
      <c r="Q233" s="211"/>
      <c r="R233" s="355" t="s">
        <v>467</v>
      </c>
    </row>
    <row r="234" spans="1:25" ht="50.1" customHeight="1" thickBot="1" x14ac:dyDescent="0.4">
      <c r="A234" s="895"/>
      <c r="B234" s="427" t="s">
        <v>305</v>
      </c>
      <c r="C234" s="483"/>
      <c r="D234" s="397"/>
      <c r="E234" s="849"/>
      <c r="F234" s="162"/>
      <c r="G234" s="517" t="s">
        <v>635</v>
      </c>
      <c r="H234" s="588"/>
      <c r="K234" s="517" t="s">
        <v>795</v>
      </c>
      <c r="Q234" s="211"/>
      <c r="R234" s="355" t="s">
        <v>467</v>
      </c>
    </row>
    <row r="235" spans="1:25" ht="50.1" customHeight="1" x14ac:dyDescent="0.35">
      <c r="A235" s="893" t="s">
        <v>306</v>
      </c>
      <c r="B235" s="425" t="s">
        <v>307</v>
      </c>
      <c r="C235" s="466"/>
      <c r="D235" s="396"/>
      <c r="E235" s="651"/>
      <c r="F235" s="394"/>
      <c r="G235" s="518" t="s">
        <v>564</v>
      </c>
      <c r="H235" s="584"/>
      <c r="K235" s="518" t="s">
        <v>808</v>
      </c>
      <c r="Q235" s="193" t="s">
        <v>310</v>
      </c>
      <c r="R235" s="201" t="s">
        <v>466</v>
      </c>
    </row>
    <row r="236" spans="1:25" ht="50.1" customHeight="1" x14ac:dyDescent="0.35">
      <c r="A236" s="894"/>
      <c r="B236" s="426" t="s">
        <v>384</v>
      </c>
      <c r="C236" s="467"/>
      <c r="D236" s="397"/>
      <c r="E236" s="655"/>
      <c r="F236" s="162"/>
      <c r="G236" s="498" t="s">
        <v>565</v>
      </c>
      <c r="H236" s="163"/>
      <c r="K236" s="498" t="s">
        <v>796</v>
      </c>
      <c r="Q236" s="211"/>
      <c r="R236" s="355" t="s">
        <v>467</v>
      </c>
    </row>
    <row r="237" spans="1:25" ht="50.1" customHeight="1" x14ac:dyDescent="0.35">
      <c r="A237" s="894"/>
      <c r="B237" s="426" t="s">
        <v>390</v>
      </c>
      <c r="C237" s="467"/>
      <c r="D237" s="397"/>
      <c r="E237" s="655"/>
      <c r="F237" s="162"/>
      <c r="G237" s="498" t="s">
        <v>566</v>
      </c>
      <c r="H237" s="163"/>
      <c r="K237" s="498" t="s">
        <v>797</v>
      </c>
      <c r="Q237" s="211"/>
      <c r="R237" s="355" t="s">
        <v>467</v>
      </c>
    </row>
    <row r="238" spans="1:25" ht="50.1" customHeight="1" x14ac:dyDescent="0.35">
      <c r="A238" s="894"/>
      <c r="B238" s="426" t="s">
        <v>389</v>
      </c>
      <c r="C238" s="468"/>
      <c r="D238" s="397"/>
      <c r="E238" s="655"/>
      <c r="F238" s="162"/>
      <c r="G238" s="498" t="s">
        <v>567</v>
      </c>
      <c r="H238" s="163"/>
      <c r="K238" s="498" t="s">
        <v>798</v>
      </c>
      <c r="Q238" s="211"/>
      <c r="R238" s="355" t="s">
        <v>467</v>
      </c>
    </row>
    <row r="239" spans="1:25" ht="50.1" customHeight="1" x14ac:dyDescent="0.35">
      <c r="A239" s="894"/>
      <c r="B239" s="427" t="s">
        <v>336</v>
      </c>
      <c r="C239" s="470"/>
      <c r="D239" s="397"/>
      <c r="E239" s="655"/>
      <c r="F239" s="162"/>
      <c r="G239" s="498" t="s">
        <v>568</v>
      </c>
      <c r="H239" s="163"/>
      <c r="K239" s="498" t="s">
        <v>799</v>
      </c>
      <c r="Q239" s="193" t="s">
        <v>310</v>
      </c>
      <c r="R239" s="201" t="s">
        <v>466</v>
      </c>
    </row>
    <row r="240" spans="1:25" ht="50.1" customHeight="1" x14ac:dyDescent="0.35">
      <c r="A240" s="894"/>
      <c r="B240" s="427" t="s">
        <v>295</v>
      </c>
      <c r="C240" s="484"/>
      <c r="D240" s="397"/>
      <c r="E240" s="656"/>
      <c r="F240" s="162"/>
      <c r="G240" s="498" t="s">
        <v>569</v>
      </c>
      <c r="H240" s="163"/>
      <c r="K240" s="498" t="s">
        <v>800</v>
      </c>
      <c r="Q240" s="211"/>
      <c r="R240" s="355" t="s">
        <v>467</v>
      </c>
    </row>
    <row r="241" spans="1:22" ht="50.1" customHeight="1" thickBot="1" x14ac:dyDescent="0.4">
      <c r="A241" s="895"/>
      <c r="B241" s="427" t="s">
        <v>305</v>
      </c>
      <c r="C241" s="485"/>
      <c r="D241" s="397"/>
      <c r="E241" s="849"/>
      <c r="F241" s="162"/>
      <c r="G241" s="517" t="s">
        <v>636</v>
      </c>
      <c r="H241" s="588"/>
      <c r="K241" s="517" t="s">
        <v>801</v>
      </c>
      <c r="Q241" s="211"/>
      <c r="R241" s="355" t="s">
        <v>467</v>
      </c>
    </row>
    <row r="242" spans="1:22" ht="50.1" customHeight="1" x14ac:dyDescent="0.35">
      <c r="A242" s="893" t="s">
        <v>306</v>
      </c>
      <c r="B242" s="425" t="s">
        <v>307</v>
      </c>
      <c r="C242" s="466"/>
      <c r="D242" s="396"/>
      <c r="E242" s="651"/>
      <c r="F242" s="394"/>
      <c r="G242" s="518" t="s">
        <v>570</v>
      </c>
      <c r="H242" s="584"/>
      <c r="K242" s="518" t="s">
        <v>809</v>
      </c>
      <c r="Q242" s="193" t="s">
        <v>310</v>
      </c>
      <c r="R242" s="201" t="s">
        <v>466</v>
      </c>
    </row>
    <row r="243" spans="1:22" ht="50.1" customHeight="1" x14ac:dyDescent="0.35">
      <c r="A243" s="894"/>
      <c r="B243" s="426" t="s">
        <v>384</v>
      </c>
      <c r="C243" s="467"/>
      <c r="D243" s="397"/>
      <c r="E243" s="655"/>
      <c r="F243" s="162"/>
      <c r="G243" s="498" t="s">
        <v>571</v>
      </c>
      <c r="H243" s="163"/>
      <c r="K243" s="498" t="s">
        <v>802</v>
      </c>
      <c r="Q243" s="211"/>
      <c r="R243" s="355" t="s">
        <v>467</v>
      </c>
    </row>
    <row r="244" spans="1:22" ht="50.1" customHeight="1" x14ac:dyDescent="0.35">
      <c r="A244" s="894"/>
      <c r="B244" s="426" t="s">
        <v>390</v>
      </c>
      <c r="C244" s="467"/>
      <c r="D244" s="397"/>
      <c r="E244" s="655"/>
      <c r="F244" s="162"/>
      <c r="G244" s="498" t="s">
        <v>572</v>
      </c>
      <c r="H244" s="163"/>
      <c r="K244" s="498" t="s">
        <v>803</v>
      </c>
      <c r="Q244" s="211"/>
      <c r="R244" s="355" t="s">
        <v>467</v>
      </c>
    </row>
    <row r="245" spans="1:22" ht="50.1" customHeight="1" x14ac:dyDescent="0.35">
      <c r="A245" s="894"/>
      <c r="B245" s="426" t="s">
        <v>389</v>
      </c>
      <c r="C245" s="468"/>
      <c r="D245" s="397"/>
      <c r="E245" s="655"/>
      <c r="F245" s="162"/>
      <c r="G245" s="498" t="s">
        <v>573</v>
      </c>
      <c r="H245" s="163"/>
      <c r="K245" s="498" t="s">
        <v>804</v>
      </c>
      <c r="Q245" s="211"/>
      <c r="R245" s="355" t="s">
        <v>467</v>
      </c>
    </row>
    <row r="246" spans="1:22" ht="50.1" customHeight="1" x14ac:dyDescent="0.35">
      <c r="A246" s="894"/>
      <c r="B246" s="427" t="s">
        <v>336</v>
      </c>
      <c r="C246" s="470"/>
      <c r="D246" s="397"/>
      <c r="E246" s="655"/>
      <c r="F246" s="162"/>
      <c r="G246" s="498" t="s">
        <v>574</v>
      </c>
      <c r="H246" s="163"/>
      <c r="K246" s="498" t="s">
        <v>805</v>
      </c>
      <c r="Q246" s="193" t="s">
        <v>310</v>
      </c>
      <c r="R246" s="201" t="s">
        <v>466</v>
      </c>
    </row>
    <row r="247" spans="1:22" ht="50.1" customHeight="1" x14ac:dyDescent="0.35">
      <c r="A247" s="894"/>
      <c r="B247" s="427" t="s">
        <v>295</v>
      </c>
      <c r="C247" s="484"/>
      <c r="D247" s="397"/>
      <c r="E247" s="656"/>
      <c r="F247" s="162"/>
      <c r="G247" s="498" t="s">
        <v>575</v>
      </c>
      <c r="H247" s="163"/>
      <c r="K247" s="498" t="s">
        <v>806</v>
      </c>
      <c r="Q247" s="211"/>
      <c r="R247" s="355" t="s">
        <v>467</v>
      </c>
    </row>
    <row r="248" spans="1:22" ht="50.1" customHeight="1" thickBot="1" x14ac:dyDescent="0.4">
      <c r="A248" s="895"/>
      <c r="B248" s="427" t="s">
        <v>305</v>
      </c>
      <c r="C248" s="485"/>
      <c r="D248" s="397"/>
      <c r="E248" s="673"/>
      <c r="F248" s="592"/>
      <c r="G248" s="517" t="s">
        <v>637</v>
      </c>
      <c r="H248" s="588"/>
      <c r="K248" s="517" t="s">
        <v>807</v>
      </c>
      <c r="Q248" s="211"/>
      <c r="R248" s="355" t="s">
        <v>467</v>
      </c>
    </row>
    <row r="249" spans="1:22" ht="50.1" customHeight="1" x14ac:dyDescent="0.35">
      <c r="A249" s="919" t="s">
        <v>602</v>
      </c>
      <c r="B249" s="442" t="s">
        <v>307</v>
      </c>
      <c r="C249" s="486"/>
      <c r="D249" s="396"/>
      <c r="E249" s="654"/>
      <c r="F249" s="589"/>
      <c r="G249" s="590" t="s">
        <v>603</v>
      </c>
      <c r="H249" s="591"/>
      <c r="K249" s="590" t="s">
        <v>810</v>
      </c>
      <c r="Q249" s="193" t="s">
        <v>310</v>
      </c>
      <c r="R249" s="201" t="s">
        <v>466</v>
      </c>
      <c r="T249" s="204" t="b">
        <v>0</v>
      </c>
    </row>
    <row r="250" spans="1:22" ht="63" customHeight="1" x14ac:dyDescent="0.35">
      <c r="A250" s="920"/>
      <c r="B250" s="443" t="s">
        <v>384</v>
      </c>
      <c r="C250" s="487"/>
      <c r="D250" s="397"/>
      <c r="E250" s="655"/>
      <c r="F250" s="162"/>
      <c r="G250" s="529" t="s">
        <v>604</v>
      </c>
      <c r="H250" s="365"/>
      <c r="K250" s="529" t="s">
        <v>811</v>
      </c>
      <c r="Q250" s="211"/>
      <c r="R250" s="355" t="s">
        <v>467</v>
      </c>
      <c r="T250" s="204" t="b">
        <v>0</v>
      </c>
    </row>
    <row r="251" spans="1:22" ht="50.25" customHeight="1" x14ac:dyDescent="0.35">
      <c r="A251" s="920"/>
      <c r="B251" s="443" t="s">
        <v>390</v>
      </c>
      <c r="C251" s="487"/>
      <c r="D251" s="397"/>
      <c r="E251" s="655"/>
      <c r="F251" s="162"/>
      <c r="G251" s="529" t="s">
        <v>605</v>
      </c>
      <c r="H251" s="365"/>
      <c r="K251" s="529" t="s">
        <v>812</v>
      </c>
      <c r="Q251" s="211"/>
      <c r="R251" s="355" t="s">
        <v>467</v>
      </c>
      <c r="T251" s="204" t="b">
        <v>0</v>
      </c>
      <c r="V251" s="206">
        <f>(E208*E213)+(E194*E196)</f>
        <v>0</v>
      </c>
    </row>
    <row r="252" spans="1:22" ht="50.1" customHeight="1" x14ac:dyDescent="0.35">
      <c r="A252" s="920"/>
      <c r="B252" s="443" t="s">
        <v>389</v>
      </c>
      <c r="C252" s="488"/>
      <c r="D252" s="397"/>
      <c r="E252" s="655"/>
      <c r="F252" s="162"/>
      <c r="G252" s="529" t="s">
        <v>606</v>
      </c>
      <c r="H252" s="365"/>
      <c r="K252" s="529" t="s">
        <v>813</v>
      </c>
      <c r="Q252" s="211"/>
      <c r="R252" s="355" t="s">
        <v>467</v>
      </c>
      <c r="T252" s="204" t="b">
        <v>0</v>
      </c>
    </row>
    <row r="253" spans="1:22" ht="50.1" customHeight="1" x14ac:dyDescent="0.35">
      <c r="A253" s="920"/>
      <c r="B253" s="444" t="s">
        <v>336</v>
      </c>
      <c r="C253" s="489"/>
      <c r="D253" s="397"/>
      <c r="E253" s="655"/>
      <c r="F253" s="162"/>
      <c r="G253" s="529" t="s">
        <v>607</v>
      </c>
      <c r="H253" s="365"/>
      <c r="K253" s="529" t="s">
        <v>814</v>
      </c>
      <c r="Q253" s="193" t="s">
        <v>310</v>
      </c>
      <c r="R253" s="201" t="s">
        <v>466</v>
      </c>
      <c r="T253" s="204" t="b">
        <v>0</v>
      </c>
    </row>
    <row r="254" spans="1:22" ht="50.1" customHeight="1" x14ac:dyDescent="0.35">
      <c r="A254" s="920"/>
      <c r="B254" s="444" t="s">
        <v>295</v>
      </c>
      <c r="C254" s="489"/>
      <c r="D254" s="397"/>
      <c r="E254" s="850"/>
      <c r="F254" s="162"/>
      <c r="G254" s="529" t="s">
        <v>608</v>
      </c>
      <c r="H254" s="365"/>
      <c r="K254" s="529" t="s">
        <v>815</v>
      </c>
      <c r="Q254" s="211"/>
      <c r="R254" s="355" t="s">
        <v>467</v>
      </c>
    </row>
    <row r="255" spans="1:22" ht="50.1" customHeight="1" thickBot="1" x14ac:dyDescent="0.4">
      <c r="A255" s="921"/>
      <c r="B255" s="444" t="s">
        <v>305</v>
      </c>
      <c r="C255" s="490"/>
      <c r="D255" s="397"/>
      <c r="E255" s="849"/>
      <c r="F255" s="592"/>
      <c r="G255" s="593" t="s">
        <v>638</v>
      </c>
      <c r="H255" s="594"/>
      <c r="K255" s="593" t="s">
        <v>816</v>
      </c>
      <c r="Q255" s="211"/>
      <c r="R255" s="355" t="s">
        <v>467</v>
      </c>
      <c r="T255" s="204" t="b">
        <v>0</v>
      </c>
    </row>
    <row r="256" spans="1:22" ht="50.1" customHeight="1" x14ac:dyDescent="0.35">
      <c r="A256" s="919" t="s">
        <v>602</v>
      </c>
      <c r="B256" s="442" t="s">
        <v>307</v>
      </c>
      <c r="C256" s="486"/>
      <c r="D256" s="396"/>
      <c r="E256" s="651"/>
      <c r="F256" s="589"/>
      <c r="G256" s="590" t="s">
        <v>609</v>
      </c>
      <c r="H256" s="591"/>
      <c r="K256" s="590" t="s">
        <v>817</v>
      </c>
      <c r="Q256" s="193" t="s">
        <v>310</v>
      </c>
      <c r="R256" s="201" t="s">
        <v>466</v>
      </c>
      <c r="T256" s="204" t="b">
        <v>0</v>
      </c>
    </row>
    <row r="257" spans="1:20" ht="50.1" customHeight="1" x14ac:dyDescent="0.35">
      <c r="A257" s="920"/>
      <c r="B257" s="443" t="s">
        <v>384</v>
      </c>
      <c r="C257" s="487"/>
      <c r="D257" s="397"/>
      <c r="E257" s="655"/>
      <c r="F257" s="162"/>
      <c r="G257" s="529" t="s">
        <v>610</v>
      </c>
      <c r="H257" s="365"/>
      <c r="K257" s="529" t="s">
        <v>818</v>
      </c>
      <c r="Q257" s="211"/>
      <c r="R257" s="355" t="s">
        <v>467</v>
      </c>
      <c r="T257" s="204" t="b">
        <v>0</v>
      </c>
    </row>
    <row r="258" spans="1:20" ht="50.1" customHeight="1" x14ac:dyDescent="0.35">
      <c r="A258" s="920"/>
      <c r="B258" s="443" t="s">
        <v>390</v>
      </c>
      <c r="C258" s="487"/>
      <c r="D258" s="397"/>
      <c r="E258" s="655"/>
      <c r="F258" s="162"/>
      <c r="G258" s="529" t="s">
        <v>611</v>
      </c>
      <c r="H258" s="365"/>
      <c r="K258" s="529" t="s">
        <v>819</v>
      </c>
      <c r="Q258" s="211"/>
      <c r="R258" s="355" t="s">
        <v>467</v>
      </c>
      <c r="T258" s="204" t="b">
        <v>0</v>
      </c>
    </row>
    <row r="259" spans="1:20" ht="50.1" customHeight="1" x14ac:dyDescent="0.35">
      <c r="A259" s="920"/>
      <c r="B259" s="443" t="s">
        <v>389</v>
      </c>
      <c r="C259" s="488"/>
      <c r="D259" s="397"/>
      <c r="E259" s="655"/>
      <c r="F259" s="162"/>
      <c r="G259" s="529" t="s">
        <v>612</v>
      </c>
      <c r="H259" s="365"/>
      <c r="K259" s="529" t="s">
        <v>820</v>
      </c>
      <c r="Q259" s="211"/>
      <c r="R259" s="355" t="s">
        <v>467</v>
      </c>
      <c r="T259" s="204" t="b">
        <v>0</v>
      </c>
    </row>
    <row r="260" spans="1:20" ht="50.1" customHeight="1" x14ac:dyDescent="0.35">
      <c r="A260" s="920"/>
      <c r="B260" s="444" t="s">
        <v>336</v>
      </c>
      <c r="C260" s="489"/>
      <c r="D260" s="397"/>
      <c r="E260" s="655"/>
      <c r="F260" s="162"/>
      <c r="G260" s="529" t="s">
        <v>613</v>
      </c>
      <c r="H260" s="365"/>
      <c r="K260" s="529" t="s">
        <v>821</v>
      </c>
      <c r="Q260" s="193" t="s">
        <v>310</v>
      </c>
      <c r="R260" s="201" t="s">
        <v>466</v>
      </c>
      <c r="T260" s="204" t="b">
        <v>0</v>
      </c>
    </row>
    <row r="261" spans="1:20" ht="50.1" customHeight="1" x14ac:dyDescent="0.35">
      <c r="A261" s="920"/>
      <c r="B261" s="444" t="s">
        <v>295</v>
      </c>
      <c r="C261" s="489"/>
      <c r="D261" s="397"/>
      <c r="E261" s="656"/>
      <c r="F261" s="162"/>
      <c r="G261" s="529" t="s">
        <v>614</v>
      </c>
      <c r="H261" s="365"/>
      <c r="K261" s="529" t="s">
        <v>822</v>
      </c>
      <c r="Q261" s="211"/>
      <c r="R261" s="355" t="s">
        <v>467</v>
      </c>
    </row>
    <row r="262" spans="1:20" ht="50.1" customHeight="1" thickBot="1" x14ac:dyDescent="0.4">
      <c r="A262" s="921"/>
      <c r="B262" s="444" t="s">
        <v>305</v>
      </c>
      <c r="C262" s="490"/>
      <c r="D262" s="397"/>
      <c r="E262" s="656"/>
      <c r="F262" s="592"/>
      <c r="G262" s="593" t="s">
        <v>639</v>
      </c>
      <c r="H262" s="594"/>
      <c r="K262" s="593" t="s">
        <v>823</v>
      </c>
      <c r="Q262" s="211"/>
      <c r="R262" s="355" t="s">
        <v>467</v>
      </c>
      <c r="T262" s="204" t="b">
        <v>0</v>
      </c>
    </row>
    <row r="263" spans="1:20" ht="50.1" customHeight="1" x14ac:dyDescent="0.35">
      <c r="A263" s="919" t="s">
        <v>602</v>
      </c>
      <c r="B263" s="442" t="s">
        <v>307</v>
      </c>
      <c r="C263" s="486"/>
      <c r="D263" s="396"/>
      <c r="E263" s="651"/>
      <c r="F263" s="589"/>
      <c r="G263" s="590" t="s">
        <v>615</v>
      </c>
      <c r="H263" s="591"/>
      <c r="K263" s="590" t="s">
        <v>824</v>
      </c>
      <c r="Q263" s="193" t="s">
        <v>310</v>
      </c>
      <c r="R263" s="201" t="s">
        <v>466</v>
      </c>
      <c r="T263" s="204" t="b">
        <v>0</v>
      </c>
    </row>
    <row r="264" spans="1:20" ht="50.1" customHeight="1" x14ac:dyDescent="0.35">
      <c r="A264" s="920"/>
      <c r="B264" s="443" t="s">
        <v>384</v>
      </c>
      <c r="C264" s="487"/>
      <c r="D264" s="397"/>
      <c r="E264" s="655"/>
      <c r="F264" s="162"/>
      <c r="G264" s="529" t="s">
        <v>616</v>
      </c>
      <c r="H264" s="365"/>
      <c r="K264" s="529" t="s">
        <v>825</v>
      </c>
      <c r="Q264" s="211"/>
      <c r="R264" s="355" t="s">
        <v>467</v>
      </c>
      <c r="T264" s="204" t="b">
        <v>0</v>
      </c>
    </row>
    <row r="265" spans="1:20" ht="50.1" customHeight="1" x14ac:dyDescent="0.35">
      <c r="A265" s="920"/>
      <c r="B265" s="443" t="s">
        <v>390</v>
      </c>
      <c r="C265" s="487"/>
      <c r="D265" s="397"/>
      <c r="E265" s="655"/>
      <c r="F265" s="162"/>
      <c r="G265" s="529" t="s">
        <v>617</v>
      </c>
      <c r="H265" s="365"/>
      <c r="K265" s="529" t="s">
        <v>826</v>
      </c>
      <c r="Q265" s="211"/>
      <c r="R265" s="355" t="s">
        <v>467</v>
      </c>
      <c r="T265" s="204" t="b">
        <v>0</v>
      </c>
    </row>
    <row r="266" spans="1:20" ht="50.1" customHeight="1" x14ac:dyDescent="0.35">
      <c r="A266" s="920"/>
      <c r="B266" s="443" t="s">
        <v>389</v>
      </c>
      <c r="C266" s="488"/>
      <c r="D266" s="397"/>
      <c r="E266" s="655"/>
      <c r="F266" s="162"/>
      <c r="G266" s="529" t="s">
        <v>618</v>
      </c>
      <c r="H266" s="365"/>
      <c r="K266" s="529" t="s">
        <v>827</v>
      </c>
      <c r="Q266" s="211"/>
      <c r="R266" s="355" t="s">
        <v>467</v>
      </c>
      <c r="T266" s="204" t="b">
        <v>0</v>
      </c>
    </row>
    <row r="267" spans="1:20" ht="50.1" customHeight="1" x14ac:dyDescent="0.35">
      <c r="A267" s="920"/>
      <c r="B267" s="444" t="s">
        <v>336</v>
      </c>
      <c r="C267" s="489"/>
      <c r="D267" s="397"/>
      <c r="E267" s="655"/>
      <c r="F267" s="162"/>
      <c r="G267" s="529" t="s">
        <v>619</v>
      </c>
      <c r="H267" s="365"/>
      <c r="K267" s="529" t="s">
        <v>828</v>
      </c>
      <c r="Q267" s="193" t="s">
        <v>310</v>
      </c>
      <c r="R267" s="201" t="s">
        <v>466</v>
      </c>
      <c r="T267" s="204" t="b">
        <v>0</v>
      </c>
    </row>
    <row r="268" spans="1:20" ht="50.1" customHeight="1" x14ac:dyDescent="0.35">
      <c r="A268" s="920"/>
      <c r="B268" s="444" t="s">
        <v>295</v>
      </c>
      <c r="C268" s="489"/>
      <c r="D268" s="397"/>
      <c r="E268" s="656"/>
      <c r="F268" s="162"/>
      <c r="G268" s="529" t="s">
        <v>620</v>
      </c>
      <c r="H268" s="365"/>
      <c r="K268" s="529" t="s">
        <v>829</v>
      </c>
      <c r="Q268" s="211"/>
      <c r="R268" s="355" t="s">
        <v>467</v>
      </c>
    </row>
    <row r="269" spans="1:20" ht="50.1" customHeight="1" thickBot="1" x14ac:dyDescent="0.4">
      <c r="A269" s="921"/>
      <c r="B269" s="444" t="s">
        <v>305</v>
      </c>
      <c r="C269" s="490"/>
      <c r="D269" s="398"/>
      <c r="E269" s="652"/>
      <c r="F269" s="592"/>
      <c r="G269" s="593" t="s">
        <v>640</v>
      </c>
      <c r="H269" s="594"/>
      <c r="K269" s="593" t="s">
        <v>830</v>
      </c>
      <c r="Q269" s="211"/>
      <c r="R269" s="355" t="s">
        <v>467</v>
      </c>
      <c r="T269" s="204" t="b">
        <v>0</v>
      </c>
    </row>
    <row r="270" spans="1:20" ht="50.1" customHeight="1" x14ac:dyDescent="0.35">
      <c r="A270" s="922"/>
      <c r="B270" s="445" t="s">
        <v>424</v>
      </c>
      <c r="C270" s="491" t="s">
        <v>412</v>
      </c>
      <c r="D270" s="189"/>
      <c r="E270" s="674"/>
      <c r="F270" s="595"/>
      <c r="G270" s="530" t="s">
        <v>462</v>
      </c>
      <c r="K270" s="530" t="s">
        <v>462</v>
      </c>
      <c r="Q270" s="193" t="s">
        <v>310</v>
      </c>
      <c r="R270" s="201" t="s">
        <v>466</v>
      </c>
      <c r="T270" s="204" t="b">
        <v>0</v>
      </c>
    </row>
    <row r="271" spans="1:20" ht="50.1" customHeight="1" x14ac:dyDescent="0.35">
      <c r="A271" s="923"/>
      <c r="B271" s="446" t="s">
        <v>425</v>
      </c>
      <c r="C271" s="492" t="s">
        <v>426</v>
      </c>
      <c r="D271" s="133"/>
      <c r="E271" s="816">
        <f>Berechnungen!E14</f>
        <v>0</v>
      </c>
      <c r="F271" s="133"/>
      <c r="G271" s="531" t="s">
        <v>432</v>
      </c>
      <c r="K271" s="531" t="s">
        <v>432</v>
      </c>
      <c r="Q271" s="193" t="s">
        <v>310</v>
      </c>
      <c r="R271" s="201" t="s">
        <v>466</v>
      </c>
      <c r="T271" s="204" t="b">
        <v>0</v>
      </c>
    </row>
    <row r="272" spans="1:20" ht="50.1" customHeight="1" thickBot="1" x14ac:dyDescent="0.4">
      <c r="A272" s="924"/>
      <c r="B272" s="447" t="s">
        <v>441</v>
      </c>
      <c r="C272" s="493" t="s">
        <v>426</v>
      </c>
      <c r="D272" s="133"/>
      <c r="E272" s="816">
        <f>Berechnungen!F14</f>
        <v>0</v>
      </c>
      <c r="F272" s="133"/>
      <c r="G272" s="507" t="s">
        <v>442</v>
      </c>
      <c r="K272" s="507" t="s">
        <v>833</v>
      </c>
      <c r="Q272" s="193" t="s">
        <v>310</v>
      </c>
      <c r="R272" s="201" t="s">
        <v>466</v>
      </c>
      <c r="T272" s="204" t="b">
        <v>0</v>
      </c>
    </row>
    <row r="273" spans="1:25" ht="50.1" customHeight="1" thickBot="1" x14ac:dyDescent="0.4">
      <c r="A273" s="922"/>
      <c r="B273" s="447" t="s">
        <v>881</v>
      </c>
      <c r="C273" s="491" t="s">
        <v>882</v>
      </c>
      <c r="D273" s="189"/>
      <c r="E273" s="674"/>
      <c r="F273" s="595"/>
      <c r="G273" s="507" t="s">
        <v>880</v>
      </c>
      <c r="K273" s="507" t="s">
        <v>880</v>
      </c>
      <c r="Q273" s="193" t="s">
        <v>310</v>
      </c>
      <c r="R273" s="201" t="s">
        <v>466</v>
      </c>
      <c r="T273" s="204" t="b">
        <v>0</v>
      </c>
    </row>
    <row r="274" spans="1:25" ht="50.1" customHeight="1" thickBot="1" x14ac:dyDescent="0.4">
      <c r="A274" s="923"/>
      <c r="B274" s="446"/>
      <c r="C274" s="492"/>
      <c r="D274" s="133"/>
      <c r="E274" s="675"/>
      <c r="F274" s="133"/>
      <c r="G274" s="531"/>
      <c r="H274" s="410"/>
      <c r="K274" s="532"/>
      <c r="Q274" s="193" t="s">
        <v>310</v>
      </c>
      <c r="R274" s="201" t="s">
        <v>466</v>
      </c>
      <c r="T274" s="204" t="b">
        <v>0</v>
      </c>
    </row>
    <row r="275" spans="1:25" ht="50.1" customHeight="1" x14ac:dyDescent="0.35">
      <c r="A275" s="916" t="s">
        <v>338</v>
      </c>
      <c r="B275" s="448" t="s">
        <v>701</v>
      </c>
      <c r="C275" s="494" t="s">
        <v>339</v>
      </c>
      <c r="D275" s="190"/>
      <c r="E275" s="676">
        <f>IFERROR(ROUND(Berechnungen!K80*100,2),0)</f>
        <v>0</v>
      </c>
      <c r="F275" s="407"/>
      <c r="G275" s="533" t="s">
        <v>449</v>
      </c>
      <c r="H275" s="409"/>
      <c r="K275" s="533" t="s">
        <v>835</v>
      </c>
      <c r="Q275" s="193" t="s">
        <v>310</v>
      </c>
      <c r="R275" s="201" t="s">
        <v>466</v>
      </c>
      <c r="T275" s="204" t="b">
        <v>0</v>
      </c>
      <c r="Y275" s="206">
        <f>IFERROR(ROUND(Berechnungen!K80*100,2),0)</f>
        <v>0</v>
      </c>
    </row>
    <row r="276" spans="1:25" ht="50.1" customHeight="1" x14ac:dyDescent="0.35">
      <c r="A276" s="917"/>
      <c r="B276" s="448" t="s">
        <v>702</v>
      </c>
      <c r="C276" s="495" t="s">
        <v>339</v>
      </c>
      <c r="D276" s="158"/>
      <c r="E276" s="677">
        <f>IFERROR(ROUND(Berechnungen!K81*100,2),0)</f>
        <v>0</v>
      </c>
      <c r="F276" s="158"/>
      <c r="G276" s="534" t="s">
        <v>448</v>
      </c>
      <c r="H276" s="408"/>
      <c r="K276" s="534" t="s">
        <v>836</v>
      </c>
      <c r="Q276" s="193" t="s">
        <v>310</v>
      </c>
      <c r="R276" s="201" t="s">
        <v>466</v>
      </c>
      <c r="T276" s="204" t="b">
        <v>0</v>
      </c>
      <c r="Y276" s="206">
        <f>IFERROR(ROUND(Berechnungen!K81*100,2),0)</f>
        <v>0</v>
      </c>
    </row>
    <row r="277" spans="1:25" ht="50.1" customHeight="1" x14ac:dyDescent="0.45">
      <c r="A277" s="917"/>
      <c r="B277" s="449" t="s">
        <v>703</v>
      </c>
      <c r="C277" s="495" t="s">
        <v>339</v>
      </c>
      <c r="D277" s="158"/>
      <c r="E277" s="677">
        <f>IFERROR(ROUND(Berechnungen!K82*100,2),0)</f>
        <v>0</v>
      </c>
      <c r="F277" s="158"/>
      <c r="G277" s="534" t="s">
        <v>447</v>
      </c>
      <c r="H277" s="408"/>
      <c r="K277" s="534" t="s">
        <v>837</v>
      </c>
      <c r="Q277" s="193" t="s">
        <v>310</v>
      </c>
      <c r="R277" s="201" t="s">
        <v>466</v>
      </c>
      <c r="T277" s="204" t="b">
        <v>0</v>
      </c>
      <c r="Y277" s="206">
        <f>IFERROR(ROUND(Berechnungen!K82*100,2),0)</f>
        <v>0</v>
      </c>
    </row>
    <row r="278" spans="1:25" ht="50.1" customHeight="1" x14ac:dyDescent="0.35">
      <c r="A278" s="917"/>
      <c r="B278" s="448" t="s">
        <v>704</v>
      </c>
      <c r="C278" s="495" t="s">
        <v>339</v>
      </c>
      <c r="D278" s="158"/>
      <c r="E278" s="677">
        <f>IFERROR(ROUND(Berechnungen!J90*100,2),0)</f>
        <v>0</v>
      </c>
      <c r="F278" s="158"/>
      <c r="G278" s="534" t="s">
        <v>445</v>
      </c>
      <c r="H278" s="408"/>
      <c r="K278" s="534" t="s">
        <v>838</v>
      </c>
      <c r="Q278" s="193" t="s">
        <v>310</v>
      </c>
      <c r="R278" s="201" t="s">
        <v>466</v>
      </c>
      <c r="T278" s="204" t="b">
        <v>0</v>
      </c>
      <c r="Y278" s="206">
        <f>IFERROR(ROUND(Berechnungen!J90*100,2),0)</f>
        <v>0</v>
      </c>
    </row>
    <row r="279" spans="1:25" ht="50.1" customHeight="1" x14ac:dyDescent="0.35">
      <c r="A279" s="917"/>
      <c r="B279" s="448" t="s">
        <v>705</v>
      </c>
      <c r="C279" s="495" t="s">
        <v>339</v>
      </c>
      <c r="D279" s="158"/>
      <c r="E279" s="677">
        <f>IFERROR(ROUND(Berechnungen!J92*100,2),)</f>
        <v>0</v>
      </c>
      <c r="F279" s="158"/>
      <c r="G279" s="534" t="s">
        <v>446</v>
      </c>
      <c r="H279" s="408"/>
      <c r="K279" s="534" t="s">
        <v>839</v>
      </c>
      <c r="Q279" s="193" t="s">
        <v>310</v>
      </c>
      <c r="R279" s="201" t="s">
        <v>466</v>
      </c>
      <c r="T279" s="204" t="b">
        <v>0</v>
      </c>
      <c r="Y279" s="206">
        <f>IFERROR(ROUND(Berechnungen!J92*100,2),)</f>
        <v>0</v>
      </c>
    </row>
    <row r="280" spans="1:25" ht="50.1" customHeight="1" x14ac:dyDescent="0.35">
      <c r="A280" s="917"/>
      <c r="B280" s="448" t="s">
        <v>14</v>
      </c>
      <c r="C280" s="495"/>
      <c r="D280" s="158"/>
      <c r="E280" s="677">
        <f>IFERROR(ROUND(Berechnungen!J94,2),0)</f>
        <v>0</v>
      </c>
      <c r="F280" s="158"/>
      <c r="G280" s="534" t="s">
        <v>450</v>
      </c>
      <c r="H280" s="408"/>
      <c r="K280" s="534" t="s">
        <v>450</v>
      </c>
      <c r="Q280" s="193" t="s">
        <v>310</v>
      </c>
      <c r="R280" s="201" t="s">
        <v>466</v>
      </c>
      <c r="T280" s="204" t="b">
        <v>0</v>
      </c>
      <c r="Y280" s="206">
        <f>IFERROR(ROUND(Berechnungen!J94,2),0)</f>
        <v>0</v>
      </c>
    </row>
    <row r="281" spans="1:25" ht="50.1" customHeight="1" x14ac:dyDescent="0.35">
      <c r="A281" s="917"/>
      <c r="B281" s="448" t="s">
        <v>706</v>
      </c>
      <c r="C281" s="495"/>
      <c r="D281" s="158"/>
      <c r="E281" s="677">
        <f>IFERROR(ROUND(Berechnungen!J96,2),0)</f>
        <v>0</v>
      </c>
      <c r="F281" s="158"/>
      <c r="G281" s="534" t="s">
        <v>443</v>
      </c>
      <c r="H281" s="408"/>
      <c r="K281" s="534" t="s">
        <v>840</v>
      </c>
      <c r="Q281" s="193" t="s">
        <v>310</v>
      </c>
      <c r="R281" s="201" t="s">
        <v>466</v>
      </c>
      <c r="T281" s="204" t="b">
        <v>0</v>
      </c>
      <c r="Y281" s="206">
        <f>IFERROR(ROUND(Berechnungen!J96,2),0)</f>
        <v>0</v>
      </c>
    </row>
    <row r="282" spans="1:25" ht="50.1" customHeight="1" thickBot="1" x14ac:dyDescent="0.4">
      <c r="A282" s="918"/>
      <c r="B282" s="450" t="s">
        <v>707</v>
      </c>
      <c r="C282" s="496"/>
      <c r="D282" s="158"/>
      <c r="E282" s="678">
        <f>IFERROR(ROUND(Berechnungen!#REF!,3),0)</f>
        <v>0</v>
      </c>
      <c r="F282" s="158"/>
      <c r="G282" s="535" t="s">
        <v>444</v>
      </c>
      <c r="H282" s="411"/>
      <c r="K282" s="535" t="s">
        <v>841</v>
      </c>
      <c r="Q282" s="193" t="s">
        <v>310</v>
      </c>
      <c r="R282" s="201" t="s">
        <v>466</v>
      </c>
      <c r="T282" s="204" t="b">
        <v>0</v>
      </c>
      <c r="Y282" s="206">
        <f>IFERROR(ROUND(Berechnungen!#REF!,3),0)</f>
        <v>0</v>
      </c>
    </row>
    <row r="283" spans="1:25" ht="50.1" customHeight="1" x14ac:dyDescent="0.35">
      <c r="A283" s="798"/>
      <c r="B283" s="451"/>
      <c r="D283" s="183"/>
      <c r="E283" s="679"/>
      <c r="F283" s="183"/>
      <c r="K283" s="497"/>
      <c r="Q283" s="193" t="s">
        <v>310</v>
      </c>
      <c r="R283" s="201" t="s">
        <v>466</v>
      </c>
      <c r="T283" s="204" t="b">
        <v>0</v>
      </c>
    </row>
    <row r="284" spans="1:25" ht="50.1" customHeight="1" x14ac:dyDescent="0.35">
      <c r="A284" s="799"/>
      <c r="B284" s="451"/>
      <c r="E284" s="680"/>
      <c r="G284" s="536" t="s">
        <v>341</v>
      </c>
      <c r="K284" s="536" t="s">
        <v>341</v>
      </c>
      <c r="Q284" s="193" t="s">
        <v>310</v>
      </c>
      <c r="R284" s="201" t="s">
        <v>466</v>
      </c>
      <c r="T284" s="204" t="b">
        <v>0</v>
      </c>
    </row>
    <row r="285" spans="1:25" ht="50.1" customHeight="1" x14ac:dyDescent="0.25">
      <c r="A285" s="800"/>
      <c r="B285" s="452" t="s">
        <v>415</v>
      </c>
      <c r="C285" s="498" t="s">
        <v>525</v>
      </c>
      <c r="D285" s="163"/>
      <c r="E285" s="870"/>
      <c r="F285" s="163"/>
      <c r="G285" s="498" t="s">
        <v>455</v>
      </c>
      <c r="H285" s="163"/>
      <c r="K285" s="498" t="s">
        <v>849</v>
      </c>
      <c r="Q285" s="193" t="s">
        <v>310</v>
      </c>
      <c r="R285" s="201" t="s">
        <v>466</v>
      </c>
      <c r="T285" s="204" t="b">
        <v>0</v>
      </c>
      <c r="Y285" s="206">
        <v>400</v>
      </c>
    </row>
    <row r="286" spans="1:25" ht="50.1" customHeight="1" x14ac:dyDescent="0.25">
      <c r="A286" s="800"/>
      <c r="B286" s="452" t="s">
        <v>732</v>
      </c>
      <c r="C286" s="498" t="s">
        <v>525</v>
      </c>
      <c r="D286" s="184"/>
      <c r="E286" s="872"/>
      <c r="F286" s="184"/>
      <c r="G286" s="498"/>
      <c r="H286" s="163"/>
      <c r="K286" s="498"/>
      <c r="Q286" s="193"/>
      <c r="R286" s="201"/>
    </row>
    <row r="287" spans="1:25" ht="50.1" customHeight="1" x14ac:dyDescent="0.25">
      <c r="A287" s="800"/>
      <c r="B287" s="452"/>
      <c r="C287" s="498"/>
      <c r="D287" s="184"/>
      <c r="E287" s="871">
        <f>($E$208*$E$213)+($E$194*$E$196)</f>
        <v>0</v>
      </c>
      <c r="F287" s="184"/>
      <c r="G287" s="498" t="s">
        <v>419</v>
      </c>
      <c r="H287" s="163"/>
      <c r="K287" s="498" t="s">
        <v>419</v>
      </c>
      <c r="Q287" s="193" t="s">
        <v>310</v>
      </c>
      <c r="R287" s="201" t="s">
        <v>466</v>
      </c>
      <c r="T287" s="204" t="b">
        <v>0</v>
      </c>
      <c r="Y287" s="206">
        <f>($E$208*$E$213)+($E$194*$E$196)</f>
        <v>0</v>
      </c>
    </row>
    <row r="288" spans="1:25" ht="50.1" customHeight="1" x14ac:dyDescent="0.25">
      <c r="A288" s="801"/>
      <c r="B288" s="130"/>
      <c r="C288" s="130"/>
      <c r="E288" s="130"/>
      <c r="G288" s="130"/>
      <c r="Q288" s="193" t="s">
        <v>310</v>
      </c>
      <c r="R288" s="201" t="s">
        <v>466</v>
      </c>
      <c r="T288" s="204" t="b">
        <v>0</v>
      </c>
    </row>
    <row r="289" spans="1:25" ht="50.1" customHeight="1" x14ac:dyDescent="0.35">
      <c r="A289" s="802"/>
      <c r="E289" s="679"/>
      <c r="Q289" s="193" t="s">
        <v>310</v>
      </c>
      <c r="R289" s="201" t="s">
        <v>466</v>
      </c>
      <c r="T289" s="204" t="b">
        <v>0</v>
      </c>
    </row>
    <row r="290" spans="1:25" ht="50.1" customHeight="1" x14ac:dyDescent="0.35">
      <c r="A290" s="802"/>
      <c r="E290" s="679"/>
      <c r="H290" s="412"/>
      <c r="I290" s="413"/>
      <c r="Q290" s="193" t="s">
        <v>310</v>
      </c>
      <c r="R290" s="201" t="s">
        <v>466</v>
      </c>
      <c r="T290" s="204" t="b">
        <v>0</v>
      </c>
    </row>
    <row r="291" spans="1:25" ht="50.1" customHeight="1" x14ac:dyDescent="0.4">
      <c r="A291" s="802"/>
      <c r="B291" s="454" t="s">
        <v>538</v>
      </c>
      <c r="C291" s="454" t="s">
        <v>539</v>
      </c>
      <c r="D291" s="348"/>
      <c r="E291" s="681" t="s">
        <v>540</v>
      </c>
      <c r="F291" s="348"/>
      <c r="G291" s="501" t="s">
        <v>541</v>
      </c>
      <c r="Q291" s="193" t="s">
        <v>310</v>
      </c>
      <c r="R291" s="201" t="s">
        <v>466</v>
      </c>
      <c r="T291" s="204" t="b">
        <v>0</v>
      </c>
      <c r="Y291" s="206" t="s">
        <v>540</v>
      </c>
    </row>
    <row r="292" spans="1:25" ht="50.1" customHeight="1" x14ac:dyDescent="0.35">
      <c r="A292" s="802"/>
      <c r="B292" s="455" t="s">
        <v>542</v>
      </c>
      <c r="C292" s="499"/>
      <c r="D292" s="347">
        <v>0</v>
      </c>
      <c r="E292" s="682"/>
      <c r="F292" s="347">
        <v>0</v>
      </c>
      <c r="G292" s="537"/>
      <c r="Q292" s="193" t="s">
        <v>310</v>
      </c>
      <c r="R292" s="201" t="s">
        <v>466</v>
      </c>
      <c r="T292" s="204" t="b">
        <v>0</v>
      </c>
    </row>
    <row r="293" spans="1:25" ht="50.1" customHeight="1" x14ac:dyDescent="0.35">
      <c r="A293" s="802"/>
      <c r="B293" s="455" t="s">
        <v>543</v>
      </c>
      <c r="C293" s="499"/>
      <c r="D293" s="347">
        <v>0</v>
      </c>
      <c r="E293" s="682"/>
      <c r="F293" s="347">
        <v>0</v>
      </c>
      <c r="G293" s="537"/>
      <c r="Q293" s="193" t="s">
        <v>310</v>
      </c>
      <c r="R293" s="201" t="s">
        <v>466</v>
      </c>
      <c r="T293" s="204" t="b">
        <v>0</v>
      </c>
    </row>
    <row r="294" spans="1:25" ht="35.1" customHeight="1" x14ac:dyDescent="0.35">
      <c r="A294" s="802"/>
      <c r="B294" s="455" t="s">
        <v>544</v>
      </c>
      <c r="C294" s="499"/>
      <c r="D294" s="347">
        <v>0</v>
      </c>
      <c r="E294" s="682"/>
      <c r="F294" s="347">
        <v>0</v>
      </c>
      <c r="G294" s="537"/>
      <c r="Q294" s="193" t="s">
        <v>310</v>
      </c>
      <c r="R294" s="201" t="s">
        <v>466</v>
      </c>
      <c r="T294" s="204" t="b">
        <v>0</v>
      </c>
    </row>
    <row r="295" spans="1:25" ht="35.1" customHeight="1" thickBot="1" x14ac:dyDescent="0.4">
      <c r="A295" s="802"/>
      <c r="B295" s="684" t="s">
        <v>879</v>
      </c>
      <c r="E295" s="679"/>
      <c r="Q295" s="193" t="s">
        <v>310</v>
      </c>
      <c r="R295" s="201" t="s">
        <v>466</v>
      </c>
      <c r="T295" s="204" t="b">
        <v>0</v>
      </c>
    </row>
    <row r="296" spans="1:25" ht="35.1" customHeight="1" x14ac:dyDescent="0.35">
      <c r="A296" s="916" t="s">
        <v>22</v>
      </c>
      <c r="B296" s="448"/>
      <c r="C296" s="494"/>
      <c r="D296" s="190"/>
      <c r="E296" s="676">
        <f>Berechnungen!B94</f>
        <v>0</v>
      </c>
      <c r="F296" s="407"/>
      <c r="G296" s="533" t="s">
        <v>854</v>
      </c>
      <c r="H296" s="409"/>
      <c r="K296" s="533" t="s">
        <v>854</v>
      </c>
      <c r="Q296" s="193" t="s">
        <v>310</v>
      </c>
      <c r="R296" s="201" t="s">
        <v>466</v>
      </c>
      <c r="T296" s="204" t="b">
        <v>0</v>
      </c>
    </row>
    <row r="297" spans="1:25" ht="35.1" customHeight="1" thickBot="1" x14ac:dyDescent="0.4">
      <c r="A297" s="917"/>
      <c r="B297" s="448"/>
      <c r="C297" s="495"/>
      <c r="D297" s="158"/>
      <c r="E297" s="677">
        <f>Berechnungen!B95</f>
        <v>0</v>
      </c>
      <c r="F297" s="158"/>
      <c r="G297" s="534" t="s">
        <v>855</v>
      </c>
      <c r="H297" s="408"/>
      <c r="K297" s="534" t="s">
        <v>855</v>
      </c>
      <c r="Q297" s="193" t="s">
        <v>310</v>
      </c>
      <c r="R297" s="201" t="s">
        <v>466</v>
      </c>
      <c r="T297" s="204" t="b">
        <v>0</v>
      </c>
    </row>
    <row r="298" spans="1:25" ht="35.1" customHeight="1" x14ac:dyDescent="0.35">
      <c r="A298" s="917"/>
      <c r="B298" s="449"/>
      <c r="C298" s="495"/>
      <c r="D298" s="158"/>
      <c r="E298" s="676">
        <f>Berechnungen!B96</f>
        <v>0</v>
      </c>
      <c r="F298" s="158"/>
      <c r="G298" s="534" t="s">
        <v>856</v>
      </c>
      <c r="H298" s="408"/>
      <c r="K298" s="534" t="s">
        <v>856</v>
      </c>
      <c r="Q298" s="193" t="s">
        <v>310</v>
      </c>
      <c r="R298" s="201" t="s">
        <v>466</v>
      </c>
      <c r="T298" s="204" t="b">
        <v>0</v>
      </c>
    </row>
    <row r="299" spans="1:25" ht="35.1" customHeight="1" thickBot="1" x14ac:dyDescent="0.4">
      <c r="A299" s="917"/>
      <c r="B299" s="448"/>
      <c r="C299" s="495"/>
      <c r="D299" s="158"/>
      <c r="E299" s="677">
        <f>Berechnungen!B97</f>
        <v>0</v>
      </c>
      <c r="F299" s="158"/>
      <c r="G299" s="534" t="s">
        <v>857</v>
      </c>
      <c r="H299" s="408"/>
      <c r="K299" s="534" t="s">
        <v>857</v>
      </c>
      <c r="Q299" s="193" t="s">
        <v>310</v>
      </c>
      <c r="R299" s="201" t="s">
        <v>466</v>
      </c>
      <c r="T299" s="204" t="b">
        <v>0</v>
      </c>
    </row>
    <row r="300" spans="1:25" ht="35.1" customHeight="1" thickBot="1" x14ac:dyDescent="0.4">
      <c r="A300" s="917"/>
      <c r="B300" s="448"/>
      <c r="C300" s="495"/>
      <c r="D300" s="158"/>
      <c r="E300" s="676">
        <f>Berechnungen!B98</f>
        <v>0</v>
      </c>
      <c r="F300" s="158"/>
      <c r="G300" s="534" t="s">
        <v>858</v>
      </c>
      <c r="H300" s="408"/>
      <c r="K300" s="534" t="s">
        <v>858</v>
      </c>
      <c r="Q300" s="193" t="s">
        <v>310</v>
      </c>
      <c r="R300" s="201" t="s">
        <v>466</v>
      </c>
      <c r="T300" s="204" t="b">
        <v>0</v>
      </c>
    </row>
    <row r="301" spans="1:25" ht="35.1" customHeight="1" thickBot="1" x14ac:dyDescent="0.4">
      <c r="A301" s="941" t="s">
        <v>752</v>
      </c>
      <c r="B301" s="448"/>
      <c r="C301" s="494"/>
      <c r="D301" s="190"/>
      <c r="E301" s="676">
        <f>Berechnungen!C94</f>
        <v>0</v>
      </c>
      <c r="F301" s="158"/>
      <c r="G301" s="533" t="s">
        <v>859</v>
      </c>
      <c r="H301" s="409"/>
      <c r="K301" s="533" t="s">
        <v>859</v>
      </c>
      <c r="Q301" s="193" t="s">
        <v>310</v>
      </c>
      <c r="R301" s="201" t="s">
        <v>466</v>
      </c>
      <c r="T301" s="204" t="b">
        <v>0</v>
      </c>
    </row>
    <row r="302" spans="1:25" ht="35.1" customHeight="1" thickBot="1" x14ac:dyDescent="0.4">
      <c r="A302" s="942"/>
      <c r="B302" s="448"/>
      <c r="C302" s="495"/>
      <c r="D302" s="158"/>
      <c r="E302" s="676">
        <f>Berechnungen!C95</f>
        <v>0</v>
      </c>
      <c r="F302" s="158"/>
      <c r="G302" s="534" t="s">
        <v>860</v>
      </c>
      <c r="H302" s="408"/>
      <c r="K302" s="534" t="s">
        <v>860</v>
      </c>
      <c r="Q302" s="193" t="s">
        <v>310</v>
      </c>
      <c r="R302" s="201" t="s">
        <v>466</v>
      </c>
      <c r="T302" s="204" t="b">
        <v>0</v>
      </c>
    </row>
    <row r="303" spans="1:25" ht="35.1" customHeight="1" thickBot="1" x14ac:dyDescent="0.4">
      <c r="A303" s="942" t="s">
        <v>74</v>
      </c>
      <c r="B303" s="449"/>
      <c r="C303" s="495"/>
      <c r="D303" s="158"/>
      <c r="E303" s="676">
        <f>Berechnungen!C96</f>
        <v>0</v>
      </c>
      <c r="F303" s="158"/>
      <c r="G303" s="534" t="s">
        <v>861</v>
      </c>
      <c r="H303" s="408"/>
      <c r="K303" s="534" t="s">
        <v>861</v>
      </c>
      <c r="Q303" s="193" t="s">
        <v>310</v>
      </c>
      <c r="R303" s="201" t="s">
        <v>466</v>
      </c>
      <c r="T303" s="204" t="b">
        <v>0</v>
      </c>
    </row>
    <row r="304" spans="1:25" ht="35.1" customHeight="1" thickBot="1" x14ac:dyDescent="0.4">
      <c r="A304" s="942"/>
      <c r="B304" s="448"/>
      <c r="C304" s="495"/>
      <c r="D304" s="158"/>
      <c r="E304" s="676">
        <f>Berechnungen!C97</f>
        <v>0</v>
      </c>
      <c r="F304" s="158"/>
      <c r="G304" s="534" t="s">
        <v>862</v>
      </c>
      <c r="H304" s="408"/>
      <c r="K304" s="534" t="s">
        <v>862</v>
      </c>
      <c r="Q304" s="193" t="s">
        <v>310</v>
      </c>
      <c r="R304" s="201" t="s">
        <v>466</v>
      </c>
      <c r="T304" s="204" t="b">
        <v>0</v>
      </c>
    </row>
    <row r="305" spans="1:20" ht="35.1" customHeight="1" thickBot="1" x14ac:dyDescent="0.4">
      <c r="A305" s="942"/>
      <c r="B305" s="448"/>
      <c r="C305" s="495"/>
      <c r="D305" s="158"/>
      <c r="E305" s="676">
        <f>Berechnungen!C98</f>
        <v>0</v>
      </c>
      <c r="F305" s="158"/>
      <c r="G305" s="534" t="s">
        <v>863</v>
      </c>
      <c r="H305" s="408"/>
      <c r="K305" s="534" t="s">
        <v>863</v>
      </c>
      <c r="Q305" s="193" t="s">
        <v>310</v>
      </c>
      <c r="R305" s="201" t="s">
        <v>466</v>
      </c>
      <c r="T305" s="204" t="b">
        <v>0</v>
      </c>
    </row>
    <row r="306" spans="1:20" ht="35.1" customHeight="1" thickBot="1" x14ac:dyDescent="0.4">
      <c r="A306" s="941" t="s">
        <v>74</v>
      </c>
      <c r="B306" s="448"/>
      <c r="C306" s="494"/>
      <c r="D306" s="190"/>
      <c r="E306" s="676" t="e">
        <f>Berechnungen!D94</f>
        <v>#N/A</v>
      </c>
      <c r="F306" s="158"/>
      <c r="G306" s="533" t="s">
        <v>864</v>
      </c>
      <c r="H306" s="409"/>
      <c r="K306" s="533" t="s">
        <v>864</v>
      </c>
    </row>
    <row r="307" spans="1:20" ht="35.25" thickBot="1" x14ac:dyDescent="0.4">
      <c r="A307" s="942"/>
      <c r="B307" s="448"/>
      <c r="C307" s="495"/>
      <c r="D307" s="158"/>
      <c r="E307" s="676" t="e">
        <f>Berechnungen!D95</f>
        <v>#N/A</v>
      </c>
      <c r="F307" s="158"/>
      <c r="G307" s="534" t="s">
        <v>865</v>
      </c>
      <c r="H307" s="408"/>
      <c r="K307" s="534" t="s">
        <v>865</v>
      </c>
    </row>
    <row r="308" spans="1:20" ht="35.25" thickBot="1" x14ac:dyDescent="0.4">
      <c r="A308" s="942"/>
      <c r="B308" s="449"/>
      <c r="C308" s="495"/>
      <c r="D308" s="158"/>
      <c r="E308" s="676" t="e">
        <f>Berechnungen!D96</f>
        <v>#N/A</v>
      </c>
      <c r="F308" s="158"/>
      <c r="G308" s="534" t="s">
        <v>866</v>
      </c>
      <c r="H308" s="408"/>
      <c r="K308" s="534" t="s">
        <v>866</v>
      </c>
    </row>
    <row r="309" spans="1:20" ht="35.25" thickBot="1" x14ac:dyDescent="0.4">
      <c r="A309" s="942"/>
      <c r="B309" s="448"/>
      <c r="C309" s="495"/>
      <c r="D309" s="158"/>
      <c r="E309" s="676" t="e">
        <f>Berechnungen!D97</f>
        <v>#N/A</v>
      </c>
      <c r="F309" s="158"/>
      <c r="G309" s="534" t="s">
        <v>867</v>
      </c>
      <c r="H309" s="408"/>
      <c r="K309" s="534" t="s">
        <v>867</v>
      </c>
    </row>
    <row r="310" spans="1:20" ht="34.5" customHeight="1" thickBot="1" x14ac:dyDescent="0.4">
      <c r="A310" s="942" t="s">
        <v>70</v>
      </c>
      <c r="B310" s="448"/>
      <c r="C310" s="495"/>
      <c r="D310" s="158"/>
      <c r="E310" s="676" t="e">
        <f>Berechnungen!D98</f>
        <v>#N/A</v>
      </c>
      <c r="F310" s="158"/>
      <c r="G310" s="534" t="s">
        <v>868</v>
      </c>
      <c r="H310" s="408"/>
      <c r="K310" s="534" t="s">
        <v>868</v>
      </c>
    </row>
    <row r="311" spans="1:20" ht="35.25" thickBot="1" x14ac:dyDescent="0.4">
      <c r="A311" s="941" t="s">
        <v>73</v>
      </c>
      <c r="B311" s="448"/>
      <c r="C311" s="494"/>
      <c r="D311" s="190"/>
      <c r="E311" s="676" t="e">
        <f>Berechnungen!E94</f>
        <v>#N/A</v>
      </c>
      <c r="F311" s="158"/>
      <c r="G311" s="533" t="s">
        <v>869</v>
      </c>
      <c r="H311" s="409"/>
      <c r="K311" s="533" t="s">
        <v>869</v>
      </c>
    </row>
    <row r="312" spans="1:20" ht="35.25" thickBot="1" x14ac:dyDescent="0.4">
      <c r="A312" s="942"/>
      <c r="B312" s="448"/>
      <c r="C312" s="495"/>
      <c r="D312" s="158"/>
      <c r="E312" s="676" t="e">
        <f>Berechnungen!E95</f>
        <v>#N/A</v>
      </c>
      <c r="F312" s="158"/>
      <c r="G312" s="534" t="s">
        <v>870</v>
      </c>
      <c r="H312" s="408"/>
      <c r="K312" s="534" t="s">
        <v>870</v>
      </c>
    </row>
    <row r="313" spans="1:20" ht="35.25" thickBot="1" x14ac:dyDescent="0.4">
      <c r="A313" s="942"/>
      <c r="B313" s="449"/>
      <c r="C313" s="495"/>
      <c r="D313" s="158"/>
      <c r="E313" s="676" t="e">
        <f>Berechnungen!E96</f>
        <v>#N/A</v>
      </c>
      <c r="F313" s="158"/>
      <c r="G313" s="534" t="s">
        <v>871</v>
      </c>
      <c r="H313" s="408"/>
      <c r="K313" s="534" t="s">
        <v>871</v>
      </c>
    </row>
    <row r="314" spans="1:20" ht="35.25" thickBot="1" x14ac:dyDescent="0.4">
      <c r="A314" s="942"/>
      <c r="B314" s="448"/>
      <c r="C314" s="495"/>
      <c r="D314" s="158"/>
      <c r="E314" s="676" t="e">
        <f>Berechnungen!E97</f>
        <v>#N/A</v>
      </c>
      <c r="F314" s="158"/>
      <c r="G314" s="534" t="s">
        <v>872</v>
      </c>
      <c r="H314" s="408"/>
      <c r="K314" s="534" t="s">
        <v>872</v>
      </c>
    </row>
    <row r="315" spans="1:20" ht="35.25" thickBot="1" x14ac:dyDescent="0.4">
      <c r="A315" s="942"/>
      <c r="B315" s="448"/>
      <c r="C315" s="495"/>
      <c r="D315" s="158"/>
      <c r="E315" s="676" t="e">
        <f>Berechnungen!E98</f>
        <v>#N/A</v>
      </c>
      <c r="F315" s="158"/>
      <c r="G315" s="534" t="s">
        <v>873</v>
      </c>
      <c r="H315" s="408"/>
      <c r="K315" s="534" t="s">
        <v>873</v>
      </c>
    </row>
    <row r="316" spans="1:20" ht="35.25" thickBot="1" x14ac:dyDescent="0.4">
      <c r="A316" s="943" t="s">
        <v>70</v>
      </c>
      <c r="B316" s="448"/>
      <c r="C316" s="494"/>
      <c r="D316" s="190"/>
      <c r="E316" s="676" t="e">
        <f>Berechnungen!F94</f>
        <v>#N/A</v>
      </c>
      <c r="F316" s="158"/>
      <c r="G316" s="533" t="s">
        <v>874</v>
      </c>
      <c r="H316" s="409"/>
      <c r="K316" s="533" t="s">
        <v>874</v>
      </c>
    </row>
    <row r="317" spans="1:20" ht="35.25" thickBot="1" x14ac:dyDescent="0.4">
      <c r="A317" s="944"/>
      <c r="B317" s="448"/>
      <c r="C317" s="495"/>
      <c r="D317" s="158"/>
      <c r="E317" s="676" t="e">
        <f>Berechnungen!F95</f>
        <v>#N/A</v>
      </c>
      <c r="F317" s="158"/>
      <c r="G317" s="534" t="s">
        <v>875</v>
      </c>
      <c r="H317" s="408"/>
      <c r="K317" s="534" t="s">
        <v>875</v>
      </c>
    </row>
    <row r="318" spans="1:20" ht="35.25" thickBot="1" x14ac:dyDescent="0.4">
      <c r="A318" s="944"/>
      <c r="B318" s="449"/>
      <c r="C318" s="495"/>
      <c r="D318" s="158"/>
      <c r="E318" s="676" t="e">
        <f>Berechnungen!F96</f>
        <v>#N/A</v>
      </c>
      <c r="F318" s="158"/>
      <c r="G318" s="534" t="s">
        <v>876</v>
      </c>
      <c r="H318" s="408"/>
      <c r="K318" s="534" t="s">
        <v>876</v>
      </c>
    </row>
    <row r="319" spans="1:20" ht="35.25" thickBot="1" x14ac:dyDescent="0.4">
      <c r="A319" s="944"/>
      <c r="B319" s="448"/>
      <c r="C319" s="495"/>
      <c r="D319" s="158"/>
      <c r="E319" s="676" t="e">
        <f>Berechnungen!F97</f>
        <v>#N/A</v>
      </c>
      <c r="F319" s="158"/>
      <c r="G319" s="534" t="s">
        <v>877</v>
      </c>
      <c r="H319" s="408"/>
      <c r="K319" s="534" t="s">
        <v>877</v>
      </c>
    </row>
    <row r="320" spans="1:20" x14ac:dyDescent="0.35">
      <c r="A320" s="944"/>
      <c r="B320" s="448"/>
      <c r="C320" s="495"/>
      <c r="D320" s="158"/>
      <c r="E320" s="676" t="e">
        <f>Berechnungen!F98</f>
        <v>#N/A</v>
      </c>
      <c r="F320" s="158"/>
      <c r="G320" s="534" t="s">
        <v>878</v>
      </c>
      <c r="H320" s="408"/>
      <c r="K320" s="534" t="s">
        <v>878</v>
      </c>
    </row>
    <row r="321" spans="5:5" x14ac:dyDescent="0.35">
      <c r="E321" s="679"/>
    </row>
    <row r="322" spans="5:5" x14ac:dyDescent="0.35">
      <c r="E322" s="679"/>
    </row>
    <row r="323" spans="5:5" x14ac:dyDescent="0.35">
      <c r="E323" s="679"/>
    </row>
    <row r="324" spans="5:5" x14ac:dyDescent="0.35">
      <c r="E324" s="679"/>
    </row>
    <row r="325" spans="5:5" x14ac:dyDescent="0.35">
      <c r="E325" s="679"/>
    </row>
    <row r="326" spans="5:5" x14ac:dyDescent="0.35">
      <c r="E326" s="679"/>
    </row>
    <row r="327" spans="5:5" x14ac:dyDescent="0.35">
      <c r="E327" s="679"/>
    </row>
    <row r="328" spans="5:5" x14ac:dyDescent="0.35">
      <c r="E328" s="679"/>
    </row>
    <row r="329" spans="5:5" x14ac:dyDescent="0.35">
      <c r="E329" s="679"/>
    </row>
    <row r="330" spans="5:5" x14ac:dyDescent="0.35">
      <c r="E330" s="679"/>
    </row>
    <row r="331" spans="5:5" x14ac:dyDescent="0.35">
      <c r="E331" s="679"/>
    </row>
    <row r="332" spans="5:5" x14ac:dyDescent="0.35">
      <c r="E332" s="679"/>
    </row>
    <row r="333" spans="5:5" x14ac:dyDescent="0.35">
      <c r="E333" s="679"/>
    </row>
    <row r="334" spans="5:5" x14ac:dyDescent="0.35">
      <c r="E334" s="679"/>
    </row>
    <row r="335" spans="5:5" x14ac:dyDescent="0.35">
      <c r="E335" s="679"/>
    </row>
  </sheetData>
  <mergeCells count="38">
    <mergeCell ref="A296:A300"/>
    <mergeCell ref="A301:A305"/>
    <mergeCell ref="A306:A310"/>
    <mergeCell ref="A311:A315"/>
    <mergeCell ref="A316:A320"/>
    <mergeCell ref="A27:A34"/>
    <mergeCell ref="A19:A26"/>
    <mergeCell ref="A228:A234"/>
    <mergeCell ref="A235:A241"/>
    <mergeCell ref="A242:A248"/>
    <mergeCell ref="A111:A114"/>
    <mergeCell ref="A115:A116"/>
    <mergeCell ref="A188:A207"/>
    <mergeCell ref="A208:A227"/>
    <mergeCell ref="A117:A179"/>
    <mergeCell ref="A180:A187"/>
    <mergeCell ref="A275:A282"/>
    <mergeCell ref="A249:A255"/>
    <mergeCell ref="A256:A262"/>
    <mergeCell ref="A263:A269"/>
    <mergeCell ref="A270:A272"/>
    <mergeCell ref="A273:A274"/>
    <mergeCell ref="H12:H17"/>
    <mergeCell ref="A2:A8"/>
    <mergeCell ref="A35:A56"/>
    <mergeCell ref="A109:A110"/>
    <mergeCell ref="A107:A108"/>
    <mergeCell ref="A57:A62"/>
    <mergeCell ref="A70:A75"/>
    <mergeCell ref="A63:A69"/>
    <mergeCell ref="A9:A18"/>
    <mergeCell ref="A88:A89"/>
    <mergeCell ref="A90:A91"/>
    <mergeCell ref="A76:A81"/>
    <mergeCell ref="A82:A87"/>
    <mergeCell ref="A92:A95"/>
    <mergeCell ref="A96:A100"/>
    <mergeCell ref="A101:A106"/>
  </mergeCells>
  <conditionalFormatting sqref="L57:L114">
    <cfRule type="colorScale" priority="220">
      <colorScale>
        <cfvo type="num" val="0"/>
        <cfvo type="num" val="1"/>
        <color rgb="FFFF0000"/>
        <color rgb="FF00B050"/>
      </colorScale>
    </cfRule>
  </conditionalFormatting>
  <conditionalFormatting sqref="D119:D120 D1:D18 F1:F18 D233 F233 F235:F240 D235:D240 F242:F247 D242:D247 F254 F256:F261 D256:D261 D263:D268 F263:F268 D144:D157 D126:D137 F144:F157 F169:F187 D169:D227 D249:D254 F20:F25 D20:D25 D35:D116 F35:F116 F321:F1048576 D321:D1048576 D270:D272 F270:F272 F289:F310 D289:D310 F275:F287 D275:D287">
    <cfRule type="cellIs" dxfId="199" priority="149" operator="equal">
      <formula>""</formula>
    </cfRule>
    <cfRule type="cellIs" dxfId="198" priority="150" operator="equal">
      <formula>0</formula>
    </cfRule>
    <cfRule type="cellIs" dxfId="197" priority="151" operator="equal">
      <formula>2</formula>
    </cfRule>
    <cfRule type="cellIs" dxfId="196" priority="152" operator="equal">
      <formula>1</formula>
    </cfRule>
  </conditionalFormatting>
  <conditionalFormatting sqref="F196:F207 F216:F227 F119:F120 F126:F137 F249:F253">
    <cfRule type="cellIs" dxfId="195" priority="141" operator="equal">
      <formula>""</formula>
    </cfRule>
    <cfRule type="cellIs" dxfId="194" priority="142" operator="equal">
      <formula>0</formula>
    </cfRule>
    <cfRule type="cellIs" dxfId="193" priority="143" operator="equal">
      <formula>2</formula>
    </cfRule>
    <cfRule type="cellIs" dxfId="192" priority="144" operator="equal">
      <formula>1</formula>
    </cfRule>
  </conditionalFormatting>
  <conditionalFormatting sqref="F188:F195">
    <cfRule type="cellIs" dxfId="191" priority="137" operator="equal">
      <formula>""</formula>
    </cfRule>
    <cfRule type="cellIs" dxfId="190" priority="138" operator="equal">
      <formula>0</formula>
    </cfRule>
    <cfRule type="cellIs" dxfId="189" priority="139" operator="equal">
      <formula>2</formula>
    </cfRule>
    <cfRule type="cellIs" dxfId="188" priority="140" operator="equal">
      <formula>1</formula>
    </cfRule>
  </conditionalFormatting>
  <conditionalFormatting sqref="F208:F215">
    <cfRule type="cellIs" dxfId="187" priority="133" operator="equal">
      <formula>""</formula>
    </cfRule>
    <cfRule type="cellIs" dxfId="186" priority="134" operator="equal">
      <formula>0</formula>
    </cfRule>
    <cfRule type="cellIs" dxfId="185" priority="135" operator="equal">
      <formula>2</formula>
    </cfRule>
    <cfRule type="cellIs" dxfId="184" priority="136" operator="equal">
      <formula>1</formula>
    </cfRule>
  </conditionalFormatting>
  <conditionalFormatting sqref="D117:D118">
    <cfRule type="cellIs" dxfId="183" priority="129" operator="equal">
      <formula>""</formula>
    </cfRule>
    <cfRule type="cellIs" dxfId="182" priority="130" operator="equal">
      <formula>0</formula>
    </cfRule>
    <cfRule type="cellIs" dxfId="181" priority="131" operator="equal">
      <formula>2</formula>
    </cfRule>
    <cfRule type="cellIs" dxfId="180" priority="132" operator="equal">
      <formula>1</formula>
    </cfRule>
  </conditionalFormatting>
  <conditionalFormatting sqref="F117:F118">
    <cfRule type="cellIs" dxfId="179" priority="125" operator="equal">
      <formula>""</formula>
    </cfRule>
    <cfRule type="cellIs" dxfId="178" priority="126" operator="equal">
      <formula>0</formula>
    </cfRule>
    <cfRule type="cellIs" dxfId="177" priority="127" operator="equal">
      <formula>2</formula>
    </cfRule>
    <cfRule type="cellIs" dxfId="176" priority="128" operator="equal">
      <formula>1</formula>
    </cfRule>
  </conditionalFormatting>
  <conditionalFormatting sqref="D121:D125">
    <cfRule type="cellIs" dxfId="175" priority="121" operator="equal">
      <formula>""</formula>
    </cfRule>
    <cfRule type="cellIs" dxfId="174" priority="122" operator="equal">
      <formula>0</formula>
    </cfRule>
    <cfRule type="cellIs" dxfId="173" priority="123" operator="equal">
      <formula>2</formula>
    </cfRule>
    <cfRule type="cellIs" dxfId="172" priority="124" operator="equal">
      <formula>1</formula>
    </cfRule>
  </conditionalFormatting>
  <conditionalFormatting sqref="F121:F125">
    <cfRule type="cellIs" dxfId="171" priority="117" operator="equal">
      <formula>""</formula>
    </cfRule>
    <cfRule type="cellIs" dxfId="170" priority="118" operator="equal">
      <formula>0</formula>
    </cfRule>
    <cfRule type="cellIs" dxfId="169" priority="119" operator="equal">
      <formula>2</formula>
    </cfRule>
    <cfRule type="cellIs" dxfId="168" priority="120" operator="equal">
      <formula>1</formula>
    </cfRule>
  </conditionalFormatting>
  <conditionalFormatting sqref="D228:D232">
    <cfRule type="cellIs" dxfId="167" priority="113" operator="equal">
      <formula>""</formula>
    </cfRule>
    <cfRule type="cellIs" dxfId="166" priority="114" operator="equal">
      <formula>0</formula>
    </cfRule>
    <cfRule type="cellIs" dxfId="165" priority="115" operator="equal">
      <formula>2</formula>
    </cfRule>
    <cfRule type="cellIs" dxfId="164" priority="116" operator="equal">
      <formula>1</formula>
    </cfRule>
  </conditionalFormatting>
  <conditionalFormatting sqref="F228:F232">
    <cfRule type="cellIs" dxfId="163" priority="109" operator="equal">
      <formula>""</formula>
    </cfRule>
    <cfRule type="cellIs" dxfId="162" priority="110" operator="equal">
      <formula>0</formula>
    </cfRule>
    <cfRule type="cellIs" dxfId="161" priority="111" operator="equal">
      <formula>2</formula>
    </cfRule>
    <cfRule type="cellIs" dxfId="160" priority="112" operator="equal">
      <formula>1</formula>
    </cfRule>
  </conditionalFormatting>
  <conditionalFormatting sqref="D234 F234">
    <cfRule type="cellIs" dxfId="159" priority="105" operator="equal">
      <formula>""</formula>
    </cfRule>
    <cfRule type="cellIs" dxfId="158" priority="106" operator="equal">
      <formula>0</formula>
    </cfRule>
    <cfRule type="cellIs" dxfId="157" priority="107" operator="equal">
      <formula>2</formula>
    </cfRule>
    <cfRule type="cellIs" dxfId="156" priority="108" operator="equal">
      <formula>1</formula>
    </cfRule>
  </conditionalFormatting>
  <conditionalFormatting sqref="F241 D241">
    <cfRule type="cellIs" dxfId="155" priority="101" operator="equal">
      <formula>""</formula>
    </cfRule>
    <cfRule type="cellIs" dxfId="154" priority="102" operator="equal">
      <formula>0</formula>
    </cfRule>
    <cfRule type="cellIs" dxfId="153" priority="103" operator="equal">
      <formula>2</formula>
    </cfRule>
    <cfRule type="cellIs" dxfId="152" priority="104" operator="equal">
      <formula>1</formula>
    </cfRule>
  </conditionalFormatting>
  <conditionalFormatting sqref="F248 D248">
    <cfRule type="cellIs" dxfId="151" priority="97" operator="equal">
      <formula>""</formula>
    </cfRule>
    <cfRule type="cellIs" dxfId="150" priority="98" operator="equal">
      <formula>0</formula>
    </cfRule>
    <cfRule type="cellIs" dxfId="149" priority="99" operator="equal">
      <formula>2</formula>
    </cfRule>
    <cfRule type="cellIs" dxfId="148" priority="100" operator="equal">
      <formula>1</formula>
    </cfRule>
  </conditionalFormatting>
  <conditionalFormatting sqref="D255 F255">
    <cfRule type="cellIs" dxfId="147" priority="93" operator="equal">
      <formula>""</formula>
    </cfRule>
    <cfRule type="cellIs" dxfId="146" priority="94" operator="equal">
      <formula>0</formula>
    </cfRule>
    <cfRule type="cellIs" dxfId="145" priority="95" operator="equal">
      <formula>2</formula>
    </cfRule>
    <cfRule type="cellIs" dxfId="144" priority="96" operator="equal">
      <formula>1</formula>
    </cfRule>
  </conditionalFormatting>
  <conditionalFormatting sqref="F262 D262">
    <cfRule type="cellIs" dxfId="143" priority="89" operator="equal">
      <formula>""</formula>
    </cfRule>
    <cfRule type="cellIs" dxfId="142" priority="90" operator="equal">
      <formula>0</formula>
    </cfRule>
    <cfRule type="cellIs" dxfId="141" priority="91" operator="equal">
      <formula>2</formula>
    </cfRule>
    <cfRule type="cellIs" dxfId="140" priority="92" operator="equal">
      <formula>1</formula>
    </cfRule>
  </conditionalFormatting>
  <conditionalFormatting sqref="D269 F269">
    <cfRule type="cellIs" dxfId="139" priority="85" operator="equal">
      <formula>""</formula>
    </cfRule>
    <cfRule type="cellIs" dxfId="138" priority="86" operator="equal">
      <formula>0</formula>
    </cfRule>
    <cfRule type="cellIs" dxfId="137" priority="87" operator="equal">
      <formula>2</formula>
    </cfRule>
    <cfRule type="cellIs" dxfId="136" priority="88" operator="equal">
      <formula>1</formula>
    </cfRule>
  </conditionalFormatting>
  <conditionalFormatting sqref="D143 F143">
    <cfRule type="cellIs" dxfId="135" priority="81" operator="equal">
      <formula>""</formula>
    </cfRule>
    <cfRule type="cellIs" dxfId="134" priority="82" operator="equal">
      <formula>0</formula>
    </cfRule>
    <cfRule type="cellIs" dxfId="133" priority="83" operator="equal">
      <formula>2</formula>
    </cfRule>
    <cfRule type="cellIs" dxfId="132" priority="84" operator="equal">
      <formula>1</formula>
    </cfRule>
  </conditionalFormatting>
  <conditionalFormatting sqref="D139:D142">
    <cfRule type="cellIs" dxfId="131" priority="77" operator="equal">
      <formula>""</formula>
    </cfRule>
    <cfRule type="cellIs" dxfId="130" priority="78" operator="equal">
      <formula>0</formula>
    </cfRule>
    <cfRule type="cellIs" dxfId="129" priority="79" operator="equal">
      <formula>2</formula>
    </cfRule>
    <cfRule type="cellIs" dxfId="128" priority="80" operator="equal">
      <formula>1</formula>
    </cfRule>
  </conditionalFormatting>
  <conditionalFormatting sqref="F139:F142">
    <cfRule type="cellIs" dxfId="127" priority="73" operator="equal">
      <formula>""</formula>
    </cfRule>
    <cfRule type="cellIs" dxfId="126" priority="74" operator="equal">
      <formula>0</formula>
    </cfRule>
    <cfRule type="cellIs" dxfId="125" priority="75" operator="equal">
      <formula>2</formula>
    </cfRule>
    <cfRule type="cellIs" dxfId="124" priority="76" operator="equal">
      <formula>1</formula>
    </cfRule>
  </conditionalFormatting>
  <conditionalFormatting sqref="D138">
    <cfRule type="cellIs" dxfId="123" priority="69" operator="equal">
      <formula>""</formula>
    </cfRule>
    <cfRule type="cellIs" dxfId="122" priority="70" operator="equal">
      <formula>0</formula>
    </cfRule>
    <cfRule type="cellIs" dxfId="121" priority="71" operator="equal">
      <formula>2</formula>
    </cfRule>
    <cfRule type="cellIs" dxfId="120" priority="72" operator="equal">
      <formula>1</formula>
    </cfRule>
  </conditionalFormatting>
  <conditionalFormatting sqref="F138">
    <cfRule type="cellIs" dxfId="119" priority="65" operator="equal">
      <formula>""</formula>
    </cfRule>
    <cfRule type="cellIs" dxfId="118" priority="66" operator="equal">
      <formula>0</formula>
    </cfRule>
    <cfRule type="cellIs" dxfId="117" priority="67" operator="equal">
      <formula>2</formula>
    </cfRule>
    <cfRule type="cellIs" dxfId="116" priority="68" operator="equal">
      <formula>1</formula>
    </cfRule>
  </conditionalFormatting>
  <conditionalFormatting sqref="F158:F168 D158:D168">
    <cfRule type="cellIs" dxfId="115" priority="61" operator="equal">
      <formula>""</formula>
    </cfRule>
    <cfRule type="cellIs" dxfId="114" priority="62" operator="equal">
      <formula>0</formula>
    </cfRule>
    <cfRule type="cellIs" dxfId="113" priority="63" operator="equal">
      <formula>2</formula>
    </cfRule>
    <cfRule type="cellIs" dxfId="112" priority="64" operator="equal">
      <formula>1</formula>
    </cfRule>
  </conditionalFormatting>
  <conditionalFormatting sqref="F19">
    <cfRule type="cellIs" dxfId="111" priority="45" operator="equal">
      <formula>""</formula>
    </cfRule>
    <cfRule type="cellIs" dxfId="110" priority="46" operator="equal">
      <formula>0</formula>
    </cfRule>
    <cfRule type="cellIs" dxfId="109" priority="47" operator="equal">
      <formula>2</formula>
    </cfRule>
    <cfRule type="cellIs" dxfId="108" priority="48" operator="equal">
      <formula>1</formula>
    </cfRule>
  </conditionalFormatting>
  <conditionalFormatting sqref="D26 F26">
    <cfRule type="cellIs" dxfId="107" priority="41" operator="equal">
      <formula>""</formula>
    </cfRule>
    <cfRule type="cellIs" dxfId="106" priority="42" operator="equal">
      <formula>0</formula>
    </cfRule>
    <cfRule type="cellIs" dxfId="105" priority="43" operator="equal">
      <formula>2</formula>
    </cfRule>
    <cfRule type="cellIs" dxfId="104" priority="44" operator="equal">
      <formula>1</formula>
    </cfRule>
  </conditionalFormatting>
  <conditionalFormatting sqref="D19">
    <cfRule type="cellIs" dxfId="103" priority="49" operator="equal">
      <formula>""</formula>
    </cfRule>
    <cfRule type="cellIs" dxfId="102" priority="50" operator="equal">
      <formula>0</formula>
    </cfRule>
    <cfRule type="cellIs" dxfId="101" priority="51" operator="equal">
      <formula>2</formula>
    </cfRule>
    <cfRule type="cellIs" dxfId="100" priority="52" operator="equal">
      <formula>1</formula>
    </cfRule>
  </conditionalFormatting>
  <conditionalFormatting sqref="D27:D34 F27:F34">
    <cfRule type="cellIs" dxfId="99" priority="25" operator="equal">
      <formula>""</formula>
    </cfRule>
    <cfRule type="cellIs" dxfId="98" priority="26" operator="equal">
      <formula>0</formula>
    </cfRule>
    <cfRule type="cellIs" dxfId="97" priority="27" operator="equal">
      <formula>2</formula>
    </cfRule>
    <cfRule type="cellIs" dxfId="96" priority="28" operator="equal">
      <formula>1</formula>
    </cfRule>
  </conditionalFormatting>
  <conditionalFormatting sqref="D311:D315 F311:F315">
    <cfRule type="cellIs" dxfId="95" priority="17" operator="equal">
      <formula>""</formula>
    </cfRule>
    <cfRule type="cellIs" dxfId="94" priority="18" operator="equal">
      <formula>0</formula>
    </cfRule>
    <cfRule type="cellIs" dxfId="93" priority="19" operator="equal">
      <formula>2</formula>
    </cfRule>
    <cfRule type="cellIs" dxfId="92" priority="20" operator="equal">
      <formula>1</formula>
    </cfRule>
  </conditionalFormatting>
  <conditionalFormatting sqref="D316:D320 F316:F320">
    <cfRule type="cellIs" dxfId="91" priority="13" operator="equal">
      <formula>""</formula>
    </cfRule>
    <cfRule type="cellIs" dxfId="90" priority="14" operator="equal">
      <formula>0</formula>
    </cfRule>
    <cfRule type="cellIs" dxfId="89" priority="15" operator="equal">
      <formula>2</formula>
    </cfRule>
    <cfRule type="cellIs" dxfId="88" priority="16" operator="equal">
      <formula>1</formula>
    </cfRule>
  </conditionalFormatting>
  <conditionalFormatting sqref="D273:D274 F273:F274">
    <cfRule type="cellIs" dxfId="87" priority="1" operator="equal">
      <formula>""</formula>
    </cfRule>
    <cfRule type="cellIs" dxfId="86" priority="2" operator="equal">
      <formula>0</formula>
    </cfRule>
    <cfRule type="cellIs" dxfId="85" priority="3" operator="equal">
      <formula>2</formula>
    </cfRule>
    <cfRule type="cellIs" dxfId="84" priority="4" operator="equal">
      <formula>1</formula>
    </cfRule>
  </conditionalFormatting>
  <pageMargins left="0.7" right="0.7" top="0.78740157499999996" bottom="0.78740157499999996" header="0.3" footer="0.3"/>
  <pageSetup paperSize="9" scale="24" orientation="portrait" r:id="rId1"/>
  <rowBreaks count="6" manualBreakCount="6">
    <brk id="34" max="16383" man="1"/>
    <brk id="69" max="16383" man="1"/>
    <brk id="106" max="16383" man="1"/>
    <brk id="179" max="16383" man="1"/>
    <brk id="216" max="53" man="1"/>
    <brk id="272" max="16383" man="1"/>
  </rowBreaks>
  <colBreaks count="1" manualBreakCount="1"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7405" r:id="rId4" name="Label4">
          <controlPr autoLine="0" r:id="rId5">
            <anchor moveWithCells="1">
              <from>
                <xdr:col>9</xdr:col>
                <xdr:colOff>342900</xdr:colOff>
                <xdr:row>1</xdr:row>
                <xdr:rowOff>95250</xdr:rowOff>
              </from>
              <to>
                <xdr:col>11</xdr:col>
                <xdr:colOff>0</xdr:colOff>
                <xdr:row>1</xdr:row>
                <xdr:rowOff>561975</xdr:rowOff>
              </to>
            </anchor>
          </controlPr>
        </control>
      </mc:Choice>
      <mc:Fallback>
        <control shapeId="7405" r:id="rId4" name="Label4"/>
      </mc:Fallback>
    </mc:AlternateContent>
    <mc:AlternateContent xmlns:mc="http://schemas.openxmlformats.org/markup-compatibility/2006">
      <mc:Choice Requires="x14">
        <control shapeId="7404" r:id="rId6" name="CheckBox1">
          <controlPr autoLine="0" r:id="rId7">
            <anchor moveWithCells="1">
              <from>
                <xdr:col>9</xdr:col>
                <xdr:colOff>0</xdr:colOff>
                <xdr:row>1</xdr:row>
                <xdr:rowOff>133350</xdr:rowOff>
              </from>
              <to>
                <xdr:col>9</xdr:col>
                <xdr:colOff>219075</xdr:colOff>
                <xdr:row>1</xdr:row>
                <xdr:rowOff>361950</xdr:rowOff>
              </to>
            </anchor>
          </controlPr>
        </control>
      </mc:Choice>
      <mc:Fallback>
        <control shapeId="7404" r:id="rId6" name="CheckBox1"/>
      </mc:Fallback>
    </mc:AlternateContent>
    <mc:AlternateContent xmlns:mc="http://schemas.openxmlformats.org/markup-compatibility/2006">
      <mc:Choice Requires="x14">
        <control shapeId="7183" r:id="rId8" name="Label3">
          <controlPr defaultSize="0" autoLine="0" r:id="rId9">
            <anchor moveWithCells="1">
              <from>
                <xdr:col>9</xdr:col>
                <xdr:colOff>342900</xdr:colOff>
                <xdr:row>2</xdr:row>
                <xdr:rowOff>742950</xdr:rowOff>
              </from>
              <to>
                <xdr:col>10</xdr:col>
                <xdr:colOff>1638300</xdr:colOff>
                <xdr:row>3</xdr:row>
                <xdr:rowOff>57150</xdr:rowOff>
              </to>
            </anchor>
          </controlPr>
        </control>
      </mc:Choice>
      <mc:Fallback>
        <control shapeId="7183" r:id="rId8" name="Label3"/>
      </mc:Fallback>
    </mc:AlternateContent>
    <mc:AlternateContent xmlns:mc="http://schemas.openxmlformats.org/markup-compatibility/2006">
      <mc:Choice Requires="x14">
        <control shapeId="7182" r:id="rId10" name="Label2">
          <controlPr defaultSize="0" autoLine="0" r:id="rId11">
            <anchor moveWithCells="1">
              <from>
                <xdr:col>9</xdr:col>
                <xdr:colOff>342900</xdr:colOff>
                <xdr:row>2</xdr:row>
                <xdr:rowOff>152400</xdr:rowOff>
              </from>
              <to>
                <xdr:col>10</xdr:col>
                <xdr:colOff>2038350</xdr:colOff>
                <xdr:row>2</xdr:row>
                <xdr:rowOff>428625</xdr:rowOff>
              </to>
            </anchor>
          </controlPr>
        </control>
      </mc:Choice>
      <mc:Fallback>
        <control shapeId="7182" r:id="rId10" name="Label2"/>
      </mc:Fallback>
    </mc:AlternateContent>
    <mc:AlternateContent xmlns:mc="http://schemas.openxmlformats.org/markup-compatibility/2006">
      <mc:Choice Requires="x14">
        <control shapeId="7181" r:id="rId12" name="Label1">
          <controlPr defaultSize="0" autoLine="0" r:id="rId13">
            <anchor moveWithCells="1">
              <from>
                <xdr:col>9</xdr:col>
                <xdr:colOff>342900</xdr:colOff>
                <xdr:row>1</xdr:row>
                <xdr:rowOff>676275</xdr:rowOff>
              </from>
              <to>
                <xdr:col>10</xdr:col>
                <xdr:colOff>1466850</xdr:colOff>
                <xdr:row>2</xdr:row>
                <xdr:rowOff>19050</xdr:rowOff>
              </to>
            </anchor>
          </controlPr>
        </control>
      </mc:Choice>
      <mc:Fallback>
        <control shapeId="7181" r:id="rId12" name="Label1"/>
      </mc:Fallback>
    </mc:AlternateContent>
    <mc:AlternateContent xmlns:mc="http://schemas.openxmlformats.org/markup-compatibility/2006">
      <mc:Choice Requires="x14">
        <control shapeId="7178" r:id="rId14" name="Pruf_Check">
          <controlPr autoLine="0" r:id="rId15">
            <anchor>
              <from>
                <xdr:col>9</xdr:col>
                <xdr:colOff>19050</xdr:colOff>
                <xdr:row>1</xdr:row>
                <xdr:rowOff>457200</xdr:rowOff>
              </from>
              <to>
                <xdr:col>9</xdr:col>
                <xdr:colOff>247650</xdr:colOff>
                <xdr:row>2</xdr:row>
                <xdr:rowOff>85725</xdr:rowOff>
              </to>
            </anchor>
          </controlPr>
        </control>
      </mc:Choice>
      <mc:Fallback>
        <control shapeId="7178" r:id="rId14" name="Pruf_Check"/>
      </mc:Fallback>
    </mc:AlternateContent>
    <mc:AlternateContent xmlns:mc="http://schemas.openxmlformats.org/markup-compatibility/2006">
      <mc:Choice Requires="x14">
        <control shapeId="7179" r:id="rId16" name="Konfi_check">
          <controlPr defaultSize="0" autoLine="0" r:id="rId17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9</xdr:col>
                <xdr:colOff>238125</xdr:colOff>
                <xdr:row>2</xdr:row>
                <xdr:rowOff>723900</xdr:rowOff>
              </to>
            </anchor>
          </controlPr>
        </control>
      </mc:Choice>
      <mc:Fallback>
        <control shapeId="7179" r:id="rId16" name="Konfi_check"/>
      </mc:Fallback>
    </mc:AlternateContent>
    <mc:AlternateContent xmlns:mc="http://schemas.openxmlformats.org/markup-compatibility/2006">
      <mc:Choice Requires="x14">
        <control shapeId="7180" r:id="rId18" name="Begehung_check">
          <controlPr defaultSize="0" autoLine="0" r:id="rId19">
            <anchor moveWithCells="1">
              <from>
                <xdr:col>9</xdr:col>
                <xdr:colOff>0</xdr:colOff>
                <xdr:row>2</xdr:row>
                <xdr:rowOff>657225</xdr:rowOff>
              </from>
              <to>
                <xdr:col>9</xdr:col>
                <xdr:colOff>285750</xdr:colOff>
                <xdr:row>3</xdr:row>
                <xdr:rowOff>0</xdr:rowOff>
              </to>
            </anchor>
          </controlPr>
        </control>
      </mc:Choice>
      <mc:Fallback>
        <control shapeId="7180" r:id="rId18" name="Begehung_check"/>
      </mc:Fallback>
    </mc:AlternateContent>
    <mc:AlternateContent xmlns:mc="http://schemas.openxmlformats.org/markup-compatibility/2006">
      <mc:Choice Requires="x14">
        <control shapeId="7186" r:id="rId20" name="Button 18">
          <controlPr defaultSize="0" print="0" autoFill="0" autoPict="0" macro="[0]!BetaButton">
            <anchor moveWithCells="1" sizeWithCells="1">
              <from>
                <xdr:col>24</xdr:col>
                <xdr:colOff>209550</xdr:colOff>
                <xdr:row>0</xdr:row>
                <xdr:rowOff>47625</xdr:rowOff>
              </from>
              <to>
                <xdr:col>26</xdr:col>
                <xdr:colOff>514350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7" r:id="rId21" name="Check">
          <controlPr defaultSize="0" print="0" autoFill="0" autoPict="0" macro="[0]!Check_Klicken">
            <anchor moveWithCells="1" sizeWithCells="1">
              <from>
                <xdr:col>16</xdr:col>
                <xdr:colOff>152400</xdr:colOff>
                <xdr:row>7</xdr:row>
                <xdr:rowOff>152400</xdr:rowOff>
              </from>
              <to>
                <xdr:col>16</xdr:col>
                <xdr:colOff>1924050</xdr:colOff>
                <xdr:row>7</xdr:row>
                <xdr:rowOff>885825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3" r:id="rId22" name="Check Box 25">
          <controlPr defaultSize="0" autoFill="0" autoLine="0" autoPict="0">
            <anchor moveWithCells="1">
              <from>
                <xdr:col>18</xdr:col>
                <xdr:colOff>247650</xdr:colOff>
                <xdr:row>8</xdr:row>
                <xdr:rowOff>428625</xdr:rowOff>
              </from>
              <to>
                <xdr:col>20</xdr:col>
                <xdr:colOff>0</xdr:colOff>
                <xdr:row>8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4" r:id="rId23" name="Check Box 26">
          <controlPr defaultSize="0" autoFill="0" autoLine="0" autoPict="0">
            <anchor moveWithCells="1">
              <from>
                <xdr:col>18</xdr:col>
                <xdr:colOff>257175</xdr:colOff>
                <xdr:row>9</xdr:row>
                <xdr:rowOff>419100</xdr:rowOff>
              </from>
              <to>
                <xdr:col>20</xdr:col>
                <xdr:colOff>9525</xdr:colOff>
                <xdr:row>9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5" r:id="rId24" name="Check Box 27">
          <controlPr defaultSize="0" autoFill="0" autoLine="0" autoPict="0">
            <anchor moveWithCells="1">
              <from>
                <xdr:col>18</xdr:col>
                <xdr:colOff>257175</xdr:colOff>
                <xdr:row>10</xdr:row>
                <xdr:rowOff>409575</xdr:rowOff>
              </from>
              <to>
                <xdr:col>20</xdr:col>
                <xdr:colOff>9525</xdr:colOff>
                <xdr:row>10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5" r:id="rId25" name="Check Box 47">
          <controlPr defaultSize="0" autoFill="0" autoLine="0" autoPict="0">
            <anchor moveWithCells="1">
              <from>
                <xdr:col>18</xdr:col>
                <xdr:colOff>266700</xdr:colOff>
                <xdr:row>11</xdr:row>
                <xdr:rowOff>371475</xdr:rowOff>
              </from>
              <to>
                <xdr:col>19</xdr:col>
                <xdr:colOff>485775</xdr:colOff>
                <xdr:row>11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6" r:id="rId26" name="Check Box 48">
          <controlPr defaultSize="0" autoFill="0" autoLine="0" autoPict="0">
            <anchor moveWithCells="1">
              <from>
                <xdr:col>18</xdr:col>
                <xdr:colOff>257175</xdr:colOff>
                <xdr:row>12</xdr:row>
                <xdr:rowOff>400050</xdr:rowOff>
              </from>
              <to>
                <xdr:col>19</xdr:col>
                <xdr:colOff>561975</xdr:colOff>
                <xdr:row>12</xdr:row>
                <xdr:rowOff>714375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7" r:id="rId27" name="Check Box 49">
          <controlPr defaultSize="0" autoFill="0" autoLine="0" autoPict="0">
            <anchor moveWithCells="1">
              <from>
                <xdr:col>18</xdr:col>
                <xdr:colOff>266700</xdr:colOff>
                <xdr:row>13</xdr:row>
                <xdr:rowOff>428625</xdr:rowOff>
              </from>
              <to>
                <xdr:col>19</xdr:col>
                <xdr:colOff>542925</xdr:colOff>
                <xdr:row>13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8" r:id="rId28" name="Check Box 50">
          <controlPr defaultSize="0" autoFill="0" autoLine="0" autoPict="0">
            <anchor moveWithCells="1">
              <from>
                <xdr:col>18</xdr:col>
                <xdr:colOff>257175</xdr:colOff>
                <xdr:row>14</xdr:row>
                <xdr:rowOff>390525</xdr:rowOff>
              </from>
              <to>
                <xdr:col>19</xdr:col>
                <xdr:colOff>571500</xdr:colOff>
                <xdr:row>14</xdr:row>
                <xdr:rowOff>714375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9" r:id="rId29" name="Check Box 51">
          <controlPr defaultSize="0" autoFill="0" autoLine="0" autoPict="0">
            <anchor moveWithCells="1">
              <from>
                <xdr:col>18</xdr:col>
                <xdr:colOff>257175</xdr:colOff>
                <xdr:row>15</xdr:row>
                <xdr:rowOff>419100</xdr:rowOff>
              </from>
              <to>
                <xdr:col>19</xdr:col>
                <xdr:colOff>581025</xdr:colOff>
                <xdr:row>15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0" r:id="rId30" name="Check Box 52">
          <controlPr defaultSize="0" autoFill="0" autoLine="0" autoPict="0">
            <anchor moveWithCells="1">
              <from>
                <xdr:col>18</xdr:col>
                <xdr:colOff>257175</xdr:colOff>
                <xdr:row>16</xdr:row>
                <xdr:rowOff>400050</xdr:rowOff>
              </from>
              <to>
                <xdr:col>19</xdr:col>
                <xdr:colOff>609600</xdr:colOff>
                <xdr:row>16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1" r:id="rId31" name="Check Box 53">
          <controlPr defaultSize="0" autoFill="0" autoLine="0" autoPict="0">
            <anchor moveWithCells="1">
              <from>
                <xdr:col>18</xdr:col>
                <xdr:colOff>257175</xdr:colOff>
                <xdr:row>17</xdr:row>
                <xdr:rowOff>409575</xdr:rowOff>
              </from>
              <to>
                <xdr:col>19</xdr:col>
                <xdr:colOff>695325</xdr:colOff>
                <xdr:row>17</xdr:row>
                <xdr:rowOff>695325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2" r:id="rId32" name="Check Box 54">
          <controlPr defaultSize="0" autoFill="0" autoLine="0" autoPict="0">
            <anchor moveWithCells="1">
              <from>
                <xdr:col>18</xdr:col>
                <xdr:colOff>257175</xdr:colOff>
                <xdr:row>34</xdr:row>
                <xdr:rowOff>361950</xdr:rowOff>
              </from>
              <to>
                <xdr:col>20</xdr:col>
                <xdr:colOff>76200</xdr:colOff>
                <xdr:row>34</xdr:row>
                <xdr:rowOff>723900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3" r:id="rId33" name="Check Box 55">
          <controlPr defaultSize="0" autoFill="0" autoLine="0" autoPict="0">
            <anchor moveWithCells="1">
              <from>
                <xdr:col>18</xdr:col>
                <xdr:colOff>257175</xdr:colOff>
                <xdr:row>35</xdr:row>
                <xdr:rowOff>342900</xdr:rowOff>
              </from>
              <to>
                <xdr:col>20</xdr:col>
                <xdr:colOff>257175</xdr:colOff>
                <xdr:row>35</xdr:row>
                <xdr:rowOff>733425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4" r:id="rId34" name="Check Box 56">
          <controlPr defaultSize="0" autoFill="0" autoLine="0" autoPict="0">
            <anchor moveWithCells="1">
              <from>
                <xdr:col>18</xdr:col>
                <xdr:colOff>257175</xdr:colOff>
                <xdr:row>36</xdr:row>
                <xdr:rowOff>381000</xdr:rowOff>
              </from>
              <to>
                <xdr:col>20</xdr:col>
                <xdr:colOff>133350</xdr:colOff>
                <xdr:row>36</xdr:row>
                <xdr:rowOff>714375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5" r:id="rId35" name="Check Box 57">
          <controlPr defaultSize="0" autoFill="0" autoLine="0" autoPict="0">
            <anchor moveWithCells="1">
              <from>
                <xdr:col>18</xdr:col>
                <xdr:colOff>257175</xdr:colOff>
                <xdr:row>37</xdr:row>
                <xdr:rowOff>438150</xdr:rowOff>
              </from>
              <to>
                <xdr:col>19</xdr:col>
                <xdr:colOff>742950</xdr:colOff>
                <xdr:row>37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6" r:id="rId36" name="Check Box 58">
          <controlPr defaultSize="0" autoFill="0" autoLine="0" autoPict="0">
            <anchor moveWithCells="1">
              <from>
                <xdr:col>18</xdr:col>
                <xdr:colOff>257175</xdr:colOff>
                <xdr:row>38</xdr:row>
                <xdr:rowOff>419100</xdr:rowOff>
              </from>
              <to>
                <xdr:col>19</xdr:col>
                <xdr:colOff>742950</xdr:colOff>
                <xdr:row>38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7" r:id="rId37" name="Check Box 59">
          <controlPr defaultSize="0" autoFill="0" autoLine="0" autoPict="0">
            <anchor moveWithCells="1">
              <from>
                <xdr:col>18</xdr:col>
                <xdr:colOff>266700</xdr:colOff>
                <xdr:row>39</xdr:row>
                <xdr:rowOff>0</xdr:rowOff>
              </from>
              <to>
                <xdr:col>19</xdr:col>
                <xdr:colOff>752475</xdr:colOff>
                <xdr:row>39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8" r:id="rId38" name="Check Box 60">
          <controlPr defaultSize="0" autoFill="0" autoLine="0" autoPict="0">
            <anchor moveWithCells="1">
              <from>
                <xdr:col>18</xdr:col>
                <xdr:colOff>257175</xdr:colOff>
                <xdr:row>39</xdr:row>
                <xdr:rowOff>0</xdr:rowOff>
              </from>
              <to>
                <xdr:col>19</xdr:col>
                <xdr:colOff>742950</xdr:colOff>
                <xdr:row>39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9" r:id="rId39" name="Check Box 61">
          <controlPr defaultSize="0" autoFill="0" autoLine="0" autoPict="0">
            <anchor moveWithCells="1">
              <from>
                <xdr:col>18</xdr:col>
                <xdr:colOff>257175</xdr:colOff>
                <xdr:row>39</xdr:row>
                <xdr:rowOff>438150</xdr:rowOff>
              </from>
              <to>
                <xdr:col>19</xdr:col>
                <xdr:colOff>742950</xdr:colOff>
                <xdr:row>39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0" r:id="rId40" name="Check Box 62">
          <controlPr defaultSize="0" autoFill="0" autoLine="0" autoPict="0">
            <anchor moveWithCells="1">
              <from>
                <xdr:col>18</xdr:col>
                <xdr:colOff>266700</xdr:colOff>
                <xdr:row>40</xdr:row>
                <xdr:rowOff>447675</xdr:rowOff>
              </from>
              <to>
                <xdr:col>19</xdr:col>
                <xdr:colOff>752475</xdr:colOff>
                <xdr:row>40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1" r:id="rId41" name="Check Box 63">
          <controlPr defaultSize="0" autoFill="0" autoLine="0" autoPict="0">
            <anchor moveWithCells="1">
              <from>
                <xdr:col>18</xdr:col>
                <xdr:colOff>257175</xdr:colOff>
                <xdr:row>41</xdr:row>
                <xdr:rowOff>0</xdr:rowOff>
              </from>
              <to>
                <xdr:col>19</xdr:col>
                <xdr:colOff>742950</xdr:colOff>
                <xdr:row>41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2" r:id="rId42" name="Check Box 64">
          <controlPr defaultSize="0" autoFill="0" autoLine="0" autoPict="0">
            <anchor moveWithCells="1">
              <from>
                <xdr:col>18</xdr:col>
                <xdr:colOff>257175</xdr:colOff>
                <xdr:row>41</xdr:row>
                <xdr:rowOff>438150</xdr:rowOff>
              </from>
              <to>
                <xdr:col>19</xdr:col>
                <xdr:colOff>742950</xdr:colOff>
                <xdr:row>41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3" r:id="rId43" name="Check Box 65">
          <controlPr defaultSize="0" autoFill="0" autoLine="0" autoPict="0">
            <anchor moveWithCells="1">
              <from>
                <xdr:col>18</xdr:col>
                <xdr:colOff>257175</xdr:colOff>
                <xdr:row>42</xdr:row>
                <xdr:rowOff>419100</xdr:rowOff>
              </from>
              <to>
                <xdr:col>19</xdr:col>
                <xdr:colOff>742950</xdr:colOff>
                <xdr:row>42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4" r:id="rId44" name="Check Box 66">
          <controlPr defaultSize="0" autoFill="0" autoLine="0" autoPict="0">
            <anchor moveWithCells="1">
              <from>
                <xdr:col>18</xdr:col>
                <xdr:colOff>257175</xdr:colOff>
                <xdr:row>43</xdr:row>
                <xdr:rowOff>447675</xdr:rowOff>
              </from>
              <to>
                <xdr:col>19</xdr:col>
                <xdr:colOff>742950</xdr:colOff>
                <xdr:row>43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5" r:id="rId45" name="Check Box 67">
          <controlPr defaultSize="0" autoFill="0" autoLine="0" autoPict="0">
            <anchor moveWithCells="1">
              <from>
                <xdr:col>18</xdr:col>
                <xdr:colOff>257175</xdr:colOff>
                <xdr:row>44</xdr:row>
                <xdr:rowOff>419100</xdr:rowOff>
              </from>
              <to>
                <xdr:col>19</xdr:col>
                <xdr:colOff>742950</xdr:colOff>
                <xdr:row>44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6" r:id="rId46" name="Check Box 68">
          <controlPr defaultSize="0" autoFill="0" autoLine="0" autoPict="0">
            <anchor moveWithCells="1">
              <from>
                <xdr:col>18</xdr:col>
                <xdr:colOff>257175</xdr:colOff>
                <xdr:row>45</xdr:row>
                <xdr:rowOff>390525</xdr:rowOff>
              </from>
              <to>
                <xdr:col>19</xdr:col>
                <xdr:colOff>742950</xdr:colOff>
                <xdr:row>45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7" r:id="rId47" name="Check Box 69">
          <controlPr defaultSize="0" autoFill="0" autoLine="0" autoPict="0">
            <anchor moveWithCells="1">
              <from>
                <xdr:col>18</xdr:col>
                <xdr:colOff>257175</xdr:colOff>
                <xdr:row>46</xdr:row>
                <xdr:rowOff>428625</xdr:rowOff>
              </from>
              <to>
                <xdr:col>19</xdr:col>
                <xdr:colOff>742950</xdr:colOff>
                <xdr:row>46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8" r:id="rId48" name="Check Box 70">
          <controlPr defaultSize="0" autoFill="0" autoLine="0" autoPict="0">
            <anchor moveWithCells="1">
              <from>
                <xdr:col>18</xdr:col>
                <xdr:colOff>257175</xdr:colOff>
                <xdr:row>47</xdr:row>
                <xdr:rowOff>428625</xdr:rowOff>
              </from>
              <to>
                <xdr:col>19</xdr:col>
                <xdr:colOff>742950</xdr:colOff>
                <xdr:row>47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9" r:id="rId49" name="Check Box 71">
          <controlPr defaultSize="0" autoFill="0" autoLine="0" autoPict="0">
            <anchor moveWithCells="1">
              <from>
                <xdr:col>18</xdr:col>
                <xdr:colOff>257175</xdr:colOff>
                <xdr:row>48</xdr:row>
                <xdr:rowOff>400050</xdr:rowOff>
              </from>
              <to>
                <xdr:col>19</xdr:col>
                <xdr:colOff>742950</xdr:colOff>
                <xdr:row>48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0" r:id="rId50" name="Check Box 72">
          <controlPr defaultSize="0" autoFill="0" autoLine="0" autoPict="0">
            <anchor moveWithCells="1">
              <from>
                <xdr:col>18</xdr:col>
                <xdr:colOff>257175</xdr:colOff>
                <xdr:row>49</xdr:row>
                <xdr:rowOff>457200</xdr:rowOff>
              </from>
              <to>
                <xdr:col>19</xdr:col>
                <xdr:colOff>742950</xdr:colOff>
                <xdr:row>49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1" r:id="rId51" name="Check Box 73">
          <controlPr defaultSize="0" autoFill="0" autoLine="0" autoPict="0">
            <anchor moveWithCells="1">
              <from>
                <xdr:col>18</xdr:col>
                <xdr:colOff>257175</xdr:colOff>
                <xdr:row>50</xdr:row>
                <xdr:rowOff>409575</xdr:rowOff>
              </from>
              <to>
                <xdr:col>19</xdr:col>
                <xdr:colOff>742950</xdr:colOff>
                <xdr:row>50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2" r:id="rId52" name="Check Box 74">
          <controlPr defaultSize="0" autoFill="0" autoLine="0" autoPict="0">
            <anchor moveWithCells="1">
              <from>
                <xdr:col>18</xdr:col>
                <xdr:colOff>257175</xdr:colOff>
                <xdr:row>51</xdr:row>
                <xdr:rowOff>428625</xdr:rowOff>
              </from>
              <to>
                <xdr:col>19</xdr:col>
                <xdr:colOff>742950</xdr:colOff>
                <xdr:row>51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3" r:id="rId53" name="Check Box 75">
          <controlPr defaultSize="0" autoFill="0" autoLine="0" autoPict="0">
            <anchor moveWithCells="1">
              <from>
                <xdr:col>18</xdr:col>
                <xdr:colOff>257175</xdr:colOff>
                <xdr:row>52</xdr:row>
                <xdr:rowOff>438150</xdr:rowOff>
              </from>
              <to>
                <xdr:col>19</xdr:col>
                <xdr:colOff>742950</xdr:colOff>
                <xdr:row>52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4" r:id="rId54" name="Check Box 76">
          <controlPr defaultSize="0" autoFill="0" autoLine="0" autoPict="0">
            <anchor moveWithCells="1">
              <from>
                <xdr:col>18</xdr:col>
                <xdr:colOff>257175</xdr:colOff>
                <xdr:row>53</xdr:row>
                <xdr:rowOff>428625</xdr:rowOff>
              </from>
              <to>
                <xdr:col>19</xdr:col>
                <xdr:colOff>742950</xdr:colOff>
                <xdr:row>53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5" r:id="rId55" name="Check Box 77">
          <controlPr defaultSize="0" autoFill="0" autoLine="0" autoPict="0">
            <anchor moveWithCells="1">
              <from>
                <xdr:col>18</xdr:col>
                <xdr:colOff>257175</xdr:colOff>
                <xdr:row>54</xdr:row>
                <xdr:rowOff>438150</xdr:rowOff>
              </from>
              <to>
                <xdr:col>19</xdr:col>
                <xdr:colOff>742950</xdr:colOff>
                <xdr:row>54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6" r:id="rId56" name="Check Box 78">
          <controlPr defaultSize="0" autoFill="0" autoLine="0" autoPict="0">
            <anchor moveWithCells="1">
              <from>
                <xdr:col>18</xdr:col>
                <xdr:colOff>257175</xdr:colOff>
                <xdr:row>55</xdr:row>
                <xdr:rowOff>438150</xdr:rowOff>
              </from>
              <to>
                <xdr:col>19</xdr:col>
                <xdr:colOff>742950</xdr:colOff>
                <xdr:row>55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7" r:id="rId57" name="Check Box 79">
          <controlPr defaultSize="0" autoFill="0" autoLine="0" autoPict="0">
            <anchor moveWithCells="1">
              <from>
                <xdr:col>18</xdr:col>
                <xdr:colOff>257175</xdr:colOff>
                <xdr:row>56</xdr:row>
                <xdr:rowOff>447675</xdr:rowOff>
              </from>
              <to>
                <xdr:col>19</xdr:col>
                <xdr:colOff>742950</xdr:colOff>
                <xdr:row>56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8" r:id="rId58" name="Check Box 80">
          <controlPr defaultSize="0" autoFill="0" autoLine="0" autoPict="0">
            <anchor moveWithCells="1">
              <from>
                <xdr:col>18</xdr:col>
                <xdr:colOff>266700</xdr:colOff>
                <xdr:row>57</xdr:row>
                <xdr:rowOff>428625</xdr:rowOff>
              </from>
              <to>
                <xdr:col>19</xdr:col>
                <xdr:colOff>752475</xdr:colOff>
                <xdr:row>57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9" r:id="rId59" name="Check Box 81">
          <controlPr defaultSize="0" autoFill="0" autoLine="0" autoPict="0">
            <anchor moveWithCells="1">
              <from>
                <xdr:col>18</xdr:col>
                <xdr:colOff>266700</xdr:colOff>
                <xdr:row>58</xdr:row>
                <xdr:rowOff>457200</xdr:rowOff>
              </from>
              <to>
                <xdr:col>19</xdr:col>
                <xdr:colOff>752475</xdr:colOff>
                <xdr:row>58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0" r:id="rId60" name="Check Box 82">
          <controlPr defaultSize="0" autoFill="0" autoLine="0" autoPict="0">
            <anchor moveWithCells="1">
              <from>
                <xdr:col>18</xdr:col>
                <xdr:colOff>257175</xdr:colOff>
                <xdr:row>59</xdr:row>
                <xdr:rowOff>428625</xdr:rowOff>
              </from>
              <to>
                <xdr:col>19</xdr:col>
                <xdr:colOff>742950</xdr:colOff>
                <xdr:row>59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1" r:id="rId61" name="Check Box 83">
          <controlPr defaultSize="0" autoFill="0" autoLine="0" autoPict="0">
            <anchor moveWithCells="1">
              <from>
                <xdr:col>18</xdr:col>
                <xdr:colOff>257175</xdr:colOff>
                <xdr:row>60</xdr:row>
                <xdr:rowOff>419100</xdr:rowOff>
              </from>
              <to>
                <xdr:col>19</xdr:col>
                <xdr:colOff>742950</xdr:colOff>
                <xdr:row>60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2" r:id="rId62" name="Check Box 84">
          <controlPr defaultSize="0" autoFill="0" autoLine="0" autoPict="0">
            <anchor moveWithCells="1">
              <from>
                <xdr:col>18</xdr:col>
                <xdr:colOff>257175</xdr:colOff>
                <xdr:row>61</xdr:row>
                <xdr:rowOff>447675</xdr:rowOff>
              </from>
              <to>
                <xdr:col>19</xdr:col>
                <xdr:colOff>742950</xdr:colOff>
                <xdr:row>61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3" r:id="rId63" name="Check Box 85">
          <controlPr defaultSize="0" autoFill="0" autoLine="0" autoPict="0">
            <anchor moveWithCells="1">
              <from>
                <xdr:col>18</xdr:col>
                <xdr:colOff>257175</xdr:colOff>
                <xdr:row>62</xdr:row>
                <xdr:rowOff>457200</xdr:rowOff>
              </from>
              <to>
                <xdr:col>19</xdr:col>
                <xdr:colOff>742950</xdr:colOff>
                <xdr:row>62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4" r:id="rId64" name="Check Box 86">
          <controlPr defaultSize="0" autoFill="0" autoLine="0" autoPict="0">
            <anchor moveWithCells="1">
              <from>
                <xdr:col>18</xdr:col>
                <xdr:colOff>257175</xdr:colOff>
                <xdr:row>63</xdr:row>
                <xdr:rowOff>438150</xdr:rowOff>
              </from>
              <to>
                <xdr:col>19</xdr:col>
                <xdr:colOff>742950</xdr:colOff>
                <xdr:row>63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5" r:id="rId65" name="Check Box 87">
          <controlPr defaultSize="0" autoFill="0" autoLine="0" autoPict="0">
            <anchor moveWithCells="1">
              <from>
                <xdr:col>18</xdr:col>
                <xdr:colOff>257175</xdr:colOff>
                <xdr:row>64</xdr:row>
                <xdr:rowOff>447675</xdr:rowOff>
              </from>
              <to>
                <xdr:col>19</xdr:col>
                <xdr:colOff>742950</xdr:colOff>
                <xdr:row>64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6" r:id="rId66" name="Check Box 88">
          <controlPr defaultSize="0" autoFill="0" autoLine="0" autoPict="0">
            <anchor moveWithCells="1">
              <from>
                <xdr:col>18</xdr:col>
                <xdr:colOff>257175</xdr:colOff>
                <xdr:row>65</xdr:row>
                <xdr:rowOff>447675</xdr:rowOff>
              </from>
              <to>
                <xdr:col>19</xdr:col>
                <xdr:colOff>742950</xdr:colOff>
                <xdr:row>65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7" r:id="rId67" name="Check Box 89">
          <controlPr defaultSize="0" autoFill="0" autoLine="0" autoPict="0">
            <anchor moveWithCells="1">
              <from>
                <xdr:col>18</xdr:col>
                <xdr:colOff>257175</xdr:colOff>
                <xdr:row>66</xdr:row>
                <xdr:rowOff>466725</xdr:rowOff>
              </from>
              <to>
                <xdr:col>19</xdr:col>
                <xdr:colOff>742950</xdr:colOff>
                <xdr:row>66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8" r:id="rId68" name="Check Box 90">
          <controlPr defaultSize="0" autoFill="0" autoLine="0" autoPict="0">
            <anchor moveWithCells="1">
              <from>
                <xdr:col>18</xdr:col>
                <xdr:colOff>257175</xdr:colOff>
                <xdr:row>67</xdr:row>
                <xdr:rowOff>457200</xdr:rowOff>
              </from>
              <to>
                <xdr:col>19</xdr:col>
                <xdr:colOff>742950</xdr:colOff>
                <xdr:row>67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9" r:id="rId69" name="Check Box 91">
          <controlPr defaultSize="0" autoFill="0" autoLine="0" autoPict="0">
            <anchor moveWithCells="1">
              <from>
                <xdr:col>18</xdr:col>
                <xdr:colOff>257175</xdr:colOff>
                <xdr:row>68</xdr:row>
                <xdr:rowOff>457200</xdr:rowOff>
              </from>
              <to>
                <xdr:col>19</xdr:col>
                <xdr:colOff>742950</xdr:colOff>
                <xdr:row>68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0" r:id="rId70" name="Check Box 92">
          <controlPr defaultSize="0" autoFill="0" autoLine="0" autoPict="0">
            <anchor moveWithCells="1">
              <from>
                <xdr:col>18</xdr:col>
                <xdr:colOff>257175</xdr:colOff>
                <xdr:row>69</xdr:row>
                <xdr:rowOff>447675</xdr:rowOff>
              </from>
              <to>
                <xdr:col>19</xdr:col>
                <xdr:colOff>742950</xdr:colOff>
                <xdr:row>69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1" r:id="rId71" name="Check Box 93">
          <controlPr defaultSize="0" autoFill="0" autoLine="0" autoPict="0">
            <anchor moveWithCells="1">
              <from>
                <xdr:col>18</xdr:col>
                <xdr:colOff>257175</xdr:colOff>
                <xdr:row>70</xdr:row>
                <xdr:rowOff>457200</xdr:rowOff>
              </from>
              <to>
                <xdr:col>19</xdr:col>
                <xdr:colOff>742950</xdr:colOff>
                <xdr:row>70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2" r:id="rId72" name="Check Box 94">
          <controlPr defaultSize="0" autoFill="0" autoLine="0" autoPict="0">
            <anchor moveWithCells="1">
              <from>
                <xdr:col>18</xdr:col>
                <xdr:colOff>257175</xdr:colOff>
                <xdr:row>71</xdr:row>
                <xdr:rowOff>438150</xdr:rowOff>
              </from>
              <to>
                <xdr:col>19</xdr:col>
                <xdr:colOff>742950</xdr:colOff>
                <xdr:row>71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3" r:id="rId73" name="Check Box 95">
          <controlPr defaultSize="0" autoFill="0" autoLine="0" autoPict="0">
            <anchor moveWithCells="1">
              <from>
                <xdr:col>18</xdr:col>
                <xdr:colOff>257175</xdr:colOff>
                <xdr:row>72</xdr:row>
                <xdr:rowOff>438150</xdr:rowOff>
              </from>
              <to>
                <xdr:col>19</xdr:col>
                <xdr:colOff>742950</xdr:colOff>
                <xdr:row>72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4" r:id="rId74" name="Check Box 96">
          <controlPr defaultSize="0" autoFill="0" autoLine="0" autoPict="0">
            <anchor moveWithCells="1">
              <from>
                <xdr:col>18</xdr:col>
                <xdr:colOff>257175</xdr:colOff>
                <xdr:row>73</xdr:row>
                <xdr:rowOff>438150</xdr:rowOff>
              </from>
              <to>
                <xdr:col>19</xdr:col>
                <xdr:colOff>742950</xdr:colOff>
                <xdr:row>73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5" r:id="rId75" name="Check Box 97">
          <controlPr defaultSize="0" autoFill="0" autoLine="0" autoPict="0">
            <anchor moveWithCells="1">
              <from>
                <xdr:col>18</xdr:col>
                <xdr:colOff>257175</xdr:colOff>
                <xdr:row>74</xdr:row>
                <xdr:rowOff>447675</xdr:rowOff>
              </from>
              <to>
                <xdr:col>19</xdr:col>
                <xdr:colOff>742950</xdr:colOff>
                <xdr:row>74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6" r:id="rId76" name="Check Box 98">
          <controlPr defaultSize="0" autoFill="0" autoLine="0" autoPict="0">
            <anchor moveWithCells="1">
              <from>
                <xdr:col>18</xdr:col>
                <xdr:colOff>257175</xdr:colOff>
                <xdr:row>75</xdr:row>
                <xdr:rowOff>428625</xdr:rowOff>
              </from>
              <to>
                <xdr:col>19</xdr:col>
                <xdr:colOff>742950</xdr:colOff>
                <xdr:row>75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7" r:id="rId77" name="Check Box 99">
          <controlPr defaultSize="0" autoFill="0" autoLine="0" autoPict="0">
            <anchor moveWithCells="1">
              <from>
                <xdr:col>18</xdr:col>
                <xdr:colOff>257175</xdr:colOff>
                <xdr:row>76</xdr:row>
                <xdr:rowOff>457200</xdr:rowOff>
              </from>
              <to>
                <xdr:col>19</xdr:col>
                <xdr:colOff>742950</xdr:colOff>
                <xdr:row>76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8" r:id="rId78" name="Check Box 100">
          <controlPr defaultSize="0" autoFill="0" autoLine="0" autoPict="0">
            <anchor moveWithCells="1">
              <from>
                <xdr:col>18</xdr:col>
                <xdr:colOff>257175</xdr:colOff>
                <xdr:row>77</xdr:row>
                <xdr:rowOff>457200</xdr:rowOff>
              </from>
              <to>
                <xdr:col>20</xdr:col>
                <xdr:colOff>38100</xdr:colOff>
                <xdr:row>77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9" r:id="rId79" name="Check Box 101">
          <controlPr defaultSize="0" autoFill="0" autoLine="0" autoPict="0">
            <anchor moveWithCells="1">
              <from>
                <xdr:col>18</xdr:col>
                <xdr:colOff>257175</xdr:colOff>
                <xdr:row>78</xdr:row>
                <xdr:rowOff>428625</xdr:rowOff>
              </from>
              <to>
                <xdr:col>20</xdr:col>
                <xdr:colOff>38100</xdr:colOff>
                <xdr:row>78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0" r:id="rId80" name="Check Box 102">
          <controlPr defaultSize="0" autoFill="0" autoLine="0" autoPict="0">
            <anchor moveWithCells="1">
              <from>
                <xdr:col>18</xdr:col>
                <xdr:colOff>257175</xdr:colOff>
                <xdr:row>79</xdr:row>
                <xdr:rowOff>419100</xdr:rowOff>
              </from>
              <to>
                <xdr:col>20</xdr:col>
                <xdr:colOff>38100</xdr:colOff>
                <xdr:row>79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1" r:id="rId81" name="Check Box 103">
          <controlPr defaultSize="0" autoFill="0" autoLine="0" autoPict="0">
            <anchor moveWithCells="1">
              <from>
                <xdr:col>18</xdr:col>
                <xdr:colOff>257175</xdr:colOff>
                <xdr:row>80</xdr:row>
                <xdr:rowOff>466725</xdr:rowOff>
              </from>
              <to>
                <xdr:col>20</xdr:col>
                <xdr:colOff>38100</xdr:colOff>
                <xdr:row>80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2" r:id="rId82" name="Check Box 104">
          <controlPr defaultSize="0" autoFill="0" autoLine="0" autoPict="0">
            <anchor moveWithCells="1">
              <from>
                <xdr:col>18</xdr:col>
                <xdr:colOff>257175</xdr:colOff>
                <xdr:row>81</xdr:row>
                <xdr:rowOff>438150</xdr:rowOff>
              </from>
              <to>
                <xdr:col>20</xdr:col>
                <xdr:colOff>38100</xdr:colOff>
                <xdr:row>81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3" r:id="rId83" name="Check Box 105">
          <controlPr defaultSize="0" autoFill="0" autoLine="0" autoPict="0">
            <anchor moveWithCells="1">
              <from>
                <xdr:col>18</xdr:col>
                <xdr:colOff>257175</xdr:colOff>
                <xdr:row>82</xdr:row>
                <xdr:rowOff>466725</xdr:rowOff>
              </from>
              <to>
                <xdr:col>20</xdr:col>
                <xdr:colOff>38100</xdr:colOff>
                <xdr:row>82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4" r:id="rId84" name="Check Box 106">
          <controlPr defaultSize="0" autoFill="0" autoLine="0" autoPict="0">
            <anchor moveWithCells="1">
              <from>
                <xdr:col>18</xdr:col>
                <xdr:colOff>257175</xdr:colOff>
                <xdr:row>83</xdr:row>
                <xdr:rowOff>447675</xdr:rowOff>
              </from>
              <to>
                <xdr:col>20</xdr:col>
                <xdr:colOff>38100</xdr:colOff>
                <xdr:row>83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5" r:id="rId85" name="Check Box 107">
          <controlPr defaultSize="0" autoFill="0" autoLine="0" autoPict="0">
            <anchor moveWithCells="1">
              <from>
                <xdr:col>18</xdr:col>
                <xdr:colOff>257175</xdr:colOff>
                <xdr:row>85</xdr:row>
                <xdr:rowOff>428625</xdr:rowOff>
              </from>
              <to>
                <xdr:col>20</xdr:col>
                <xdr:colOff>38100</xdr:colOff>
                <xdr:row>85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6" r:id="rId86" name="Check Box 108">
          <controlPr defaultSize="0" autoFill="0" autoLine="0" autoPict="0">
            <anchor moveWithCells="1">
              <from>
                <xdr:col>18</xdr:col>
                <xdr:colOff>257175</xdr:colOff>
                <xdr:row>86</xdr:row>
                <xdr:rowOff>409575</xdr:rowOff>
              </from>
              <to>
                <xdr:col>20</xdr:col>
                <xdr:colOff>38100</xdr:colOff>
                <xdr:row>86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7" r:id="rId87" name="Check Box 109">
          <controlPr defaultSize="0" autoFill="0" autoLine="0" autoPict="0">
            <anchor moveWithCells="1">
              <from>
                <xdr:col>18</xdr:col>
                <xdr:colOff>266700</xdr:colOff>
                <xdr:row>87</xdr:row>
                <xdr:rowOff>447675</xdr:rowOff>
              </from>
              <to>
                <xdr:col>20</xdr:col>
                <xdr:colOff>47625</xdr:colOff>
                <xdr:row>87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8" r:id="rId88" name="Check Box 110">
          <controlPr defaultSize="0" autoFill="0" autoLine="0" autoPict="0">
            <anchor moveWithCells="1">
              <from>
                <xdr:col>18</xdr:col>
                <xdr:colOff>257175</xdr:colOff>
                <xdr:row>88</xdr:row>
                <xdr:rowOff>438150</xdr:rowOff>
              </from>
              <to>
                <xdr:col>20</xdr:col>
                <xdr:colOff>38100</xdr:colOff>
                <xdr:row>88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9" r:id="rId89" name="Check Box 111">
          <controlPr defaultSize="0" autoFill="0" autoLine="0" autoPict="0">
            <anchor moveWithCells="1">
              <from>
                <xdr:col>18</xdr:col>
                <xdr:colOff>257175</xdr:colOff>
                <xdr:row>89</xdr:row>
                <xdr:rowOff>447675</xdr:rowOff>
              </from>
              <to>
                <xdr:col>20</xdr:col>
                <xdr:colOff>38100</xdr:colOff>
                <xdr:row>89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0" r:id="rId90" name="Check Box 112">
          <controlPr defaultSize="0" autoFill="0" autoLine="0" autoPict="0">
            <anchor moveWithCells="1">
              <from>
                <xdr:col>18</xdr:col>
                <xdr:colOff>257175</xdr:colOff>
                <xdr:row>90</xdr:row>
                <xdr:rowOff>457200</xdr:rowOff>
              </from>
              <to>
                <xdr:col>20</xdr:col>
                <xdr:colOff>38100</xdr:colOff>
                <xdr:row>90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1" r:id="rId91" name="Check Box 113">
          <controlPr defaultSize="0" autoFill="0" autoLine="0" autoPict="0">
            <anchor moveWithCells="1">
              <from>
                <xdr:col>18</xdr:col>
                <xdr:colOff>257175</xdr:colOff>
                <xdr:row>91</xdr:row>
                <xdr:rowOff>390525</xdr:rowOff>
              </from>
              <to>
                <xdr:col>20</xdr:col>
                <xdr:colOff>38100</xdr:colOff>
                <xdr:row>91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2" r:id="rId92" name="Check Box 114">
          <controlPr defaultSize="0" autoFill="0" autoLine="0" autoPict="0">
            <anchor moveWithCells="1">
              <from>
                <xdr:col>18</xdr:col>
                <xdr:colOff>257175</xdr:colOff>
                <xdr:row>92</xdr:row>
                <xdr:rowOff>447675</xdr:rowOff>
              </from>
              <to>
                <xdr:col>20</xdr:col>
                <xdr:colOff>38100</xdr:colOff>
                <xdr:row>92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3" r:id="rId93" name="Check Box 115">
          <controlPr defaultSize="0" autoFill="0" autoLine="0" autoPict="0">
            <anchor moveWithCells="1">
              <from>
                <xdr:col>18</xdr:col>
                <xdr:colOff>257175</xdr:colOff>
                <xdr:row>93</xdr:row>
                <xdr:rowOff>457200</xdr:rowOff>
              </from>
              <to>
                <xdr:col>20</xdr:col>
                <xdr:colOff>38100</xdr:colOff>
                <xdr:row>93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4" r:id="rId94" name="Check Box 116">
          <controlPr defaultSize="0" autoFill="0" autoLine="0" autoPict="0">
            <anchor moveWithCells="1">
              <from>
                <xdr:col>18</xdr:col>
                <xdr:colOff>257175</xdr:colOff>
                <xdr:row>94</xdr:row>
                <xdr:rowOff>400050</xdr:rowOff>
              </from>
              <to>
                <xdr:col>20</xdr:col>
                <xdr:colOff>38100</xdr:colOff>
                <xdr:row>94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" r:id="rId95" name="Check Box 117">
          <controlPr defaultSize="0" autoFill="0" autoLine="0" autoPict="0">
            <anchor moveWithCells="1">
              <from>
                <xdr:col>18</xdr:col>
                <xdr:colOff>266700</xdr:colOff>
                <xdr:row>95</xdr:row>
                <xdr:rowOff>438150</xdr:rowOff>
              </from>
              <to>
                <xdr:col>20</xdr:col>
                <xdr:colOff>47625</xdr:colOff>
                <xdr:row>95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" r:id="rId96" name="Check Box 118">
          <controlPr defaultSize="0" autoFill="0" autoLine="0" autoPict="0">
            <anchor moveWithCells="1">
              <from>
                <xdr:col>18</xdr:col>
                <xdr:colOff>257175</xdr:colOff>
                <xdr:row>96</xdr:row>
                <xdr:rowOff>409575</xdr:rowOff>
              </from>
              <to>
                <xdr:col>20</xdr:col>
                <xdr:colOff>38100</xdr:colOff>
                <xdr:row>96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" r:id="rId97" name="Check Box 119">
          <controlPr defaultSize="0" autoFill="0" autoLine="0" autoPict="0">
            <anchor moveWithCells="1">
              <from>
                <xdr:col>18</xdr:col>
                <xdr:colOff>257175</xdr:colOff>
                <xdr:row>97</xdr:row>
                <xdr:rowOff>457200</xdr:rowOff>
              </from>
              <to>
                <xdr:col>20</xdr:col>
                <xdr:colOff>38100</xdr:colOff>
                <xdr:row>97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" r:id="rId98" name="Check Box 120">
          <controlPr defaultSize="0" autoFill="0" autoLine="0" autoPict="0">
            <anchor moveWithCells="1">
              <from>
                <xdr:col>18</xdr:col>
                <xdr:colOff>257175</xdr:colOff>
                <xdr:row>98</xdr:row>
                <xdr:rowOff>419100</xdr:rowOff>
              </from>
              <to>
                <xdr:col>20</xdr:col>
                <xdr:colOff>38100</xdr:colOff>
                <xdr:row>98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" r:id="rId99" name="Check Box 121">
          <controlPr defaultSize="0" autoFill="0" autoLine="0" autoPict="0">
            <anchor moveWithCells="1">
              <from>
                <xdr:col>18</xdr:col>
                <xdr:colOff>257175</xdr:colOff>
                <xdr:row>99</xdr:row>
                <xdr:rowOff>438150</xdr:rowOff>
              </from>
              <to>
                <xdr:col>20</xdr:col>
                <xdr:colOff>38100</xdr:colOff>
                <xdr:row>99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0" r:id="rId100" name="Check Box 122">
          <controlPr defaultSize="0" autoFill="0" autoLine="0" autoPict="0">
            <anchor moveWithCells="1">
              <from>
                <xdr:col>18</xdr:col>
                <xdr:colOff>257175</xdr:colOff>
                <xdr:row>100</xdr:row>
                <xdr:rowOff>419100</xdr:rowOff>
              </from>
              <to>
                <xdr:col>20</xdr:col>
                <xdr:colOff>38100</xdr:colOff>
                <xdr:row>100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1" r:id="rId101" name="Check Box 123">
          <controlPr defaultSize="0" autoFill="0" autoLine="0" autoPict="0">
            <anchor moveWithCells="1">
              <from>
                <xdr:col>18</xdr:col>
                <xdr:colOff>257175</xdr:colOff>
                <xdr:row>101</xdr:row>
                <xdr:rowOff>457200</xdr:rowOff>
              </from>
              <to>
                <xdr:col>20</xdr:col>
                <xdr:colOff>38100</xdr:colOff>
                <xdr:row>101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2" r:id="rId102" name="Check Box 124">
          <controlPr defaultSize="0" autoFill="0" autoLine="0" autoPict="0">
            <anchor moveWithCells="1">
              <from>
                <xdr:col>18</xdr:col>
                <xdr:colOff>257175</xdr:colOff>
                <xdr:row>102</xdr:row>
                <xdr:rowOff>419100</xdr:rowOff>
              </from>
              <to>
                <xdr:col>20</xdr:col>
                <xdr:colOff>38100</xdr:colOff>
                <xdr:row>102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3" r:id="rId103" name="Check Box 125">
          <controlPr defaultSize="0" autoFill="0" autoLine="0" autoPict="0">
            <anchor moveWithCells="1">
              <from>
                <xdr:col>18</xdr:col>
                <xdr:colOff>257175</xdr:colOff>
                <xdr:row>103</xdr:row>
                <xdr:rowOff>438150</xdr:rowOff>
              </from>
              <to>
                <xdr:col>20</xdr:col>
                <xdr:colOff>38100</xdr:colOff>
                <xdr:row>103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4" r:id="rId104" name="Check Box 126">
          <controlPr defaultSize="0" autoFill="0" autoLine="0" autoPict="0">
            <anchor moveWithCells="1">
              <from>
                <xdr:col>18</xdr:col>
                <xdr:colOff>257175</xdr:colOff>
                <xdr:row>104</xdr:row>
                <xdr:rowOff>428625</xdr:rowOff>
              </from>
              <to>
                <xdr:col>20</xdr:col>
                <xdr:colOff>38100</xdr:colOff>
                <xdr:row>104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5" r:id="rId105" name="Check Box 127">
          <controlPr defaultSize="0" autoFill="0" autoLine="0" autoPict="0">
            <anchor moveWithCells="1">
              <from>
                <xdr:col>18</xdr:col>
                <xdr:colOff>257175</xdr:colOff>
                <xdr:row>105</xdr:row>
                <xdr:rowOff>419100</xdr:rowOff>
              </from>
              <to>
                <xdr:col>20</xdr:col>
                <xdr:colOff>38100</xdr:colOff>
                <xdr:row>105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6" r:id="rId106" name="Check Box 128">
          <controlPr defaultSize="0" autoFill="0" autoLine="0" autoPict="0">
            <anchor moveWithCells="1">
              <from>
                <xdr:col>18</xdr:col>
                <xdr:colOff>257175</xdr:colOff>
                <xdr:row>106</xdr:row>
                <xdr:rowOff>428625</xdr:rowOff>
              </from>
              <to>
                <xdr:col>20</xdr:col>
                <xdr:colOff>38100</xdr:colOff>
                <xdr:row>106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7" r:id="rId107" name="Check Box 129">
          <controlPr defaultSize="0" autoFill="0" autoLine="0" autoPict="0">
            <anchor moveWithCells="1">
              <from>
                <xdr:col>18</xdr:col>
                <xdr:colOff>257175</xdr:colOff>
                <xdr:row>107</xdr:row>
                <xdr:rowOff>438150</xdr:rowOff>
              </from>
              <to>
                <xdr:col>20</xdr:col>
                <xdr:colOff>38100</xdr:colOff>
                <xdr:row>107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8" r:id="rId108" name="Check Box 130">
          <controlPr defaultSize="0" autoFill="0" autoLine="0" autoPict="0">
            <anchor moveWithCells="1">
              <from>
                <xdr:col>18</xdr:col>
                <xdr:colOff>257175</xdr:colOff>
                <xdr:row>108</xdr:row>
                <xdr:rowOff>438150</xdr:rowOff>
              </from>
              <to>
                <xdr:col>20</xdr:col>
                <xdr:colOff>38100</xdr:colOff>
                <xdr:row>108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9" r:id="rId109" name="Check Box 131">
          <controlPr defaultSize="0" autoFill="0" autoLine="0" autoPict="0">
            <anchor moveWithCells="1">
              <from>
                <xdr:col>18</xdr:col>
                <xdr:colOff>257175</xdr:colOff>
                <xdr:row>109</xdr:row>
                <xdr:rowOff>438150</xdr:rowOff>
              </from>
              <to>
                <xdr:col>20</xdr:col>
                <xdr:colOff>38100</xdr:colOff>
                <xdr:row>109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0" r:id="rId110" name="Check Box 132">
          <controlPr defaultSize="0" autoFill="0" autoLine="0" autoPict="0">
            <anchor moveWithCells="1">
              <from>
                <xdr:col>18</xdr:col>
                <xdr:colOff>257175</xdr:colOff>
                <xdr:row>110</xdr:row>
                <xdr:rowOff>447675</xdr:rowOff>
              </from>
              <to>
                <xdr:col>20</xdr:col>
                <xdr:colOff>38100</xdr:colOff>
                <xdr:row>110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1" r:id="rId111" name="Check Box 133">
          <controlPr defaultSize="0" autoFill="0" autoLine="0" autoPict="0">
            <anchor moveWithCells="1">
              <from>
                <xdr:col>18</xdr:col>
                <xdr:colOff>257175</xdr:colOff>
                <xdr:row>111</xdr:row>
                <xdr:rowOff>466725</xdr:rowOff>
              </from>
              <to>
                <xdr:col>20</xdr:col>
                <xdr:colOff>38100</xdr:colOff>
                <xdr:row>111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2" r:id="rId112" name="Check Box 134">
          <controlPr defaultSize="0" autoFill="0" autoLine="0" autoPict="0">
            <anchor moveWithCells="1">
              <from>
                <xdr:col>18</xdr:col>
                <xdr:colOff>257175</xdr:colOff>
                <xdr:row>112</xdr:row>
                <xdr:rowOff>438150</xdr:rowOff>
              </from>
              <to>
                <xdr:col>20</xdr:col>
                <xdr:colOff>38100</xdr:colOff>
                <xdr:row>112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3" r:id="rId113" name="Check Box 135">
          <controlPr defaultSize="0" autoFill="0" autoLine="0" autoPict="0">
            <anchor moveWithCells="1">
              <from>
                <xdr:col>18</xdr:col>
                <xdr:colOff>257175</xdr:colOff>
                <xdr:row>113</xdr:row>
                <xdr:rowOff>419100</xdr:rowOff>
              </from>
              <to>
                <xdr:col>20</xdr:col>
                <xdr:colOff>38100</xdr:colOff>
                <xdr:row>113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4" r:id="rId114" name="Check Box 136">
          <controlPr defaultSize="0" autoFill="0" autoLine="0" autoPict="0">
            <anchor moveWithCells="1">
              <from>
                <xdr:col>18</xdr:col>
                <xdr:colOff>257175</xdr:colOff>
                <xdr:row>114</xdr:row>
                <xdr:rowOff>419100</xdr:rowOff>
              </from>
              <to>
                <xdr:col>20</xdr:col>
                <xdr:colOff>38100</xdr:colOff>
                <xdr:row>114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5" r:id="rId115" name="Check Box 137">
          <controlPr defaultSize="0" autoFill="0" autoLine="0" autoPict="0">
            <anchor moveWithCells="1">
              <from>
                <xdr:col>18</xdr:col>
                <xdr:colOff>257175</xdr:colOff>
                <xdr:row>115</xdr:row>
                <xdr:rowOff>428625</xdr:rowOff>
              </from>
              <to>
                <xdr:col>20</xdr:col>
                <xdr:colOff>38100</xdr:colOff>
                <xdr:row>115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6" r:id="rId116" name="Check Box 138">
          <controlPr defaultSize="0" autoFill="0" autoLine="0" autoPict="0">
            <anchor moveWithCells="1">
              <from>
                <xdr:col>18</xdr:col>
                <xdr:colOff>257175</xdr:colOff>
                <xdr:row>116</xdr:row>
                <xdr:rowOff>419100</xdr:rowOff>
              </from>
              <to>
                <xdr:col>20</xdr:col>
                <xdr:colOff>38100</xdr:colOff>
                <xdr:row>116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7" r:id="rId117" name="Check Box 139">
          <controlPr defaultSize="0" autoFill="0" autoLine="0" autoPict="0">
            <anchor moveWithCells="1">
              <from>
                <xdr:col>18</xdr:col>
                <xdr:colOff>257175</xdr:colOff>
                <xdr:row>117</xdr:row>
                <xdr:rowOff>428625</xdr:rowOff>
              </from>
              <to>
                <xdr:col>20</xdr:col>
                <xdr:colOff>38100</xdr:colOff>
                <xdr:row>117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8" r:id="rId118" name="Check Box 140">
          <controlPr defaultSize="0" autoFill="0" autoLine="0" autoPict="0">
            <anchor moveWithCells="1">
              <from>
                <xdr:col>18</xdr:col>
                <xdr:colOff>257175</xdr:colOff>
                <xdr:row>118</xdr:row>
                <xdr:rowOff>447675</xdr:rowOff>
              </from>
              <to>
                <xdr:col>20</xdr:col>
                <xdr:colOff>38100</xdr:colOff>
                <xdr:row>118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9" r:id="rId119" name="Check Box 141">
          <controlPr defaultSize="0" autoFill="0" autoLine="0" autoPict="0">
            <anchor moveWithCells="1">
              <from>
                <xdr:col>18</xdr:col>
                <xdr:colOff>257175</xdr:colOff>
                <xdr:row>119</xdr:row>
                <xdr:rowOff>428625</xdr:rowOff>
              </from>
              <to>
                <xdr:col>20</xdr:col>
                <xdr:colOff>38100</xdr:colOff>
                <xdr:row>119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0" r:id="rId120" name="Check Box 142">
          <controlPr defaultSize="0" autoFill="0" autoLine="0" autoPict="0">
            <anchor moveWithCells="1">
              <from>
                <xdr:col>18</xdr:col>
                <xdr:colOff>257175</xdr:colOff>
                <xdr:row>120</xdr:row>
                <xdr:rowOff>466725</xdr:rowOff>
              </from>
              <to>
                <xdr:col>20</xdr:col>
                <xdr:colOff>38100</xdr:colOff>
                <xdr:row>120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1" r:id="rId121" name="Check Box 143">
          <controlPr defaultSize="0" autoFill="0" autoLine="0" autoPict="0">
            <anchor moveWithCells="1">
              <from>
                <xdr:col>18</xdr:col>
                <xdr:colOff>257175</xdr:colOff>
                <xdr:row>122</xdr:row>
                <xdr:rowOff>438150</xdr:rowOff>
              </from>
              <to>
                <xdr:col>20</xdr:col>
                <xdr:colOff>38100</xdr:colOff>
                <xdr:row>122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2" r:id="rId122" name="Check Box 144">
          <controlPr defaultSize="0" autoFill="0" autoLine="0" autoPict="0">
            <anchor moveWithCells="1">
              <from>
                <xdr:col>18</xdr:col>
                <xdr:colOff>257175</xdr:colOff>
                <xdr:row>124</xdr:row>
                <xdr:rowOff>419100</xdr:rowOff>
              </from>
              <to>
                <xdr:col>20</xdr:col>
                <xdr:colOff>38100</xdr:colOff>
                <xdr:row>124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3" r:id="rId123" name="Check Box 145">
          <controlPr defaultSize="0" autoFill="0" autoLine="0" autoPict="0">
            <anchor moveWithCells="1">
              <from>
                <xdr:col>18</xdr:col>
                <xdr:colOff>257175</xdr:colOff>
                <xdr:row>125</xdr:row>
                <xdr:rowOff>419100</xdr:rowOff>
              </from>
              <to>
                <xdr:col>20</xdr:col>
                <xdr:colOff>38100</xdr:colOff>
                <xdr:row>125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4" r:id="rId124" name="Check Box 146">
          <controlPr defaultSize="0" autoFill="0" autoLine="0" autoPict="0">
            <anchor moveWithCells="1">
              <from>
                <xdr:col>18</xdr:col>
                <xdr:colOff>257175</xdr:colOff>
                <xdr:row>126</xdr:row>
                <xdr:rowOff>428625</xdr:rowOff>
              </from>
              <to>
                <xdr:col>20</xdr:col>
                <xdr:colOff>38100</xdr:colOff>
                <xdr:row>126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5" r:id="rId125" name="Check Box 147">
          <controlPr defaultSize="0" autoFill="0" autoLine="0" autoPict="0">
            <anchor moveWithCells="1">
              <from>
                <xdr:col>18</xdr:col>
                <xdr:colOff>257175</xdr:colOff>
                <xdr:row>127</xdr:row>
                <xdr:rowOff>428625</xdr:rowOff>
              </from>
              <to>
                <xdr:col>20</xdr:col>
                <xdr:colOff>38100</xdr:colOff>
                <xdr:row>127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6" r:id="rId126" name="Check Box 148">
          <controlPr defaultSize="0" autoFill="0" autoLine="0" autoPict="0">
            <anchor moveWithCells="1">
              <from>
                <xdr:col>18</xdr:col>
                <xdr:colOff>257175</xdr:colOff>
                <xdr:row>128</xdr:row>
                <xdr:rowOff>419100</xdr:rowOff>
              </from>
              <to>
                <xdr:col>20</xdr:col>
                <xdr:colOff>38100</xdr:colOff>
                <xdr:row>128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7" r:id="rId127" name="Check Box 149">
          <controlPr defaultSize="0" autoFill="0" autoLine="0" autoPict="0">
            <anchor moveWithCells="1">
              <from>
                <xdr:col>18</xdr:col>
                <xdr:colOff>257175</xdr:colOff>
                <xdr:row>129</xdr:row>
                <xdr:rowOff>400050</xdr:rowOff>
              </from>
              <to>
                <xdr:col>20</xdr:col>
                <xdr:colOff>38100</xdr:colOff>
                <xdr:row>129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8" r:id="rId128" name="Check Box 150">
          <controlPr defaultSize="0" autoFill="0" autoLine="0" autoPict="0">
            <anchor moveWithCells="1">
              <from>
                <xdr:col>18</xdr:col>
                <xdr:colOff>257175</xdr:colOff>
                <xdr:row>133</xdr:row>
                <xdr:rowOff>447675</xdr:rowOff>
              </from>
              <to>
                <xdr:col>20</xdr:col>
                <xdr:colOff>38100</xdr:colOff>
                <xdr:row>133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9" r:id="rId129" name="Check Box 151">
          <controlPr defaultSize="0" autoFill="0" autoLine="0" autoPict="0">
            <anchor moveWithCells="1">
              <from>
                <xdr:col>18</xdr:col>
                <xdr:colOff>257175</xdr:colOff>
                <xdr:row>142</xdr:row>
                <xdr:rowOff>447675</xdr:rowOff>
              </from>
              <to>
                <xdr:col>20</xdr:col>
                <xdr:colOff>38100</xdr:colOff>
                <xdr:row>142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0" r:id="rId130" name="Check Box 152">
          <controlPr defaultSize="0" autoFill="0" autoLine="0" autoPict="0">
            <anchor moveWithCells="1">
              <from>
                <xdr:col>18</xdr:col>
                <xdr:colOff>257175</xdr:colOff>
                <xdr:row>143</xdr:row>
                <xdr:rowOff>419100</xdr:rowOff>
              </from>
              <to>
                <xdr:col>20</xdr:col>
                <xdr:colOff>38100</xdr:colOff>
                <xdr:row>143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1" r:id="rId131" name="Check Box 153">
          <controlPr defaultSize="0" autoFill="0" autoLine="0" autoPict="0">
            <anchor moveWithCells="1">
              <from>
                <xdr:col>18</xdr:col>
                <xdr:colOff>257175</xdr:colOff>
                <xdr:row>144</xdr:row>
                <xdr:rowOff>419100</xdr:rowOff>
              </from>
              <to>
                <xdr:col>20</xdr:col>
                <xdr:colOff>38100</xdr:colOff>
                <xdr:row>144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2" r:id="rId132" name="Check Box 154">
          <controlPr defaultSize="0" autoFill="0" autoLine="0" autoPict="0">
            <anchor moveWithCells="1">
              <from>
                <xdr:col>18</xdr:col>
                <xdr:colOff>257175</xdr:colOff>
                <xdr:row>145</xdr:row>
                <xdr:rowOff>419100</xdr:rowOff>
              </from>
              <to>
                <xdr:col>20</xdr:col>
                <xdr:colOff>38100</xdr:colOff>
                <xdr:row>145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3" r:id="rId133" name="Check Box 155">
          <controlPr defaultSize="0" autoFill="0" autoLine="0" autoPict="0">
            <anchor moveWithCells="1">
              <from>
                <xdr:col>18</xdr:col>
                <xdr:colOff>257175</xdr:colOff>
                <xdr:row>146</xdr:row>
                <xdr:rowOff>419100</xdr:rowOff>
              </from>
              <to>
                <xdr:col>20</xdr:col>
                <xdr:colOff>38100</xdr:colOff>
                <xdr:row>146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4" r:id="rId134" name="Check Box 156">
          <controlPr defaultSize="0" autoFill="0" autoLine="0" autoPict="0">
            <anchor moveWithCells="1">
              <from>
                <xdr:col>18</xdr:col>
                <xdr:colOff>257175</xdr:colOff>
                <xdr:row>148</xdr:row>
                <xdr:rowOff>428625</xdr:rowOff>
              </from>
              <to>
                <xdr:col>20</xdr:col>
                <xdr:colOff>38100</xdr:colOff>
                <xdr:row>148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5" r:id="rId135" name="Check Box 157">
          <controlPr defaultSize="0" autoFill="0" autoLine="0" autoPict="0">
            <anchor moveWithCells="1">
              <from>
                <xdr:col>18</xdr:col>
                <xdr:colOff>257175</xdr:colOff>
                <xdr:row>151</xdr:row>
                <xdr:rowOff>390525</xdr:rowOff>
              </from>
              <to>
                <xdr:col>20</xdr:col>
                <xdr:colOff>38100</xdr:colOff>
                <xdr:row>151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6" r:id="rId136" name="Check Box 158">
          <controlPr defaultSize="0" autoFill="0" autoLine="0" autoPict="0">
            <anchor moveWithCells="1">
              <from>
                <xdr:col>18</xdr:col>
                <xdr:colOff>257175</xdr:colOff>
                <xdr:row>152</xdr:row>
                <xdr:rowOff>371475</xdr:rowOff>
              </from>
              <to>
                <xdr:col>20</xdr:col>
                <xdr:colOff>38100</xdr:colOff>
                <xdr:row>152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7" r:id="rId137" name="Check Box 159">
          <controlPr defaultSize="0" autoFill="0" autoLine="0" autoPict="0">
            <anchor moveWithCells="1">
              <from>
                <xdr:col>18</xdr:col>
                <xdr:colOff>257175</xdr:colOff>
                <xdr:row>153</xdr:row>
                <xdr:rowOff>438150</xdr:rowOff>
              </from>
              <to>
                <xdr:col>20</xdr:col>
                <xdr:colOff>38100</xdr:colOff>
                <xdr:row>153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8" r:id="rId138" name="Check Box 160">
          <controlPr defaultSize="0" autoFill="0" autoLine="0" autoPict="0">
            <anchor moveWithCells="1">
              <from>
                <xdr:col>18</xdr:col>
                <xdr:colOff>257175</xdr:colOff>
                <xdr:row>154</xdr:row>
                <xdr:rowOff>419100</xdr:rowOff>
              </from>
              <to>
                <xdr:col>20</xdr:col>
                <xdr:colOff>38100</xdr:colOff>
                <xdr:row>154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9" r:id="rId139" name="Check Box 161">
          <controlPr defaultSize="0" autoFill="0" autoLine="0" autoPict="0">
            <anchor moveWithCells="1">
              <from>
                <xdr:col>18</xdr:col>
                <xdr:colOff>257175</xdr:colOff>
                <xdr:row>156</xdr:row>
                <xdr:rowOff>409575</xdr:rowOff>
              </from>
              <to>
                <xdr:col>20</xdr:col>
                <xdr:colOff>38100</xdr:colOff>
                <xdr:row>156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0" r:id="rId140" name="Check Box 162">
          <controlPr defaultSize="0" autoFill="0" autoLine="0" autoPict="0">
            <anchor moveWithCells="1">
              <from>
                <xdr:col>18</xdr:col>
                <xdr:colOff>257175</xdr:colOff>
                <xdr:row>167</xdr:row>
                <xdr:rowOff>428625</xdr:rowOff>
              </from>
              <to>
                <xdr:col>20</xdr:col>
                <xdr:colOff>38100</xdr:colOff>
                <xdr:row>167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1" r:id="rId141" name="Check Box 163">
          <controlPr defaultSize="0" autoFill="0" autoLine="0" autoPict="0">
            <anchor moveWithCells="1">
              <from>
                <xdr:col>18</xdr:col>
                <xdr:colOff>257175</xdr:colOff>
                <xdr:row>168</xdr:row>
                <xdr:rowOff>438150</xdr:rowOff>
              </from>
              <to>
                <xdr:col>20</xdr:col>
                <xdr:colOff>38100</xdr:colOff>
                <xdr:row>168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2" r:id="rId142" name="Check Box 164">
          <controlPr defaultSize="0" autoFill="0" autoLine="0" autoPict="0">
            <anchor moveWithCells="1">
              <from>
                <xdr:col>18</xdr:col>
                <xdr:colOff>257175</xdr:colOff>
                <xdr:row>169</xdr:row>
                <xdr:rowOff>419100</xdr:rowOff>
              </from>
              <to>
                <xdr:col>20</xdr:col>
                <xdr:colOff>38100</xdr:colOff>
                <xdr:row>169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3" r:id="rId143" name="Check Box 165">
          <controlPr defaultSize="0" autoFill="0" autoLine="0" autoPict="0">
            <anchor moveWithCells="1">
              <from>
                <xdr:col>18</xdr:col>
                <xdr:colOff>257175</xdr:colOff>
                <xdr:row>170</xdr:row>
                <xdr:rowOff>409575</xdr:rowOff>
              </from>
              <to>
                <xdr:col>20</xdr:col>
                <xdr:colOff>38100</xdr:colOff>
                <xdr:row>170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4" r:id="rId144" name="Check Box 166">
          <controlPr defaultSize="0" autoFill="0" autoLine="0" autoPict="0">
            <anchor moveWithCells="1">
              <from>
                <xdr:col>18</xdr:col>
                <xdr:colOff>257175</xdr:colOff>
                <xdr:row>171</xdr:row>
                <xdr:rowOff>447675</xdr:rowOff>
              </from>
              <to>
                <xdr:col>20</xdr:col>
                <xdr:colOff>38100</xdr:colOff>
                <xdr:row>171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5" r:id="rId145" name="Check Box 167">
          <controlPr defaultSize="0" autoFill="0" autoLine="0" autoPict="0">
            <anchor moveWithCells="1">
              <from>
                <xdr:col>18</xdr:col>
                <xdr:colOff>257175</xdr:colOff>
                <xdr:row>172</xdr:row>
                <xdr:rowOff>438150</xdr:rowOff>
              </from>
              <to>
                <xdr:col>20</xdr:col>
                <xdr:colOff>38100</xdr:colOff>
                <xdr:row>172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6" r:id="rId146" name="Check Box 168">
          <controlPr defaultSize="0" autoFill="0" autoLine="0" autoPict="0">
            <anchor moveWithCells="1">
              <from>
                <xdr:col>18</xdr:col>
                <xdr:colOff>257175</xdr:colOff>
                <xdr:row>173</xdr:row>
                <xdr:rowOff>428625</xdr:rowOff>
              </from>
              <to>
                <xdr:col>20</xdr:col>
                <xdr:colOff>38100</xdr:colOff>
                <xdr:row>173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7" r:id="rId147" name="Check Box 169">
          <controlPr defaultSize="0" autoFill="0" autoLine="0" autoPict="0">
            <anchor moveWithCells="1">
              <from>
                <xdr:col>18</xdr:col>
                <xdr:colOff>257175</xdr:colOff>
                <xdr:row>174</xdr:row>
                <xdr:rowOff>428625</xdr:rowOff>
              </from>
              <to>
                <xdr:col>20</xdr:col>
                <xdr:colOff>38100</xdr:colOff>
                <xdr:row>174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8" r:id="rId148" name="Check Box 170">
          <controlPr defaultSize="0" autoFill="0" autoLine="0" autoPict="0">
            <anchor moveWithCells="1">
              <from>
                <xdr:col>18</xdr:col>
                <xdr:colOff>257175</xdr:colOff>
                <xdr:row>175</xdr:row>
                <xdr:rowOff>447675</xdr:rowOff>
              </from>
              <to>
                <xdr:col>20</xdr:col>
                <xdr:colOff>38100</xdr:colOff>
                <xdr:row>175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9" r:id="rId149" name="Check Box 171">
          <controlPr defaultSize="0" autoFill="0" autoLine="0" autoPict="0">
            <anchor moveWithCells="1">
              <from>
                <xdr:col>18</xdr:col>
                <xdr:colOff>257175</xdr:colOff>
                <xdr:row>176</xdr:row>
                <xdr:rowOff>438150</xdr:rowOff>
              </from>
              <to>
                <xdr:col>20</xdr:col>
                <xdr:colOff>38100</xdr:colOff>
                <xdr:row>176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0" r:id="rId150" name="Check Box 172">
          <controlPr defaultSize="0" autoFill="0" autoLine="0" autoPict="0">
            <anchor moveWithCells="1">
              <from>
                <xdr:col>18</xdr:col>
                <xdr:colOff>257175</xdr:colOff>
                <xdr:row>177</xdr:row>
                <xdr:rowOff>438150</xdr:rowOff>
              </from>
              <to>
                <xdr:col>20</xdr:col>
                <xdr:colOff>38100</xdr:colOff>
                <xdr:row>177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1" r:id="rId151" name="Check Box 173">
          <controlPr defaultSize="0" autoFill="0" autoLine="0" autoPict="0">
            <anchor moveWithCells="1">
              <from>
                <xdr:col>18</xdr:col>
                <xdr:colOff>257175</xdr:colOff>
                <xdr:row>178</xdr:row>
                <xdr:rowOff>428625</xdr:rowOff>
              </from>
              <to>
                <xdr:col>20</xdr:col>
                <xdr:colOff>38100</xdr:colOff>
                <xdr:row>178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2" r:id="rId152" name="Check Box 174">
          <controlPr defaultSize="0" autoFill="0" autoLine="0" autoPict="0">
            <anchor moveWithCells="1">
              <from>
                <xdr:col>18</xdr:col>
                <xdr:colOff>257175</xdr:colOff>
                <xdr:row>179</xdr:row>
                <xdr:rowOff>428625</xdr:rowOff>
              </from>
              <to>
                <xdr:col>20</xdr:col>
                <xdr:colOff>38100</xdr:colOff>
                <xdr:row>179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3" r:id="rId153" name="Check Box 175">
          <controlPr defaultSize="0" autoFill="0" autoLine="0" autoPict="0">
            <anchor moveWithCells="1">
              <from>
                <xdr:col>18</xdr:col>
                <xdr:colOff>257175</xdr:colOff>
                <xdr:row>184</xdr:row>
                <xdr:rowOff>419100</xdr:rowOff>
              </from>
              <to>
                <xdr:col>20</xdr:col>
                <xdr:colOff>38100</xdr:colOff>
                <xdr:row>184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4" r:id="rId154" name="Check Box 176">
          <controlPr defaultSize="0" autoFill="0" autoLine="0" autoPict="0">
            <anchor moveWithCells="1">
              <from>
                <xdr:col>18</xdr:col>
                <xdr:colOff>257175</xdr:colOff>
                <xdr:row>185</xdr:row>
                <xdr:rowOff>428625</xdr:rowOff>
              </from>
              <to>
                <xdr:col>20</xdr:col>
                <xdr:colOff>38100</xdr:colOff>
                <xdr:row>185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5" r:id="rId155" name="Check Box 177">
          <controlPr defaultSize="0" autoFill="0" autoLine="0" autoPict="0">
            <anchor moveWithCells="1">
              <from>
                <xdr:col>18</xdr:col>
                <xdr:colOff>257175</xdr:colOff>
                <xdr:row>186</xdr:row>
                <xdr:rowOff>447675</xdr:rowOff>
              </from>
              <to>
                <xdr:col>20</xdr:col>
                <xdr:colOff>38100</xdr:colOff>
                <xdr:row>186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6" r:id="rId156" name="Check Box 178">
          <controlPr defaultSize="0" autoFill="0" autoLine="0" autoPict="0">
            <anchor moveWithCells="1">
              <from>
                <xdr:col>18</xdr:col>
                <xdr:colOff>257175</xdr:colOff>
                <xdr:row>187</xdr:row>
                <xdr:rowOff>419100</xdr:rowOff>
              </from>
              <to>
                <xdr:col>20</xdr:col>
                <xdr:colOff>38100</xdr:colOff>
                <xdr:row>187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7" r:id="rId157" name="Check Box 179">
          <controlPr defaultSize="0" autoFill="0" autoLine="0" autoPict="0">
            <anchor moveWithCells="1">
              <from>
                <xdr:col>18</xdr:col>
                <xdr:colOff>257175</xdr:colOff>
                <xdr:row>188</xdr:row>
                <xdr:rowOff>447675</xdr:rowOff>
              </from>
              <to>
                <xdr:col>20</xdr:col>
                <xdr:colOff>38100</xdr:colOff>
                <xdr:row>188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8" r:id="rId158" name="Check Box 180">
          <controlPr defaultSize="0" autoFill="0" autoLine="0" autoPict="0">
            <anchor moveWithCells="1">
              <from>
                <xdr:col>18</xdr:col>
                <xdr:colOff>257175</xdr:colOff>
                <xdr:row>189</xdr:row>
                <xdr:rowOff>438150</xdr:rowOff>
              </from>
              <to>
                <xdr:col>20</xdr:col>
                <xdr:colOff>38100</xdr:colOff>
                <xdr:row>189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9" r:id="rId159" name="Check Box 181">
          <controlPr defaultSize="0" autoFill="0" autoLine="0" autoPict="0">
            <anchor moveWithCells="1">
              <from>
                <xdr:col>18</xdr:col>
                <xdr:colOff>247650</xdr:colOff>
                <xdr:row>190</xdr:row>
                <xdr:rowOff>381000</xdr:rowOff>
              </from>
              <to>
                <xdr:col>20</xdr:col>
                <xdr:colOff>28575</xdr:colOff>
                <xdr:row>190</xdr:row>
                <xdr:rowOff>590550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0" r:id="rId160" name="Check Box 182">
          <controlPr defaultSize="0" autoFill="0" autoLine="0" autoPict="0">
            <anchor moveWithCells="1">
              <from>
                <xdr:col>18</xdr:col>
                <xdr:colOff>257175</xdr:colOff>
                <xdr:row>191</xdr:row>
                <xdr:rowOff>400050</xdr:rowOff>
              </from>
              <to>
                <xdr:col>20</xdr:col>
                <xdr:colOff>38100</xdr:colOff>
                <xdr:row>191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1" r:id="rId161" name="Check Box 183">
          <controlPr defaultSize="0" autoFill="0" autoLine="0" autoPict="0">
            <anchor moveWithCells="1">
              <from>
                <xdr:col>18</xdr:col>
                <xdr:colOff>257175</xdr:colOff>
                <xdr:row>192</xdr:row>
                <xdr:rowOff>428625</xdr:rowOff>
              </from>
              <to>
                <xdr:col>20</xdr:col>
                <xdr:colOff>38100</xdr:colOff>
                <xdr:row>192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2" r:id="rId162" name="Check Box 184">
          <controlPr defaultSize="0" autoFill="0" autoLine="0" autoPict="0">
            <anchor moveWithCells="1">
              <from>
                <xdr:col>18</xdr:col>
                <xdr:colOff>257175</xdr:colOff>
                <xdr:row>193</xdr:row>
                <xdr:rowOff>428625</xdr:rowOff>
              </from>
              <to>
                <xdr:col>20</xdr:col>
                <xdr:colOff>38100</xdr:colOff>
                <xdr:row>193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3" r:id="rId163" name="Check Box 185">
          <controlPr defaultSize="0" autoFill="0" autoLine="0" autoPict="0">
            <anchor moveWithCells="1">
              <from>
                <xdr:col>18</xdr:col>
                <xdr:colOff>257175</xdr:colOff>
                <xdr:row>194</xdr:row>
                <xdr:rowOff>428625</xdr:rowOff>
              </from>
              <to>
                <xdr:col>20</xdr:col>
                <xdr:colOff>38100</xdr:colOff>
                <xdr:row>194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4" r:id="rId164" name="Check Box 186">
          <controlPr defaultSize="0" autoFill="0" autoLine="0" autoPict="0">
            <anchor moveWithCells="1">
              <from>
                <xdr:col>18</xdr:col>
                <xdr:colOff>257175</xdr:colOff>
                <xdr:row>195</xdr:row>
                <xdr:rowOff>419100</xdr:rowOff>
              </from>
              <to>
                <xdr:col>20</xdr:col>
                <xdr:colOff>38100</xdr:colOff>
                <xdr:row>195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5" r:id="rId165" name="Check Box 187">
          <controlPr defaultSize="0" autoFill="0" autoLine="0" autoPict="0">
            <anchor moveWithCells="1">
              <from>
                <xdr:col>18</xdr:col>
                <xdr:colOff>257175</xdr:colOff>
                <xdr:row>196</xdr:row>
                <xdr:rowOff>419100</xdr:rowOff>
              </from>
              <to>
                <xdr:col>20</xdr:col>
                <xdr:colOff>38100</xdr:colOff>
                <xdr:row>196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6" r:id="rId166" name="Check Box 188">
          <controlPr defaultSize="0" autoFill="0" autoLine="0" autoPict="0">
            <anchor moveWithCells="1">
              <from>
                <xdr:col>18</xdr:col>
                <xdr:colOff>257175</xdr:colOff>
                <xdr:row>197</xdr:row>
                <xdr:rowOff>419100</xdr:rowOff>
              </from>
              <to>
                <xdr:col>20</xdr:col>
                <xdr:colOff>38100</xdr:colOff>
                <xdr:row>197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7" r:id="rId167" name="Check Box 189">
          <controlPr defaultSize="0" autoFill="0" autoLine="0" autoPict="0">
            <anchor moveWithCells="1">
              <from>
                <xdr:col>18</xdr:col>
                <xdr:colOff>257175</xdr:colOff>
                <xdr:row>198</xdr:row>
                <xdr:rowOff>400050</xdr:rowOff>
              </from>
              <to>
                <xdr:col>20</xdr:col>
                <xdr:colOff>38100</xdr:colOff>
                <xdr:row>198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8" r:id="rId168" name="Check Box 190">
          <controlPr defaultSize="0" autoFill="0" autoLine="0" autoPict="0">
            <anchor moveWithCells="1">
              <from>
                <xdr:col>18</xdr:col>
                <xdr:colOff>257175</xdr:colOff>
                <xdr:row>199</xdr:row>
                <xdr:rowOff>428625</xdr:rowOff>
              </from>
              <to>
                <xdr:col>20</xdr:col>
                <xdr:colOff>38100</xdr:colOff>
                <xdr:row>199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9" r:id="rId169" name="Check Box 191">
          <controlPr defaultSize="0" autoFill="0" autoLine="0" autoPict="0">
            <anchor moveWithCells="1">
              <from>
                <xdr:col>18</xdr:col>
                <xdr:colOff>257175</xdr:colOff>
                <xdr:row>200</xdr:row>
                <xdr:rowOff>400050</xdr:rowOff>
              </from>
              <to>
                <xdr:col>20</xdr:col>
                <xdr:colOff>38100</xdr:colOff>
                <xdr:row>200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0" r:id="rId170" name="Check Box 192">
          <controlPr defaultSize="0" autoFill="0" autoLine="0" autoPict="0">
            <anchor moveWithCells="1">
              <from>
                <xdr:col>18</xdr:col>
                <xdr:colOff>257175</xdr:colOff>
                <xdr:row>201</xdr:row>
                <xdr:rowOff>428625</xdr:rowOff>
              </from>
              <to>
                <xdr:col>20</xdr:col>
                <xdr:colOff>38100</xdr:colOff>
                <xdr:row>201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1" r:id="rId171" name="Check Box 193">
          <controlPr defaultSize="0" autoFill="0" autoLine="0" autoPict="0">
            <anchor moveWithCells="1">
              <from>
                <xdr:col>18</xdr:col>
                <xdr:colOff>266700</xdr:colOff>
                <xdr:row>202</xdr:row>
                <xdr:rowOff>409575</xdr:rowOff>
              </from>
              <to>
                <xdr:col>20</xdr:col>
                <xdr:colOff>47625</xdr:colOff>
                <xdr:row>202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2" r:id="rId172" name="Check Box 194">
          <controlPr defaultSize="0" autoFill="0" autoLine="0" autoPict="0">
            <anchor moveWithCells="1">
              <from>
                <xdr:col>18</xdr:col>
                <xdr:colOff>257175</xdr:colOff>
                <xdr:row>203</xdr:row>
                <xdr:rowOff>438150</xdr:rowOff>
              </from>
              <to>
                <xdr:col>20</xdr:col>
                <xdr:colOff>38100</xdr:colOff>
                <xdr:row>203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3" r:id="rId173" name="Check Box 195">
          <controlPr defaultSize="0" autoFill="0" autoLine="0" autoPict="0">
            <anchor moveWithCells="1">
              <from>
                <xdr:col>18</xdr:col>
                <xdr:colOff>257175</xdr:colOff>
                <xdr:row>204</xdr:row>
                <xdr:rowOff>419100</xdr:rowOff>
              </from>
              <to>
                <xdr:col>20</xdr:col>
                <xdr:colOff>38100</xdr:colOff>
                <xdr:row>204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4" r:id="rId174" name="Check Box 196">
          <controlPr defaultSize="0" autoFill="0" autoLine="0" autoPict="0">
            <anchor moveWithCells="1">
              <from>
                <xdr:col>18</xdr:col>
                <xdr:colOff>247650</xdr:colOff>
                <xdr:row>205</xdr:row>
                <xdr:rowOff>428625</xdr:rowOff>
              </from>
              <to>
                <xdr:col>20</xdr:col>
                <xdr:colOff>28575</xdr:colOff>
                <xdr:row>205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5" r:id="rId175" name="Check Box 197">
          <controlPr defaultSize="0" autoFill="0" autoLine="0" autoPict="0">
            <anchor moveWithCells="1">
              <from>
                <xdr:col>18</xdr:col>
                <xdr:colOff>257175</xdr:colOff>
                <xdr:row>206</xdr:row>
                <xdr:rowOff>457200</xdr:rowOff>
              </from>
              <to>
                <xdr:col>20</xdr:col>
                <xdr:colOff>38100</xdr:colOff>
                <xdr:row>206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6" r:id="rId176" name="Check Box 198">
          <controlPr defaultSize="0" autoFill="0" autoLine="0" autoPict="0">
            <anchor moveWithCells="1">
              <from>
                <xdr:col>18</xdr:col>
                <xdr:colOff>257175</xdr:colOff>
                <xdr:row>207</xdr:row>
                <xdr:rowOff>419100</xdr:rowOff>
              </from>
              <to>
                <xdr:col>20</xdr:col>
                <xdr:colOff>38100</xdr:colOff>
                <xdr:row>207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7" r:id="rId177" name="Check Box 199">
          <controlPr defaultSize="0" autoFill="0" autoLine="0" autoPict="0">
            <anchor moveWithCells="1">
              <from>
                <xdr:col>18</xdr:col>
                <xdr:colOff>257175</xdr:colOff>
                <xdr:row>208</xdr:row>
                <xdr:rowOff>447675</xdr:rowOff>
              </from>
              <to>
                <xdr:col>20</xdr:col>
                <xdr:colOff>38100</xdr:colOff>
                <xdr:row>208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8" r:id="rId178" name="Check Box 200">
          <controlPr defaultSize="0" autoFill="0" autoLine="0" autoPict="0">
            <anchor moveWithCells="1">
              <from>
                <xdr:col>18</xdr:col>
                <xdr:colOff>257175</xdr:colOff>
                <xdr:row>209</xdr:row>
                <xdr:rowOff>419100</xdr:rowOff>
              </from>
              <to>
                <xdr:col>20</xdr:col>
                <xdr:colOff>38100</xdr:colOff>
                <xdr:row>209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9" r:id="rId179" name="Check Box 201">
          <controlPr defaultSize="0" autoFill="0" autoLine="0" autoPict="0">
            <anchor moveWithCells="1">
              <from>
                <xdr:col>18</xdr:col>
                <xdr:colOff>257175</xdr:colOff>
                <xdr:row>210</xdr:row>
                <xdr:rowOff>419100</xdr:rowOff>
              </from>
              <to>
                <xdr:col>20</xdr:col>
                <xdr:colOff>38100</xdr:colOff>
                <xdr:row>210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0" r:id="rId180" name="Check Box 202">
          <controlPr defaultSize="0" autoFill="0" autoLine="0" autoPict="0">
            <anchor moveWithCells="1">
              <from>
                <xdr:col>18</xdr:col>
                <xdr:colOff>257175</xdr:colOff>
                <xdr:row>211</xdr:row>
                <xdr:rowOff>428625</xdr:rowOff>
              </from>
              <to>
                <xdr:col>20</xdr:col>
                <xdr:colOff>38100</xdr:colOff>
                <xdr:row>211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1" r:id="rId181" name="Check Box 203">
          <controlPr defaultSize="0" autoFill="0" autoLine="0" autoPict="0">
            <anchor moveWithCells="1">
              <from>
                <xdr:col>18</xdr:col>
                <xdr:colOff>257175</xdr:colOff>
                <xdr:row>212</xdr:row>
                <xdr:rowOff>409575</xdr:rowOff>
              </from>
              <to>
                <xdr:col>20</xdr:col>
                <xdr:colOff>38100</xdr:colOff>
                <xdr:row>212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2" r:id="rId182" name="Check Box 204">
          <controlPr defaultSize="0" autoFill="0" autoLine="0" autoPict="0">
            <anchor moveWithCells="1">
              <from>
                <xdr:col>18</xdr:col>
                <xdr:colOff>257175</xdr:colOff>
                <xdr:row>213</xdr:row>
                <xdr:rowOff>428625</xdr:rowOff>
              </from>
              <to>
                <xdr:col>20</xdr:col>
                <xdr:colOff>38100</xdr:colOff>
                <xdr:row>213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3" r:id="rId183" name="Check Box 205">
          <controlPr defaultSize="0" autoFill="0" autoLine="0" autoPict="0">
            <anchor moveWithCells="1">
              <from>
                <xdr:col>18</xdr:col>
                <xdr:colOff>257175</xdr:colOff>
                <xdr:row>214</xdr:row>
                <xdr:rowOff>428625</xdr:rowOff>
              </from>
              <to>
                <xdr:col>20</xdr:col>
                <xdr:colOff>38100</xdr:colOff>
                <xdr:row>214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4" r:id="rId184" name="Check Box 206">
          <controlPr defaultSize="0" autoFill="0" autoLine="0" autoPict="0">
            <anchor moveWithCells="1">
              <from>
                <xdr:col>18</xdr:col>
                <xdr:colOff>257175</xdr:colOff>
                <xdr:row>215</xdr:row>
                <xdr:rowOff>428625</xdr:rowOff>
              </from>
              <to>
                <xdr:col>20</xdr:col>
                <xdr:colOff>38100</xdr:colOff>
                <xdr:row>215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5" r:id="rId185" name="Check Box 207">
          <controlPr defaultSize="0" autoFill="0" autoLine="0" autoPict="0">
            <anchor moveWithCells="1">
              <from>
                <xdr:col>18</xdr:col>
                <xdr:colOff>257175</xdr:colOff>
                <xdr:row>216</xdr:row>
                <xdr:rowOff>409575</xdr:rowOff>
              </from>
              <to>
                <xdr:col>20</xdr:col>
                <xdr:colOff>38100</xdr:colOff>
                <xdr:row>216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6" r:id="rId186" name="Check Box 208">
          <controlPr defaultSize="0" autoFill="0" autoLine="0" autoPict="0">
            <anchor moveWithCells="1">
              <from>
                <xdr:col>18</xdr:col>
                <xdr:colOff>257175</xdr:colOff>
                <xdr:row>217</xdr:row>
                <xdr:rowOff>438150</xdr:rowOff>
              </from>
              <to>
                <xdr:col>20</xdr:col>
                <xdr:colOff>38100</xdr:colOff>
                <xdr:row>217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7" r:id="rId187" name="Check Box 209">
          <controlPr defaultSize="0" autoFill="0" autoLine="0" autoPict="0">
            <anchor moveWithCells="1">
              <from>
                <xdr:col>18</xdr:col>
                <xdr:colOff>257175</xdr:colOff>
                <xdr:row>218</xdr:row>
                <xdr:rowOff>438150</xdr:rowOff>
              </from>
              <to>
                <xdr:col>20</xdr:col>
                <xdr:colOff>38100</xdr:colOff>
                <xdr:row>218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8" r:id="rId188" name="Check Box 210">
          <controlPr defaultSize="0" autoFill="0" autoLine="0" autoPict="0">
            <anchor moveWithCells="1">
              <from>
                <xdr:col>18</xdr:col>
                <xdr:colOff>257175</xdr:colOff>
                <xdr:row>219</xdr:row>
                <xdr:rowOff>419100</xdr:rowOff>
              </from>
              <to>
                <xdr:col>20</xdr:col>
                <xdr:colOff>38100</xdr:colOff>
                <xdr:row>219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9" r:id="rId189" name="Check Box 211">
          <controlPr defaultSize="0" autoFill="0" autoLine="0" autoPict="0">
            <anchor moveWithCells="1">
              <from>
                <xdr:col>18</xdr:col>
                <xdr:colOff>257175</xdr:colOff>
                <xdr:row>220</xdr:row>
                <xdr:rowOff>447675</xdr:rowOff>
              </from>
              <to>
                <xdr:col>20</xdr:col>
                <xdr:colOff>38100</xdr:colOff>
                <xdr:row>220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0" r:id="rId190" name="Check Box 212">
          <controlPr defaultSize="0" autoFill="0" autoLine="0" autoPict="0">
            <anchor moveWithCells="1">
              <from>
                <xdr:col>18</xdr:col>
                <xdr:colOff>257175</xdr:colOff>
                <xdr:row>221</xdr:row>
                <xdr:rowOff>438150</xdr:rowOff>
              </from>
              <to>
                <xdr:col>20</xdr:col>
                <xdr:colOff>38100</xdr:colOff>
                <xdr:row>221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1" r:id="rId191" name="Check Box 213">
          <controlPr defaultSize="0" autoFill="0" autoLine="0" autoPict="0">
            <anchor moveWithCells="1">
              <from>
                <xdr:col>18</xdr:col>
                <xdr:colOff>257175</xdr:colOff>
                <xdr:row>222</xdr:row>
                <xdr:rowOff>371475</xdr:rowOff>
              </from>
              <to>
                <xdr:col>20</xdr:col>
                <xdr:colOff>38100</xdr:colOff>
                <xdr:row>222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2" r:id="rId192" name="Check Box 214">
          <controlPr defaultSize="0" autoFill="0" autoLine="0" autoPict="0">
            <anchor moveWithCells="1">
              <from>
                <xdr:col>18</xdr:col>
                <xdr:colOff>257175</xdr:colOff>
                <xdr:row>223</xdr:row>
                <xdr:rowOff>238125</xdr:rowOff>
              </from>
              <to>
                <xdr:col>20</xdr:col>
                <xdr:colOff>38100</xdr:colOff>
                <xdr:row>223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3" r:id="rId193" name="Check Box 215">
          <controlPr defaultSize="0" autoFill="0" autoLine="0" autoPict="0">
            <anchor moveWithCells="1">
              <from>
                <xdr:col>18</xdr:col>
                <xdr:colOff>266700</xdr:colOff>
                <xdr:row>224</xdr:row>
                <xdr:rowOff>228600</xdr:rowOff>
              </from>
              <to>
                <xdr:col>20</xdr:col>
                <xdr:colOff>47625</xdr:colOff>
                <xdr:row>224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4" r:id="rId194" name="Check Box 216">
          <controlPr defaultSize="0" autoFill="0" autoLine="0" autoPict="0">
            <anchor moveWithCells="1">
              <from>
                <xdr:col>18</xdr:col>
                <xdr:colOff>257175</xdr:colOff>
                <xdr:row>225</xdr:row>
                <xdr:rowOff>247650</xdr:rowOff>
              </from>
              <to>
                <xdr:col>20</xdr:col>
                <xdr:colOff>38100</xdr:colOff>
                <xdr:row>225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5" r:id="rId195" name="Check Box 217">
          <controlPr defaultSize="0" autoFill="0" autoLine="0" autoPict="0">
            <anchor moveWithCells="1">
              <from>
                <xdr:col>18</xdr:col>
                <xdr:colOff>257175</xdr:colOff>
                <xdr:row>226</xdr:row>
                <xdr:rowOff>247650</xdr:rowOff>
              </from>
              <to>
                <xdr:col>20</xdr:col>
                <xdr:colOff>38100</xdr:colOff>
                <xdr:row>226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6" r:id="rId196" name="Check Box 218">
          <controlPr defaultSize="0" autoFill="0" autoLine="0" autoPict="0">
            <anchor moveWithCells="1">
              <from>
                <xdr:col>18</xdr:col>
                <xdr:colOff>257175</xdr:colOff>
                <xdr:row>248</xdr:row>
                <xdr:rowOff>238125</xdr:rowOff>
              </from>
              <to>
                <xdr:col>20</xdr:col>
                <xdr:colOff>38100</xdr:colOff>
                <xdr:row>248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7" r:id="rId197" name="Check Box 219">
          <controlPr defaultSize="0" autoFill="0" autoLine="0" autoPict="0">
            <anchor moveWithCells="1">
              <from>
                <xdr:col>18</xdr:col>
                <xdr:colOff>257175</xdr:colOff>
                <xdr:row>249</xdr:row>
                <xdr:rowOff>238125</xdr:rowOff>
              </from>
              <to>
                <xdr:col>20</xdr:col>
                <xdr:colOff>38100</xdr:colOff>
                <xdr:row>249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8" r:id="rId198" name="Check Box 220">
          <controlPr defaultSize="0" autoFill="0" autoLine="0" autoPict="0">
            <anchor moveWithCells="1">
              <from>
                <xdr:col>18</xdr:col>
                <xdr:colOff>257175</xdr:colOff>
                <xdr:row>250</xdr:row>
                <xdr:rowOff>219075</xdr:rowOff>
              </from>
              <to>
                <xdr:col>20</xdr:col>
                <xdr:colOff>38100</xdr:colOff>
                <xdr:row>250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9" r:id="rId199" name="Button 221">
          <controlPr defaultSize="0" print="0" autoFill="0" autoPict="0" macro="[0]!Ubertragen_Klicken">
            <anchor moveWithCells="1" sizeWithCells="1">
              <from>
                <xdr:col>10</xdr:col>
                <xdr:colOff>1952625</xdr:colOff>
                <xdr:row>287</xdr:row>
                <xdr:rowOff>371475</xdr:rowOff>
              </from>
              <to>
                <xdr:col>12</xdr:col>
                <xdr:colOff>981075</xdr:colOff>
                <xdr:row>288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0" r:id="rId200" name="Button 222">
          <controlPr defaultSize="0" print="0" autoFill="0" autoPict="0" macro="[0]!Zurucksetzen_klicken">
            <anchor moveWithCells="1" sizeWithCells="1">
              <from>
                <xdr:col>10</xdr:col>
                <xdr:colOff>1704975</xdr:colOff>
                <xdr:row>3</xdr:row>
                <xdr:rowOff>419100</xdr:rowOff>
              </from>
              <to>
                <xdr:col>12</xdr:col>
                <xdr:colOff>581025</xdr:colOff>
                <xdr:row>3</xdr:row>
                <xdr:rowOff>1009650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2" r:id="rId201" name="Button 224">
          <controlPr defaultSize="0" print="0" autoFill="0" autoPict="0" macro="[0]!Uncheck_Klicken">
            <anchor moveWithCells="1" sizeWithCells="1">
              <from>
                <xdr:col>17</xdr:col>
                <xdr:colOff>695325</xdr:colOff>
                <xdr:row>7</xdr:row>
                <xdr:rowOff>85725</xdr:rowOff>
              </from>
              <to>
                <xdr:col>20</xdr:col>
                <xdr:colOff>104775</xdr:colOff>
                <xdr:row>7</xdr:row>
                <xdr:rowOff>933450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5" r:id="rId202" name="Button 227">
          <controlPr defaultSize="0" print="0" autoFill="0" autoPict="0" macro="[0]!Undo_Klicken">
            <anchor moveWithCells="1" sizeWithCells="1">
              <from>
                <xdr:col>13</xdr:col>
                <xdr:colOff>171450</xdr:colOff>
                <xdr:row>287</xdr:row>
                <xdr:rowOff>371475</xdr:rowOff>
              </from>
              <to>
                <xdr:col>15</xdr:col>
                <xdr:colOff>495300</xdr:colOff>
                <xdr:row>288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6" r:id="rId203" name="Check Box 228">
          <controlPr defaultSize="0" autoFill="0" autoLine="0" autoPict="0">
            <anchor moveWithCells="1">
              <from>
                <xdr:col>18</xdr:col>
                <xdr:colOff>295275</xdr:colOff>
                <xdr:row>84</xdr:row>
                <xdr:rowOff>447675</xdr:rowOff>
              </from>
              <to>
                <xdr:col>20</xdr:col>
                <xdr:colOff>104775</xdr:colOff>
                <xdr:row>84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7" r:id="rId204" name="Check Box 229">
          <controlPr defaultSize="0" autoFill="0" autoLine="0" autoPict="0">
            <anchor moveWithCells="1">
              <from>
                <xdr:col>18</xdr:col>
                <xdr:colOff>352425</xdr:colOff>
                <xdr:row>136</xdr:row>
                <xdr:rowOff>390525</xdr:rowOff>
              </from>
              <to>
                <xdr:col>20</xdr:col>
                <xdr:colOff>161925</xdr:colOff>
                <xdr:row>136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8" r:id="rId205" name="Check Box 230">
          <controlPr defaultSize="0" autoFill="0" autoLine="0" autoPict="0">
            <anchor moveWithCells="1">
              <from>
                <xdr:col>18</xdr:col>
                <xdr:colOff>314325</xdr:colOff>
                <xdr:row>132</xdr:row>
                <xdr:rowOff>400050</xdr:rowOff>
              </from>
              <to>
                <xdr:col>20</xdr:col>
                <xdr:colOff>123825</xdr:colOff>
                <xdr:row>132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9" r:id="rId206" name="Check Box 231">
          <controlPr defaultSize="0" autoFill="0" autoLine="0" autoPict="0">
            <anchor moveWithCells="1">
              <from>
                <xdr:col>18</xdr:col>
                <xdr:colOff>314325</xdr:colOff>
                <xdr:row>155</xdr:row>
                <xdr:rowOff>419100</xdr:rowOff>
              </from>
              <to>
                <xdr:col>20</xdr:col>
                <xdr:colOff>123825</xdr:colOff>
                <xdr:row>155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07" r:id="rId207" name="Check Box 239">
          <controlPr defaultSize="0" autoFill="0" autoLine="0" autoPict="0" altText="">
            <anchor moveWithCells="1">
              <from>
                <xdr:col>18</xdr:col>
                <xdr:colOff>247650</xdr:colOff>
                <xdr:row>251</xdr:row>
                <xdr:rowOff>247650</xdr:rowOff>
              </from>
              <to>
                <xdr:col>20</xdr:col>
                <xdr:colOff>57150</xdr:colOff>
                <xdr:row>251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08" r:id="rId208" name="Check Box 240">
          <controlPr defaultSize="0" autoFill="0" autoLine="0" autoPict="0">
            <anchor moveWithCells="1">
              <from>
                <xdr:col>18</xdr:col>
                <xdr:colOff>238125</xdr:colOff>
                <xdr:row>252</xdr:row>
                <xdr:rowOff>200025</xdr:rowOff>
              </from>
              <to>
                <xdr:col>20</xdr:col>
                <xdr:colOff>47625</xdr:colOff>
                <xdr:row>252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09" r:id="rId209" name="Check Box 241">
          <controlPr defaultSize="0" autoFill="0" autoLine="0" autoPict="0">
            <anchor moveWithCells="1">
              <from>
                <xdr:col>18</xdr:col>
                <xdr:colOff>266700</xdr:colOff>
                <xdr:row>254</xdr:row>
                <xdr:rowOff>200025</xdr:rowOff>
              </from>
              <to>
                <xdr:col>20</xdr:col>
                <xdr:colOff>76200</xdr:colOff>
                <xdr:row>254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0" r:id="rId210" name="Check Box 242">
          <controlPr defaultSize="0" autoFill="0" autoLine="0" autoPict="0">
            <anchor moveWithCells="1">
              <from>
                <xdr:col>18</xdr:col>
                <xdr:colOff>266700</xdr:colOff>
                <xdr:row>255</xdr:row>
                <xdr:rowOff>228600</xdr:rowOff>
              </from>
              <to>
                <xdr:col>20</xdr:col>
                <xdr:colOff>76200</xdr:colOff>
                <xdr:row>255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1" r:id="rId211" name="Check Box 243">
          <controlPr defaultSize="0" autoFill="0" autoLine="0" autoPict="0">
            <anchor moveWithCells="1">
              <from>
                <xdr:col>18</xdr:col>
                <xdr:colOff>276225</xdr:colOff>
                <xdr:row>256</xdr:row>
                <xdr:rowOff>200025</xdr:rowOff>
              </from>
              <to>
                <xdr:col>20</xdr:col>
                <xdr:colOff>66675</xdr:colOff>
                <xdr:row>256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2" r:id="rId212" name="Check Box 244">
          <controlPr defaultSize="0" autoFill="0" autoLine="0" autoPict="0">
            <anchor moveWithCells="1">
              <from>
                <xdr:col>18</xdr:col>
                <xdr:colOff>295275</xdr:colOff>
                <xdr:row>257</xdr:row>
                <xdr:rowOff>209550</xdr:rowOff>
              </from>
              <to>
                <xdr:col>20</xdr:col>
                <xdr:colOff>85725</xdr:colOff>
                <xdr:row>257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3" r:id="rId213" name="Check Box 245">
          <controlPr defaultSize="0" autoFill="0" autoLine="0" autoPict="0">
            <anchor moveWithCells="1">
              <from>
                <xdr:col>18</xdr:col>
                <xdr:colOff>285750</xdr:colOff>
                <xdr:row>258</xdr:row>
                <xdr:rowOff>180975</xdr:rowOff>
              </from>
              <to>
                <xdr:col>20</xdr:col>
                <xdr:colOff>76200</xdr:colOff>
                <xdr:row>258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4" r:id="rId214" name="Check Box 246">
          <controlPr defaultSize="0" autoFill="0" autoLine="0" autoPict="0">
            <anchor moveWithCells="1">
              <from>
                <xdr:col>18</xdr:col>
                <xdr:colOff>295275</xdr:colOff>
                <xdr:row>259</xdr:row>
                <xdr:rowOff>152400</xdr:rowOff>
              </from>
              <to>
                <xdr:col>20</xdr:col>
                <xdr:colOff>85725</xdr:colOff>
                <xdr:row>259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6" r:id="rId215" name="Check Box 248">
          <controlPr defaultSize="0" autoFill="0" autoLine="0" autoPict="0">
            <anchor moveWithCells="1">
              <from>
                <xdr:col>18</xdr:col>
                <xdr:colOff>304800</xdr:colOff>
                <xdr:row>261</xdr:row>
                <xdr:rowOff>200025</xdr:rowOff>
              </from>
              <to>
                <xdr:col>20</xdr:col>
                <xdr:colOff>95250</xdr:colOff>
                <xdr:row>261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7" r:id="rId216" name="Check Box 249">
          <controlPr defaultSize="0" autoFill="0" autoLine="0" autoPict="0">
            <anchor moveWithCells="1">
              <from>
                <xdr:col>18</xdr:col>
                <xdr:colOff>304800</xdr:colOff>
                <xdr:row>262</xdr:row>
                <xdr:rowOff>228600</xdr:rowOff>
              </from>
              <to>
                <xdr:col>20</xdr:col>
                <xdr:colOff>95250</xdr:colOff>
                <xdr:row>262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8" r:id="rId217" name="Check Box 250">
          <controlPr defaultSize="0" autoFill="0" autoLine="0" autoPict="0">
            <anchor moveWithCells="1">
              <from>
                <xdr:col>18</xdr:col>
                <xdr:colOff>314325</xdr:colOff>
                <xdr:row>263</xdr:row>
                <xdr:rowOff>200025</xdr:rowOff>
              </from>
              <to>
                <xdr:col>20</xdr:col>
                <xdr:colOff>104775</xdr:colOff>
                <xdr:row>263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9" r:id="rId218" name="Check Box 251">
          <controlPr defaultSize="0" autoFill="0" autoLine="0" autoPict="0">
            <anchor moveWithCells="1">
              <from>
                <xdr:col>18</xdr:col>
                <xdr:colOff>285750</xdr:colOff>
                <xdr:row>264</xdr:row>
                <xdr:rowOff>219075</xdr:rowOff>
              </from>
              <to>
                <xdr:col>20</xdr:col>
                <xdr:colOff>76200</xdr:colOff>
                <xdr:row>264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0" r:id="rId219" name="Check Box 252">
          <controlPr defaultSize="0" autoFill="0" autoLine="0" autoPict="0">
            <anchor moveWithCells="1">
              <from>
                <xdr:col>18</xdr:col>
                <xdr:colOff>276225</xdr:colOff>
                <xdr:row>265</xdr:row>
                <xdr:rowOff>228600</xdr:rowOff>
              </from>
              <to>
                <xdr:col>20</xdr:col>
                <xdr:colOff>66675</xdr:colOff>
                <xdr:row>265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1" r:id="rId220" name="Check Box 253">
          <controlPr defaultSize="0" autoFill="0" autoLine="0" autoPict="0">
            <anchor moveWithCells="1">
              <from>
                <xdr:col>18</xdr:col>
                <xdr:colOff>266700</xdr:colOff>
                <xdr:row>266</xdr:row>
                <xdr:rowOff>219075</xdr:rowOff>
              </from>
              <to>
                <xdr:col>20</xdr:col>
                <xdr:colOff>57150</xdr:colOff>
                <xdr:row>266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2" r:id="rId221" name="Check Box 254">
          <controlPr defaultSize="0" autoFill="0" autoLine="0" autoPict="0">
            <anchor moveWithCells="1">
              <from>
                <xdr:col>18</xdr:col>
                <xdr:colOff>276225</xdr:colOff>
                <xdr:row>268</xdr:row>
                <xdr:rowOff>247650</xdr:rowOff>
              </from>
              <to>
                <xdr:col>20</xdr:col>
                <xdr:colOff>66675</xdr:colOff>
                <xdr:row>268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3" r:id="rId222" name="Check Box 255">
          <controlPr defaultSize="0" autoFill="0" autoLine="0" autoPict="0">
            <anchor moveWithCells="1">
              <from>
                <xdr:col>18</xdr:col>
                <xdr:colOff>276225</xdr:colOff>
                <xdr:row>269</xdr:row>
                <xdr:rowOff>171450</xdr:rowOff>
              </from>
              <to>
                <xdr:col>20</xdr:col>
                <xdr:colOff>66675</xdr:colOff>
                <xdr:row>269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4" r:id="rId223" name="Check Box 256">
          <controlPr defaultSize="0" autoFill="0" autoLine="0" autoPict="0">
            <anchor moveWithCells="1">
              <from>
                <xdr:col>18</xdr:col>
                <xdr:colOff>257175</xdr:colOff>
                <xdr:row>270</xdr:row>
                <xdr:rowOff>190500</xdr:rowOff>
              </from>
              <to>
                <xdr:col>20</xdr:col>
                <xdr:colOff>47625</xdr:colOff>
                <xdr:row>270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5" r:id="rId224" name="Check Box 257">
          <controlPr defaultSize="0" autoFill="0" autoLine="0" autoPict="0">
            <anchor moveWithCells="1">
              <from>
                <xdr:col>18</xdr:col>
                <xdr:colOff>257175</xdr:colOff>
                <xdr:row>271</xdr:row>
                <xdr:rowOff>190500</xdr:rowOff>
              </from>
              <to>
                <xdr:col>20</xdr:col>
                <xdr:colOff>47625</xdr:colOff>
                <xdr:row>271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6" r:id="rId225" name="Check Box 258">
          <controlPr defaultSize="0" autoFill="0" autoLine="0" autoPict="0">
            <anchor moveWithCells="1">
              <from>
                <xdr:col>18</xdr:col>
                <xdr:colOff>257175</xdr:colOff>
                <xdr:row>272</xdr:row>
                <xdr:rowOff>209550</xdr:rowOff>
              </from>
              <to>
                <xdr:col>20</xdr:col>
                <xdr:colOff>47625</xdr:colOff>
                <xdr:row>272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7" r:id="rId226" name="Check Box 259">
          <controlPr defaultSize="0" autoFill="0" autoLine="0" autoPict="0">
            <anchor moveWithCells="1">
              <from>
                <xdr:col>18</xdr:col>
                <xdr:colOff>247650</xdr:colOff>
                <xdr:row>273</xdr:row>
                <xdr:rowOff>190500</xdr:rowOff>
              </from>
              <to>
                <xdr:col>20</xdr:col>
                <xdr:colOff>38100</xdr:colOff>
                <xdr:row>273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8" r:id="rId227" name="Check Box 260">
          <controlPr defaultSize="0" autoFill="0" autoLine="0" autoPict="0">
            <anchor moveWithCells="1">
              <from>
                <xdr:col>18</xdr:col>
                <xdr:colOff>257175</xdr:colOff>
                <xdr:row>274</xdr:row>
                <xdr:rowOff>200025</xdr:rowOff>
              </from>
              <to>
                <xdr:col>20</xdr:col>
                <xdr:colOff>47625</xdr:colOff>
                <xdr:row>274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9" r:id="rId228" name="Check Box 261">
          <controlPr defaultSize="0" autoFill="0" autoLine="0" autoPict="0">
            <anchor moveWithCells="1">
              <from>
                <xdr:col>18</xdr:col>
                <xdr:colOff>257175</xdr:colOff>
                <xdr:row>275</xdr:row>
                <xdr:rowOff>190500</xdr:rowOff>
              </from>
              <to>
                <xdr:col>20</xdr:col>
                <xdr:colOff>47625</xdr:colOff>
                <xdr:row>275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0" r:id="rId229" name="Check Box 262">
          <controlPr defaultSize="0" autoFill="0" autoLine="0" autoPict="0">
            <anchor moveWithCells="1">
              <from>
                <xdr:col>18</xdr:col>
                <xdr:colOff>257175</xdr:colOff>
                <xdr:row>276</xdr:row>
                <xdr:rowOff>190500</xdr:rowOff>
              </from>
              <to>
                <xdr:col>20</xdr:col>
                <xdr:colOff>47625</xdr:colOff>
                <xdr:row>276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1" r:id="rId230" name="Check Box 263">
          <controlPr defaultSize="0" autoFill="0" autoLine="0" autoPict="0">
            <anchor moveWithCells="1">
              <from>
                <xdr:col>18</xdr:col>
                <xdr:colOff>257175</xdr:colOff>
                <xdr:row>277</xdr:row>
                <xdr:rowOff>200025</xdr:rowOff>
              </from>
              <to>
                <xdr:col>20</xdr:col>
                <xdr:colOff>47625</xdr:colOff>
                <xdr:row>277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3" r:id="rId231" name="Check Box 265">
          <controlPr defaultSize="0" autoFill="0" autoLine="0" autoPict="0">
            <anchor moveWithCells="1">
              <from>
                <xdr:col>18</xdr:col>
                <xdr:colOff>266700</xdr:colOff>
                <xdr:row>278</xdr:row>
                <xdr:rowOff>171450</xdr:rowOff>
              </from>
              <to>
                <xdr:col>20</xdr:col>
                <xdr:colOff>57150</xdr:colOff>
                <xdr:row>278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4" r:id="rId232" name="Check Box 266">
          <controlPr defaultSize="0" autoFill="0" autoLine="0" autoPict="0">
            <anchor moveWithCells="1">
              <from>
                <xdr:col>18</xdr:col>
                <xdr:colOff>257175</xdr:colOff>
                <xdr:row>279</xdr:row>
                <xdr:rowOff>200025</xdr:rowOff>
              </from>
              <to>
                <xdr:col>20</xdr:col>
                <xdr:colOff>47625</xdr:colOff>
                <xdr:row>279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5" r:id="rId233" name="Check Box 267">
          <controlPr defaultSize="0" autoFill="0" autoLine="0" autoPict="0">
            <anchor moveWithCells="1">
              <from>
                <xdr:col>18</xdr:col>
                <xdr:colOff>266700</xdr:colOff>
                <xdr:row>280</xdr:row>
                <xdr:rowOff>200025</xdr:rowOff>
              </from>
              <to>
                <xdr:col>20</xdr:col>
                <xdr:colOff>57150</xdr:colOff>
                <xdr:row>280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6" r:id="rId234" name="Check Box 268">
          <controlPr defaultSize="0" autoFill="0" autoLine="0" autoPict="0">
            <anchor moveWithCells="1">
              <from>
                <xdr:col>18</xdr:col>
                <xdr:colOff>266700</xdr:colOff>
                <xdr:row>281</xdr:row>
                <xdr:rowOff>200025</xdr:rowOff>
              </from>
              <to>
                <xdr:col>20</xdr:col>
                <xdr:colOff>57150</xdr:colOff>
                <xdr:row>281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7" r:id="rId235" name="Check Box 269">
          <controlPr defaultSize="0" autoFill="0" autoLine="0" autoPict="0">
            <anchor moveWithCells="1">
              <from>
                <xdr:col>18</xdr:col>
                <xdr:colOff>266700</xdr:colOff>
                <xdr:row>282</xdr:row>
                <xdr:rowOff>200025</xdr:rowOff>
              </from>
              <to>
                <xdr:col>20</xdr:col>
                <xdr:colOff>57150</xdr:colOff>
                <xdr:row>282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8" r:id="rId236" name="Check Box 270">
          <controlPr defaultSize="0" autoFill="0" autoLine="0" autoPict="0">
            <anchor moveWithCells="1">
              <from>
                <xdr:col>18</xdr:col>
                <xdr:colOff>257175</xdr:colOff>
                <xdr:row>283</xdr:row>
                <xdr:rowOff>190500</xdr:rowOff>
              </from>
              <to>
                <xdr:col>20</xdr:col>
                <xdr:colOff>47625</xdr:colOff>
                <xdr:row>283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9" r:id="rId237" name="Check Box 271">
          <controlPr defaultSize="0" autoFill="0" autoLine="0" autoPict="0">
            <anchor moveWithCells="1">
              <from>
                <xdr:col>18</xdr:col>
                <xdr:colOff>247650</xdr:colOff>
                <xdr:row>284</xdr:row>
                <xdr:rowOff>180975</xdr:rowOff>
              </from>
              <to>
                <xdr:col>20</xdr:col>
                <xdr:colOff>38100</xdr:colOff>
                <xdr:row>284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0" r:id="rId238" name="Check Box 272">
          <controlPr defaultSize="0" autoFill="0" autoLine="0" autoPict="0">
            <anchor moveWithCells="1">
              <from>
                <xdr:col>18</xdr:col>
                <xdr:colOff>266700</xdr:colOff>
                <xdr:row>286</xdr:row>
                <xdr:rowOff>200025</xdr:rowOff>
              </from>
              <to>
                <xdr:col>20</xdr:col>
                <xdr:colOff>57150</xdr:colOff>
                <xdr:row>286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1" r:id="rId239" name="Check Box 273">
          <controlPr defaultSize="0" autoFill="0" autoLine="0" autoPict="0">
            <anchor moveWithCells="1">
              <from>
                <xdr:col>18</xdr:col>
                <xdr:colOff>276225</xdr:colOff>
                <xdr:row>287</xdr:row>
                <xdr:rowOff>200025</xdr:rowOff>
              </from>
              <to>
                <xdr:col>20</xdr:col>
                <xdr:colOff>66675</xdr:colOff>
                <xdr:row>287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2" r:id="rId240" name="Check Box 274">
          <controlPr defaultSize="0" autoFill="0" autoLine="0" autoPict="0">
            <anchor moveWithCells="1">
              <from>
                <xdr:col>18</xdr:col>
                <xdr:colOff>276225</xdr:colOff>
                <xdr:row>288</xdr:row>
                <xdr:rowOff>209550</xdr:rowOff>
              </from>
              <to>
                <xdr:col>20</xdr:col>
                <xdr:colOff>66675</xdr:colOff>
                <xdr:row>288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3" r:id="rId241" name="Check Box 275">
          <controlPr defaultSize="0" autoFill="0" autoLine="0" autoPict="0">
            <anchor moveWithCells="1">
              <from>
                <xdr:col>18</xdr:col>
                <xdr:colOff>276225</xdr:colOff>
                <xdr:row>289</xdr:row>
                <xdr:rowOff>209550</xdr:rowOff>
              </from>
              <to>
                <xdr:col>20</xdr:col>
                <xdr:colOff>66675</xdr:colOff>
                <xdr:row>289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4" r:id="rId242" name="Check Box 276">
          <controlPr defaultSize="0" autoFill="0" autoLine="0" autoPict="0">
            <anchor moveWithCells="1">
              <from>
                <xdr:col>18</xdr:col>
                <xdr:colOff>276225</xdr:colOff>
                <xdr:row>290</xdr:row>
                <xdr:rowOff>190500</xdr:rowOff>
              </from>
              <to>
                <xdr:col>20</xdr:col>
                <xdr:colOff>66675</xdr:colOff>
                <xdr:row>290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5" r:id="rId243" name="Check Box 277">
          <controlPr defaultSize="0" autoFill="0" autoLine="0" autoPict="0">
            <anchor moveWithCells="1">
              <from>
                <xdr:col>18</xdr:col>
                <xdr:colOff>276225</xdr:colOff>
                <xdr:row>291</xdr:row>
                <xdr:rowOff>190500</xdr:rowOff>
              </from>
              <to>
                <xdr:col>20</xdr:col>
                <xdr:colOff>66675</xdr:colOff>
                <xdr:row>291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6" r:id="rId244" name="Check Box 278">
          <controlPr defaultSize="0" autoFill="0" autoLine="0" autoPict="0">
            <anchor moveWithCells="1">
              <from>
                <xdr:col>18</xdr:col>
                <xdr:colOff>276225</xdr:colOff>
                <xdr:row>292</xdr:row>
                <xdr:rowOff>228600</xdr:rowOff>
              </from>
              <to>
                <xdr:col>20</xdr:col>
                <xdr:colOff>66675</xdr:colOff>
                <xdr:row>292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7" r:id="rId245" name="Check Box 279">
          <controlPr defaultSize="0" autoFill="0" autoLine="0" autoPict="0">
            <anchor moveWithCells="1">
              <from>
                <xdr:col>18</xdr:col>
                <xdr:colOff>276225</xdr:colOff>
                <xdr:row>293</xdr:row>
                <xdr:rowOff>123825</xdr:rowOff>
              </from>
              <to>
                <xdr:col>20</xdr:col>
                <xdr:colOff>66675</xdr:colOff>
                <xdr:row>293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8" r:id="rId246" name="Check Box 280">
          <controlPr defaultSize="0" autoFill="0" autoLine="0" autoPict="0">
            <anchor moveWithCells="1">
              <from>
                <xdr:col>18</xdr:col>
                <xdr:colOff>276225</xdr:colOff>
                <xdr:row>294</xdr:row>
                <xdr:rowOff>123825</xdr:rowOff>
              </from>
              <to>
                <xdr:col>20</xdr:col>
                <xdr:colOff>66675</xdr:colOff>
                <xdr:row>294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9" r:id="rId247" name="Check Box 281">
          <controlPr defaultSize="0" autoFill="0" autoLine="0" autoPict="0">
            <anchor moveWithCells="1">
              <from>
                <xdr:col>18</xdr:col>
                <xdr:colOff>276225</xdr:colOff>
                <xdr:row>295</xdr:row>
                <xdr:rowOff>95250</xdr:rowOff>
              </from>
              <to>
                <xdr:col>20</xdr:col>
                <xdr:colOff>66675</xdr:colOff>
                <xdr:row>295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0" r:id="rId248" name="Check Box 282">
          <controlPr defaultSize="0" autoFill="0" autoLine="0" autoPict="0">
            <anchor moveWithCells="1">
              <from>
                <xdr:col>18</xdr:col>
                <xdr:colOff>266700</xdr:colOff>
                <xdr:row>296</xdr:row>
                <xdr:rowOff>95250</xdr:rowOff>
              </from>
              <to>
                <xdr:col>20</xdr:col>
                <xdr:colOff>57150</xdr:colOff>
                <xdr:row>296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1" r:id="rId249" name="Check Box 283">
          <controlPr defaultSize="0" autoFill="0" autoLine="0" autoPict="0">
            <anchor moveWithCells="1">
              <from>
                <xdr:col>18</xdr:col>
                <xdr:colOff>276225</xdr:colOff>
                <xdr:row>297</xdr:row>
                <xdr:rowOff>104775</xdr:rowOff>
              </from>
              <to>
                <xdr:col>20</xdr:col>
                <xdr:colOff>66675</xdr:colOff>
                <xdr:row>297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2" r:id="rId250" name="Check Box 284">
          <controlPr defaultSize="0" autoFill="0" autoLine="0" autoPict="0">
            <anchor moveWithCells="1">
              <from>
                <xdr:col>18</xdr:col>
                <xdr:colOff>285750</xdr:colOff>
                <xdr:row>298</xdr:row>
                <xdr:rowOff>123825</xdr:rowOff>
              </from>
              <to>
                <xdr:col>20</xdr:col>
                <xdr:colOff>76200</xdr:colOff>
                <xdr:row>298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3" r:id="rId251" name="Check Box 285">
          <controlPr defaultSize="0" autoFill="0" autoLine="0" autoPict="0">
            <anchor moveWithCells="1">
              <from>
                <xdr:col>18</xdr:col>
                <xdr:colOff>276225</xdr:colOff>
                <xdr:row>299</xdr:row>
                <xdr:rowOff>104775</xdr:rowOff>
              </from>
              <to>
                <xdr:col>20</xdr:col>
                <xdr:colOff>66675</xdr:colOff>
                <xdr:row>299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4" r:id="rId252" name="Check Box 286">
          <controlPr defaultSize="0" autoFill="0" autoLine="0" autoPict="0">
            <anchor moveWithCells="1">
              <from>
                <xdr:col>18</xdr:col>
                <xdr:colOff>285750</xdr:colOff>
                <xdr:row>300</xdr:row>
                <xdr:rowOff>0</xdr:rowOff>
              </from>
              <to>
                <xdr:col>20</xdr:col>
                <xdr:colOff>76200</xdr:colOff>
                <xdr:row>300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5" r:id="rId253" name="Check Box 287">
          <controlPr defaultSize="0" autoFill="0" autoLine="0" autoPict="0">
            <anchor moveWithCells="1">
              <from>
                <xdr:col>18</xdr:col>
                <xdr:colOff>285750</xdr:colOff>
                <xdr:row>300</xdr:row>
                <xdr:rowOff>0</xdr:rowOff>
              </from>
              <to>
                <xdr:col>20</xdr:col>
                <xdr:colOff>76200</xdr:colOff>
                <xdr:row>300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6" r:id="rId254" name="Check Box 288">
          <controlPr defaultSize="0" autoFill="0" autoLine="0" autoPict="0">
            <anchor moveWithCells="1">
              <from>
                <xdr:col>18</xdr:col>
                <xdr:colOff>285750</xdr:colOff>
                <xdr:row>300</xdr:row>
                <xdr:rowOff>0</xdr:rowOff>
              </from>
              <to>
                <xdr:col>20</xdr:col>
                <xdr:colOff>76200</xdr:colOff>
                <xdr:row>300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7" r:id="rId255" name="Check Box 289">
          <controlPr defaultSize="0" autoFill="0" autoLine="0" autoPict="0">
            <anchor moveWithCells="1">
              <from>
                <xdr:col>18</xdr:col>
                <xdr:colOff>276225</xdr:colOff>
                <xdr:row>300</xdr:row>
                <xdr:rowOff>104775</xdr:rowOff>
              </from>
              <to>
                <xdr:col>20</xdr:col>
                <xdr:colOff>66675</xdr:colOff>
                <xdr:row>300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8" r:id="rId256" name="Check Box 290">
          <controlPr defaultSize="0" autoFill="0" autoLine="0" autoPict="0">
            <anchor moveWithCells="1">
              <from>
                <xdr:col>18</xdr:col>
                <xdr:colOff>276225</xdr:colOff>
                <xdr:row>301</xdr:row>
                <xdr:rowOff>123825</xdr:rowOff>
              </from>
              <to>
                <xdr:col>20</xdr:col>
                <xdr:colOff>66675</xdr:colOff>
                <xdr:row>301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9" r:id="rId257" name="Check Box 291">
          <controlPr defaultSize="0" autoFill="0" autoLine="0" autoPict="0">
            <anchor moveWithCells="1">
              <from>
                <xdr:col>18</xdr:col>
                <xdr:colOff>276225</xdr:colOff>
                <xdr:row>302</xdr:row>
                <xdr:rowOff>104775</xdr:rowOff>
              </from>
              <to>
                <xdr:col>20</xdr:col>
                <xdr:colOff>66675</xdr:colOff>
                <xdr:row>302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60" r:id="rId258" name="Check Box 292">
          <controlPr defaultSize="0" autoFill="0" autoLine="0" autoPict="0">
            <anchor moveWithCells="1">
              <from>
                <xdr:col>18</xdr:col>
                <xdr:colOff>276225</xdr:colOff>
                <xdr:row>303</xdr:row>
                <xdr:rowOff>114300</xdr:rowOff>
              </from>
              <to>
                <xdr:col>20</xdr:col>
                <xdr:colOff>66675</xdr:colOff>
                <xdr:row>303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61" r:id="rId259" name="Check Box 293">
          <controlPr defaultSize="0" autoFill="0" autoLine="0" autoPict="0">
            <anchor moveWithCells="1">
              <from>
                <xdr:col>18</xdr:col>
                <xdr:colOff>276225</xdr:colOff>
                <xdr:row>304</xdr:row>
                <xdr:rowOff>123825</xdr:rowOff>
              </from>
              <to>
                <xdr:col>20</xdr:col>
                <xdr:colOff>66675</xdr:colOff>
                <xdr:row>304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62" r:id="rId260" name="Check Box 294">
          <controlPr defaultSize="0" autoFill="0" autoLine="0" autoPict="0">
            <anchor moveWithCells="1">
              <from>
                <xdr:col>18</xdr:col>
                <xdr:colOff>276225</xdr:colOff>
                <xdr:row>305</xdr:row>
                <xdr:rowOff>0</xdr:rowOff>
              </from>
              <to>
                <xdr:col>20</xdr:col>
                <xdr:colOff>66675</xdr:colOff>
                <xdr:row>305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63" r:id="rId261" name="Button 295">
          <controlPr defaultSize="0" print="0" autoFill="0" autoPict="0" macro="[0]!Mark">
            <anchor moveWithCells="1" sizeWithCells="1">
              <from>
                <xdr:col>16</xdr:col>
                <xdr:colOff>2181225</xdr:colOff>
                <xdr:row>7</xdr:row>
                <xdr:rowOff>114300</xdr:rowOff>
              </from>
              <to>
                <xdr:col>17</xdr:col>
                <xdr:colOff>514350</xdr:colOff>
                <xdr:row>7</xdr:row>
                <xdr:rowOff>914400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7" r:id="rId262" name="Check Box 319">
          <controlPr defaultSize="0" autoFill="0" autoLine="0" autoPict="0" altText="">
            <anchor moveWithCells="1">
              <from>
                <xdr:col>18</xdr:col>
                <xdr:colOff>228600</xdr:colOff>
                <xdr:row>227</xdr:row>
                <xdr:rowOff>219075</xdr:rowOff>
              </from>
              <to>
                <xdr:col>20</xdr:col>
                <xdr:colOff>9525</xdr:colOff>
                <xdr:row>227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8" r:id="rId263" name="Check Box 320">
          <controlPr defaultSize="0" autoFill="0" autoLine="0" autoPict="0">
            <anchor moveWithCells="1">
              <from>
                <xdr:col>18</xdr:col>
                <xdr:colOff>257175</xdr:colOff>
                <xdr:row>228</xdr:row>
                <xdr:rowOff>190500</xdr:rowOff>
              </from>
              <to>
                <xdr:col>20</xdr:col>
                <xdr:colOff>47625</xdr:colOff>
                <xdr:row>228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9" r:id="rId264" name="Check Box 321">
          <controlPr defaultSize="0" autoFill="0" autoLine="0" autoPict="0">
            <anchor moveWithCells="1">
              <from>
                <xdr:col>18</xdr:col>
                <xdr:colOff>257175</xdr:colOff>
                <xdr:row>229</xdr:row>
                <xdr:rowOff>200025</xdr:rowOff>
              </from>
              <to>
                <xdr:col>20</xdr:col>
                <xdr:colOff>38100</xdr:colOff>
                <xdr:row>229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0" r:id="rId265" name="Check Box 322">
          <controlPr defaultSize="0" autoFill="0" autoLine="0" autoPict="0">
            <anchor moveWithCells="1">
              <from>
                <xdr:col>18</xdr:col>
                <xdr:colOff>285750</xdr:colOff>
                <xdr:row>230</xdr:row>
                <xdr:rowOff>219075</xdr:rowOff>
              </from>
              <to>
                <xdr:col>20</xdr:col>
                <xdr:colOff>85725</xdr:colOff>
                <xdr:row>230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1" r:id="rId266" name="Check Box 323">
          <controlPr defaultSize="0" autoFill="0" autoLine="0" autoPict="0">
            <anchor moveWithCells="1">
              <from>
                <xdr:col>18</xdr:col>
                <xdr:colOff>285750</xdr:colOff>
                <xdr:row>231</xdr:row>
                <xdr:rowOff>219075</xdr:rowOff>
              </from>
              <to>
                <xdr:col>20</xdr:col>
                <xdr:colOff>76200</xdr:colOff>
                <xdr:row>231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2" r:id="rId267" name="Check Box 324">
          <controlPr defaultSize="0" autoFill="0" autoLine="0" autoPict="0">
            <anchor moveWithCells="1">
              <from>
                <xdr:col>18</xdr:col>
                <xdr:colOff>285750</xdr:colOff>
                <xdr:row>232</xdr:row>
                <xdr:rowOff>219075</xdr:rowOff>
              </from>
              <to>
                <xdr:col>20</xdr:col>
                <xdr:colOff>85725</xdr:colOff>
                <xdr:row>232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3" r:id="rId268" name="Check Box 325">
          <controlPr defaultSize="0" autoFill="0" autoLine="0" autoPict="0">
            <anchor moveWithCells="1">
              <from>
                <xdr:col>18</xdr:col>
                <xdr:colOff>295275</xdr:colOff>
                <xdr:row>233</xdr:row>
                <xdr:rowOff>200025</xdr:rowOff>
              </from>
              <to>
                <xdr:col>20</xdr:col>
                <xdr:colOff>95250</xdr:colOff>
                <xdr:row>233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4" r:id="rId269" name="Check Box 326">
          <controlPr defaultSize="0" autoFill="0" autoLine="0" autoPict="0">
            <anchor moveWithCells="1">
              <from>
                <xdr:col>18</xdr:col>
                <xdr:colOff>285750</xdr:colOff>
                <xdr:row>234</xdr:row>
                <xdr:rowOff>190500</xdr:rowOff>
              </from>
              <to>
                <xdr:col>20</xdr:col>
                <xdr:colOff>85725</xdr:colOff>
                <xdr:row>234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5" r:id="rId270" name="Check Box 327">
          <controlPr defaultSize="0" autoFill="0" autoLine="0" autoPict="0">
            <anchor moveWithCells="1">
              <from>
                <xdr:col>18</xdr:col>
                <xdr:colOff>257175</xdr:colOff>
                <xdr:row>235</xdr:row>
                <xdr:rowOff>219075</xdr:rowOff>
              </from>
              <to>
                <xdr:col>20</xdr:col>
                <xdr:colOff>47625</xdr:colOff>
                <xdr:row>235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6" r:id="rId271" name="Check Box 328">
          <controlPr defaultSize="0" autoFill="0" autoLine="0" autoPict="0">
            <anchor moveWithCells="1">
              <from>
                <xdr:col>18</xdr:col>
                <xdr:colOff>257175</xdr:colOff>
                <xdr:row>236</xdr:row>
                <xdr:rowOff>190500</xdr:rowOff>
              </from>
              <to>
                <xdr:col>20</xdr:col>
                <xdr:colOff>57150</xdr:colOff>
                <xdr:row>236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7" r:id="rId272" name="Check Box 329">
          <controlPr defaultSize="0" autoFill="0" autoLine="0" autoPict="0">
            <anchor moveWithCells="1">
              <from>
                <xdr:col>18</xdr:col>
                <xdr:colOff>295275</xdr:colOff>
                <xdr:row>237</xdr:row>
                <xdr:rowOff>180975</xdr:rowOff>
              </from>
              <to>
                <xdr:col>20</xdr:col>
                <xdr:colOff>95250</xdr:colOff>
                <xdr:row>237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8" r:id="rId273" name="Check Box 330">
          <controlPr defaultSize="0" autoFill="0" autoLine="0" autoPict="0">
            <anchor moveWithCells="1">
              <from>
                <xdr:col>18</xdr:col>
                <xdr:colOff>333375</xdr:colOff>
                <xdr:row>238</xdr:row>
                <xdr:rowOff>200025</xdr:rowOff>
              </from>
              <to>
                <xdr:col>20</xdr:col>
                <xdr:colOff>123825</xdr:colOff>
                <xdr:row>238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9" r:id="rId274" name="Check Box 331">
          <controlPr defaultSize="0" autoFill="0" autoLine="0" autoPict="0">
            <anchor moveWithCells="1">
              <from>
                <xdr:col>18</xdr:col>
                <xdr:colOff>304800</xdr:colOff>
                <xdr:row>239</xdr:row>
                <xdr:rowOff>209550</xdr:rowOff>
              </from>
              <to>
                <xdr:col>20</xdr:col>
                <xdr:colOff>85725</xdr:colOff>
                <xdr:row>239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0" r:id="rId275" name="Check Box 332">
          <controlPr defaultSize="0" autoFill="0" autoLine="0" autoPict="0">
            <anchor moveWithCells="1">
              <from>
                <xdr:col>18</xdr:col>
                <xdr:colOff>295275</xdr:colOff>
                <xdr:row>240</xdr:row>
                <xdr:rowOff>238125</xdr:rowOff>
              </from>
              <to>
                <xdr:col>20</xdr:col>
                <xdr:colOff>95250</xdr:colOff>
                <xdr:row>240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1" r:id="rId276" name="Check Box 333">
          <controlPr defaultSize="0" autoFill="0" autoLine="0" autoPict="0">
            <anchor moveWithCells="1">
              <from>
                <xdr:col>18</xdr:col>
                <xdr:colOff>285750</xdr:colOff>
                <xdr:row>241</xdr:row>
                <xdr:rowOff>219075</xdr:rowOff>
              </from>
              <to>
                <xdr:col>20</xdr:col>
                <xdr:colOff>76200</xdr:colOff>
                <xdr:row>241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2" r:id="rId277" name="Check Box 334">
          <controlPr defaultSize="0" autoFill="0" autoLine="0" autoPict="0">
            <anchor moveWithCells="1">
              <from>
                <xdr:col>18</xdr:col>
                <xdr:colOff>304800</xdr:colOff>
                <xdr:row>242</xdr:row>
                <xdr:rowOff>171450</xdr:rowOff>
              </from>
              <to>
                <xdr:col>20</xdr:col>
                <xdr:colOff>95250</xdr:colOff>
                <xdr:row>242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3" r:id="rId278" name="Check Box 335">
          <controlPr defaultSize="0" autoFill="0" autoLine="0" autoPict="0">
            <anchor moveWithCells="1">
              <from>
                <xdr:col>18</xdr:col>
                <xdr:colOff>257175</xdr:colOff>
                <xdr:row>243</xdr:row>
                <xdr:rowOff>190500</xdr:rowOff>
              </from>
              <to>
                <xdr:col>20</xdr:col>
                <xdr:colOff>57150</xdr:colOff>
                <xdr:row>243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4" r:id="rId279" name="Check Box 336">
          <controlPr defaultSize="0" autoFill="0" autoLine="0" autoPict="0">
            <anchor moveWithCells="1">
              <from>
                <xdr:col>18</xdr:col>
                <xdr:colOff>276225</xdr:colOff>
                <xdr:row>244</xdr:row>
                <xdr:rowOff>190500</xdr:rowOff>
              </from>
              <to>
                <xdr:col>20</xdr:col>
                <xdr:colOff>66675</xdr:colOff>
                <xdr:row>244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5" r:id="rId280" name="Check Box 337">
          <controlPr defaultSize="0" autoFill="0" autoLine="0" autoPict="0">
            <anchor moveWithCells="1">
              <from>
                <xdr:col>18</xdr:col>
                <xdr:colOff>295275</xdr:colOff>
                <xdr:row>245</xdr:row>
                <xdr:rowOff>171450</xdr:rowOff>
              </from>
              <to>
                <xdr:col>20</xdr:col>
                <xdr:colOff>95250</xdr:colOff>
                <xdr:row>245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6" r:id="rId281" name="Check Box 338">
          <controlPr defaultSize="0" autoFill="0" autoLine="0" autoPict="0">
            <anchor moveWithCells="1">
              <from>
                <xdr:col>18</xdr:col>
                <xdr:colOff>304800</xdr:colOff>
                <xdr:row>246</xdr:row>
                <xdr:rowOff>209550</xdr:rowOff>
              </from>
              <to>
                <xdr:col>20</xdr:col>
                <xdr:colOff>95250</xdr:colOff>
                <xdr:row>246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7" r:id="rId282" name="Check Box 339">
          <controlPr defaultSize="0" autoFill="0" autoLine="0" autoPict="0">
            <anchor moveWithCells="1">
              <from>
                <xdr:col>18</xdr:col>
                <xdr:colOff>285750</xdr:colOff>
                <xdr:row>247</xdr:row>
                <xdr:rowOff>209550</xdr:rowOff>
              </from>
              <to>
                <xdr:col>20</xdr:col>
                <xdr:colOff>85725</xdr:colOff>
                <xdr:row>247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8" r:id="rId283" name="Check Box 340">
          <controlPr defaultSize="0" autoFill="0" autoLine="0" autoPict="0">
            <anchor moveWithCells="1">
              <from>
                <xdr:col>18</xdr:col>
                <xdr:colOff>333375</xdr:colOff>
                <xdr:row>260</xdr:row>
                <xdr:rowOff>190500</xdr:rowOff>
              </from>
              <to>
                <xdr:col>20</xdr:col>
                <xdr:colOff>142875</xdr:colOff>
                <xdr:row>260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9" r:id="rId284" name="Check Box 341">
          <controlPr defaultSize="0" autoFill="0" autoLine="0" autoPict="0">
            <anchor moveWithCells="1">
              <from>
                <xdr:col>18</xdr:col>
                <xdr:colOff>285750</xdr:colOff>
                <xdr:row>180</xdr:row>
                <xdr:rowOff>400050</xdr:rowOff>
              </from>
              <to>
                <xdr:col>20</xdr:col>
                <xdr:colOff>66675</xdr:colOff>
                <xdr:row>180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0" r:id="rId285" name="Check Box 342">
          <controlPr defaultSize="0" autoFill="0" autoLine="0" autoPict="0">
            <anchor moveWithCells="1">
              <from>
                <xdr:col>18</xdr:col>
                <xdr:colOff>285750</xdr:colOff>
                <xdr:row>181</xdr:row>
                <xdr:rowOff>419100</xdr:rowOff>
              </from>
              <to>
                <xdr:col>20</xdr:col>
                <xdr:colOff>76200</xdr:colOff>
                <xdr:row>181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1" r:id="rId286" name="Check Box 343">
          <controlPr defaultSize="0" autoFill="0" autoLine="0" autoPict="0">
            <anchor moveWithCells="1">
              <from>
                <xdr:col>18</xdr:col>
                <xdr:colOff>276225</xdr:colOff>
                <xdr:row>182</xdr:row>
                <xdr:rowOff>381000</xdr:rowOff>
              </from>
              <to>
                <xdr:col>20</xdr:col>
                <xdr:colOff>66675</xdr:colOff>
                <xdr:row>182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2" r:id="rId287" name="Check Box 344">
          <controlPr defaultSize="0" autoFill="0" autoLine="0" autoPict="0">
            <anchor moveWithCells="1">
              <from>
                <xdr:col>18</xdr:col>
                <xdr:colOff>266700</xdr:colOff>
                <xdr:row>183</xdr:row>
                <xdr:rowOff>361950</xdr:rowOff>
              </from>
              <to>
                <xdr:col>20</xdr:col>
                <xdr:colOff>66675</xdr:colOff>
                <xdr:row>183</xdr:row>
                <xdr:rowOff>571500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3" r:id="rId288" name="Check Box 345">
          <controlPr defaultSize="0" autoFill="0" autoLine="0" autoPict="0">
            <anchor moveWithCells="1">
              <from>
                <xdr:col>18</xdr:col>
                <xdr:colOff>276225</xdr:colOff>
                <xdr:row>157</xdr:row>
                <xdr:rowOff>409575</xdr:rowOff>
              </from>
              <to>
                <xdr:col>20</xdr:col>
                <xdr:colOff>66675</xdr:colOff>
                <xdr:row>157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4" r:id="rId289" name="Check Box 346">
          <controlPr defaultSize="0" autoFill="0" autoLine="0" autoPict="0">
            <anchor moveWithCells="1">
              <from>
                <xdr:col>18</xdr:col>
                <xdr:colOff>276225</xdr:colOff>
                <xdr:row>158</xdr:row>
                <xdr:rowOff>381000</xdr:rowOff>
              </from>
              <to>
                <xdr:col>20</xdr:col>
                <xdr:colOff>66675</xdr:colOff>
                <xdr:row>158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5" r:id="rId290" name="Check Box 347">
          <controlPr defaultSize="0" autoFill="0" autoLine="0" autoPict="0">
            <anchor moveWithCells="1">
              <from>
                <xdr:col>18</xdr:col>
                <xdr:colOff>276225</xdr:colOff>
                <xdr:row>159</xdr:row>
                <xdr:rowOff>400050</xdr:rowOff>
              </from>
              <to>
                <xdr:col>20</xdr:col>
                <xdr:colOff>66675</xdr:colOff>
                <xdr:row>159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7" r:id="rId291" name="Check Box 349">
          <controlPr defaultSize="0" autoFill="0" autoLine="0" autoPict="0">
            <anchor moveWithCells="1">
              <from>
                <xdr:col>18</xdr:col>
                <xdr:colOff>257175</xdr:colOff>
                <xdr:row>160</xdr:row>
                <xdr:rowOff>438150</xdr:rowOff>
              </from>
              <to>
                <xdr:col>20</xdr:col>
                <xdr:colOff>57150</xdr:colOff>
                <xdr:row>160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8" r:id="rId292" name="Check Box 350">
          <controlPr defaultSize="0" autoFill="0" autoLine="0" autoPict="0">
            <anchor moveWithCells="1">
              <from>
                <xdr:col>18</xdr:col>
                <xdr:colOff>257175</xdr:colOff>
                <xdr:row>161</xdr:row>
                <xdr:rowOff>409575</xdr:rowOff>
              </from>
              <to>
                <xdr:col>20</xdr:col>
                <xdr:colOff>57150</xdr:colOff>
                <xdr:row>161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9" r:id="rId293" name="Check Box 351">
          <controlPr defaultSize="0" autoFill="0" autoLine="0" autoPict="0">
            <anchor moveWithCells="1">
              <from>
                <xdr:col>18</xdr:col>
                <xdr:colOff>295275</xdr:colOff>
                <xdr:row>162</xdr:row>
                <xdr:rowOff>419100</xdr:rowOff>
              </from>
              <to>
                <xdr:col>20</xdr:col>
                <xdr:colOff>85725</xdr:colOff>
                <xdr:row>162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0" r:id="rId294" name="Check Box 352">
          <controlPr defaultSize="0" autoFill="0" autoLine="0" autoPict="0">
            <anchor moveWithCells="1">
              <from>
                <xdr:col>18</xdr:col>
                <xdr:colOff>285750</xdr:colOff>
                <xdr:row>163</xdr:row>
                <xdr:rowOff>381000</xdr:rowOff>
              </from>
              <to>
                <xdr:col>20</xdr:col>
                <xdr:colOff>85725</xdr:colOff>
                <xdr:row>163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1" r:id="rId295" name="Check Box 353">
          <controlPr defaultSize="0" autoFill="0" autoLine="0" autoPict="0">
            <anchor moveWithCells="1">
              <from>
                <xdr:col>18</xdr:col>
                <xdr:colOff>314325</xdr:colOff>
                <xdr:row>164</xdr:row>
                <xdr:rowOff>390525</xdr:rowOff>
              </from>
              <to>
                <xdr:col>20</xdr:col>
                <xdr:colOff>114300</xdr:colOff>
                <xdr:row>164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2" r:id="rId296" name="Check Box 354">
          <controlPr defaultSize="0" autoFill="0" autoLine="0" autoPict="0">
            <anchor moveWithCells="1">
              <from>
                <xdr:col>18</xdr:col>
                <xdr:colOff>295275</xdr:colOff>
                <xdr:row>165</xdr:row>
                <xdr:rowOff>381000</xdr:rowOff>
              </from>
              <to>
                <xdr:col>20</xdr:col>
                <xdr:colOff>95250</xdr:colOff>
                <xdr:row>165</xdr:row>
                <xdr:rowOff>590550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3" r:id="rId297" name="Check Box 355">
          <controlPr defaultSize="0" autoFill="0" autoLine="0" autoPict="0">
            <anchor moveWithCells="1">
              <from>
                <xdr:col>18</xdr:col>
                <xdr:colOff>285750</xdr:colOff>
                <xdr:row>166</xdr:row>
                <xdr:rowOff>381000</xdr:rowOff>
              </from>
              <to>
                <xdr:col>20</xdr:col>
                <xdr:colOff>85725</xdr:colOff>
                <xdr:row>166</xdr:row>
                <xdr:rowOff>590550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4" r:id="rId298" name="Check Box 356">
          <controlPr defaultSize="0" autoFill="0" autoLine="0" autoPict="0">
            <anchor moveWithCells="1">
              <from>
                <xdr:col>18</xdr:col>
                <xdr:colOff>295275</xdr:colOff>
                <xdr:row>147</xdr:row>
                <xdr:rowOff>381000</xdr:rowOff>
              </from>
              <to>
                <xdr:col>20</xdr:col>
                <xdr:colOff>95250</xdr:colOff>
                <xdr:row>147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5" r:id="rId299" name="Check Box 357">
          <controlPr defaultSize="0" autoFill="0" autoLine="0" autoPict="0">
            <anchor moveWithCells="1">
              <from>
                <xdr:col>18</xdr:col>
                <xdr:colOff>285750</xdr:colOff>
                <xdr:row>149</xdr:row>
                <xdr:rowOff>390525</xdr:rowOff>
              </from>
              <to>
                <xdr:col>20</xdr:col>
                <xdr:colOff>85725</xdr:colOff>
                <xdr:row>149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6" r:id="rId300" name="Check Box 358">
          <controlPr defaultSize="0" autoFill="0" autoLine="0" autoPict="0">
            <anchor moveWithCells="1">
              <from>
                <xdr:col>18</xdr:col>
                <xdr:colOff>266700</xdr:colOff>
                <xdr:row>150</xdr:row>
                <xdr:rowOff>390525</xdr:rowOff>
              </from>
              <to>
                <xdr:col>20</xdr:col>
                <xdr:colOff>66675</xdr:colOff>
                <xdr:row>150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7" r:id="rId301" name="Check Box 359">
          <controlPr defaultSize="0" autoFill="0" autoLine="0" autoPict="0">
            <anchor moveWithCells="1">
              <from>
                <xdr:col>18</xdr:col>
                <xdr:colOff>295275</xdr:colOff>
                <xdr:row>137</xdr:row>
                <xdr:rowOff>361950</xdr:rowOff>
              </from>
              <to>
                <xdr:col>20</xdr:col>
                <xdr:colOff>95250</xdr:colOff>
                <xdr:row>137</xdr:row>
                <xdr:rowOff>571500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8" r:id="rId302" name="Check Box 360">
          <controlPr defaultSize="0" autoFill="0" autoLine="0" autoPict="0">
            <anchor moveWithCells="1">
              <from>
                <xdr:col>18</xdr:col>
                <xdr:colOff>323850</xdr:colOff>
                <xdr:row>138</xdr:row>
                <xdr:rowOff>342900</xdr:rowOff>
              </from>
              <to>
                <xdr:col>20</xdr:col>
                <xdr:colOff>123825</xdr:colOff>
                <xdr:row>138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9" r:id="rId303" name="Check Box 361">
          <controlPr defaultSize="0" autoFill="0" autoLine="0" autoPict="0">
            <anchor moveWithCells="1">
              <from>
                <xdr:col>18</xdr:col>
                <xdr:colOff>219075</xdr:colOff>
                <xdr:row>139</xdr:row>
                <xdr:rowOff>323850</xdr:rowOff>
              </from>
              <to>
                <xdr:col>20</xdr:col>
                <xdr:colOff>0</xdr:colOff>
                <xdr:row>139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0" r:id="rId304" name="Check Box 362">
          <controlPr defaultSize="0" autoFill="0" autoLine="0" autoPict="0">
            <anchor moveWithCells="1">
              <from>
                <xdr:col>18</xdr:col>
                <xdr:colOff>285750</xdr:colOff>
                <xdr:row>140</xdr:row>
                <xdr:rowOff>409575</xdr:rowOff>
              </from>
              <to>
                <xdr:col>20</xdr:col>
                <xdr:colOff>85725</xdr:colOff>
                <xdr:row>140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1" r:id="rId305" name="Check Box 363">
          <controlPr defaultSize="0" autoFill="0" autoLine="0" autoPict="0">
            <anchor moveWithCells="1">
              <from>
                <xdr:col>18</xdr:col>
                <xdr:colOff>247650</xdr:colOff>
                <xdr:row>141</xdr:row>
                <xdr:rowOff>352425</xdr:rowOff>
              </from>
              <to>
                <xdr:col>20</xdr:col>
                <xdr:colOff>38100</xdr:colOff>
                <xdr:row>141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2" r:id="rId306" name="Check Box 364">
          <controlPr defaultSize="0" autoFill="0" autoLine="0" autoPict="0">
            <anchor moveWithCells="1">
              <from>
                <xdr:col>18</xdr:col>
                <xdr:colOff>285750</xdr:colOff>
                <xdr:row>134</xdr:row>
                <xdr:rowOff>381000</xdr:rowOff>
              </from>
              <to>
                <xdr:col>20</xdr:col>
                <xdr:colOff>85725</xdr:colOff>
                <xdr:row>134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3" r:id="rId307" name="Check Box 365">
          <controlPr defaultSize="0" autoFill="0" autoLine="0" autoPict="0">
            <anchor moveWithCells="1">
              <from>
                <xdr:col>18</xdr:col>
                <xdr:colOff>247650</xdr:colOff>
                <xdr:row>135</xdr:row>
                <xdr:rowOff>381000</xdr:rowOff>
              </from>
              <to>
                <xdr:col>20</xdr:col>
                <xdr:colOff>38100</xdr:colOff>
                <xdr:row>135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4" r:id="rId308" name="Check Box 366">
          <controlPr defaultSize="0" autoFill="0" autoLine="0" autoPict="0">
            <anchor moveWithCells="1">
              <from>
                <xdr:col>18</xdr:col>
                <xdr:colOff>247650</xdr:colOff>
                <xdr:row>130</xdr:row>
                <xdr:rowOff>390525</xdr:rowOff>
              </from>
              <to>
                <xdr:col>20</xdr:col>
                <xdr:colOff>38100</xdr:colOff>
                <xdr:row>130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5" r:id="rId309" name="Check Box 367">
          <controlPr defaultSize="0" autoFill="0" autoLine="0" autoPict="0">
            <anchor moveWithCells="1">
              <from>
                <xdr:col>18</xdr:col>
                <xdr:colOff>219075</xdr:colOff>
                <xdr:row>131</xdr:row>
                <xdr:rowOff>342900</xdr:rowOff>
              </from>
              <to>
                <xdr:col>20</xdr:col>
                <xdr:colOff>9525</xdr:colOff>
                <xdr:row>131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6" r:id="rId310" name="Check Box 368">
          <controlPr defaultSize="0" autoFill="0" autoLine="0" autoPict="0">
            <anchor moveWithCells="1">
              <from>
                <xdr:col>18</xdr:col>
                <xdr:colOff>228600</xdr:colOff>
                <xdr:row>121</xdr:row>
                <xdr:rowOff>323850</xdr:rowOff>
              </from>
              <to>
                <xdr:col>20</xdr:col>
                <xdr:colOff>28575</xdr:colOff>
                <xdr:row>121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7" r:id="rId311" name="Check Box 369">
          <controlPr defaultSize="0" autoFill="0" autoLine="0" autoPict="0">
            <anchor moveWithCells="1">
              <from>
                <xdr:col>18</xdr:col>
                <xdr:colOff>247650</xdr:colOff>
                <xdr:row>123</xdr:row>
                <xdr:rowOff>352425</xdr:rowOff>
              </from>
              <to>
                <xdr:col>20</xdr:col>
                <xdr:colOff>38100</xdr:colOff>
                <xdr:row>123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8" r:id="rId312" name="Check Box 370">
          <controlPr defaultSize="0" autoFill="0" autoLine="0" autoPict="0">
            <anchor moveWithCells="1">
              <from>
                <xdr:col>18</xdr:col>
                <xdr:colOff>314325</xdr:colOff>
                <xdr:row>267</xdr:row>
                <xdr:rowOff>190500</xdr:rowOff>
              </from>
              <to>
                <xdr:col>20</xdr:col>
                <xdr:colOff>104775</xdr:colOff>
                <xdr:row>267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9" r:id="rId313" name="Check Box 371">
          <controlPr defaultSize="0" autoFill="0" autoLine="0" autoPict="0">
            <anchor moveWithCells="1">
              <from>
                <xdr:col>18</xdr:col>
                <xdr:colOff>276225</xdr:colOff>
                <xdr:row>253</xdr:row>
                <xdr:rowOff>228600</xdr:rowOff>
              </from>
              <to>
                <xdr:col>20</xdr:col>
                <xdr:colOff>57150</xdr:colOff>
                <xdr:row>253</xdr:row>
                <xdr:rowOff>438150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W158"/>
  <sheetViews>
    <sheetView topLeftCell="A88" zoomScale="85" zoomScaleNormal="85" workbookViewId="0">
      <selection activeCell="L105" sqref="L105"/>
    </sheetView>
  </sheetViews>
  <sheetFormatPr baseColWidth="10" defaultColWidth="11.42578125" defaultRowHeight="15" x14ac:dyDescent="0.25"/>
  <cols>
    <col min="1" max="1" width="8.7109375" style="2" customWidth="1"/>
    <col min="2" max="2" width="26.7109375" style="2" customWidth="1"/>
    <col min="3" max="8" width="14.7109375" style="2" customWidth="1"/>
    <col min="9" max="9" width="24.42578125" style="2" customWidth="1"/>
    <col min="10" max="10" width="22" style="2" customWidth="1"/>
    <col min="11" max="11" width="24.28515625" style="2" bestFit="1" customWidth="1"/>
    <col min="12" max="12" width="21.28515625" style="2" customWidth="1"/>
    <col min="13" max="13" width="13.5703125" style="2" customWidth="1"/>
    <col min="14" max="14" width="16" style="2" customWidth="1"/>
    <col min="15" max="15" width="12" style="2" bestFit="1" customWidth="1"/>
    <col min="16" max="16" width="13.42578125" style="2" customWidth="1"/>
    <col min="17" max="17" width="17.5703125" style="2" customWidth="1"/>
    <col min="18" max="18" width="12.5703125" style="2" bestFit="1" customWidth="1"/>
    <col min="19" max="19" width="13.7109375" style="2" customWidth="1"/>
    <col min="20" max="20" width="11.42578125" style="2"/>
    <col min="21" max="21" width="18" style="2" customWidth="1"/>
    <col min="22" max="16384" width="11.42578125" style="2"/>
  </cols>
  <sheetData>
    <row r="1" spans="1:20" ht="21" customHeight="1" x14ac:dyDescent="0.25"/>
    <row r="2" spans="1:20" ht="14.25" customHeight="1" x14ac:dyDescent="0.25">
      <c r="A2" s="951" t="s">
        <v>91</v>
      </c>
      <c r="B2" s="951"/>
      <c r="K2" s="951" t="s">
        <v>1</v>
      </c>
      <c r="L2" s="951"/>
    </row>
    <row r="3" spans="1:20" ht="22.5" customHeight="1" x14ac:dyDescent="0.25">
      <c r="A3" s="951"/>
      <c r="B3" s="951"/>
      <c r="C3" s="787" t="s">
        <v>1050</v>
      </c>
      <c r="D3" s="40" t="s">
        <v>143</v>
      </c>
      <c r="E3" s="84" t="s">
        <v>142</v>
      </c>
      <c r="F3" s="84" t="s">
        <v>763</v>
      </c>
      <c r="G3" s="84" t="s">
        <v>140</v>
      </c>
      <c r="H3" s="84" t="s">
        <v>75</v>
      </c>
      <c r="I3" s="97" t="s">
        <v>111</v>
      </c>
      <c r="J3" s="39" t="s">
        <v>6</v>
      </c>
      <c r="K3" s="951"/>
      <c r="L3" s="951"/>
      <c r="M3" s="40" t="s">
        <v>81</v>
      </c>
      <c r="N3" s="64" t="e">
        <f>(L6)/(SQRT(3)*L5)</f>
        <v>#DIV/0!</v>
      </c>
      <c r="O3" s="75"/>
    </row>
    <row r="4" spans="1:20" s="6" customFormat="1" ht="18" x14ac:dyDescent="0.25">
      <c r="A4" s="796">
        <v>1</v>
      </c>
      <c r="B4" s="552"/>
      <c r="C4" s="552"/>
      <c r="D4" s="552"/>
      <c r="E4" s="126"/>
      <c r="F4" s="126"/>
      <c r="G4" s="553"/>
      <c r="H4" s="47" t="e">
        <f>(F4*1000)/(SQRT(3)*G4)</f>
        <v>#DIV/0!</v>
      </c>
      <c r="I4" s="47" t="e">
        <f>H4*G4/$L$5</f>
        <v>#DIV/0!</v>
      </c>
      <c r="J4" s="555" t="str">
        <f>Bericht!E191</f>
        <v>FHG-E-2014-013-2</v>
      </c>
      <c r="K4" s="85" t="s">
        <v>140</v>
      </c>
      <c r="L4" s="124">
        <f>Bericht!E42</f>
        <v>0</v>
      </c>
      <c r="M4" s="119" t="s">
        <v>82</v>
      </c>
      <c r="N4" s="45" t="e">
        <f>L5^2/(L6)</f>
        <v>#DIV/0!</v>
      </c>
      <c r="O4" s="76"/>
      <c r="P4" s="2"/>
      <c r="Q4" s="945" t="s">
        <v>116</v>
      </c>
      <c r="R4" s="946"/>
      <c r="S4" s="946"/>
      <c r="T4" s="947"/>
    </row>
    <row r="5" spans="1:20" ht="18" x14ac:dyDescent="0.25">
      <c r="A5" s="797">
        <v>2</v>
      </c>
      <c r="B5" s="553"/>
      <c r="C5" s="788"/>
      <c r="D5" s="552"/>
      <c r="E5" s="554"/>
      <c r="F5" s="554"/>
      <c r="G5" s="552"/>
      <c r="H5" s="67">
        <f>IF(COUNT(F5)=0,,(F5*1000)/(SQRT(3)*G5))</f>
        <v>0</v>
      </c>
      <c r="I5" s="47" t="e">
        <f>H5*G5/$L$5</f>
        <v>#DIV/0!</v>
      </c>
      <c r="J5" s="556" t="s">
        <v>112</v>
      </c>
      <c r="K5" s="84" t="s">
        <v>141</v>
      </c>
      <c r="L5" s="124">
        <f>Bericht!E43</f>
        <v>0</v>
      </c>
      <c r="M5" s="118" t="s">
        <v>83</v>
      </c>
      <c r="N5" s="64" t="e">
        <f>COS(PI()*L7/180)*N4</f>
        <v>#DIV/0!</v>
      </c>
      <c r="O5" s="89" t="e">
        <f>N5/N4</f>
        <v>#DIV/0!</v>
      </c>
      <c r="Q5" s="109" t="s">
        <v>117</v>
      </c>
      <c r="R5" s="110" t="e">
        <f>0.1*N4</f>
        <v>#DIV/0!</v>
      </c>
    </row>
    <row r="6" spans="1:20" ht="18" x14ac:dyDescent="0.25">
      <c r="A6" s="84">
        <v>3</v>
      </c>
      <c r="B6" s="552"/>
      <c r="C6" s="552"/>
      <c r="D6" s="552"/>
      <c r="E6" s="554"/>
      <c r="F6" s="554"/>
      <c r="G6" s="552"/>
      <c r="H6" s="67">
        <f>IF(COUNT(F6)=0,,(F6*1000)/(SQRT(3)*G6))</f>
        <v>0</v>
      </c>
      <c r="I6" s="47" t="e">
        <f>H6*G6/$L$5</f>
        <v>#DIV/0!</v>
      </c>
      <c r="J6" s="556" t="s">
        <v>112</v>
      </c>
      <c r="K6" s="84" t="s">
        <v>87</v>
      </c>
      <c r="L6" s="124">
        <f>Bericht!E49</f>
        <v>0</v>
      </c>
      <c r="M6" s="118" t="s">
        <v>84</v>
      </c>
      <c r="N6" s="64" t="e">
        <f>SIN(PI()*L7/180)*N4</f>
        <v>#DIV/0!</v>
      </c>
      <c r="O6" s="89" t="e">
        <f>N6/N4</f>
        <v>#DIV/0!</v>
      </c>
      <c r="Q6" s="113" t="s">
        <v>118</v>
      </c>
      <c r="R6" s="98" t="e">
        <f>N5*0.1</f>
        <v>#DIV/0!</v>
      </c>
      <c r="S6" s="89" t="e">
        <f>R6/R5</f>
        <v>#DIV/0!</v>
      </c>
      <c r="T6" s="2" t="s">
        <v>119</v>
      </c>
    </row>
    <row r="7" spans="1:20" x14ac:dyDescent="0.25">
      <c r="A7" s="84">
        <v>4</v>
      </c>
      <c r="B7" s="552"/>
      <c r="C7" s="552"/>
      <c r="D7" s="552"/>
      <c r="E7" s="554"/>
      <c r="F7" s="554"/>
      <c r="G7" s="552"/>
      <c r="H7" s="67">
        <f>IF(COUNT(F7)=0,,(F7*1000)/(SQRT(3)*G7))</f>
        <v>0</v>
      </c>
      <c r="I7" s="47" t="e">
        <f>H7*G7/$L$5</f>
        <v>#DIV/0!</v>
      </c>
      <c r="J7" s="556" t="s">
        <v>112</v>
      </c>
      <c r="K7" s="84" t="s">
        <v>88</v>
      </c>
      <c r="L7" s="124">
        <f>Bericht!E50</f>
        <v>0</v>
      </c>
      <c r="M7" s="118" t="s">
        <v>2</v>
      </c>
      <c r="N7" s="64" t="e">
        <f>N6/N5</f>
        <v>#DIV/0!</v>
      </c>
      <c r="O7" s="75"/>
      <c r="Q7" s="113" t="s">
        <v>120</v>
      </c>
      <c r="R7" s="98" t="e">
        <f>N6*0.1</f>
        <v>#DIV/0!</v>
      </c>
      <c r="S7" s="89" t="e">
        <f>R7/R5</f>
        <v>#DIV/0!</v>
      </c>
      <c r="T7" s="2" t="s">
        <v>119</v>
      </c>
    </row>
    <row r="8" spans="1:20" x14ac:dyDescent="0.25">
      <c r="A8" s="84">
        <v>5</v>
      </c>
      <c r="B8" s="552"/>
      <c r="C8" s="552"/>
      <c r="D8" s="552"/>
      <c r="E8" s="554"/>
      <c r="F8" s="554"/>
      <c r="G8" s="552"/>
      <c r="H8" s="67">
        <f t="shared" ref="H8" si="0">IF(COUNT(F8)=0,,(F8*1000)/(SQRT(3)*G8))</f>
        <v>0</v>
      </c>
      <c r="I8" s="47" t="e">
        <f t="shared" ref="I8" si="1">H8*G8/$L$5</f>
        <v>#DIV/0!</v>
      </c>
      <c r="J8" s="552"/>
      <c r="K8" s="84" t="s">
        <v>744</v>
      </c>
      <c r="L8" s="124">
        <f>Bericht!E48</f>
        <v>0</v>
      </c>
      <c r="M8" s="6" t="s">
        <v>16</v>
      </c>
      <c r="Q8" s="113" t="s">
        <v>124</v>
      </c>
      <c r="R8" s="64" t="e">
        <f>L5^2/R5</f>
        <v>#DIV/0!</v>
      </c>
      <c r="S8" s="112"/>
    </row>
    <row r="9" spans="1:20" x14ac:dyDescent="0.25">
      <c r="A9" s="302">
        <v>6</v>
      </c>
      <c r="B9" s="552"/>
      <c r="C9" s="552"/>
      <c r="D9" s="552"/>
      <c r="E9" s="554"/>
      <c r="F9" s="554"/>
      <c r="G9" s="552"/>
      <c r="H9" s="67">
        <f t="shared" ref="H9:H10" si="2">IF(COUNT(F9)=0,,(F9*1000)/(SQRT(3)*G9))</f>
        <v>0</v>
      </c>
      <c r="I9" s="47" t="e">
        <f t="shared" ref="I9:I10" si="3">H9*G9/$L$5</f>
        <v>#DIV/0!</v>
      </c>
      <c r="J9" s="552"/>
      <c r="K9" s="84" t="s">
        <v>745</v>
      </c>
      <c r="L9" s="124">
        <f>Bericht!E45</f>
        <v>0</v>
      </c>
      <c r="M9" s="6" t="s">
        <v>17</v>
      </c>
      <c r="Q9" s="75"/>
      <c r="R9" s="111"/>
      <c r="S9" s="112"/>
    </row>
    <row r="10" spans="1:20" x14ac:dyDescent="0.25">
      <c r="A10" s="302">
        <v>7</v>
      </c>
      <c r="B10" s="552"/>
      <c r="C10" s="552"/>
      <c r="D10" s="552"/>
      <c r="E10" s="554"/>
      <c r="F10" s="554"/>
      <c r="G10" s="552"/>
      <c r="H10" s="67">
        <f t="shared" si="2"/>
        <v>0</v>
      </c>
      <c r="I10" s="47" t="e">
        <f t="shared" si="3"/>
        <v>#DIV/0!</v>
      </c>
      <c r="J10" s="552"/>
      <c r="K10" s="85" t="s">
        <v>76</v>
      </c>
      <c r="L10" s="124">
        <f>Bericht!E56</f>
        <v>0</v>
      </c>
      <c r="Q10" s="113" t="s">
        <v>121</v>
      </c>
      <c r="R10" s="98" t="e">
        <f>SQRT(R11*R11+R12*R12)</f>
        <v>#DIV/0!</v>
      </c>
      <c r="S10" s="89" t="e">
        <f>R11/R10</f>
        <v>#DIV/0!</v>
      </c>
      <c r="T10" s="2" t="s">
        <v>119</v>
      </c>
    </row>
    <row r="11" spans="1:20" x14ac:dyDescent="0.25">
      <c r="A11" s="302">
        <v>8</v>
      </c>
      <c r="B11" s="552"/>
      <c r="C11" s="552"/>
      <c r="D11" s="552"/>
      <c r="E11" s="554"/>
      <c r="F11" s="554"/>
      <c r="G11" s="552"/>
      <c r="H11" s="67">
        <f>IF(COUNT(F11)=0,,(F11*1000)/(SQRT(3)*G11))</f>
        <v>0</v>
      </c>
      <c r="I11" s="47" t="e">
        <f>H11*G11/$L$5</f>
        <v>#DIV/0!</v>
      </c>
      <c r="J11" s="556" t="s">
        <v>112</v>
      </c>
      <c r="Q11" s="113" t="s">
        <v>122</v>
      </c>
      <c r="R11" s="98" t="e">
        <f>N5*0.9</f>
        <v>#DIV/0!</v>
      </c>
      <c r="S11" s="89" t="e">
        <f>R12/R10</f>
        <v>#DIV/0!</v>
      </c>
      <c r="T11" s="2" t="s">
        <v>119</v>
      </c>
    </row>
    <row r="12" spans="1:20" x14ac:dyDescent="0.25">
      <c r="A12" s="302">
        <v>9</v>
      </c>
      <c r="B12" s="552"/>
      <c r="C12" s="552"/>
      <c r="D12" s="552"/>
      <c r="E12" s="554"/>
      <c r="F12" s="554"/>
      <c r="G12" s="552"/>
      <c r="H12" s="67">
        <f>IF(COUNT(F12)=0,,(F12*1000)/(SQRT(3)*G12))</f>
        <v>0</v>
      </c>
      <c r="I12" s="47" t="e">
        <f>H12*G12/$L$5</f>
        <v>#DIV/0!</v>
      </c>
      <c r="J12" s="556" t="s">
        <v>112</v>
      </c>
      <c r="K12" s="960" t="s">
        <v>134</v>
      </c>
      <c r="L12" s="961"/>
      <c r="M12" s="117">
        <f>Schwingungen!T129</f>
        <v>0</v>
      </c>
      <c r="N12" s="969" t="s">
        <v>132</v>
      </c>
      <c r="O12" s="969"/>
      <c r="Q12" s="113" t="s">
        <v>123</v>
      </c>
      <c r="R12" s="98" t="e">
        <f>N6*0.9</f>
        <v>#DIV/0!</v>
      </c>
    </row>
    <row r="13" spans="1:20" x14ac:dyDescent="0.25">
      <c r="A13" s="302">
        <v>10</v>
      </c>
      <c r="B13" s="552"/>
      <c r="C13" s="552"/>
      <c r="D13" s="552"/>
      <c r="E13" s="554"/>
      <c r="F13" s="554"/>
      <c r="G13" s="552"/>
      <c r="H13" s="67">
        <f>IF(COUNT(F13)=0,,(F13*1000)/(SQRT(3)*G13))</f>
        <v>0</v>
      </c>
      <c r="I13" s="47" t="e">
        <f>H13*G13/$L$5</f>
        <v>#DIV/0!</v>
      </c>
      <c r="J13" s="556"/>
      <c r="K13" s="957"/>
      <c r="L13" s="958"/>
      <c r="M13" s="117">
        <v>0</v>
      </c>
      <c r="N13" s="969"/>
      <c r="O13" s="969"/>
      <c r="Q13" s="113" t="s">
        <v>125</v>
      </c>
      <c r="R13" s="64" t="e">
        <f>L5^2/R10</f>
        <v>#DIV/0!</v>
      </c>
    </row>
    <row r="14" spans="1:20" ht="15.75" customHeight="1" thickBot="1" x14ac:dyDescent="0.3">
      <c r="A14" s="81" t="s">
        <v>0</v>
      </c>
      <c r="B14" s="82"/>
      <c r="C14" s="82"/>
      <c r="D14" s="82">
        <f>SUM(D4:D13)</f>
        <v>0</v>
      </c>
      <c r="E14" s="83">
        <f>(D4*E4)+(D5*E5)+(D6*E6)+(D7*E7)+(D8*E8)+(D9*E9)+(D10*E10)+(D11*E11)+(D12*E12)+(D13*E13)</f>
        <v>0</v>
      </c>
      <c r="F14" s="83">
        <f>(D4*F4)+(D5*F5)+(D6*F6)+(D7*F7)+(D8*F8)+(D9*F9)+(D10*F10)+(D11*F11)+(D12*F12)+(D13*F13)</f>
        <v>0</v>
      </c>
      <c r="K14" s="957" t="s">
        <v>133</v>
      </c>
      <c r="L14" s="959"/>
      <c r="M14" s="117">
        <f>Schwingungen!T130</f>
        <v>0</v>
      </c>
      <c r="N14" s="969"/>
      <c r="O14" s="969"/>
      <c r="Q14" s="75"/>
    </row>
    <row r="15" spans="1:20" ht="31.5" customHeight="1" thickTop="1" thickBot="1" x14ac:dyDescent="0.3">
      <c r="P15" s="72"/>
    </row>
    <row r="16" spans="1:20" x14ac:dyDescent="0.25">
      <c r="B16" s="359" t="s">
        <v>38</v>
      </c>
      <c r="C16" s="303"/>
      <c r="D16" s="303"/>
      <c r="E16" s="304"/>
      <c r="P16" s="945" t="s">
        <v>126</v>
      </c>
      <c r="Q16" s="946"/>
      <c r="R16" s="946"/>
      <c r="S16" s="947"/>
    </row>
    <row r="17" spans="1:21" ht="15" customHeight="1" thickBot="1" x14ac:dyDescent="0.3">
      <c r="B17" s="22" t="s">
        <v>37</v>
      </c>
      <c r="C17" s="24">
        <v>1</v>
      </c>
      <c r="D17" s="23"/>
      <c r="E17" s="25"/>
      <c r="F17" s="1" t="s">
        <v>79</v>
      </c>
      <c r="G17" s="67" t="e">
        <f>(E18*1000)/(SQRT(3)*L5)</f>
        <v>#DIV/0!</v>
      </c>
      <c r="P17" s="109" t="s">
        <v>127</v>
      </c>
      <c r="Q17" s="115">
        <f>SQRT(Q18*Q18+Q19*Q19)</f>
        <v>0</v>
      </c>
    </row>
    <row r="18" spans="1:21" ht="15.75" customHeight="1" thickBot="1" x14ac:dyDescent="0.3">
      <c r="B18" s="26" t="s">
        <v>78</v>
      </c>
      <c r="C18" s="27"/>
      <c r="D18" s="24" t="s">
        <v>77</v>
      </c>
      <c r="E18" s="28">
        <f>(E14/C17)-C18</f>
        <v>0</v>
      </c>
      <c r="F18" s="68" t="s">
        <v>80</v>
      </c>
      <c r="G18" s="67" t="e">
        <f>'Schutzvorgaben und -grenzen'!J6*G17</f>
        <v>#DIV/0!</v>
      </c>
      <c r="P18" s="109" t="s">
        <v>128</v>
      </c>
      <c r="Q18" s="125">
        <f>Bericht!E46</f>
        <v>0</v>
      </c>
      <c r="R18" s="114" t="e">
        <f>Q18/Q17</f>
        <v>#DIV/0!</v>
      </c>
      <c r="S18" s="2" t="s">
        <v>119</v>
      </c>
    </row>
    <row r="19" spans="1:21" ht="105" x14ac:dyDescent="0.25">
      <c r="A19" s="305" t="s">
        <v>7</v>
      </c>
      <c r="B19" s="305"/>
      <c r="C19" s="305"/>
      <c r="D19" s="305"/>
      <c r="P19" s="109" t="s">
        <v>129</v>
      </c>
      <c r="Q19" s="125">
        <f>Bericht!E47</f>
        <v>0</v>
      </c>
      <c r="R19" s="114" t="e">
        <f>Q19/Q17</f>
        <v>#DIV/0!</v>
      </c>
      <c r="S19" s="2" t="s">
        <v>119</v>
      </c>
    </row>
    <row r="20" spans="1:21" ht="45" x14ac:dyDescent="0.25">
      <c r="A20" s="301" t="s">
        <v>1059</v>
      </c>
      <c r="B20" s="302" t="s">
        <v>3</v>
      </c>
      <c r="C20" s="302" t="s">
        <v>4</v>
      </c>
      <c r="D20" s="302" t="s">
        <v>5</v>
      </c>
      <c r="E20" s="302" t="s">
        <v>8</v>
      </c>
      <c r="F20" s="302" t="s">
        <v>9</v>
      </c>
      <c r="G20" s="302" t="s">
        <v>10</v>
      </c>
      <c r="K20" s="955" t="s">
        <v>19</v>
      </c>
      <c r="L20" s="956"/>
      <c r="M20" s="542" t="s">
        <v>20</v>
      </c>
      <c r="P20" s="75"/>
      <c r="Q20" s="111"/>
      <c r="R20" s="112"/>
    </row>
    <row r="21" spans="1:21" x14ac:dyDescent="0.25">
      <c r="A21" s="302">
        <v>30</v>
      </c>
      <c r="B21" s="557">
        <v>0.48</v>
      </c>
      <c r="C21" s="557">
        <v>0.9</v>
      </c>
      <c r="D21" s="949">
        <v>1.04</v>
      </c>
      <c r="E21" s="952">
        <v>1</v>
      </c>
      <c r="F21" s="948">
        <v>6</v>
      </c>
      <c r="G21" s="557">
        <v>6.05</v>
      </c>
      <c r="I21" s="3" t="s">
        <v>11</v>
      </c>
      <c r="J21" s="65">
        <f>IF(B21="",0,IF($L$7&gt;=$A$23,TREND($B$23:$B$24,$A$23:$A$24,$L$7,1),IF(AND($L$7&gt;=$A$22,$L$7&lt;$A$23),TREND($B$22:$B$23,$A$22:$A$23,$L$7,1),IF($L$7&lt;$A$22,TREND($B$21:$B$22,$A$21:$A$22,$L$7,1),1))))</f>
        <v>0.43499999999999994</v>
      </c>
      <c r="K21" s="119" t="s">
        <v>716</v>
      </c>
      <c r="L21" s="127" t="e">
        <f>IF(B21="","",J22*(E4/$L$6))</f>
        <v>#DIV/0!</v>
      </c>
      <c r="M21" s="63" t="e">
        <f>IF(L21="","",L21*D4)</f>
        <v>#DIV/0!</v>
      </c>
      <c r="P21" s="113" t="s">
        <v>130</v>
      </c>
      <c r="Q21" s="98" t="e">
        <f>SQRT(Q22*Q22+Q23*Q23)</f>
        <v>#DIV/0!</v>
      </c>
      <c r="R21" s="112"/>
      <c r="U21" s="8"/>
    </row>
    <row r="22" spans="1:21" ht="15" customHeight="1" x14ac:dyDescent="0.25">
      <c r="A22" s="302">
        <v>50</v>
      </c>
      <c r="B22" s="558">
        <v>0.51</v>
      </c>
      <c r="C22" s="558">
        <v>0.7</v>
      </c>
      <c r="D22" s="949"/>
      <c r="E22" s="953"/>
      <c r="F22" s="948"/>
      <c r="G22" s="558">
        <v>4.7</v>
      </c>
      <c r="I22" s="3" t="s">
        <v>12</v>
      </c>
      <c r="J22" s="65">
        <f>IF(B22="",0,IF($L$7&gt;=$A$23,TREND($C$23:$C$24,$A$23:$A$24,$L$7,1),IF(AND($L$7&gt;=$A$22,$L$7&lt;$A$23),TREND($C$22:$C$23,$A$22:$A$23,$L$7,1),IF($L$7&lt;$A$22,TREND($C$21:$C$22,$A$21:$A$22,$L$7,1),1))))</f>
        <v>1.2000000000000002</v>
      </c>
      <c r="K22" s="955" t="s">
        <v>21</v>
      </c>
      <c r="L22" s="956"/>
      <c r="M22" s="75"/>
      <c r="P22" s="113" t="s">
        <v>118</v>
      </c>
      <c r="Q22" s="98" t="e">
        <f>N5-Q18</f>
        <v>#DIV/0!</v>
      </c>
      <c r="R22" s="89" t="e">
        <f>Q22/Q21</f>
        <v>#DIV/0!</v>
      </c>
      <c r="S22" s="2" t="s">
        <v>119</v>
      </c>
    </row>
    <row r="23" spans="1:21" ht="18" customHeight="1" x14ac:dyDescent="0.25">
      <c r="A23" s="302">
        <v>70</v>
      </c>
      <c r="B23" s="558">
        <v>0.57999999999999996</v>
      </c>
      <c r="C23" s="558">
        <v>0.42</v>
      </c>
      <c r="D23" s="949"/>
      <c r="E23" s="953"/>
      <c r="F23" s="948"/>
      <c r="G23" s="558">
        <v>2.8</v>
      </c>
      <c r="I23" s="3" t="s">
        <v>13</v>
      </c>
      <c r="J23" s="65">
        <f>IF(B24="","",IF($L$7&gt;=$A$23,TREND($G$23:$G$24,$A$23:$A$24,$L$7,1),IF(AND($L$7&gt;=$A$22,$L$7&lt;$A$23),TREND($G$22:$G$23,$A$22:$A$23,$L$7,1),IF($L$7&lt;$A$22,TREND($G$21:$G$22,$A$21:$A$22,$L$7,1),1))))</f>
        <v>8.0749999999999993</v>
      </c>
      <c r="K23" s="119" t="s">
        <v>717</v>
      </c>
      <c r="L23" s="128" t="e">
        <f>IF(J23="",0,J23*(E4/$L$6))</f>
        <v>#DIV/0!</v>
      </c>
      <c r="M23" s="75"/>
      <c r="P23" s="113" t="s">
        <v>120</v>
      </c>
      <c r="Q23" s="98" t="e">
        <f>N6-Q19</f>
        <v>#DIV/0!</v>
      </c>
      <c r="R23" s="89" t="e">
        <f>Q23/Q21</f>
        <v>#DIV/0!</v>
      </c>
      <c r="S23" s="2" t="s">
        <v>119</v>
      </c>
    </row>
    <row r="24" spans="1:21" ht="15" customHeight="1" x14ac:dyDescent="0.25">
      <c r="A24" s="302">
        <v>85</v>
      </c>
      <c r="B24" s="558">
        <v>0.61</v>
      </c>
      <c r="C24" s="558">
        <v>0.17</v>
      </c>
      <c r="D24" s="949"/>
      <c r="E24" s="954"/>
      <c r="F24" s="948"/>
      <c r="G24" s="558">
        <v>1.43</v>
      </c>
      <c r="P24" s="75"/>
    </row>
    <row r="25" spans="1:21" ht="18" x14ac:dyDescent="0.25">
      <c r="A25" s="7" t="s">
        <v>45</v>
      </c>
      <c r="P25" s="113" t="s">
        <v>131</v>
      </c>
      <c r="Q25" s="559">
        <v>12</v>
      </c>
    </row>
    <row r="26" spans="1:21" ht="25.5" customHeight="1" x14ac:dyDescent="0.25">
      <c r="A26" s="301" t="s">
        <v>1051</v>
      </c>
      <c r="B26" s="357" t="s">
        <v>3</v>
      </c>
      <c r="C26" s="357" t="s">
        <v>4</v>
      </c>
      <c r="D26" s="357" t="s">
        <v>5</v>
      </c>
      <c r="E26" s="357" t="s">
        <v>8</v>
      </c>
      <c r="F26" s="357" t="s">
        <v>9</v>
      </c>
      <c r="G26" s="357" t="s">
        <v>10</v>
      </c>
      <c r="K26" s="955" t="s">
        <v>19</v>
      </c>
      <c r="L26" s="956"/>
      <c r="M26" s="542" t="s">
        <v>20</v>
      </c>
      <c r="P26" s="113" t="s">
        <v>124</v>
      </c>
      <c r="Q26" s="116" t="e">
        <f>L5^2/Q21</f>
        <v>#DIV/0!</v>
      </c>
    </row>
    <row r="27" spans="1:21" ht="18" customHeight="1" x14ac:dyDescent="0.25">
      <c r="A27" s="302">
        <v>30</v>
      </c>
      <c r="B27" s="557"/>
      <c r="C27" s="557"/>
      <c r="D27" s="970"/>
      <c r="E27" s="973"/>
      <c r="F27" s="973"/>
      <c r="G27" s="557"/>
      <c r="I27" s="3" t="s">
        <v>11</v>
      </c>
      <c r="J27" s="65">
        <f>IF(B27="",0,IF($L$7&gt;=A29,TREND(B29:B30,A29:A30,$L$7,1),IF(AND($L$7&gt;=A28,$L$7&lt;A29),TREND(B28:B29,A28:A29,$L$7,1),IF($L$7&lt;A28,TREND(B27:B28,A27:A28,$L$7,1),1))))</f>
        <v>0</v>
      </c>
      <c r="K27" s="119" t="s">
        <v>716</v>
      </c>
      <c r="L27" s="127" t="str">
        <f>IF(B27="","",J28*(E5/$L$6))</f>
        <v/>
      </c>
      <c r="M27" s="63" t="str">
        <f>IF(L27="","",L27*D5)</f>
        <v/>
      </c>
    </row>
    <row r="28" spans="1:21" ht="15" customHeight="1" x14ac:dyDescent="0.25">
      <c r="A28" s="302">
        <v>50</v>
      </c>
      <c r="B28" s="557"/>
      <c r="C28" s="557"/>
      <c r="D28" s="971"/>
      <c r="E28" s="974"/>
      <c r="F28" s="974"/>
      <c r="G28" s="557"/>
      <c r="I28" s="3" t="s">
        <v>12</v>
      </c>
      <c r="J28" s="65">
        <f>IF(B27="",0,IF($L$7&gt;=A29,TREND(C29:C30,A29:A30,$L$7,1),IF(AND($L$7&gt;=A28,$L$7&lt;A29),TREND(C28:C29,A28:A29,$L$7,1),IF($L$7&lt;A28,TREND(C27:C28,A27:A28,$L$7,1),1))))</f>
        <v>0</v>
      </c>
      <c r="K28" s="955" t="s">
        <v>21</v>
      </c>
      <c r="L28" s="956"/>
      <c r="M28" s="75"/>
    </row>
    <row r="29" spans="1:21" ht="18" customHeight="1" x14ac:dyDescent="0.25">
      <c r="A29" s="302">
        <v>70</v>
      </c>
      <c r="B29" s="557"/>
      <c r="C29" s="557"/>
      <c r="D29" s="971"/>
      <c r="E29" s="974"/>
      <c r="F29" s="974"/>
      <c r="G29" s="557"/>
      <c r="I29" s="3" t="s">
        <v>13</v>
      </c>
      <c r="J29" s="65">
        <f>IF(B27="",0,IF($L$7&gt;=A29,TREND(G29:G30,A29:A30,$L$7,1),IF(AND($L$7&gt;=A28,$L$7&lt;A29),TREND(G28:G29,A28:A29,$L$7,1),IF($L$7&lt;A28,TREND(G27:G28,A27:A28,$L$7,1),1))))</f>
        <v>0</v>
      </c>
      <c r="K29" s="119" t="s">
        <v>717</v>
      </c>
      <c r="L29" s="128" t="e">
        <f>IF(J29="",0,J29*(E5/$L$6))</f>
        <v>#DIV/0!</v>
      </c>
      <c r="M29" s="75"/>
    </row>
    <row r="30" spans="1:21" ht="15" customHeight="1" x14ac:dyDescent="0.25">
      <c r="A30" s="302">
        <v>85</v>
      </c>
      <c r="B30" s="557"/>
      <c r="C30" s="557"/>
      <c r="D30" s="972"/>
      <c r="E30" s="975"/>
      <c r="F30" s="975"/>
      <c r="G30" s="557"/>
    </row>
    <row r="31" spans="1:21" ht="18" customHeight="1" x14ac:dyDescent="0.25"/>
    <row r="32" spans="1:21" ht="15" customHeight="1" x14ac:dyDescent="0.25">
      <c r="A32" s="4" t="s">
        <v>1051</v>
      </c>
      <c r="B32" s="3" t="s">
        <v>3</v>
      </c>
      <c r="C32" s="3"/>
      <c r="D32" s="3" t="s">
        <v>5</v>
      </c>
      <c r="E32" s="3" t="s">
        <v>8</v>
      </c>
      <c r="F32" s="5" t="s">
        <v>9</v>
      </c>
      <c r="G32" s="3" t="s">
        <v>10</v>
      </c>
      <c r="K32" s="955" t="s">
        <v>19</v>
      </c>
      <c r="L32" s="956"/>
      <c r="M32" s="542" t="s">
        <v>20</v>
      </c>
    </row>
    <row r="33" spans="1:22" ht="18" customHeight="1" x14ac:dyDescent="0.25">
      <c r="A33" s="3">
        <v>30</v>
      </c>
      <c r="B33" s="557"/>
      <c r="C33" s="557"/>
      <c r="D33" s="949"/>
      <c r="E33" s="950"/>
      <c r="F33" s="948"/>
      <c r="G33" s="557"/>
      <c r="I33" s="3" t="s">
        <v>11</v>
      </c>
      <c r="J33" s="65">
        <f>IF(B33="",0,IF($L$7&gt;=A35,TREND(B35:B36,A35:A36,$L$7,1),IF(AND($L$7&gt;=A34,$L$7&lt;A35),TREND(B34:B35,A34:A35,$L$7,1),IF($L$7&lt;A34,TREND(B33:B34,A33:A34,$L$7,1),1))))</f>
        <v>0</v>
      </c>
      <c r="K33" s="119" t="s">
        <v>716</v>
      </c>
      <c r="L33" s="127" t="str">
        <f>IF(B33="","",J34*(E6/$L$6))</f>
        <v/>
      </c>
      <c r="M33" s="63" t="str">
        <f>IF(L33="","",L33*D6)</f>
        <v/>
      </c>
    </row>
    <row r="34" spans="1:22" ht="15" customHeight="1" x14ac:dyDescent="0.25">
      <c r="A34" s="3">
        <v>50</v>
      </c>
      <c r="B34" s="558"/>
      <c r="C34" s="558"/>
      <c r="D34" s="949"/>
      <c r="E34" s="950"/>
      <c r="F34" s="948"/>
      <c r="G34" s="558"/>
      <c r="I34" s="3" t="s">
        <v>12</v>
      </c>
      <c r="J34" s="65">
        <f>IF(B33="",0,IF($L$7&gt;=A35,TREND(C35:C36,A35:A36,$L$7,1),IF(AND($L$7&gt;=A34,$L$7&lt;A35),TREND(C34:C35,A34:A35,$L$7,1),IF($L$7&lt;A34,TREND(C33:C34,A33:A34,$L$7,1),1))))</f>
        <v>0</v>
      </c>
      <c r="K34" s="955" t="s">
        <v>21</v>
      </c>
      <c r="L34" s="956"/>
      <c r="M34" s="75"/>
      <c r="Q34" s="334"/>
      <c r="R34" s="334"/>
      <c r="S34" s="335"/>
      <c r="T34" s="335"/>
      <c r="U34" s="335"/>
      <c r="V34" s="334"/>
    </row>
    <row r="35" spans="1:22" ht="18" customHeight="1" x14ac:dyDescent="0.25">
      <c r="A35" s="3">
        <v>70</v>
      </c>
      <c r="B35" s="558"/>
      <c r="C35" s="558"/>
      <c r="D35" s="949"/>
      <c r="E35" s="950"/>
      <c r="F35" s="948"/>
      <c r="G35" s="558"/>
      <c r="I35" s="3" t="s">
        <v>13</v>
      </c>
      <c r="J35" s="65">
        <f>IF(B33="",0,IF($L$7&gt;=A35,TREND(G35:G36,A35:A36,$L$7,1),IF(AND($L$7&gt;=A34,$L$7&lt;A35),TREND(G34:G35,A34:A35,$L$7,1),IF($L$7&lt;A34,TREND(G33:G34,A33:A34,$L$7,1),1))))</f>
        <v>0</v>
      </c>
      <c r="K35" s="119" t="s">
        <v>717</v>
      </c>
      <c r="L35" s="128" t="e">
        <f>IF(J35="",0,J35*(E6/$L$6))</f>
        <v>#DIV/0!</v>
      </c>
      <c r="M35" s="75"/>
      <c r="Q35" s="334"/>
      <c r="R35" s="334"/>
      <c r="S35" s="335"/>
      <c r="T35" s="335"/>
      <c r="U35" s="335"/>
      <c r="V35" s="334"/>
    </row>
    <row r="36" spans="1:22" ht="15" customHeight="1" x14ac:dyDescent="0.25">
      <c r="A36" s="3">
        <v>85</v>
      </c>
      <c r="B36" s="558"/>
      <c r="C36" s="558"/>
      <c r="D36" s="949"/>
      <c r="E36" s="950"/>
      <c r="F36" s="948"/>
      <c r="G36" s="558"/>
      <c r="Q36" s="334"/>
      <c r="R36" s="334"/>
      <c r="S36" s="335"/>
      <c r="T36" s="335"/>
      <c r="U36" s="335"/>
      <c r="V36" s="334"/>
    </row>
    <row r="37" spans="1:22" ht="18" customHeight="1" x14ac:dyDescent="0.25">
      <c r="Q37" s="334"/>
      <c r="R37" s="334"/>
      <c r="S37" s="335"/>
      <c r="T37" s="335"/>
      <c r="U37" s="335"/>
      <c r="V37" s="334"/>
    </row>
    <row r="38" spans="1:22" ht="15" customHeight="1" x14ac:dyDescent="0.25">
      <c r="A38" s="4" t="s">
        <v>1051</v>
      </c>
      <c r="B38" s="3" t="s">
        <v>3</v>
      </c>
      <c r="C38" s="3"/>
      <c r="D38" s="3" t="s">
        <v>5</v>
      </c>
      <c r="E38" s="3" t="s">
        <v>8</v>
      </c>
      <c r="F38" s="5" t="s">
        <v>9</v>
      </c>
      <c r="G38" s="3" t="s">
        <v>10</v>
      </c>
      <c r="K38" s="955" t="s">
        <v>19</v>
      </c>
      <c r="L38" s="956"/>
      <c r="M38" s="542" t="s">
        <v>20</v>
      </c>
    </row>
    <row r="39" spans="1:22" ht="18" customHeight="1" x14ac:dyDescent="0.25">
      <c r="A39" s="3">
        <v>30</v>
      </c>
      <c r="B39" s="557"/>
      <c r="C39" s="557"/>
      <c r="D39" s="949"/>
      <c r="E39" s="950"/>
      <c r="F39" s="948"/>
      <c r="G39" s="557"/>
      <c r="I39" s="3" t="s">
        <v>11</v>
      </c>
      <c r="J39" s="65">
        <f>IF(B39="",0,IF($L$7&gt;=A41,TREND(B41:B42,A41:A42,$L$7,1),IF(AND($L$7&gt;=A40,$L$7&lt;A41),TREND(B40:B41,A40:A41,$L$7,1),IF($L$7&lt;A40,TREND(B39:B40,A39:A40,$L$7,1),1))))</f>
        <v>0</v>
      </c>
      <c r="K39" s="119" t="s">
        <v>716</v>
      </c>
      <c r="L39" s="127" t="str">
        <f>IF(B39="","",J40*(E7/$L$6))</f>
        <v/>
      </c>
      <c r="M39" s="63" t="str">
        <f>IF(L39="","",L39*D7)</f>
        <v/>
      </c>
    </row>
    <row r="40" spans="1:22" ht="15" customHeight="1" x14ac:dyDescent="0.25">
      <c r="A40" s="3">
        <v>50</v>
      </c>
      <c r="B40" s="605"/>
      <c r="C40" s="605"/>
      <c r="D40" s="949"/>
      <c r="E40" s="950"/>
      <c r="F40" s="948"/>
      <c r="G40" s="605"/>
      <c r="I40" s="3" t="s">
        <v>12</v>
      </c>
      <c r="J40" s="65">
        <f>IF(B39="",0,IF($L$7&gt;=A41,TREND(C41:C42,A41:A42,$L$7,1),IF(AND($L$7&gt;=A40,$L$7&lt;A41),TREND(C40:C41,A40:A41,$L$7,1),IF($L$7&lt;A40,TREND(C39:C40,A39:A40,$L$7,1),1))))</f>
        <v>0</v>
      </c>
      <c r="K40" s="955" t="s">
        <v>21</v>
      </c>
      <c r="L40" s="956"/>
      <c r="M40" s="75"/>
    </row>
    <row r="41" spans="1:22" ht="18" customHeight="1" x14ac:dyDescent="0.25">
      <c r="A41" s="3">
        <v>70</v>
      </c>
      <c r="B41" s="605"/>
      <c r="C41" s="605"/>
      <c r="D41" s="949"/>
      <c r="E41" s="950"/>
      <c r="F41" s="948"/>
      <c r="G41" s="605"/>
      <c r="I41" s="3" t="s">
        <v>13</v>
      </c>
      <c r="J41" s="65">
        <f>IF(B39="",0,IF($L$7&gt;=A41,TREND(G41:G42,A41:A42,$L$7,1),IF(AND($L$7&gt;=A40,$L$7&lt;A41),TREND(G40:G41,A40:A41,$L$7,1),IF($L$7&lt;A40,TREND(G39:G40,A39:A40,$L$7,1),1))))</f>
        <v>0</v>
      </c>
      <c r="K41" s="119" t="s">
        <v>717</v>
      </c>
      <c r="L41" s="128" t="e">
        <f>IF(J41="",0,J41*(E7/$L$6))</f>
        <v>#DIV/0!</v>
      </c>
      <c r="M41" s="75"/>
    </row>
    <row r="42" spans="1:22" ht="15" customHeight="1" x14ac:dyDescent="0.25">
      <c r="A42" s="3">
        <v>85</v>
      </c>
      <c r="B42" s="605"/>
      <c r="C42" s="605"/>
      <c r="D42" s="949"/>
      <c r="E42" s="950"/>
      <c r="F42" s="948"/>
      <c r="G42" s="605"/>
    </row>
    <row r="43" spans="1:22" ht="18" customHeight="1" x14ac:dyDescent="0.25"/>
    <row r="44" spans="1:22" ht="18" x14ac:dyDescent="0.25">
      <c r="A44" s="4">
        <v>0</v>
      </c>
      <c r="B44" s="3" t="s">
        <v>3</v>
      </c>
      <c r="C44" s="3"/>
      <c r="D44" s="3" t="s">
        <v>5</v>
      </c>
      <c r="E44" s="3" t="s">
        <v>8</v>
      </c>
      <c r="F44" s="5" t="s">
        <v>9</v>
      </c>
      <c r="G44" s="3" t="s">
        <v>10</v>
      </c>
      <c r="K44" s="955" t="s">
        <v>19</v>
      </c>
      <c r="L44" s="956"/>
      <c r="M44" s="542" t="s">
        <v>20</v>
      </c>
    </row>
    <row r="45" spans="1:22" x14ac:dyDescent="0.25">
      <c r="A45" s="3">
        <v>30</v>
      </c>
      <c r="B45" s="557"/>
      <c r="C45" s="557"/>
      <c r="D45" s="949"/>
      <c r="E45" s="950"/>
      <c r="F45" s="948"/>
      <c r="G45" s="557"/>
      <c r="I45" s="3" t="s">
        <v>11</v>
      </c>
      <c r="J45" s="65">
        <f>IF(B45="",0,IF($L$7&gt;=A47,TREND(B47:B48,A47:A48,$L$7,1),IF(AND($L$7&gt;=A46,$L$7&lt;A47),TREND(B46:B47,A46:A47,$L$7,1),IF($L$7&lt;A46,TREND(B45:B46,A45:A46,$L$7,1),1))))</f>
        <v>0</v>
      </c>
      <c r="K45" s="119" t="s">
        <v>716</v>
      </c>
      <c r="L45" s="127" t="str">
        <f>IF(B45="","",J46*(E8/$L$6))</f>
        <v/>
      </c>
      <c r="M45" s="63" t="str">
        <f>IF(L45="","",L45*D8)</f>
        <v/>
      </c>
    </row>
    <row r="46" spans="1:22" x14ac:dyDescent="0.25">
      <c r="A46" s="3">
        <v>50</v>
      </c>
      <c r="B46" s="558"/>
      <c r="C46" s="558"/>
      <c r="D46" s="949"/>
      <c r="E46" s="950"/>
      <c r="F46" s="948"/>
      <c r="G46" s="558"/>
      <c r="I46" s="3" t="s">
        <v>12</v>
      </c>
      <c r="J46" s="65">
        <f>IF(B45="",0,IF($L$7&gt;=A47,TREND(C47:C48,A47:A48,$L$7,1),IF(AND($L$7&gt;=A46,$L$7&lt;A47),TREND(C46:C47,A46:A47,$L$7,1),IF($L$7&lt;A46,TREND(C45:C46,A45:A46,$L$7,1),1))))</f>
        <v>0</v>
      </c>
      <c r="K46" s="955" t="s">
        <v>21</v>
      </c>
      <c r="L46" s="956"/>
      <c r="M46" s="75"/>
    </row>
    <row r="47" spans="1:22" x14ac:dyDescent="0.25">
      <c r="A47" s="3">
        <v>70</v>
      </c>
      <c r="B47" s="558"/>
      <c r="C47" s="558"/>
      <c r="D47" s="949"/>
      <c r="E47" s="950"/>
      <c r="F47" s="948"/>
      <c r="G47" s="558"/>
      <c r="I47" s="3" t="s">
        <v>13</v>
      </c>
      <c r="J47" s="65">
        <f>IF(B45="",0,IF($L$7&gt;=A47,TREND(G47:G48,A47:A48,$L$7,1),IF(AND($L$7&gt;=A46,$L$7&lt;A47),TREND(G46:G47,A46:A47,$L$7,1),IF($L$7&lt;A46,TREND(G45:G46,A45:A46,$L$7,1),1))))</f>
        <v>0</v>
      </c>
      <c r="K47" s="119" t="s">
        <v>717</v>
      </c>
      <c r="L47" s="128" t="e">
        <f>IF(J47="",0,J47*(E8/$L$6))</f>
        <v>#DIV/0!</v>
      </c>
      <c r="M47" s="75"/>
    </row>
    <row r="48" spans="1:22" x14ac:dyDescent="0.25">
      <c r="A48" s="3">
        <v>85</v>
      </c>
      <c r="B48" s="558"/>
      <c r="C48" s="558"/>
      <c r="D48" s="949"/>
      <c r="E48" s="950"/>
      <c r="F48" s="948"/>
      <c r="G48" s="558"/>
    </row>
    <row r="49" spans="1:13" x14ac:dyDescent="0.25">
      <c r="B49" s="560"/>
      <c r="C49" s="560"/>
      <c r="D49" s="560"/>
      <c r="E49" s="560"/>
      <c r="F49" s="560"/>
      <c r="G49" s="560"/>
    </row>
    <row r="50" spans="1:13" ht="18" x14ac:dyDescent="0.25">
      <c r="A50" s="4">
        <v>0</v>
      </c>
      <c r="B50" s="3" t="s">
        <v>3</v>
      </c>
      <c r="C50" s="3"/>
      <c r="D50" s="3" t="s">
        <v>5</v>
      </c>
      <c r="E50" s="3" t="s">
        <v>8</v>
      </c>
      <c r="F50" s="5" t="s">
        <v>9</v>
      </c>
      <c r="G50" s="3" t="s">
        <v>10</v>
      </c>
      <c r="K50" s="955" t="s">
        <v>19</v>
      </c>
      <c r="L50" s="956"/>
      <c r="M50" s="542" t="s">
        <v>20</v>
      </c>
    </row>
    <row r="51" spans="1:13" x14ac:dyDescent="0.25">
      <c r="A51" s="3">
        <v>30</v>
      </c>
      <c r="B51" s="557"/>
      <c r="C51" s="557"/>
      <c r="D51" s="949"/>
      <c r="E51" s="950"/>
      <c r="F51" s="948"/>
      <c r="G51" s="557"/>
      <c r="I51" s="3" t="s">
        <v>11</v>
      </c>
      <c r="J51" s="65">
        <f>IF(B51="",0,IF($L$7&gt;=A53,TREND(B53:B54,A53:A54,$L$7,1),IF(AND($L$7&gt;=A52,$L$7&lt;A53),TREND(B52:B53,A52:A53,$L$7,1),IF($L$7&lt;A52,TREND(B51:B52,A51:A52,$L$7,1),1))))</f>
        <v>0</v>
      </c>
      <c r="K51" s="119" t="s">
        <v>716</v>
      </c>
      <c r="L51" s="127" t="str">
        <f>IF(B51="","",J52*(E9/$L$6))</f>
        <v/>
      </c>
      <c r="M51" s="63" t="str">
        <f>IF(L51="","",L51*D9)</f>
        <v/>
      </c>
    </row>
    <row r="52" spans="1:13" x14ac:dyDescent="0.25">
      <c r="A52" s="3">
        <v>50</v>
      </c>
      <c r="B52" s="558"/>
      <c r="C52" s="558"/>
      <c r="D52" s="949"/>
      <c r="E52" s="950"/>
      <c r="F52" s="948"/>
      <c r="G52" s="558"/>
      <c r="I52" s="3" t="s">
        <v>12</v>
      </c>
      <c r="J52" s="65">
        <f>IF(B51="",0,IF($L$7&gt;=A53,TREND(C53:C54,A53:A54,$L$7,1),IF(AND($L$7&gt;=A52,$L$7&lt;A53),TREND(C52:C53,A52:A53,$L$7,1),IF($L$7&lt;A52,TREND(C51:C52,A51:A52,$L$7,1),1))))</f>
        <v>0</v>
      </c>
      <c r="K52" s="955" t="s">
        <v>21</v>
      </c>
      <c r="L52" s="956"/>
      <c r="M52" s="75"/>
    </row>
    <row r="53" spans="1:13" x14ac:dyDescent="0.25">
      <c r="A53" s="3">
        <v>70</v>
      </c>
      <c r="B53" s="558"/>
      <c r="C53" s="558"/>
      <c r="D53" s="949"/>
      <c r="E53" s="950"/>
      <c r="F53" s="948"/>
      <c r="G53" s="558"/>
      <c r="I53" s="3" t="s">
        <v>13</v>
      </c>
      <c r="J53" s="65">
        <f>IF(B51="",0,IF($L$7&gt;=A53,TREND(G53:G54,A53:A54,$L$7,1),IF(AND($L$7&gt;=A52,$L$7&lt;A53),TREND(G52:G53,A52:A53,$L$7,1),IF($L$7&lt;A52,TREND(G51:G52,A51:A52,$L$7,1),1))))</f>
        <v>0</v>
      </c>
      <c r="K53" s="119" t="s">
        <v>717</v>
      </c>
      <c r="L53" s="128" t="e">
        <f>IF(J53="",0,J53*(E9/$L$6))</f>
        <v>#DIV/0!</v>
      </c>
      <c r="M53" s="75"/>
    </row>
    <row r="54" spans="1:13" x14ac:dyDescent="0.25">
      <c r="A54" s="3">
        <v>85</v>
      </c>
      <c r="B54" s="558"/>
      <c r="C54" s="558"/>
      <c r="D54" s="949"/>
      <c r="E54" s="950"/>
      <c r="F54" s="948"/>
      <c r="G54" s="558"/>
    </row>
    <row r="56" spans="1:13" ht="18" x14ac:dyDescent="0.25">
      <c r="A56" s="4">
        <v>0</v>
      </c>
      <c r="B56" s="3" t="s">
        <v>3</v>
      </c>
      <c r="C56" s="3"/>
      <c r="D56" s="3" t="s">
        <v>5</v>
      </c>
      <c r="E56" s="3" t="s">
        <v>8</v>
      </c>
      <c r="F56" s="5" t="s">
        <v>9</v>
      </c>
      <c r="G56" s="3" t="s">
        <v>10</v>
      </c>
      <c r="K56" s="955" t="s">
        <v>19</v>
      </c>
      <c r="L56" s="956"/>
      <c r="M56" s="542" t="s">
        <v>20</v>
      </c>
    </row>
    <row r="57" spans="1:13" x14ac:dyDescent="0.25">
      <c r="A57" s="3">
        <v>30</v>
      </c>
      <c r="B57" s="557"/>
      <c r="C57" s="557"/>
      <c r="D57" s="949"/>
      <c r="E57" s="950"/>
      <c r="F57" s="948"/>
      <c r="G57" s="557"/>
      <c r="I57" s="3" t="s">
        <v>11</v>
      </c>
      <c r="J57" s="65">
        <f>IF(B57="",0,IF($L$7&gt;=A59,TREND(B59:B60,A59:A60,$L$7,1),IF(AND($L$7&gt;=A58,$L$7&lt;A59),TREND(B58:B59,A58:A59,$L$7,1),IF($L$7&lt;A58,TREND(B57:B58,A57:A58,$L$7,1),1))))</f>
        <v>0</v>
      </c>
      <c r="K57" s="119" t="s">
        <v>716</v>
      </c>
      <c r="L57" s="127" t="str">
        <f>IF(B57="","",J58*(E10/$L$6))</f>
        <v/>
      </c>
      <c r="M57" s="63" t="str">
        <f>IF(L57="","",L57*D10)</f>
        <v/>
      </c>
    </row>
    <row r="58" spans="1:13" x14ac:dyDescent="0.25">
      <c r="A58" s="3">
        <v>50</v>
      </c>
      <c r="B58" s="558"/>
      <c r="C58" s="558"/>
      <c r="D58" s="949"/>
      <c r="E58" s="950"/>
      <c r="F58" s="948"/>
      <c r="G58" s="558"/>
      <c r="I58" s="3" t="s">
        <v>12</v>
      </c>
      <c r="J58" s="65">
        <f>IF(B57="",0,IF($L$7&gt;=A59,TREND(C59:C60,A59:A60,$L$7,1),IF(AND($L$7&gt;=A58,$L$7&lt;A59),TREND(C58:C59,A58:A59,$L$7,1),IF($L$7&lt;A58,TREND(C57:C58,A57:A58,$L$7,1),1))))</f>
        <v>0</v>
      </c>
      <c r="K58" s="955" t="s">
        <v>21</v>
      </c>
      <c r="L58" s="956"/>
      <c r="M58" s="75"/>
    </row>
    <row r="59" spans="1:13" x14ac:dyDescent="0.25">
      <c r="A59" s="3">
        <v>70</v>
      </c>
      <c r="B59" s="558"/>
      <c r="C59" s="558"/>
      <c r="D59" s="949"/>
      <c r="E59" s="950"/>
      <c r="F59" s="948"/>
      <c r="G59" s="558"/>
      <c r="I59" s="3" t="s">
        <v>13</v>
      </c>
      <c r="J59" s="65">
        <f>IF(B57="",0,IF($L$7&gt;=A59,TREND(G59:G60,A59:A60,$L$7,1),IF(AND($L$7&gt;=A58,$L$7&lt;A59),TREND(G58:G59,A58:A59,$L$7,1),IF($L$7&lt;A58,TREND(G57:G58,A57:A58,$L$7,1),1))))</f>
        <v>0</v>
      </c>
      <c r="K59" s="119" t="s">
        <v>717</v>
      </c>
      <c r="L59" s="128" t="e">
        <f>IF(J59="",0,J59*(E10/$L$6))</f>
        <v>#DIV/0!</v>
      </c>
      <c r="M59" s="75"/>
    </row>
    <row r="60" spans="1:13" x14ac:dyDescent="0.25">
      <c r="A60" s="3">
        <v>85</v>
      </c>
      <c r="B60" s="558"/>
      <c r="C60" s="558"/>
      <c r="D60" s="949"/>
      <c r="E60" s="950"/>
      <c r="F60" s="948"/>
      <c r="G60" s="558"/>
    </row>
    <row r="62" spans="1:13" ht="18" x14ac:dyDescent="0.25">
      <c r="A62" s="4">
        <v>0</v>
      </c>
      <c r="B62" s="3" t="s">
        <v>3</v>
      </c>
      <c r="C62" s="3"/>
      <c r="D62" s="3" t="s">
        <v>5</v>
      </c>
      <c r="E62" s="3" t="s">
        <v>8</v>
      </c>
      <c r="F62" s="5" t="s">
        <v>9</v>
      </c>
      <c r="G62" s="3" t="s">
        <v>10</v>
      </c>
      <c r="K62" s="955" t="s">
        <v>19</v>
      </c>
      <c r="L62" s="956"/>
      <c r="M62" s="542" t="s">
        <v>20</v>
      </c>
    </row>
    <row r="63" spans="1:13" x14ac:dyDescent="0.25">
      <c r="A63" s="3">
        <v>30</v>
      </c>
      <c r="B63" s="557"/>
      <c r="C63" s="557"/>
      <c r="D63" s="949"/>
      <c r="E63" s="950"/>
      <c r="F63" s="948"/>
      <c r="G63" s="557"/>
      <c r="I63" s="3" t="s">
        <v>11</v>
      </c>
      <c r="J63" s="65">
        <f>IF(B63="",0,IF($L$7&gt;=A65,TREND(B65:B66,A65:A66,$L$7,1),IF(AND($L$7&gt;=A64,$L$7&lt;A65),TREND(B64:B65,A64:A65,$L$7,1),IF($L$7&lt;A64,TREND(B63:B64,A63:A64,$L$7,1),1))))</f>
        <v>0</v>
      </c>
      <c r="K63" s="119" t="s">
        <v>716</v>
      </c>
      <c r="L63" s="127" t="str">
        <f>IF(B63="","",J64*(E11/$L$6))</f>
        <v/>
      </c>
      <c r="M63" s="63" t="str">
        <f>IF(L63="","",L63*D11)</f>
        <v/>
      </c>
    </row>
    <row r="64" spans="1:13" x14ac:dyDescent="0.25">
      <c r="A64" s="3">
        <v>50</v>
      </c>
      <c r="B64" s="558"/>
      <c r="C64" s="558"/>
      <c r="D64" s="949"/>
      <c r="E64" s="950"/>
      <c r="F64" s="948"/>
      <c r="G64" s="558"/>
      <c r="I64" s="3" t="s">
        <v>12</v>
      </c>
      <c r="J64" s="65">
        <f>IF(B63="",0,IF($L$7&gt;=A65,TREND(C65:C66,A65:A66,$L$7,1),IF(AND($L$7&gt;=A64,$L$7&lt;A65),TREND(C64:C65,A64:A65,$L$7,1),IF($L$7&lt;A64,TREND(C63:C64,A63:A64,$L$7,1),1))))</f>
        <v>0</v>
      </c>
      <c r="K64" s="955" t="s">
        <v>21</v>
      </c>
      <c r="L64" s="956"/>
      <c r="M64" s="75"/>
    </row>
    <row r="65" spans="1:17" x14ac:dyDescent="0.25">
      <c r="A65" s="3">
        <v>70</v>
      </c>
      <c r="B65" s="558"/>
      <c r="C65" s="558"/>
      <c r="D65" s="949"/>
      <c r="E65" s="950"/>
      <c r="F65" s="948"/>
      <c r="G65" s="558"/>
      <c r="I65" s="3" t="s">
        <v>13</v>
      </c>
      <c r="J65" s="65">
        <f>IF(B63="",0,IF($L$7&gt;=A65,TREND(G65:G66,A65:A66,$L$7,1),IF(AND($L$7&gt;=A64,$L$7&lt;A65),TREND(G64:G65,A64:A65,$L$7,1),IF($L$7&lt;A64,TREND(G63:G64,A63:A64,$L$7,1),1))))</f>
        <v>0</v>
      </c>
      <c r="K65" s="119" t="s">
        <v>717</v>
      </c>
      <c r="L65" s="128" t="e">
        <f>IF(J65="",0,J65*(E11/$L$6))</f>
        <v>#DIV/0!</v>
      </c>
      <c r="M65" s="75"/>
    </row>
    <row r="66" spans="1:17" x14ac:dyDescent="0.25">
      <c r="A66" s="3">
        <v>85</v>
      </c>
      <c r="B66" s="558"/>
      <c r="C66" s="558"/>
      <c r="D66" s="949"/>
      <c r="E66" s="950"/>
      <c r="F66" s="948"/>
      <c r="G66" s="558"/>
    </row>
    <row r="68" spans="1:17" ht="18" x14ac:dyDescent="0.25">
      <c r="A68" s="4">
        <v>0</v>
      </c>
      <c r="B68" s="3" t="s">
        <v>3</v>
      </c>
      <c r="C68" s="3"/>
      <c r="D68" s="3" t="s">
        <v>5</v>
      </c>
      <c r="E68" s="3" t="s">
        <v>8</v>
      </c>
      <c r="F68" s="5" t="s">
        <v>9</v>
      </c>
      <c r="G68" s="3" t="s">
        <v>10</v>
      </c>
      <c r="K68" s="955" t="s">
        <v>19</v>
      </c>
      <c r="L68" s="956"/>
      <c r="M68" s="542" t="s">
        <v>20</v>
      </c>
    </row>
    <row r="69" spans="1:17" x14ac:dyDescent="0.25">
      <c r="A69" s="3">
        <v>30</v>
      </c>
      <c r="B69" s="557"/>
      <c r="C69" s="557"/>
      <c r="D69" s="949"/>
      <c r="E69" s="950"/>
      <c r="F69" s="948"/>
      <c r="G69" s="557"/>
      <c r="I69" s="3" t="s">
        <v>11</v>
      </c>
      <c r="J69" s="65">
        <f>IF(B69="",0,IF($L$7&gt;=A71,TREND(B71:B72,A71:A72,$L$7,1),IF(AND($L$7&gt;=A70,$L$7&lt;A71),TREND(B70:B71,A70:A71,$L$7,1),IF($L$7&lt;A70,TREND(B69:B70,A69:A70,$L$7,1),1))))</f>
        <v>0</v>
      </c>
      <c r="K69" s="119" t="s">
        <v>716</v>
      </c>
      <c r="L69" s="127" t="str">
        <f>IF(B69="","",J70*(E12/$L$6))</f>
        <v/>
      </c>
      <c r="M69" s="63" t="str">
        <f>IF(L69="","",L69*D12)</f>
        <v/>
      </c>
    </row>
    <row r="70" spans="1:17" x14ac:dyDescent="0.25">
      <c r="A70" s="3">
        <v>50</v>
      </c>
      <c r="B70" s="558"/>
      <c r="C70" s="558"/>
      <c r="D70" s="949"/>
      <c r="E70" s="950"/>
      <c r="F70" s="948"/>
      <c r="G70" s="558"/>
      <c r="I70" s="3" t="s">
        <v>12</v>
      </c>
      <c r="J70" s="65">
        <f>IF(B69="",0,IF($L$7&gt;=A71,TREND(C71:C72,A71:A72,$L$7,1),IF(AND($L$7&gt;=A70,$L$7&lt;A71),TREND(C70:C71,A70:A71,$L$7,1),IF($L$7&lt;A70,TREND(C69:C70,A69:A70,$L$7,1),1))))</f>
        <v>0</v>
      </c>
      <c r="K70" s="955" t="s">
        <v>21</v>
      </c>
      <c r="L70" s="956"/>
      <c r="M70" s="75"/>
    </row>
    <row r="71" spans="1:17" x14ac:dyDescent="0.25">
      <c r="A71" s="3">
        <v>70</v>
      </c>
      <c r="B71" s="558"/>
      <c r="C71" s="558"/>
      <c r="D71" s="949"/>
      <c r="E71" s="950"/>
      <c r="F71" s="948"/>
      <c r="G71" s="558"/>
      <c r="I71" s="3" t="s">
        <v>13</v>
      </c>
      <c r="J71" s="65">
        <f>IF(B69="",0,IF($L$7&gt;=A71,TREND(G71:G72,A71:A72,$L$7,1),IF(AND($L$7&gt;=A70,$L$7&lt;A71),TREND(G70:G71,A70:A71,$L$7,1),IF($L$7&lt;A70,TREND(G69:G70,A69:A70,$L$7,1),1))))</f>
        <v>0</v>
      </c>
      <c r="K71" s="119" t="s">
        <v>717</v>
      </c>
      <c r="L71" s="128" t="e">
        <f>IF(J71="",0,J71*(E12/$L$6))</f>
        <v>#DIV/0!</v>
      </c>
      <c r="M71" s="75"/>
    </row>
    <row r="72" spans="1:17" x14ac:dyDescent="0.25">
      <c r="A72" s="3">
        <v>85</v>
      </c>
      <c r="B72" s="558"/>
      <c r="C72" s="558"/>
      <c r="D72" s="949"/>
      <c r="E72" s="950"/>
      <c r="F72" s="948"/>
      <c r="G72" s="558"/>
    </row>
    <row r="73" spans="1:17" ht="15" customHeight="1" x14ac:dyDescent="0.25">
      <c r="I73" s="338"/>
      <c r="J73" s="338"/>
      <c r="K73" s="338"/>
      <c r="L73" s="338"/>
      <c r="M73" s="338"/>
    </row>
    <row r="74" spans="1:17" ht="18" x14ac:dyDescent="0.25">
      <c r="A74" s="4">
        <v>0</v>
      </c>
      <c r="B74" s="3" t="s">
        <v>3</v>
      </c>
      <c r="C74" s="3"/>
      <c r="D74" s="3" t="s">
        <v>5</v>
      </c>
      <c r="E74" s="3" t="s">
        <v>8</v>
      </c>
      <c r="F74" s="5" t="s">
        <v>9</v>
      </c>
      <c r="G74" s="3" t="s">
        <v>10</v>
      </c>
      <c r="K74" s="955" t="s">
        <v>19</v>
      </c>
      <c r="L74" s="956"/>
      <c r="M74" s="542" t="s">
        <v>20</v>
      </c>
    </row>
    <row r="75" spans="1:17" ht="18" customHeight="1" x14ac:dyDescent="0.25">
      <c r="A75" s="3">
        <v>30</v>
      </c>
      <c r="B75" s="557"/>
      <c r="C75" s="557"/>
      <c r="D75" s="949"/>
      <c r="E75" s="950"/>
      <c r="F75" s="948"/>
      <c r="G75" s="557"/>
      <c r="I75" s="3" t="s">
        <v>11</v>
      </c>
      <c r="J75" s="65">
        <f>IF(B75="",0,IF($L$7&gt;=A77,TREND(B77:B78,A77:A78,$L$7,1),IF(AND($L$7&gt;=A76,$L$7&lt;A77),TREND(B76:B77,A76:A77,$L$7,1),IF($L$7&lt;A76,TREND(B75:B76,A75:A76,$L$7,1),1))))</f>
        <v>0</v>
      </c>
      <c r="K75" s="119" t="s">
        <v>716</v>
      </c>
      <c r="L75" s="127" t="str">
        <f>IF(B75="","",J76*(E13/$L$6))</f>
        <v/>
      </c>
      <c r="M75" s="63" t="str">
        <f>IF(L75="","",L75*D13)</f>
        <v/>
      </c>
    </row>
    <row r="76" spans="1:17" ht="15.75" customHeight="1" x14ac:dyDescent="0.25">
      <c r="A76" s="3">
        <v>50</v>
      </c>
      <c r="B76" s="558"/>
      <c r="C76" s="558"/>
      <c r="D76" s="949"/>
      <c r="E76" s="950"/>
      <c r="F76" s="948"/>
      <c r="G76" s="558"/>
      <c r="I76" s="3" t="s">
        <v>12</v>
      </c>
      <c r="J76" s="65">
        <f>IF(B75="",0,IF($L$7&gt;=A77,TREND(C77:C78,A77:A78,$L$7,1),IF(AND($L$7&gt;=A76,$L$7&lt;A77),TREND(C76:C77,A76:A77,$L$7,1),IF($L$7&lt;A76,TREND(C75:C76,A75:A76,$L$7,1),1))))</f>
        <v>0</v>
      </c>
      <c r="K76" s="955" t="s">
        <v>21</v>
      </c>
      <c r="L76" s="956"/>
      <c r="M76" s="75"/>
    </row>
    <row r="77" spans="1:17" ht="15" customHeight="1" x14ac:dyDescent="0.25">
      <c r="A77" s="3">
        <v>70</v>
      </c>
      <c r="B77" s="558"/>
      <c r="C77" s="558"/>
      <c r="D77" s="949"/>
      <c r="E77" s="950"/>
      <c r="F77" s="948"/>
      <c r="G77" s="558"/>
      <c r="I77" s="3" t="s">
        <v>13</v>
      </c>
      <c r="J77" s="65">
        <f>IF(B75="",0,IF($L$7&gt;=A77,TREND(G77:G78,A77:A78,$L$7,1),IF(AND($L$7&gt;=A76,$L$7&lt;A77),TREND(G76:G77,A76:A77,$L$7,1),IF($L$7&lt;A76,TREND(G75:G76,A75:A76,$L$7,1),1))))</f>
        <v>0</v>
      </c>
      <c r="K77" s="119" t="s">
        <v>717</v>
      </c>
      <c r="L77" s="128" t="e">
        <f>IF(J77="",0,J77*(E13/$L$6))</f>
        <v>#DIV/0!</v>
      </c>
      <c r="M77" s="75"/>
    </row>
    <row r="78" spans="1:17" x14ac:dyDescent="0.25">
      <c r="A78" s="3">
        <v>85</v>
      </c>
      <c r="B78" s="558"/>
      <c r="C78" s="558"/>
      <c r="D78" s="949"/>
      <c r="E78" s="950"/>
      <c r="F78" s="948"/>
      <c r="G78" s="558"/>
      <c r="I78" s="338"/>
      <c r="J78" s="338"/>
      <c r="K78" s="338"/>
      <c r="L78" s="338"/>
      <c r="M78" s="338"/>
      <c r="Q78" s="73"/>
    </row>
    <row r="79" spans="1:17" ht="45" x14ac:dyDescent="0.25">
      <c r="J79" s="792" t="s">
        <v>85</v>
      </c>
      <c r="K79" s="792" t="s">
        <v>1132</v>
      </c>
      <c r="L79" s="827" t="s">
        <v>70</v>
      </c>
    </row>
    <row r="80" spans="1:17" ht="18" x14ac:dyDescent="0.25">
      <c r="J80" s="119" t="s">
        <v>95</v>
      </c>
      <c r="K80" s="127" t="e">
        <f>($E$14/$L$6)*COS(($L$7+18.19)*PI()/180)</f>
        <v>#DIV/0!</v>
      </c>
      <c r="L80" s="45" t="e">
        <f>IF(K80&lt;=0.02,"erfüllt","nicht erfüllt")</f>
        <v>#DIV/0!</v>
      </c>
    </row>
    <row r="81" spans="1:23" ht="18" x14ac:dyDescent="0.25">
      <c r="A81" s="54"/>
      <c r="B81" s="54"/>
      <c r="J81" s="119" t="s">
        <v>69</v>
      </c>
      <c r="K81" s="127" t="e">
        <f>($E$14/$L$6)*COS(($L$7-0)*PI()/180)</f>
        <v>#DIV/0!</v>
      </c>
      <c r="L81" s="45" t="e">
        <f>IF(K81&lt;=0.02,"erfüllt","nicht erfüllt")</f>
        <v>#DIV/0!</v>
      </c>
    </row>
    <row r="82" spans="1:23" ht="18" x14ac:dyDescent="0.35">
      <c r="A82" s="54"/>
      <c r="B82" s="54"/>
      <c r="J82" s="86" t="s">
        <v>96</v>
      </c>
      <c r="K82" s="127" t="e">
        <f>($E$14/$L$6)*COS(($L$7-18.19)*PI()/180)</f>
        <v>#DIV/0!</v>
      </c>
      <c r="L82" s="45" t="e">
        <f>IF(K82&lt;=0.02,"erfüllt","nicht erfüllt")</f>
        <v>#DIV/0!</v>
      </c>
    </row>
    <row r="83" spans="1:23" x14ac:dyDescent="0.25">
      <c r="A83" s="54"/>
      <c r="B83" s="54"/>
    </row>
    <row r="84" spans="1:23" x14ac:dyDescent="0.25">
      <c r="A84" s="54"/>
      <c r="B84" s="54"/>
    </row>
    <row r="85" spans="1:23" ht="15" customHeight="1" x14ac:dyDescent="0.25">
      <c r="A85" s="54"/>
      <c r="B85" s="54"/>
    </row>
    <row r="86" spans="1:23" x14ac:dyDescent="0.25">
      <c r="A86" s="54"/>
      <c r="B86" s="54"/>
    </row>
    <row r="87" spans="1:23" x14ac:dyDescent="0.25">
      <c r="A87" s="54"/>
      <c r="B87" s="54"/>
    </row>
    <row r="88" spans="1:23" ht="15" customHeight="1" x14ac:dyDescent="0.25">
      <c r="A88" s="54"/>
      <c r="B88" s="54"/>
    </row>
    <row r="89" spans="1:23" ht="30" customHeight="1" x14ac:dyDescent="0.25">
      <c r="A89" s="54"/>
      <c r="B89" s="54"/>
      <c r="I89" s="960" t="s">
        <v>15</v>
      </c>
      <c r="J89" s="961"/>
      <c r="K89" s="964"/>
    </row>
    <row r="90" spans="1:23" ht="75" x14ac:dyDescent="0.25">
      <c r="A90" s="54"/>
      <c r="B90" s="322" t="s">
        <v>107</v>
      </c>
      <c r="C90" s="323"/>
      <c r="D90" s="323"/>
      <c r="E90" s="323"/>
      <c r="F90" s="324"/>
      <c r="I90" s="119" t="s">
        <v>18</v>
      </c>
      <c r="J90" s="127" t="e">
        <f>(D4*J22*(E4/$L$6))+(D5*J28*(E5/$L$6))+(D6*J34*(E6/$L$6))+(D7*J40*(E7/$L$6))+(D8*J46*(E8/$L$6))+(D9*J52*(E9/$L$6))+(D10*J58*(E10/$L$6))+(D11*J64*(E11/$L$6))+(D12*J70*(E12/$L$6))+(D13*J76*(E13/$L$6))</f>
        <v>#DIV/0!</v>
      </c>
      <c r="K90" s="45" t="e">
        <f>IF(J90&lt;=0.05,"erfüllt","nicht erfüllt")</f>
        <v>#DIV/0!</v>
      </c>
    </row>
    <row r="91" spans="1:23" x14ac:dyDescent="0.25">
      <c r="B91" s="325"/>
      <c r="C91" s="326"/>
      <c r="D91" s="326"/>
      <c r="E91" s="326"/>
      <c r="F91" s="327"/>
      <c r="I91" s="960" t="s">
        <v>19</v>
      </c>
      <c r="J91" s="961"/>
      <c r="K91" s="964"/>
      <c r="U91" s="963" t="s">
        <v>50</v>
      </c>
      <c r="V91" s="962">
        <v>0.8</v>
      </c>
      <c r="W91" s="963" t="s">
        <v>51</v>
      </c>
    </row>
    <row r="92" spans="1:23" ht="30" x14ac:dyDescent="0.25">
      <c r="B92" s="306" t="s">
        <v>22</v>
      </c>
      <c r="C92" s="597" t="s">
        <v>752</v>
      </c>
      <c r="D92" s="306" t="s">
        <v>74</v>
      </c>
      <c r="E92" s="306" t="s">
        <v>73</v>
      </c>
      <c r="F92" s="306" t="s">
        <v>70</v>
      </c>
      <c r="I92" s="119" t="s">
        <v>18</v>
      </c>
      <c r="J92" s="127" t="e">
        <f>L21</f>
        <v>#DIV/0!</v>
      </c>
      <c r="K92" s="45" t="e">
        <f>IF(J92&lt;=0.02,"erfüllt","nicht erfüllt")</f>
        <v>#DIV/0!</v>
      </c>
      <c r="M92" s="965" t="s">
        <v>50</v>
      </c>
      <c r="N92" s="967">
        <v>0.8</v>
      </c>
      <c r="O92" s="965" t="s">
        <v>51</v>
      </c>
      <c r="U92" s="963"/>
      <c r="V92" s="962"/>
      <c r="W92" s="963"/>
    </row>
    <row r="93" spans="1:23" x14ac:dyDescent="0.25">
      <c r="B93" s="307"/>
      <c r="C93" s="307"/>
      <c r="D93" s="307"/>
      <c r="E93" s="307"/>
      <c r="F93" s="307"/>
      <c r="H93" s="54"/>
      <c r="I93" s="976" t="s">
        <v>86</v>
      </c>
      <c r="J93" s="977"/>
      <c r="K93" s="978"/>
      <c r="M93" s="966"/>
      <c r="N93" s="968"/>
      <c r="O93" s="966"/>
      <c r="U93" s="76" t="s">
        <v>113</v>
      </c>
      <c r="V93" s="90" t="e">
        <f>Q5*(V91/(1-V91))</f>
        <v>#VALUE!</v>
      </c>
      <c r="W93" s="72"/>
    </row>
    <row r="94" spans="1:23" x14ac:dyDescent="0.25">
      <c r="B94" s="67">
        <f>IF(COUNT($L$10)=0,,TFR!G8/50)</f>
        <v>0</v>
      </c>
      <c r="C94" s="596">
        <f>IF(COUNT($L$10)=0,,TFR!G8)</f>
        <v>0</v>
      </c>
      <c r="D94" s="815" t="e">
        <f>ROUND(IF(COUNT($L$10)=0,,TFR!H8),3)</f>
        <v>#N/A</v>
      </c>
      <c r="E94" s="815" t="e">
        <f>ROUND(VLOOKUP($C94,Schwingungen!$L$52:$AA$90,16,FALSE),3)</f>
        <v>#N/A</v>
      </c>
      <c r="F94" s="66" t="e">
        <f>IF(D94&lt;E94,"P","F")</f>
        <v>#N/A</v>
      </c>
      <c r="H94" s="54"/>
      <c r="I94" s="881" t="s">
        <v>14</v>
      </c>
      <c r="J94" s="882" t="e">
        <f>23*(100*L21)^3</f>
        <v>#DIV/0!</v>
      </c>
      <c r="K94" s="883" t="s">
        <v>72</v>
      </c>
      <c r="M94" s="76" t="s">
        <v>52</v>
      </c>
      <c r="N94" s="90" t="e">
        <f>N4*(N92/(1-N92))</f>
        <v>#DIV/0!</v>
      </c>
      <c r="O94" s="72"/>
      <c r="U94" s="76" t="s">
        <v>53</v>
      </c>
      <c r="V94" s="90" t="e">
        <f>COS(PI()*L7/180)*V93</f>
        <v>#VALUE!</v>
      </c>
      <c r="W94" s="72"/>
    </row>
    <row r="95" spans="1:23" x14ac:dyDescent="0.25">
      <c r="B95" s="67">
        <f>IF(COUNT($L$10)=0,,TFR!G9/50)</f>
        <v>0</v>
      </c>
      <c r="C95" s="596">
        <f>IF(COUNT($L$10)=0,,TFR!G9)</f>
        <v>0</v>
      </c>
      <c r="D95" s="815" t="e">
        <f>ROUND(IF(COUNT($L$10)=0,,TFR!H9),3)</f>
        <v>#N/A</v>
      </c>
      <c r="E95" s="815" t="e">
        <f>ROUND(VLOOKUP($C95,Schwingungen!$L$52:$AA$90,16,FALSE),3)</f>
        <v>#N/A</v>
      </c>
      <c r="F95" s="596" t="e">
        <f>IF(D95&lt;E95,"P","F")</f>
        <v>#N/A</v>
      </c>
      <c r="H95" s="54"/>
      <c r="I95" s="945" t="s">
        <v>1130</v>
      </c>
      <c r="J95" s="946"/>
      <c r="K95" s="947"/>
      <c r="M95" s="76" t="s">
        <v>53</v>
      </c>
      <c r="N95" s="90" t="e">
        <f>COS(PI()*L7/180)*N94</f>
        <v>#DIV/0!</v>
      </c>
      <c r="O95" s="72"/>
      <c r="U95" s="76" t="s">
        <v>54</v>
      </c>
      <c r="V95" s="90" t="e">
        <f>SIN(PI()*L7/180)*V93</f>
        <v>#VALUE!</v>
      </c>
      <c r="W95" s="72"/>
    </row>
    <row r="96" spans="1:23" x14ac:dyDescent="0.25">
      <c r="B96" s="67">
        <f>IF(COUNT($L$10)=0,,TFR!G10/50)</f>
        <v>0</v>
      </c>
      <c r="C96" s="596">
        <f>IF(COUNT($L$10)=0,,TFR!G10)</f>
        <v>0</v>
      </c>
      <c r="D96" s="815" t="e">
        <f>ROUND(IF(COUNT($L$10)=0,,TFR!H10),3)</f>
        <v>#N/A</v>
      </c>
      <c r="E96" s="815" t="e">
        <f>ROUND(VLOOKUP($C96,Schwingungen!$L$52:$AA$90,16,FALSE),3)</f>
        <v>#N/A</v>
      </c>
      <c r="F96" s="66" t="e">
        <f>IF(D96&lt;E96,"P","F")</f>
        <v>#N/A</v>
      </c>
      <c r="H96" s="54"/>
      <c r="I96" s="119" t="s">
        <v>1127</v>
      </c>
      <c r="J96" s="852" t="e">
        <f>L23</f>
        <v>#DIV/0!</v>
      </c>
      <c r="K96" s="45" t="e">
        <f>IF(J96&lt;=0.5,"erfüllt","nicht erfüllt")</f>
        <v>#DIV/0!</v>
      </c>
      <c r="M96" s="76" t="s">
        <v>54</v>
      </c>
      <c r="N96" s="90" t="e">
        <f>SIN(PI()*L7/180)*N94</f>
        <v>#DIV/0!</v>
      </c>
      <c r="O96" s="72"/>
    </row>
    <row r="97" spans="2:11" x14ac:dyDescent="0.25">
      <c r="B97" s="67">
        <f>IF(COUNT($L$10)=0,,TFR!G11/50)</f>
        <v>0</v>
      </c>
      <c r="C97" s="596">
        <f>IF(COUNT($L$10)=0,,TFR!G11)</f>
        <v>0</v>
      </c>
      <c r="D97" s="815" t="e">
        <f>ROUND(IF(COUNT($L$10)=0,,TFR!H11),3)</f>
        <v>#N/A</v>
      </c>
      <c r="E97" s="815" t="e">
        <f>ROUND(VLOOKUP($C97,Schwingungen!$L$52:$AA$90,16,FALSE),3)</f>
        <v>#N/A</v>
      </c>
      <c r="F97" s="596" t="e">
        <f>IF(D97&lt;E97,"P","F")</f>
        <v>#N/A</v>
      </c>
      <c r="G97" s="345"/>
      <c r="H97" s="54"/>
      <c r="I97" s="945" t="s">
        <v>1129</v>
      </c>
      <c r="J97" s="946"/>
      <c r="K97" s="947"/>
    </row>
    <row r="98" spans="2:11" ht="18" x14ac:dyDescent="0.25">
      <c r="B98" s="67">
        <f>IF(COUNT($L$10)=0,,TFR!G12/50)</f>
        <v>0</v>
      </c>
      <c r="C98" s="596">
        <f>IF(COUNT($L$10)=0,,TFR!G12)</f>
        <v>0</v>
      </c>
      <c r="D98" s="815" t="e">
        <f>ROUND(IF(COUNT($L$10)=0,,TFR!H12),3)</f>
        <v>#N/A</v>
      </c>
      <c r="E98" s="815" t="e">
        <f>ROUND(VLOOKUP($C98,Schwingungen!$L$52:$AA$90,16,FALSE),3)</f>
        <v>#N/A</v>
      </c>
      <c r="F98" s="66" t="e">
        <f>IF(D98&lt;E98,"P","F")</f>
        <v>#N/A</v>
      </c>
      <c r="G98" s="345"/>
      <c r="H98" s="54"/>
      <c r="I98" s="119" t="s">
        <v>1128</v>
      </c>
      <c r="J98" s="64" t="e">
        <f>SQRT((D4*L23^2+D5*L29^2+D6*L35^2+D7*L41^2+D8*L47^2+D9*L53^2+D10*L59^2+D11*L65^2+D12*L71^2+D13*L77^2))</f>
        <v>#DIV/0!</v>
      </c>
      <c r="K98" s="45" t="e">
        <f>IF(J98&lt;=0.5,"erfüllt","nicht erfüllt")</f>
        <v>#DIV/0!</v>
      </c>
    </row>
    <row r="99" spans="2:11" x14ac:dyDescent="0.25">
      <c r="B99" s="342"/>
      <c r="C99" s="343"/>
      <c r="D99" s="344"/>
      <c r="E99" s="344"/>
      <c r="F99" s="343"/>
      <c r="G99" s="345"/>
      <c r="H99" s="54"/>
      <c r="I99" s="945" t="s">
        <v>1136</v>
      </c>
      <c r="J99" s="946"/>
      <c r="K99" s="947"/>
    </row>
    <row r="100" spans="2:11" x14ac:dyDescent="0.25">
      <c r="B100" s="342"/>
      <c r="C100" s="343"/>
      <c r="D100" s="344"/>
      <c r="E100" s="344"/>
      <c r="F100" s="343"/>
      <c r="G100" s="345"/>
      <c r="H100" s="54"/>
      <c r="I100" s="119" t="s">
        <v>1137</v>
      </c>
      <c r="J100" s="880" t="e">
        <f>(12*(0.25)^3)/(J90*100/7.36)^3</f>
        <v>#DIV/0!</v>
      </c>
      <c r="K100" s="45" t="s">
        <v>72</v>
      </c>
    </row>
    <row r="101" spans="2:11" ht="15.75" thickBot="1" x14ac:dyDescent="0.3">
      <c r="H101" s="54"/>
      <c r="I101" s="945" t="s">
        <v>1138</v>
      </c>
      <c r="J101" s="946"/>
      <c r="K101" s="947"/>
    </row>
    <row r="102" spans="2:11" ht="30" x14ac:dyDescent="0.25">
      <c r="B102" s="316" t="s">
        <v>100</v>
      </c>
      <c r="C102" s="317"/>
      <c r="D102" s="317"/>
      <c r="E102" s="318"/>
      <c r="F102" s="316" t="s">
        <v>114</v>
      </c>
      <c r="G102" s="317"/>
      <c r="H102" s="318"/>
      <c r="I102" s="119" t="s">
        <v>1139</v>
      </c>
      <c r="J102" s="851" t="e">
        <f>120/J100*60</f>
        <v>#DIV/0!</v>
      </c>
      <c r="K102" s="45" t="s">
        <v>72</v>
      </c>
    </row>
    <row r="103" spans="2:11" ht="15.75" thickBot="1" x14ac:dyDescent="0.3">
      <c r="B103" s="319"/>
      <c r="C103" s="320"/>
      <c r="D103" s="320"/>
      <c r="E103" s="321"/>
      <c r="F103" s="319"/>
      <c r="G103" s="320"/>
      <c r="H103" s="321"/>
      <c r="I103" s="107"/>
      <c r="J103" s="107"/>
      <c r="K103" s="107"/>
    </row>
    <row r="104" spans="2:11" ht="18" x14ac:dyDescent="0.25">
      <c r="B104" s="106" t="s">
        <v>101</v>
      </c>
      <c r="C104" s="598"/>
      <c r="D104" s="329" t="s">
        <v>102</v>
      </c>
      <c r="E104" s="330"/>
      <c r="F104" s="99" t="s">
        <v>101</v>
      </c>
      <c r="G104" s="600" t="e">
        <f>H4/1000</f>
        <v>#DIV/0!</v>
      </c>
      <c r="H104" s="100" t="s">
        <v>102</v>
      </c>
      <c r="I104" s="107"/>
      <c r="J104" s="107"/>
      <c r="K104" s="107"/>
    </row>
    <row r="105" spans="2:11" x14ac:dyDescent="0.25">
      <c r="B105" s="101" t="s">
        <v>104</v>
      </c>
      <c r="C105" s="599"/>
      <c r="D105" s="300" t="s">
        <v>105</v>
      </c>
      <c r="E105" s="328"/>
      <c r="F105" s="101" t="s">
        <v>115</v>
      </c>
      <c r="G105" s="601">
        <v>8</v>
      </c>
      <c r="H105" s="102" t="s">
        <v>105</v>
      </c>
      <c r="I105" s="107"/>
      <c r="J105" s="107"/>
      <c r="K105" s="107"/>
    </row>
    <row r="106" spans="2:11" ht="18.75" thickBot="1" x14ac:dyDescent="0.3">
      <c r="B106" s="103" t="s">
        <v>103</v>
      </c>
      <c r="C106" s="104"/>
      <c r="D106" s="298" t="s">
        <v>102</v>
      </c>
      <c r="E106" s="299"/>
      <c r="F106" s="103" t="s">
        <v>103</v>
      </c>
      <c r="G106" s="104" t="e">
        <f>G105*G104</f>
        <v>#DIV/0!</v>
      </c>
      <c r="H106" s="105" t="s">
        <v>102</v>
      </c>
      <c r="I106" s="107"/>
      <c r="J106" s="107"/>
      <c r="K106" s="107"/>
    </row>
    <row r="107" spans="2:11" x14ac:dyDescent="0.25">
      <c r="H107" s="54"/>
      <c r="I107" s="107"/>
      <c r="J107" s="107"/>
      <c r="K107" s="107"/>
    </row>
    <row r="108" spans="2:11" x14ac:dyDescent="0.25">
      <c r="H108" s="54"/>
      <c r="I108" s="945" t="s">
        <v>1133</v>
      </c>
      <c r="J108" s="946"/>
      <c r="K108" s="947"/>
    </row>
    <row r="109" spans="2:11" ht="18" x14ac:dyDescent="0.25">
      <c r="H109" s="54"/>
      <c r="I109" s="878" t="s">
        <v>1134</v>
      </c>
      <c r="J109" s="64"/>
      <c r="K109" s="45" t="str">
        <f>IF(J109&gt;=10,"erfüllt","nicht erfüllt")</f>
        <v>nicht erfüllt</v>
      </c>
    </row>
    <row r="110" spans="2:11" ht="18" x14ac:dyDescent="0.25">
      <c r="H110" s="54"/>
      <c r="I110" s="878" t="s">
        <v>1135</v>
      </c>
      <c r="J110" s="64" t="e">
        <f>J11/C19</f>
        <v>#VALUE!</v>
      </c>
      <c r="K110" s="45" t="e">
        <f>IF(J110&gt;=10,"erfüllt","nicht erfüllt")</f>
        <v>#VALUE!</v>
      </c>
    </row>
    <row r="111" spans="2:11" x14ac:dyDescent="0.25">
      <c r="H111" s="54"/>
    </row>
    <row r="112" spans="2:11" x14ac:dyDescent="0.25">
      <c r="H112" s="54"/>
    </row>
    <row r="113" spans="2:11" x14ac:dyDescent="0.25">
      <c r="H113" s="54"/>
    </row>
    <row r="114" spans="2:11" x14ac:dyDescent="0.25">
      <c r="H114" s="54"/>
    </row>
    <row r="115" spans="2:11" x14ac:dyDescent="0.2">
      <c r="B115" s="93" t="s">
        <v>106</v>
      </c>
      <c r="H115" s="54"/>
    </row>
    <row r="118" spans="2:11" x14ac:dyDescent="0.25">
      <c r="I118" s="54"/>
    </row>
    <row r="119" spans="2:11" x14ac:dyDescent="0.25">
      <c r="I119" s="54"/>
    </row>
    <row r="120" spans="2:11" x14ac:dyDescent="0.25">
      <c r="I120" s="54"/>
      <c r="J120" s="107"/>
      <c r="K120" s="107"/>
    </row>
    <row r="121" spans="2:11" x14ac:dyDescent="0.25">
      <c r="I121" s="54"/>
      <c r="J121" s="107"/>
      <c r="K121" s="107"/>
    </row>
    <row r="122" spans="2:11" x14ac:dyDescent="0.25">
      <c r="I122" s="54"/>
      <c r="J122" s="107"/>
      <c r="K122" s="107"/>
    </row>
    <row r="123" spans="2:11" x14ac:dyDescent="0.25">
      <c r="I123" s="54"/>
      <c r="J123" s="107"/>
      <c r="K123" s="107"/>
    </row>
    <row r="124" spans="2:11" x14ac:dyDescent="0.25">
      <c r="I124" s="54"/>
      <c r="J124" s="107"/>
      <c r="K124" s="107"/>
    </row>
    <row r="125" spans="2:11" x14ac:dyDescent="0.25">
      <c r="I125" s="54"/>
      <c r="J125" s="107"/>
      <c r="K125" s="107"/>
    </row>
    <row r="126" spans="2:11" x14ac:dyDescent="0.25">
      <c r="I126" s="54"/>
      <c r="J126" s="107"/>
      <c r="K126" s="107"/>
    </row>
    <row r="127" spans="2:11" x14ac:dyDescent="0.25">
      <c r="J127" s="107"/>
      <c r="K127" s="107"/>
    </row>
    <row r="128" spans="2:11" x14ac:dyDescent="0.25">
      <c r="J128" s="107"/>
      <c r="K128" s="107"/>
    </row>
    <row r="129" spans="10:11" x14ac:dyDescent="0.25">
      <c r="J129" s="107"/>
      <c r="K129" s="107"/>
    </row>
    <row r="130" spans="10:11" x14ac:dyDescent="0.25">
      <c r="J130" s="107"/>
      <c r="K130" s="107"/>
    </row>
    <row r="131" spans="10:11" x14ac:dyDescent="0.25">
      <c r="J131" s="107"/>
      <c r="K131" s="107"/>
    </row>
    <row r="132" spans="10:11" x14ac:dyDescent="0.25">
      <c r="J132" s="107"/>
      <c r="K132" s="107"/>
    </row>
    <row r="133" spans="10:11" x14ac:dyDescent="0.25">
      <c r="J133" s="107"/>
      <c r="K133" s="107"/>
    </row>
    <row r="134" spans="10:11" x14ac:dyDescent="0.25">
      <c r="J134" s="107"/>
      <c r="K134" s="107"/>
    </row>
    <row r="135" spans="10:11" x14ac:dyDescent="0.25">
      <c r="J135" s="107"/>
      <c r="K135" s="107"/>
    </row>
    <row r="136" spans="10:11" x14ac:dyDescent="0.25">
      <c r="J136" s="107"/>
      <c r="K136" s="107"/>
    </row>
    <row r="137" spans="10:11" x14ac:dyDescent="0.25">
      <c r="J137" s="107"/>
      <c r="K137" s="107"/>
    </row>
    <row r="138" spans="10:11" x14ac:dyDescent="0.25">
      <c r="J138" s="107"/>
      <c r="K138" s="107"/>
    </row>
    <row r="139" spans="10:11" x14ac:dyDescent="0.25">
      <c r="J139" s="107"/>
      <c r="K139" s="107"/>
    </row>
    <row r="140" spans="10:11" x14ac:dyDescent="0.25">
      <c r="J140" s="107"/>
      <c r="K140" s="107"/>
    </row>
    <row r="141" spans="10:11" x14ac:dyDescent="0.25">
      <c r="J141" s="107"/>
      <c r="K141" s="107"/>
    </row>
    <row r="142" spans="10:11" x14ac:dyDescent="0.25">
      <c r="J142" s="107"/>
      <c r="K142" s="107"/>
    </row>
    <row r="143" spans="10:11" x14ac:dyDescent="0.25">
      <c r="J143" s="107"/>
      <c r="K143" s="107"/>
    </row>
    <row r="144" spans="10:11" x14ac:dyDescent="0.25">
      <c r="J144" s="107"/>
      <c r="K144" s="107"/>
    </row>
    <row r="145" spans="10:11" x14ac:dyDescent="0.25">
      <c r="J145" s="107"/>
      <c r="K145" s="107"/>
    </row>
    <row r="146" spans="10:11" x14ac:dyDescent="0.25">
      <c r="J146" s="107"/>
      <c r="K146" s="107"/>
    </row>
    <row r="147" spans="10:11" x14ac:dyDescent="0.25">
      <c r="J147" s="107"/>
      <c r="K147" s="107"/>
    </row>
    <row r="148" spans="10:11" x14ac:dyDescent="0.25">
      <c r="J148" s="107"/>
      <c r="K148" s="107"/>
    </row>
    <row r="149" spans="10:11" x14ac:dyDescent="0.25">
      <c r="J149" s="107"/>
      <c r="K149" s="107"/>
    </row>
    <row r="150" spans="10:11" x14ac:dyDescent="0.25">
      <c r="J150" s="107"/>
      <c r="K150" s="107"/>
    </row>
    <row r="151" spans="10:11" x14ac:dyDescent="0.25">
      <c r="J151" s="107"/>
      <c r="K151" s="107"/>
    </row>
    <row r="152" spans="10:11" x14ac:dyDescent="0.25">
      <c r="J152" s="107"/>
      <c r="K152" s="107"/>
    </row>
    <row r="153" spans="10:11" x14ac:dyDescent="0.25">
      <c r="J153" s="107"/>
      <c r="K153" s="107"/>
    </row>
    <row r="154" spans="10:11" x14ac:dyDescent="0.25">
      <c r="J154" s="107"/>
      <c r="K154" s="107"/>
    </row>
    <row r="155" spans="10:11" x14ac:dyDescent="0.25">
      <c r="J155" s="107"/>
      <c r="K155" s="107"/>
    </row>
    <row r="156" spans="10:11" x14ac:dyDescent="0.25">
      <c r="J156" s="107"/>
      <c r="K156" s="107"/>
    </row>
    <row r="157" spans="10:11" x14ac:dyDescent="0.25">
      <c r="J157" s="107"/>
      <c r="K157" s="107"/>
    </row>
    <row r="158" spans="10:11" x14ac:dyDescent="0.25">
      <c r="J158" s="107"/>
      <c r="K158" s="107"/>
    </row>
  </sheetData>
  <mergeCells count="72">
    <mergeCell ref="K56:L56"/>
    <mergeCell ref="K58:L58"/>
    <mergeCell ref="K62:L62"/>
    <mergeCell ref="F27:F30"/>
    <mergeCell ref="D39:D42"/>
    <mergeCell ref="E39:E42"/>
    <mergeCell ref="I108:K108"/>
    <mergeCell ref="K40:L40"/>
    <mergeCell ref="K44:L44"/>
    <mergeCell ref="K46:L46"/>
    <mergeCell ref="K50:L50"/>
    <mergeCell ref="K52:L52"/>
    <mergeCell ref="I93:K93"/>
    <mergeCell ref="I95:K95"/>
    <mergeCell ref="I91:K91"/>
    <mergeCell ref="K64:L64"/>
    <mergeCell ref="K68:L68"/>
    <mergeCell ref="K70:L70"/>
    <mergeCell ref="K74:L74"/>
    <mergeCell ref="K26:L26"/>
    <mergeCell ref="K28:L28"/>
    <mergeCell ref="K32:L32"/>
    <mergeCell ref="K34:L34"/>
    <mergeCell ref="K38:L38"/>
    <mergeCell ref="F63:F66"/>
    <mergeCell ref="D45:D48"/>
    <mergeCell ref="E45:E48"/>
    <mergeCell ref="F45:F48"/>
    <mergeCell ref="D51:D54"/>
    <mergeCell ref="E51:E54"/>
    <mergeCell ref="F51:F54"/>
    <mergeCell ref="Q4:T4"/>
    <mergeCell ref="M92:M93"/>
    <mergeCell ref="N92:N93"/>
    <mergeCell ref="O92:O93"/>
    <mergeCell ref="P16:S16"/>
    <mergeCell ref="N12:O14"/>
    <mergeCell ref="V91:V92"/>
    <mergeCell ref="W91:W92"/>
    <mergeCell ref="U91:U92"/>
    <mergeCell ref="K76:L76"/>
    <mergeCell ref="I89:K89"/>
    <mergeCell ref="F21:F24"/>
    <mergeCell ref="K2:L3"/>
    <mergeCell ref="K20:L20"/>
    <mergeCell ref="K22:L22"/>
    <mergeCell ref="K13:L13"/>
    <mergeCell ref="K14:L14"/>
    <mergeCell ref="K12:L12"/>
    <mergeCell ref="D63:D66"/>
    <mergeCell ref="E63:E66"/>
    <mergeCell ref="A2:B3"/>
    <mergeCell ref="D21:D24"/>
    <mergeCell ref="E21:E24"/>
    <mergeCell ref="D27:D30"/>
    <mergeCell ref="E27:E30"/>
    <mergeCell ref="I99:K99"/>
    <mergeCell ref="I101:K101"/>
    <mergeCell ref="I97:K97"/>
    <mergeCell ref="F39:F42"/>
    <mergeCell ref="D33:D36"/>
    <mergeCell ref="E33:E36"/>
    <mergeCell ref="F33:F36"/>
    <mergeCell ref="D75:D78"/>
    <mergeCell ref="E75:E78"/>
    <mergeCell ref="F75:F78"/>
    <mergeCell ref="D69:D72"/>
    <mergeCell ref="E69:E72"/>
    <mergeCell ref="F69:F72"/>
    <mergeCell ref="D57:D60"/>
    <mergeCell ref="E57:E60"/>
    <mergeCell ref="F57:F60"/>
  </mergeCells>
  <conditionalFormatting sqref="M12">
    <cfRule type="cellIs" dxfId="83" priority="20" operator="greaterThan">
      <formula>6</formula>
    </cfRule>
    <cfRule type="cellIs" dxfId="82" priority="21" operator="between">
      <formula>1</formula>
      <formula>6</formula>
    </cfRule>
    <cfRule type="cellIs" dxfId="81" priority="22" operator="lessThan">
      <formula>1</formula>
    </cfRule>
  </conditionalFormatting>
  <conditionalFormatting sqref="M13">
    <cfRule type="cellIs" dxfId="80" priority="14" operator="greaterThan">
      <formula>6</formula>
    </cfRule>
    <cfRule type="cellIs" dxfId="79" priority="15" operator="between">
      <formula>1</formula>
      <formula>6</formula>
    </cfRule>
    <cfRule type="cellIs" dxfId="78" priority="16" operator="lessThan">
      <formula>1</formula>
    </cfRule>
  </conditionalFormatting>
  <conditionalFormatting sqref="M14">
    <cfRule type="cellIs" dxfId="77" priority="7" operator="greaterThan">
      <formula>6</formula>
    </cfRule>
    <cfRule type="cellIs" dxfId="76" priority="8" operator="between">
      <formula>1</formula>
      <formula>6</formula>
    </cfRule>
    <cfRule type="cellIs" dxfId="75" priority="9" operator="less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1031" r:id="rId4">
          <objectPr defaultSize="0" autoPict="0" r:id="rId5">
            <anchor moveWithCells="1" sizeWithCells="1">
              <from>
                <xdr:col>25</xdr:col>
                <xdr:colOff>161925</xdr:colOff>
                <xdr:row>8</xdr:row>
                <xdr:rowOff>180975</xdr:rowOff>
              </from>
              <to>
                <xdr:col>28</xdr:col>
                <xdr:colOff>381000</xdr:colOff>
                <xdr:row>11</xdr:row>
                <xdr:rowOff>104775</xdr:rowOff>
              </to>
            </anchor>
          </objectPr>
        </oleObject>
      </mc:Choice>
      <mc:Fallback>
        <oleObject progId="Equation.3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Schaltflache12_Klicken">
                <anchor moveWithCells="1" sizeWithCells="1">
                  <from>
                    <xdr:col>7</xdr:col>
                    <xdr:colOff>514350</xdr:colOff>
                    <xdr:row>13</xdr:row>
                    <xdr:rowOff>66675</xdr:rowOff>
                  </from>
                  <to>
                    <xdr:col>9</xdr:col>
                    <xdr:colOff>0</xdr:colOff>
                    <xdr:row>14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EZE_Daten!$B$3:$AC$3</xm:f>
          </x14:formula1>
          <xm:sqref>B4:B13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AF528"/>
  <sheetViews>
    <sheetView topLeftCell="B73" zoomScale="80" zoomScaleNormal="80" workbookViewId="0">
      <selection activeCell="N135" sqref="N135"/>
    </sheetView>
  </sheetViews>
  <sheetFormatPr baseColWidth="10" defaultColWidth="10.85546875" defaultRowHeight="15" x14ac:dyDescent="0.25"/>
  <cols>
    <col min="1" max="1" width="15.85546875" customWidth="1"/>
    <col min="2" max="2" width="8.7109375" customWidth="1"/>
    <col min="5" max="5" width="8.7109375" customWidth="1"/>
    <col min="7" max="7" width="16.85546875" customWidth="1"/>
    <col min="8" max="8" width="8.7109375" customWidth="1"/>
    <col min="13" max="13" width="11.42578125" customWidth="1"/>
    <col min="16" max="16" width="11.42578125" style="20"/>
    <col min="17" max="25" width="12.28515625" bestFit="1" customWidth="1"/>
    <col min="26" max="26" width="13.5703125" customWidth="1"/>
    <col min="27" max="28" width="15.7109375" bestFit="1" customWidth="1"/>
    <col min="29" max="29" width="12.28515625" bestFit="1" customWidth="1"/>
    <col min="30" max="31" width="11" bestFit="1" customWidth="1"/>
  </cols>
  <sheetData>
    <row r="1" spans="1:31" s="11" customFormat="1" ht="15.75" thickBot="1" x14ac:dyDescent="0.3">
      <c r="A1" s="11" t="s">
        <v>488</v>
      </c>
      <c r="B1" s="561">
        <f>Berechnungen!D$4</f>
        <v>0</v>
      </c>
      <c r="D1" s="11" t="s">
        <v>489</v>
      </c>
      <c r="G1" s="562">
        <f>IF(Berechnungen!D4&gt;0,"Neuerrichtung",0)</f>
        <v>0</v>
      </c>
      <c r="I1" s="221">
        <f>IF(OR($G$1=0,$G$1="Bestand"),0,Berechnungen!$F$4)</f>
        <v>0</v>
      </c>
      <c r="N1" s="20"/>
      <c r="O1" s="20"/>
      <c r="P1" s="20"/>
    </row>
    <row r="2" spans="1:31" ht="48.75" thickBot="1" x14ac:dyDescent="0.4">
      <c r="A2" s="33"/>
      <c r="B2" s="31" t="s">
        <v>22</v>
      </c>
      <c r="C2" s="31" t="s">
        <v>25</v>
      </c>
      <c r="D2" s="32"/>
      <c r="E2" s="31" t="s">
        <v>753</v>
      </c>
      <c r="F2" s="31" t="s">
        <v>26</v>
      </c>
      <c r="G2" s="32"/>
      <c r="H2" s="31" t="s">
        <v>754</v>
      </c>
      <c r="I2" s="31" t="s">
        <v>25</v>
      </c>
      <c r="K2" s="16"/>
      <c r="L2" s="16"/>
      <c r="M2" s="856"/>
      <c r="N2" s="218"/>
      <c r="O2" s="21"/>
      <c r="P2" s="36" t="s">
        <v>485</v>
      </c>
      <c r="Q2" s="839" t="s">
        <v>31</v>
      </c>
      <c r="R2" s="839" t="s">
        <v>32</v>
      </c>
      <c r="S2" s="839" t="s">
        <v>33</v>
      </c>
      <c r="T2" s="839" t="s">
        <v>518</v>
      </c>
      <c r="U2" s="839" t="s">
        <v>519</v>
      </c>
      <c r="V2" s="839" t="s">
        <v>520</v>
      </c>
      <c r="W2" s="839" t="s">
        <v>521</v>
      </c>
      <c r="X2" s="839" t="s">
        <v>522</v>
      </c>
      <c r="Y2" s="839" t="s">
        <v>523</v>
      </c>
      <c r="Z2" s="839" t="s">
        <v>524</v>
      </c>
      <c r="AA2" s="840" t="s">
        <v>487</v>
      </c>
      <c r="AB2" s="830" t="s">
        <v>486</v>
      </c>
      <c r="AC2" s="831" t="s">
        <v>514</v>
      </c>
      <c r="AD2" s="832" t="s">
        <v>515</v>
      </c>
      <c r="AE2" s="833" t="s">
        <v>516</v>
      </c>
    </row>
    <row r="3" spans="1:31" ht="15" customHeight="1" x14ac:dyDescent="0.25">
      <c r="A3" s="979" t="s">
        <v>30</v>
      </c>
      <c r="B3" s="108">
        <v>2</v>
      </c>
      <c r="C3" s="563">
        <v>7.0000000000000007E-2</v>
      </c>
      <c r="D3" s="979" t="s">
        <v>28</v>
      </c>
      <c r="E3" s="108">
        <v>75</v>
      </c>
      <c r="F3" s="563">
        <v>0.43</v>
      </c>
      <c r="G3" s="979" t="s">
        <v>29</v>
      </c>
      <c r="H3" s="108">
        <v>2.1</v>
      </c>
      <c r="I3" s="563">
        <v>0.03</v>
      </c>
      <c r="K3" s="990" t="s">
        <v>23</v>
      </c>
      <c r="L3" s="17">
        <v>2</v>
      </c>
      <c r="M3" s="56" t="e">
        <f>(2.75/1000)*SQRT(Bericht!$E$49/Berechnungen!$E$18)*Berechnungen!$G$17</f>
        <v>#DIV/0!</v>
      </c>
      <c r="N3" s="57"/>
      <c r="O3" s="58"/>
      <c r="P3" s="59"/>
      <c r="Q3" s="310">
        <f>IF($G$1="Neuerrichtung",$B$1*POWER(($C3/100)*(Berechnungen!I$4),2),0)</f>
        <v>0</v>
      </c>
      <c r="R3" s="310">
        <f>IF($G$54="Neuerrichtung",$B$54*POWER(($C56/100)*(Berechnungen!I$5),2),0)</f>
        <v>0</v>
      </c>
      <c r="S3" s="310">
        <f>IF($G$107="Neuerrichtung",$B$107*POWER(($C109/100)*(Berechnungen!I$6),2),0)</f>
        <v>0</v>
      </c>
      <c r="T3" s="309">
        <f>IF($G$160="Neuerrichtung",$B$160*POWER(($C162/100)*(Berechnungen!I$7),2),0)</f>
        <v>0</v>
      </c>
      <c r="U3" s="309">
        <f>IF($G$213="Neuerrichtung",$B$213*POWER(($C215/100)*(Berechnungen!I$8),2),0)</f>
        <v>0</v>
      </c>
      <c r="V3" s="309">
        <f>IF($G$266="Neuerrichtung",$B$266*POWER(($C268/100)*(Berechnungen!I$9),2),0)</f>
        <v>0</v>
      </c>
      <c r="W3" s="309">
        <f>IF($G$319="Neuerrichtung",$B$319*POWER(($C321/100)*(Berechnungen!I$10),2),0)</f>
        <v>0</v>
      </c>
      <c r="X3" s="309">
        <f>IF($G$372="Neuerrichtung",$B$372*POWER(($C374/100)*(Berechnungen!I$11),2),0)</f>
        <v>0</v>
      </c>
      <c r="Y3" s="309">
        <f>IF($G$425="Neuerrichtung",$B$425*POWER(($C427/100)*(Berechnungen!I$12),2),0)</f>
        <v>0</v>
      </c>
      <c r="Z3" s="829">
        <f>IF($G$478="Neuerrichtung",$B$478*POWER(($C480/100)*(Berechnungen!I$13),2),0)</f>
        <v>0</v>
      </c>
      <c r="AA3" s="332" t="e">
        <f>M3</f>
        <v>#DIV/0!</v>
      </c>
      <c r="AB3" s="294">
        <f>SQRT(Q3+R3+S3+T3+U3+V3+W3+X3+Y3+Z3)</f>
        <v>0</v>
      </c>
      <c r="AC3" s="333" t="e">
        <f>IF($G$49=1,"-",(AA3-AB3)/AA3*100)</f>
        <v>#DIV/0!</v>
      </c>
      <c r="AD3" s="295" t="e">
        <f>IF(AC3&lt;0,1,0)</f>
        <v>#DIV/0!</v>
      </c>
      <c r="AE3" s="296" t="e">
        <f>IF(AC3&lt;-400,1,0)</f>
        <v>#DIV/0!</v>
      </c>
    </row>
    <row r="4" spans="1:31" x14ac:dyDescent="0.25">
      <c r="A4" s="980"/>
      <c r="B4" s="356">
        <v>3</v>
      </c>
      <c r="C4" s="563">
        <v>0.47</v>
      </c>
      <c r="D4" s="980"/>
      <c r="E4" s="356">
        <v>125</v>
      </c>
      <c r="F4" s="563">
        <v>0.06</v>
      </c>
      <c r="G4" s="980"/>
      <c r="H4" s="308">
        <v>2.2999999999999998</v>
      </c>
      <c r="I4" s="564">
        <v>0.01</v>
      </c>
      <c r="K4" s="991"/>
      <c r="L4" s="13">
        <v>3</v>
      </c>
      <c r="M4" s="56" t="e">
        <f>(3.92/1000)*SQRT(Bericht!$E$49/Berechnungen!$E$18)*Berechnungen!$G$17</f>
        <v>#DIV/0!</v>
      </c>
      <c r="N4" s="57"/>
      <c r="O4" s="60"/>
      <c r="P4" s="59"/>
      <c r="Q4" s="310">
        <f>IF($G$1="Neuerrichtung",$B$1*POWER(($C4/100)*(Berechnungen!I$4),2),0)</f>
        <v>0</v>
      </c>
      <c r="R4" s="309">
        <f>IF($G$54="Neuerrichtung",$B$54*POWER(($C57/100)*(Berechnungen!I$5),2),0)</f>
        <v>0</v>
      </c>
      <c r="S4" s="310">
        <f>IF($G$107="Neuerrichtung",$B$107*POWER(($C110/100)*(Berechnungen!I$6),2),0)</f>
        <v>0</v>
      </c>
      <c r="T4" s="309">
        <f>IF($G$160="Neuerrichtung",$B$160*POWER(($C163/100)*(Berechnungen!I$7),2),0)</f>
        <v>0</v>
      </c>
      <c r="U4" s="309">
        <f>IF($G$213="Neuerrichtung",$B$213*POWER(($C216/100)*(Berechnungen!I$8),2),0)</f>
        <v>0</v>
      </c>
      <c r="V4" s="309">
        <f>IF($G$266="Neuerrichtung",$B$266*POWER(($C269/100)*(Berechnungen!I$9),2),0)</f>
        <v>0</v>
      </c>
      <c r="W4" s="309">
        <f>IF($G$319="Neuerrichtung",$B$319*POWER(($C322/100)*(Berechnungen!I$10),2),0)</f>
        <v>0</v>
      </c>
      <c r="X4" s="309">
        <f>IF($G$372="Neuerrichtung",$B$372*POWER(($C375/100)*(Berechnungen!I$11),2),0)</f>
        <v>0</v>
      </c>
      <c r="Y4" s="309">
        <f>IF($G$425="Neuerrichtung",$B$425*POWER(($C428/100)*(Berechnungen!I$12),2),0)</f>
        <v>0</v>
      </c>
      <c r="Z4" s="829">
        <f>IF($G$478="Neuerrichtung",$B$478*POWER(($C481/100)*(Berechnungen!I$13),2),0)</f>
        <v>0</v>
      </c>
      <c r="AA4" s="332" t="e">
        <f t="shared" ref="AA4:AA67" si="0">M4</f>
        <v>#DIV/0!</v>
      </c>
      <c r="AB4" s="294">
        <f t="shared" ref="AB4:AB67" si="1">SQRT(Q4+R4+S4+T4+U4+V4+W4+X4+Y4+Z4)</f>
        <v>0</v>
      </c>
      <c r="AC4" s="333" t="e">
        <f>(AA4-AB4)/AA4*100</f>
        <v>#DIV/0!</v>
      </c>
      <c r="AD4" s="295" t="e">
        <f t="shared" ref="AD4:AD67" si="2">IF(AC4&lt;0,1,0)</f>
        <v>#DIV/0!</v>
      </c>
      <c r="AE4" s="296" t="e">
        <f>IF(AC4&lt;-400,1,0)</f>
        <v>#DIV/0!</v>
      </c>
    </row>
    <row r="5" spans="1:31" x14ac:dyDescent="0.25">
      <c r="A5" s="980"/>
      <c r="B5" s="356">
        <v>4</v>
      </c>
      <c r="C5" s="563">
        <v>0.02</v>
      </c>
      <c r="D5" s="980"/>
      <c r="E5" s="356">
        <v>175</v>
      </c>
      <c r="F5" s="563">
        <v>0.03</v>
      </c>
      <c r="G5" s="980"/>
      <c r="H5" s="308">
        <v>2.5</v>
      </c>
      <c r="I5" s="564">
        <v>0.01</v>
      </c>
      <c r="K5" s="991"/>
      <c r="L5" s="13">
        <v>4</v>
      </c>
      <c r="M5" s="56" t="e">
        <f>(1.2/1000)*SQRT(Bericht!$E$49/Berechnungen!$E$18)*Berechnungen!$G$17</f>
        <v>#DIV/0!</v>
      </c>
      <c r="N5" s="57"/>
      <c r="O5" s="58"/>
      <c r="P5" s="59"/>
      <c r="Q5" s="310">
        <f>IF($G$1="Neuerrichtung",$B$1*POWER(($C5/100)*(Berechnungen!I$4),2),0)</f>
        <v>0</v>
      </c>
      <c r="R5" s="309">
        <f>IF($G$54="Neuerrichtung",$B$54*POWER(($C58/100)*(Berechnungen!I$5),2),0)</f>
        <v>0</v>
      </c>
      <c r="S5" s="310">
        <f>IF($G$107="Neuerrichtung",$B$107*POWER(($C111/100)*(Berechnungen!I$6),2),0)</f>
        <v>0</v>
      </c>
      <c r="T5" s="309">
        <f>IF($G$160="Neuerrichtung",$B$160*POWER(($C164/100)*(Berechnungen!I$7),2),0)</f>
        <v>0</v>
      </c>
      <c r="U5" s="309">
        <f>IF($G$213="Neuerrichtung",$B$213*POWER(($C217/100)*(Berechnungen!I$8),2),0)</f>
        <v>0</v>
      </c>
      <c r="V5" s="309">
        <f>IF($G$266="Neuerrichtung",$B$266*POWER(($C270/100)*(Berechnungen!I$9),2),0)</f>
        <v>0</v>
      </c>
      <c r="W5" s="309">
        <f>IF($G$319="Neuerrichtung",$B$319*POWER(($C323/100)*(Berechnungen!I$10),2),0)</f>
        <v>0</v>
      </c>
      <c r="X5" s="309">
        <f>IF($G$372="Neuerrichtung",$B$372*POWER(($C376/100)*(Berechnungen!I$11),2),0)</f>
        <v>0</v>
      </c>
      <c r="Y5" s="309">
        <f>IF($G$425="Neuerrichtung",$B$425*POWER(($C429/100)*(Berechnungen!I$12),2),0)</f>
        <v>0</v>
      </c>
      <c r="Z5" s="829">
        <f>IF($G$478="Neuerrichtung",$B$478*POWER(($C482/100)*(Berechnungen!I$13),2),0)</f>
        <v>0</v>
      </c>
      <c r="AA5" s="332" t="e">
        <f t="shared" si="0"/>
        <v>#DIV/0!</v>
      </c>
      <c r="AB5" s="294">
        <f t="shared" si="1"/>
        <v>0</v>
      </c>
      <c r="AC5" s="333" t="e">
        <f>IF($G$49=1,"-",(AA5-AB5)/AA5*100)</f>
        <v>#DIV/0!</v>
      </c>
      <c r="AD5" s="295" t="e">
        <f t="shared" si="2"/>
        <v>#DIV/0!</v>
      </c>
      <c r="AE5" s="296" t="e">
        <f>IF(AC5&lt;-400,1,0)</f>
        <v>#DIV/0!</v>
      </c>
    </row>
    <row r="6" spans="1:31" x14ac:dyDescent="0.25">
      <c r="A6" s="980"/>
      <c r="B6" s="356">
        <v>5</v>
      </c>
      <c r="C6" s="563">
        <v>2.79</v>
      </c>
      <c r="D6" s="980"/>
      <c r="E6" s="356">
        <v>225</v>
      </c>
      <c r="F6" s="563">
        <v>0.03</v>
      </c>
      <c r="G6" s="980"/>
      <c r="H6" s="308">
        <v>2.7</v>
      </c>
      <c r="I6" s="564">
        <v>0.01</v>
      </c>
      <c r="K6" s="991"/>
      <c r="L6" s="13">
        <v>5</v>
      </c>
      <c r="M6" s="56" t="e">
        <f>(4.1/1000)*SQRT(Bericht!$E$49/Berechnungen!$E$18)*Berechnungen!$G$17</f>
        <v>#DIV/0!</v>
      </c>
      <c r="N6" s="57"/>
      <c r="O6" s="60"/>
      <c r="P6" s="59"/>
      <c r="Q6" s="310">
        <f>IF($G$1="Neuerrichtung",$B$1*POWER(($C6/100)*(Berechnungen!I$4),2),0)</f>
        <v>0</v>
      </c>
      <c r="R6" s="309">
        <f>IF($G$54="Neuerrichtung",$B$54*POWER(($C59/100)*(Berechnungen!I$5),2),0)</f>
        <v>0</v>
      </c>
      <c r="S6" s="310">
        <f>IF($G$107="Neuerrichtung",$B$107*POWER(($C112/100)*(Berechnungen!I$6),2),0)</f>
        <v>0</v>
      </c>
      <c r="T6" s="309">
        <f>IF($G$160="Neuerrichtung",$B$160*POWER(($C165/100)*(Berechnungen!I$7),2),0)</f>
        <v>0</v>
      </c>
      <c r="U6" s="309">
        <f>IF($G$213="Neuerrichtung",$B$213*POWER(($C218/100)*(Berechnungen!I$8),2),0)</f>
        <v>0</v>
      </c>
      <c r="V6" s="309">
        <f>IF($G$266="Neuerrichtung",$B$266*POWER(($C271/100)*(Berechnungen!I$9),2),0)</f>
        <v>0</v>
      </c>
      <c r="W6" s="309">
        <f>IF($G$319="Neuerrichtung",$B$319*POWER(($C324/100)*(Berechnungen!I$10),2),0)</f>
        <v>0</v>
      </c>
      <c r="X6" s="309">
        <f>IF($G$372="Neuerrichtung",$B$372*POWER(($C377/100)*(Berechnungen!I$11),2),0)</f>
        <v>0</v>
      </c>
      <c r="Y6" s="309">
        <f>IF($G$425="Neuerrichtung",$B$425*POWER(($C430/100)*(Berechnungen!I$12),2),0)</f>
        <v>0</v>
      </c>
      <c r="Z6" s="829">
        <f>IF($G$478="Neuerrichtung",$B$478*POWER(($C483/100)*(Berechnungen!I$13),2),0)</f>
        <v>0</v>
      </c>
      <c r="AA6" s="332" t="e">
        <f t="shared" si="0"/>
        <v>#DIV/0!</v>
      </c>
      <c r="AB6" s="294">
        <f t="shared" si="1"/>
        <v>0</v>
      </c>
      <c r="AC6" s="333" t="e">
        <f>(AA6-AB6)/AA6*100</f>
        <v>#DIV/0!</v>
      </c>
      <c r="AD6" s="295" t="e">
        <f t="shared" si="2"/>
        <v>#DIV/0!</v>
      </c>
      <c r="AE6" s="296" t="e">
        <f>IF(AC6&lt;-200,1,0)</f>
        <v>#DIV/0!</v>
      </c>
    </row>
    <row r="7" spans="1:31" x14ac:dyDescent="0.25">
      <c r="A7" s="980"/>
      <c r="B7" s="356">
        <v>6</v>
      </c>
      <c r="C7" s="563">
        <v>0.02</v>
      </c>
      <c r="D7" s="980"/>
      <c r="E7" s="356">
        <v>275</v>
      </c>
      <c r="F7" s="563">
        <v>0.04</v>
      </c>
      <c r="G7" s="980"/>
      <c r="H7" s="308">
        <v>2.9</v>
      </c>
      <c r="I7" s="564">
        <v>0.01</v>
      </c>
      <c r="K7" s="991"/>
      <c r="L7" s="13">
        <v>6</v>
      </c>
      <c r="M7" s="56" t="e">
        <f>(0.62/1000)*SQRT(Bericht!$E$49/Berechnungen!$E$18)*Berechnungen!$G$17</f>
        <v>#DIV/0!</v>
      </c>
      <c r="N7" s="57"/>
      <c r="O7" s="58"/>
      <c r="P7" s="59"/>
      <c r="Q7" s="310">
        <f>IF($G$1="Neuerrichtung",$B$1*POWER(($C7/100)*(Berechnungen!I$4),2),0)</f>
        <v>0</v>
      </c>
      <c r="R7" s="309">
        <f>IF($G$54="Neuerrichtung",$B$54*POWER(($C60/100)*(Berechnungen!I$5),2),0)</f>
        <v>0</v>
      </c>
      <c r="S7" s="310">
        <f>IF($G$107="Neuerrichtung",$B$107*POWER(($C113/100)*(Berechnungen!I$6),2),0)</f>
        <v>0</v>
      </c>
      <c r="T7" s="309">
        <f>IF($G$160="Neuerrichtung",$B$160*POWER(($C166/100)*(Berechnungen!I$7),2),0)</f>
        <v>0</v>
      </c>
      <c r="U7" s="309">
        <f>IF($G$213="Neuerrichtung",$B$213*POWER(($C219/100)*(Berechnungen!I$8),2),0)</f>
        <v>0</v>
      </c>
      <c r="V7" s="309">
        <f>IF($G$266="Neuerrichtung",$B$266*POWER(($C272/100)*(Berechnungen!I$9),2),0)</f>
        <v>0</v>
      </c>
      <c r="W7" s="309">
        <f>IF($G$319="Neuerrichtung",$B$319*POWER(($C325/100)*(Berechnungen!I$10),2),0)</f>
        <v>0</v>
      </c>
      <c r="X7" s="309">
        <f>IF($G$372="Neuerrichtung",$B$372*POWER(($C378/100)*(Berechnungen!I$11),2),0)</f>
        <v>0</v>
      </c>
      <c r="Y7" s="309">
        <f>IF($G$425="Neuerrichtung",$B$425*POWER(($C431/100)*(Berechnungen!I$12),2),0)</f>
        <v>0</v>
      </c>
      <c r="Z7" s="829">
        <f>IF($G$478="Neuerrichtung",$B$478*POWER(($C484/100)*(Berechnungen!I$13),2),0)</f>
        <v>0</v>
      </c>
      <c r="AA7" s="332" t="e">
        <f t="shared" si="0"/>
        <v>#DIV/0!</v>
      </c>
      <c r="AB7" s="294">
        <f t="shared" si="1"/>
        <v>0</v>
      </c>
      <c r="AC7" s="333" t="e">
        <f>IF($G$49=1,"-",(AA7-AB7)/AA7*100)</f>
        <v>#DIV/0!</v>
      </c>
      <c r="AD7" s="295" t="e">
        <f t="shared" si="2"/>
        <v>#DIV/0!</v>
      </c>
      <c r="AE7" s="296" t="e">
        <f>IF(AC7&lt;-400,1,0)</f>
        <v>#DIV/0!</v>
      </c>
    </row>
    <row r="8" spans="1:31" x14ac:dyDescent="0.25">
      <c r="A8" s="980"/>
      <c r="B8" s="356">
        <v>7</v>
      </c>
      <c r="C8" s="563">
        <v>1.78</v>
      </c>
      <c r="D8" s="980"/>
      <c r="E8" s="356">
        <v>325</v>
      </c>
      <c r="F8" s="563">
        <v>0.02</v>
      </c>
      <c r="G8" s="980"/>
      <c r="H8" s="308">
        <v>3.1</v>
      </c>
      <c r="I8" s="564">
        <v>0.01</v>
      </c>
      <c r="K8" s="991"/>
      <c r="L8" s="13">
        <v>7</v>
      </c>
      <c r="M8" s="56" t="e">
        <f>(4.39/1000)*SQRT(Bericht!$E$49/Berechnungen!$E$18)*Berechnungen!$G$17</f>
        <v>#DIV/0!</v>
      </c>
      <c r="N8" s="57"/>
      <c r="O8" s="60"/>
      <c r="P8" s="59"/>
      <c r="Q8" s="310">
        <f>IF($G$1="Neuerrichtung",$B$1*POWER(($C8/100)*(Berechnungen!I$4),2),0)</f>
        <v>0</v>
      </c>
      <c r="R8" s="309">
        <f>IF($G$54="Neuerrichtung",$B$54*POWER(($C61/100)*(Berechnungen!I$5),2),0)</f>
        <v>0</v>
      </c>
      <c r="S8" s="310">
        <f>IF($G$107="Neuerrichtung",$B$107*POWER(($C114/100)*(Berechnungen!I$6),2),0)</f>
        <v>0</v>
      </c>
      <c r="T8" s="309">
        <f>IF($G$160="Neuerrichtung",$B$160*POWER(($C167/100)*(Berechnungen!I$7),2),0)</f>
        <v>0</v>
      </c>
      <c r="U8" s="309">
        <f>IF($G$213="Neuerrichtung",$B$213*POWER(($C220/100)*(Berechnungen!I$8),2),0)</f>
        <v>0</v>
      </c>
      <c r="V8" s="309">
        <f>IF($G$266="Neuerrichtung",$B$266*POWER(($C273/100)*(Berechnungen!I$9),2),0)</f>
        <v>0</v>
      </c>
      <c r="W8" s="309">
        <f>IF($G$319="Neuerrichtung",$B$319*POWER(($C326/100)*(Berechnungen!I$10),2),0)</f>
        <v>0</v>
      </c>
      <c r="X8" s="309">
        <f>IF($G$372="Neuerrichtung",$B$372*POWER(($C379/100)*(Berechnungen!I$11),2),0)</f>
        <v>0</v>
      </c>
      <c r="Y8" s="309">
        <f>IF($G$425="Neuerrichtung",$B$425*POWER(($C432/100)*(Berechnungen!I$12),2),0)</f>
        <v>0</v>
      </c>
      <c r="Z8" s="829">
        <f>IF($G$478="Neuerrichtung",$B$478*POWER(($C485/100)*(Berechnungen!I$13),2),0)</f>
        <v>0</v>
      </c>
      <c r="AA8" s="332" t="e">
        <f t="shared" si="0"/>
        <v>#DIV/0!</v>
      </c>
      <c r="AB8" s="294">
        <f t="shared" si="1"/>
        <v>0</v>
      </c>
      <c r="AC8" s="333" t="e">
        <f>(AA8-AB8)/AA8*100</f>
        <v>#DIV/0!</v>
      </c>
      <c r="AD8" s="295" t="e">
        <f t="shared" si="2"/>
        <v>#DIV/0!</v>
      </c>
      <c r="AE8" s="296" t="e">
        <f>IF(AC8&lt;-200,1,0)</f>
        <v>#DIV/0!</v>
      </c>
    </row>
    <row r="9" spans="1:31" x14ac:dyDescent="0.25">
      <c r="A9" s="980"/>
      <c r="B9" s="356">
        <v>8</v>
      </c>
      <c r="C9" s="563">
        <v>0.02</v>
      </c>
      <c r="D9" s="980"/>
      <c r="E9" s="356">
        <v>375</v>
      </c>
      <c r="F9" s="563">
        <v>0.03</v>
      </c>
      <c r="G9" s="980"/>
      <c r="H9" s="308">
        <v>3.3</v>
      </c>
      <c r="I9" s="564">
        <v>0.03</v>
      </c>
      <c r="K9" s="991"/>
      <c r="L9" s="13">
        <v>8</v>
      </c>
      <c r="M9" s="56" t="e">
        <f>(0.57/1000)*SQRT(Bericht!$E$49/Berechnungen!$E$18)*Berechnungen!$G$17</f>
        <v>#DIV/0!</v>
      </c>
      <c r="N9" s="57"/>
      <c r="O9" s="58"/>
      <c r="P9" s="59"/>
      <c r="Q9" s="310">
        <f>IF($G$1="Neuerrichtung",$B$1*POWER(($C9/100)*(Berechnungen!I$4),2),0)</f>
        <v>0</v>
      </c>
      <c r="R9" s="309">
        <f>IF($G$54="Neuerrichtung",$B$54*POWER(($C62/100)*(Berechnungen!I$5),2),0)</f>
        <v>0</v>
      </c>
      <c r="S9" s="310">
        <f>IF($G$107="Neuerrichtung",$B$107*POWER(($C115/100)*(Berechnungen!I$6),2),0)</f>
        <v>0</v>
      </c>
      <c r="T9" s="309">
        <f>IF($G$160="Neuerrichtung",$B$160*POWER(($C168/100)*(Berechnungen!I$7),2),0)</f>
        <v>0</v>
      </c>
      <c r="U9" s="309">
        <f>IF($G$213="Neuerrichtung",$B$213*POWER(($C221/100)*(Berechnungen!I$8),2),0)</f>
        <v>0</v>
      </c>
      <c r="V9" s="309">
        <f>IF($G$266="Neuerrichtung",$B$266*POWER(($C274/100)*(Berechnungen!I$9),2),0)</f>
        <v>0</v>
      </c>
      <c r="W9" s="309">
        <f>IF($G$319="Neuerrichtung",$B$319*POWER(($C327/100)*(Berechnungen!I$10),2),0)</f>
        <v>0</v>
      </c>
      <c r="X9" s="309">
        <f>IF($G$372="Neuerrichtung",$B$372*POWER(($C380/100)*(Berechnungen!I$11),2),0)</f>
        <v>0</v>
      </c>
      <c r="Y9" s="309">
        <f>IF($G$425="Neuerrichtung",$B$425*POWER(($C433/100)*(Berechnungen!I$12),2),0)</f>
        <v>0</v>
      </c>
      <c r="Z9" s="829">
        <f>IF($G$478="Neuerrichtung",$B$478*POWER(($C486/100)*(Berechnungen!I$13),2),0)</f>
        <v>0</v>
      </c>
      <c r="AA9" s="332" t="e">
        <f t="shared" si="0"/>
        <v>#DIV/0!</v>
      </c>
      <c r="AB9" s="294">
        <f t="shared" si="1"/>
        <v>0</v>
      </c>
      <c r="AC9" s="333" t="e">
        <f>IF($G$49=1,"-",(AA9-AB9)/AA9*100)</f>
        <v>#DIV/0!</v>
      </c>
      <c r="AD9" s="295" t="e">
        <f t="shared" si="2"/>
        <v>#DIV/0!</v>
      </c>
      <c r="AE9" s="296" t="e">
        <f>IF(AC9&lt;-400,1,0)</f>
        <v>#DIV/0!</v>
      </c>
    </row>
    <row r="10" spans="1:31" x14ac:dyDescent="0.25">
      <c r="A10" s="980"/>
      <c r="B10" s="356">
        <v>9</v>
      </c>
      <c r="C10" s="563">
        <v>7.0000000000000007E-2</v>
      </c>
      <c r="D10" s="980"/>
      <c r="E10" s="356">
        <v>425</v>
      </c>
      <c r="F10" s="563">
        <v>0.02</v>
      </c>
      <c r="G10" s="980"/>
      <c r="H10" s="308">
        <v>3.5</v>
      </c>
      <c r="I10" s="564">
        <v>0.01</v>
      </c>
      <c r="K10" s="991"/>
      <c r="L10" s="13">
        <v>9</v>
      </c>
      <c r="M10" s="56" t="e">
        <f>(0.7/1000)*SQRT(Bericht!$E$49/Berechnungen!$E$18)*Berechnungen!$G$17</f>
        <v>#DIV/0!</v>
      </c>
      <c r="N10" s="57"/>
      <c r="O10" s="60"/>
      <c r="P10" s="59"/>
      <c r="Q10" s="310">
        <f>IF($G$1="Neuerrichtung",$B$1*POWER(($C10/100)*(Berechnungen!I$4),2),0)</f>
        <v>0</v>
      </c>
      <c r="R10" s="309">
        <f>IF($G$54="Neuerrichtung",$B$54*POWER(($C63/100)*(Berechnungen!I$5),2),0)</f>
        <v>0</v>
      </c>
      <c r="S10" s="310">
        <f>IF($G$107="Neuerrichtung",$B$107*POWER(($C116/100)*(Berechnungen!I$6),2),0)</f>
        <v>0</v>
      </c>
      <c r="T10" s="309">
        <f>IF($G$160="Neuerrichtung",$B$160*POWER(($C169/100)*(Berechnungen!I$7),2),0)</f>
        <v>0</v>
      </c>
      <c r="U10" s="309">
        <f>IF($G$213="Neuerrichtung",$B$213*POWER(($C222/100)*(Berechnungen!I$8),2),0)</f>
        <v>0</v>
      </c>
      <c r="V10" s="309">
        <f>IF($G$266="Neuerrichtung",$B$266*POWER(($C275/100)*(Berechnungen!I$9),2),0)</f>
        <v>0</v>
      </c>
      <c r="W10" s="309">
        <f>IF($G$319="Neuerrichtung",$B$319*POWER(($C328/100)*(Berechnungen!I$10),2),0)</f>
        <v>0</v>
      </c>
      <c r="X10" s="309">
        <f>IF($G$372="Neuerrichtung",$B$372*POWER(($C381/100)*(Berechnungen!I$11),2),0)</f>
        <v>0</v>
      </c>
      <c r="Y10" s="309">
        <f>IF($G$425="Neuerrichtung",$B$425*POWER(($C434/100)*(Berechnungen!I$12),2),0)</f>
        <v>0</v>
      </c>
      <c r="Z10" s="829">
        <f>IF($G$478="Neuerrichtung",$B$478*POWER(($C487/100)*(Berechnungen!I$13),2),0)</f>
        <v>0</v>
      </c>
      <c r="AA10" s="332" t="e">
        <f t="shared" si="0"/>
        <v>#DIV/0!</v>
      </c>
      <c r="AB10" s="294">
        <f t="shared" si="1"/>
        <v>0</v>
      </c>
      <c r="AC10" s="333" t="e">
        <f t="shared" ref="AC10" si="3">(AA10-AB10)/AA10*100</f>
        <v>#DIV/0!</v>
      </c>
      <c r="AD10" s="295" t="e">
        <f t="shared" si="2"/>
        <v>#DIV/0!</v>
      </c>
      <c r="AE10" s="296" t="e">
        <f>IF(AC10&lt;-400,1,0)</f>
        <v>#DIV/0!</v>
      </c>
    </row>
    <row r="11" spans="1:31" x14ac:dyDescent="0.25">
      <c r="A11" s="980"/>
      <c r="B11" s="356">
        <v>10</v>
      </c>
      <c r="C11" s="563">
        <v>0.01</v>
      </c>
      <c r="D11" s="980"/>
      <c r="E11" s="356">
        <v>475</v>
      </c>
      <c r="F11" s="563">
        <v>0.01</v>
      </c>
      <c r="G11" s="980"/>
      <c r="H11" s="308">
        <v>3.7</v>
      </c>
      <c r="I11" s="564">
        <v>0.01</v>
      </c>
      <c r="K11" s="991"/>
      <c r="L11" s="13">
        <v>10</v>
      </c>
      <c r="M11" s="56" t="e">
        <f>(0.49/1000)*SQRT(Bericht!$E$49/Berechnungen!$E$18)*Berechnungen!$G$17</f>
        <v>#DIV/0!</v>
      </c>
      <c r="N11" s="57"/>
      <c r="O11" s="58"/>
      <c r="P11" s="59"/>
      <c r="Q11" s="310">
        <f>IF($G$1="Neuerrichtung",$B$1*POWER(($C11/100)*(Berechnungen!I$4),2),0)</f>
        <v>0</v>
      </c>
      <c r="R11" s="309">
        <f>IF($G$54="Neuerrichtung",$B$54*POWER(($C64/100)*(Berechnungen!I$5),2),0)</f>
        <v>0</v>
      </c>
      <c r="S11" s="310">
        <f>IF($G$107="Neuerrichtung",$B$107*POWER(($C117/100)*(Berechnungen!I$6),2),0)</f>
        <v>0</v>
      </c>
      <c r="T11" s="309">
        <f>IF($G$160="Neuerrichtung",$B$160*POWER(($C170/100)*(Berechnungen!I$7),2),0)</f>
        <v>0</v>
      </c>
      <c r="U11" s="309">
        <f>IF($G$213="Neuerrichtung",$B$213*POWER(($C223/100)*(Berechnungen!I$8),2),0)</f>
        <v>0</v>
      </c>
      <c r="V11" s="309">
        <f>IF($G$266="Neuerrichtung",$B$266*POWER(($C276/100)*(Berechnungen!I$9),2),0)</f>
        <v>0</v>
      </c>
      <c r="W11" s="309">
        <f>IF($G$319="Neuerrichtung",$B$319*POWER(($C329/100)*(Berechnungen!I$10),2),0)</f>
        <v>0</v>
      </c>
      <c r="X11" s="309">
        <f>IF($G$372="Neuerrichtung",$B$372*POWER(($C382/100)*(Berechnungen!I$11),2),0)</f>
        <v>0</v>
      </c>
      <c r="Y11" s="309">
        <f>IF($G$425="Neuerrichtung",$B$425*POWER(($C435/100)*(Berechnungen!I$12),2),0)</f>
        <v>0</v>
      </c>
      <c r="Z11" s="829">
        <f>IF($G$478="Neuerrichtung",$B$478*POWER(($C488/100)*(Berechnungen!I$13),2),0)</f>
        <v>0</v>
      </c>
      <c r="AA11" s="332" t="e">
        <f t="shared" si="0"/>
        <v>#DIV/0!</v>
      </c>
      <c r="AB11" s="294">
        <f t="shared" si="1"/>
        <v>0</v>
      </c>
      <c r="AC11" s="333" t="e">
        <f>IF($G$49=1,"-",(AA11-AB11)/AA11*100)</f>
        <v>#DIV/0!</v>
      </c>
      <c r="AD11" s="295" t="e">
        <f t="shared" si="2"/>
        <v>#DIV/0!</v>
      </c>
      <c r="AE11" s="296" t="e">
        <f>IF(AC11&lt;-400,1,0)</f>
        <v>#DIV/0!</v>
      </c>
    </row>
    <row r="12" spans="1:31" x14ac:dyDescent="0.25">
      <c r="A12" s="980"/>
      <c r="B12" s="356">
        <v>11</v>
      </c>
      <c r="C12" s="563">
        <v>0.33</v>
      </c>
      <c r="D12" s="980"/>
      <c r="E12" s="356">
        <v>525</v>
      </c>
      <c r="F12" s="563">
        <v>0.02</v>
      </c>
      <c r="G12" s="980"/>
      <c r="H12" s="308">
        <v>3.9</v>
      </c>
      <c r="I12" s="564">
        <v>0.01</v>
      </c>
      <c r="K12" s="991"/>
      <c r="L12" s="13">
        <v>11</v>
      </c>
      <c r="M12" s="56" t="e">
        <f>(2.79/1000)*SQRT(Bericht!$E$49/Berechnungen!$E$18)*Berechnungen!$G$17</f>
        <v>#DIV/0!</v>
      </c>
      <c r="N12" s="57"/>
      <c r="O12" s="60"/>
      <c r="P12" s="59"/>
      <c r="Q12" s="310">
        <f>IF($G$1="Neuerrichtung",$B$1*POWER(($C12/100)*(Berechnungen!I$4),2),0)</f>
        <v>0</v>
      </c>
      <c r="R12" s="309">
        <f>IF($G$54="Neuerrichtung",$B$54*POWER(($C65/100)*(Berechnungen!I$5),2),0)</f>
        <v>0</v>
      </c>
      <c r="S12" s="310">
        <f>IF($G$107="Neuerrichtung",$B$107*POWER(($C118/100)*(Berechnungen!I$6),2),0)</f>
        <v>0</v>
      </c>
      <c r="T12" s="309">
        <f>IF($G$160="Neuerrichtung",$B$160*POWER(($C171/100)*(Berechnungen!I$7),2),0)</f>
        <v>0</v>
      </c>
      <c r="U12" s="309">
        <f>IF($G$213="Neuerrichtung",$B$213*POWER(($C224/100)*(Berechnungen!I$8),2),0)</f>
        <v>0</v>
      </c>
      <c r="V12" s="309">
        <f>IF($G$266="Neuerrichtung",$B$266*POWER(($C277/100)*(Berechnungen!I$9),2),0)</f>
        <v>0</v>
      </c>
      <c r="W12" s="309">
        <f>IF($G$319="Neuerrichtung",$B$319*POWER(($C330/100)*(Berechnungen!I$10),2),0)</f>
        <v>0</v>
      </c>
      <c r="X12" s="309">
        <f>IF($G$372="Neuerrichtung",$B$372*POWER(($C383/100)*(Berechnungen!I$11),2),0)</f>
        <v>0</v>
      </c>
      <c r="Y12" s="309">
        <f>IF($G$425="Neuerrichtung",$B$425*POWER(($C436/100)*(Berechnungen!I$12),2),0)</f>
        <v>0</v>
      </c>
      <c r="Z12" s="829">
        <f>IF($G$478="Neuerrichtung",$B$478*POWER(($C489/100)*(Berechnungen!I$13),2),0)</f>
        <v>0</v>
      </c>
      <c r="AA12" s="332" t="e">
        <f t="shared" si="0"/>
        <v>#DIV/0!</v>
      </c>
      <c r="AB12" s="294">
        <f t="shared" si="1"/>
        <v>0</v>
      </c>
      <c r="AC12" s="333" t="e">
        <f t="shared" ref="AC12" si="4">(AA12-AB12)/AA12*100</f>
        <v>#DIV/0!</v>
      </c>
      <c r="AD12" s="295" t="e">
        <f t="shared" si="2"/>
        <v>#DIV/0!</v>
      </c>
      <c r="AE12" s="296" t="e">
        <f>IF(AC12&lt;-200,1,0)</f>
        <v>#DIV/0!</v>
      </c>
    </row>
    <row r="13" spans="1:31" x14ac:dyDescent="0.25">
      <c r="A13" s="980"/>
      <c r="B13" s="356">
        <v>12</v>
      </c>
      <c r="C13" s="563">
        <v>0.1</v>
      </c>
      <c r="D13" s="980"/>
      <c r="E13" s="356">
        <v>575</v>
      </c>
      <c r="F13" s="563">
        <v>0.01</v>
      </c>
      <c r="G13" s="980"/>
      <c r="H13" s="308">
        <v>4.0999999999999996</v>
      </c>
      <c r="I13" s="564">
        <v>0</v>
      </c>
      <c r="K13" s="991"/>
      <c r="L13" s="13">
        <v>12</v>
      </c>
      <c r="M13" s="56" t="e">
        <f>(0.41/1000)*SQRT(Bericht!$E$49/Berechnungen!$E$18)*Berechnungen!$G$17</f>
        <v>#DIV/0!</v>
      </c>
      <c r="N13" s="57"/>
      <c r="O13" s="58"/>
      <c r="P13" s="59"/>
      <c r="Q13" s="310">
        <f>IF($G$1="Neuerrichtung",$B$1*POWER(($C13/100)*(Berechnungen!I$4),2),0)</f>
        <v>0</v>
      </c>
      <c r="R13" s="309">
        <f>IF($G$54="Neuerrichtung",$B$54*POWER(($C66/100)*(Berechnungen!I$5),2),0)</f>
        <v>0</v>
      </c>
      <c r="S13" s="310">
        <f>IF($G$107="Neuerrichtung",$B$107*POWER(($C119/100)*(Berechnungen!I$6),2),0)</f>
        <v>0</v>
      </c>
      <c r="T13" s="309">
        <f>IF($G$160="Neuerrichtung",$B$160*POWER(($C172/100)*(Berechnungen!I$7),2),0)</f>
        <v>0</v>
      </c>
      <c r="U13" s="309">
        <f>IF($G$213="Neuerrichtung",$B$213*POWER(($C225/100)*(Berechnungen!I$8),2),0)</f>
        <v>0</v>
      </c>
      <c r="V13" s="309">
        <f>IF($G$266="Neuerrichtung",$B$266*POWER(($C278/100)*(Berechnungen!I$9),2),0)</f>
        <v>0</v>
      </c>
      <c r="W13" s="309">
        <f>IF($G$319="Neuerrichtung",$B$319*POWER(($C331/100)*(Berechnungen!I$10),2),0)</f>
        <v>0</v>
      </c>
      <c r="X13" s="309">
        <f>IF($G$372="Neuerrichtung",$B$372*POWER(($C384/100)*(Berechnungen!I$11),2),0)</f>
        <v>0</v>
      </c>
      <c r="Y13" s="309">
        <f>IF($G$425="Neuerrichtung",$B$425*POWER(($C437/100)*(Berechnungen!I$12),2),0)</f>
        <v>0</v>
      </c>
      <c r="Z13" s="829">
        <f>IF($G$478="Neuerrichtung",$B$478*POWER(($C490/100)*(Berechnungen!I$13),2),0)</f>
        <v>0</v>
      </c>
      <c r="AA13" s="332" t="e">
        <f t="shared" si="0"/>
        <v>#DIV/0!</v>
      </c>
      <c r="AB13" s="294">
        <f t="shared" si="1"/>
        <v>0</v>
      </c>
      <c r="AC13" s="333" t="e">
        <f>IF($G$49=1,"-",(AA13-AB13)/AA13*100)</f>
        <v>#DIV/0!</v>
      </c>
      <c r="AD13" s="295" t="e">
        <f t="shared" si="2"/>
        <v>#DIV/0!</v>
      </c>
      <c r="AE13" s="296" t="e">
        <f>IF(AC13&lt;-400,1,0)</f>
        <v>#DIV/0!</v>
      </c>
    </row>
    <row r="14" spans="1:31" x14ac:dyDescent="0.25">
      <c r="A14" s="980"/>
      <c r="B14" s="356">
        <v>13</v>
      </c>
      <c r="C14" s="563">
        <v>0.3</v>
      </c>
      <c r="D14" s="980"/>
      <c r="E14" s="356">
        <v>625</v>
      </c>
      <c r="F14" s="564">
        <v>0.01</v>
      </c>
      <c r="G14" s="980"/>
      <c r="H14" s="308">
        <v>4.3</v>
      </c>
      <c r="I14" s="564">
        <v>0</v>
      </c>
      <c r="K14" s="991"/>
      <c r="L14" s="13">
        <v>13</v>
      </c>
      <c r="M14" s="56" t="e">
        <f>(2.18/1000)*SQRT(Bericht!$E$49/Berechnungen!$E$18)*Berechnungen!$G$17</f>
        <v>#DIV/0!</v>
      </c>
      <c r="N14" s="57"/>
      <c r="O14" s="60"/>
      <c r="P14" s="59"/>
      <c r="Q14" s="310">
        <f>IF($G$1="Neuerrichtung",$B$1*POWER(($C14/100)*(Berechnungen!I$4),2),0)</f>
        <v>0</v>
      </c>
      <c r="R14" s="309">
        <f>IF($G$54="Neuerrichtung",$B$54*POWER(($C67/100)*(Berechnungen!I$5),2),0)</f>
        <v>0</v>
      </c>
      <c r="S14" s="310">
        <f>IF($G$107="Neuerrichtung",$B$107*POWER(($C120/100)*(Berechnungen!I$6),2),0)</f>
        <v>0</v>
      </c>
      <c r="T14" s="309">
        <f>IF($G$160="Neuerrichtung",$B$160*POWER(($C173/100)*(Berechnungen!I$7),2),0)</f>
        <v>0</v>
      </c>
      <c r="U14" s="309">
        <f>IF($G$213="Neuerrichtung",$B$213*POWER(($C226/100)*(Berechnungen!I$8),2),0)</f>
        <v>0</v>
      </c>
      <c r="V14" s="309">
        <f>IF($G$266="Neuerrichtung",$B$266*POWER(($C279/100)*(Berechnungen!I$9),2),0)</f>
        <v>0</v>
      </c>
      <c r="W14" s="309">
        <f>IF($G$319="Neuerrichtung",$B$319*POWER(($C332/100)*(Berechnungen!I$10),2),0)</f>
        <v>0</v>
      </c>
      <c r="X14" s="309">
        <f>IF($G$372="Neuerrichtung",$B$372*POWER(($C385/100)*(Berechnungen!I$11),2),0)</f>
        <v>0</v>
      </c>
      <c r="Y14" s="309">
        <f>IF($G$425="Neuerrichtung",$B$425*POWER(($C438/100)*(Berechnungen!I$12),2),0)</f>
        <v>0</v>
      </c>
      <c r="Z14" s="829">
        <f>IF($G$478="Neuerrichtung",$B$478*POWER(($C491/100)*(Berechnungen!I$13),2),0)</f>
        <v>0</v>
      </c>
      <c r="AA14" s="332" t="e">
        <f t="shared" si="0"/>
        <v>#DIV/0!</v>
      </c>
      <c r="AB14" s="294">
        <f t="shared" si="1"/>
        <v>0</v>
      </c>
      <c r="AC14" s="333" t="e">
        <f t="shared" ref="AC14" si="5">(AA14-AB14)/AA14*100</f>
        <v>#DIV/0!</v>
      </c>
      <c r="AD14" s="295" t="e">
        <f t="shared" si="2"/>
        <v>#DIV/0!</v>
      </c>
      <c r="AE14" s="296" t="e">
        <f>IF(AC14&lt;-200,1,0)</f>
        <v>#DIV/0!</v>
      </c>
    </row>
    <row r="15" spans="1:31" x14ac:dyDescent="0.25">
      <c r="A15" s="980"/>
      <c r="B15" s="356">
        <v>14</v>
      </c>
      <c r="C15" s="563">
        <v>0.1</v>
      </c>
      <c r="D15" s="980"/>
      <c r="E15" s="356">
        <v>675</v>
      </c>
      <c r="F15" s="564">
        <v>0.01</v>
      </c>
      <c r="G15" s="980"/>
      <c r="H15" s="308">
        <v>4.5</v>
      </c>
      <c r="I15" s="564">
        <v>0</v>
      </c>
      <c r="K15" s="991"/>
      <c r="L15" s="13">
        <v>14</v>
      </c>
      <c r="M15" s="56" t="e">
        <f>(0.33/1000)*SQRT(Bericht!$E$49/Berechnungen!$E$18)*Berechnungen!$G$17</f>
        <v>#DIV/0!</v>
      </c>
      <c r="N15" s="57"/>
      <c r="O15" s="58"/>
      <c r="P15" s="59"/>
      <c r="Q15" s="310">
        <f>IF($G$1="Neuerrichtung",$B$1*POWER(($C15/100)*(Berechnungen!I$4),2),0)</f>
        <v>0</v>
      </c>
      <c r="R15" s="309">
        <f>IF($G$54="Neuerrichtung",$B$54*POWER(($C68/100)*(Berechnungen!I$5),2),0)</f>
        <v>0</v>
      </c>
      <c r="S15" s="310">
        <f>IF($G$107="Neuerrichtung",$B$107*POWER(($C121/100)*(Berechnungen!I$6),2),0)</f>
        <v>0</v>
      </c>
      <c r="T15" s="309">
        <f>IF($G$160="Neuerrichtung",$B$160*POWER(($C174/100)*(Berechnungen!I$7),2),0)</f>
        <v>0</v>
      </c>
      <c r="U15" s="309">
        <f>IF($G$213="Neuerrichtung",$B$213*POWER(($C227/100)*(Berechnungen!I$8),2),0)</f>
        <v>0</v>
      </c>
      <c r="V15" s="309">
        <f>IF($G$266="Neuerrichtung",$B$266*POWER(($C280/100)*(Berechnungen!I$9),2),0)</f>
        <v>0</v>
      </c>
      <c r="W15" s="309">
        <f>IF($G$319="Neuerrichtung",$B$319*POWER(($C333/100)*(Berechnungen!I$10),2),0)</f>
        <v>0</v>
      </c>
      <c r="X15" s="309">
        <f>IF($G$372="Neuerrichtung",$B$372*POWER(($C386/100)*(Berechnungen!I$11),2),0)</f>
        <v>0</v>
      </c>
      <c r="Y15" s="309">
        <f>IF($G$425="Neuerrichtung",$B$425*POWER(($C439/100)*(Berechnungen!I$12),2),0)</f>
        <v>0</v>
      </c>
      <c r="Z15" s="829">
        <f>IF($G$478="Neuerrichtung",$B$478*POWER(($C492/100)*(Berechnungen!I$13),2),0)</f>
        <v>0</v>
      </c>
      <c r="AA15" s="332" t="e">
        <f t="shared" si="0"/>
        <v>#DIV/0!</v>
      </c>
      <c r="AB15" s="294">
        <f t="shared" si="1"/>
        <v>0</v>
      </c>
      <c r="AC15" s="333" t="e">
        <f>IF($G$49=1,"-",(AA15-AB15)/AA15*100)</f>
        <v>#DIV/0!</v>
      </c>
      <c r="AD15" s="295" t="e">
        <f t="shared" si="2"/>
        <v>#DIV/0!</v>
      </c>
      <c r="AE15" s="296" t="e">
        <f>IF(AC15&lt;-400,1,0)</f>
        <v>#DIV/0!</v>
      </c>
    </row>
    <row r="16" spans="1:31" x14ac:dyDescent="0.25">
      <c r="A16" s="980"/>
      <c r="B16" s="356">
        <v>15</v>
      </c>
      <c r="C16" s="563">
        <v>0.01</v>
      </c>
      <c r="D16" s="980"/>
      <c r="E16" s="356">
        <v>725</v>
      </c>
      <c r="F16" s="564">
        <v>0.01</v>
      </c>
      <c r="G16" s="980"/>
      <c r="H16" s="308">
        <v>4.7</v>
      </c>
      <c r="I16" s="564">
        <v>0</v>
      </c>
      <c r="K16" s="991"/>
      <c r="L16" s="13">
        <v>15</v>
      </c>
      <c r="M16" s="56" t="e">
        <f>(0.29/1000)*SQRT(Bericht!$E$49/Berechnungen!$E$18)*Berechnungen!$G$17</f>
        <v>#DIV/0!</v>
      </c>
      <c r="N16" s="57"/>
      <c r="O16" s="60"/>
      <c r="P16" s="59"/>
      <c r="Q16" s="310">
        <f>IF($G$1="Neuerrichtung",$B$1*POWER(($C16/100)*(Berechnungen!I$4),2),0)</f>
        <v>0</v>
      </c>
      <c r="R16" s="309">
        <f>IF($G$54="Neuerrichtung",$B$54*POWER(($C69/100)*(Berechnungen!I$5),2),0)</f>
        <v>0</v>
      </c>
      <c r="S16" s="310">
        <f>IF($G$107="Neuerrichtung",$B$107*POWER(($C122/100)*(Berechnungen!I$6),2),0)</f>
        <v>0</v>
      </c>
      <c r="T16" s="309">
        <f>IF($G$160="Neuerrichtung",$B$160*POWER(($C175/100)*(Berechnungen!I$7),2),0)</f>
        <v>0</v>
      </c>
      <c r="U16" s="309">
        <f>IF($G$213="Neuerrichtung",$B$213*POWER(($C228/100)*(Berechnungen!I$8),2),0)</f>
        <v>0</v>
      </c>
      <c r="V16" s="309">
        <f>IF($G$266="Neuerrichtung",$B$266*POWER(($C281/100)*(Berechnungen!I$9),2),0)</f>
        <v>0</v>
      </c>
      <c r="W16" s="309">
        <f>IF($G$319="Neuerrichtung",$B$319*POWER(($C334/100)*(Berechnungen!I$10),2),0)</f>
        <v>0</v>
      </c>
      <c r="X16" s="309">
        <f>IF($G$372="Neuerrichtung",$B$372*POWER(($C387/100)*(Berechnungen!I$11),2),0)</f>
        <v>0</v>
      </c>
      <c r="Y16" s="309">
        <f>IF($G$425="Neuerrichtung",$B$425*POWER(($C440/100)*(Berechnungen!I$12),2),0)</f>
        <v>0</v>
      </c>
      <c r="Z16" s="829">
        <f>IF($G$478="Neuerrichtung",$B$478*POWER(($C493/100)*(Berechnungen!I$13),2),0)</f>
        <v>0</v>
      </c>
      <c r="AA16" s="332" t="e">
        <f t="shared" si="0"/>
        <v>#DIV/0!</v>
      </c>
      <c r="AB16" s="294">
        <f t="shared" si="1"/>
        <v>0</v>
      </c>
      <c r="AC16" s="333" t="e">
        <f>(AA16-AB16)/AA16*100</f>
        <v>#DIV/0!</v>
      </c>
      <c r="AD16" s="295" t="e">
        <f t="shared" si="2"/>
        <v>#DIV/0!</v>
      </c>
      <c r="AE16" s="296" t="e">
        <f>IF(AC16&lt;-400,1,0)</f>
        <v>#DIV/0!</v>
      </c>
    </row>
    <row r="17" spans="1:31" x14ac:dyDescent="0.25">
      <c r="A17" s="980"/>
      <c r="B17" s="356">
        <v>16</v>
      </c>
      <c r="C17" s="563">
        <v>0.01</v>
      </c>
      <c r="D17" s="980"/>
      <c r="E17" s="356">
        <v>775</v>
      </c>
      <c r="F17" s="564">
        <v>0.01</v>
      </c>
      <c r="G17" s="980"/>
      <c r="H17" s="308">
        <v>4.9000000000000004</v>
      </c>
      <c r="I17" s="564">
        <v>0</v>
      </c>
      <c r="K17" s="991"/>
      <c r="L17" s="13">
        <v>16</v>
      </c>
      <c r="M17" s="56" t="e">
        <f>(0.28/1000)*SQRT(Bericht!$E$49/Berechnungen!$E$18)*Berechnungen!$G$17</f>
        <v>#DIV/0!</v>
      </c>
      <c r="N17" s="57"/>
      <c r="O17" s="58"/>
      <c r="P17" s="59"/>
      <c r="Q17" s="310">
        <f>IF($G$1="Neuerrichtung",$B$1*POWER(($C17/100)*(Berechnungen!I$4),2),0)</f>
        <v>0</v>
      </c>
      <c r="R17" s="309">
        <f>IF($G$54="Neuerrichtung",$B$54*POWER(($C70/100)*(Berechnungen!I$5),2),0)</f>
        <v>0</v>
      </c>
      <c r="S17" s="310">
        <f>IF($G$107="Neuerrichtung",$B$107*POWER(($C123/100)*(Berechnungen!I$6),2),0)</f>
        <v>0</v>
      </c>
      <c r="T17" s="309">
        <f>IF($G$160="Neuerrichtung",$B$160*POWER(($C176/100)*(Berechnungen!I$7),2),0)</f>
        <v>0</v>
      </c>
      <c r="U17" s="309">
        <f>IF($G$213="Neuerrichtung",$B$213*POWER(($C229/100)*(Berechnungen!I$8),2),0)</f>
        <v>0</v>
      </c>
      <c r="V17" s="309">
        <f>IF($G$266="Neuerrichtung",$B$266*POWER(($C282/100)*(Berechnungen!I$9),2),0)</f>
        <v>0</v>
      </c>
      <c r="W17" s="309">
        <f>IF($G$319="Neuerrichtung",$B$319*POWER(($C335/100)*(Berechnungen!I$10),2),0)</f>
        <v>0</v>
      </c>
      <c r="X17" s="309">
        <f>IF($G$372="Neuerrichtung",$B$372*POWER(($C388/100)*(Berechnungen!I$11),2),0)</f>
        <v>0</v>
      </c>
      <c r="Y17" s="309">
        <f>IF($G$425="Neuerrichtung",$B$425*POWER(($C441/100)*(Berechnungen!I$12),2),0)</f>
        <v>0</v>
      </c>
      <c r="Z17" s="829">
        <f>IF($G$478="Neuerrichtung",$B$478*POWER(($C494/100)*(Berechnungen!I$13),2),0)</f>
        <v>0</v>
      </c>
      <c r="AA17" s="332" t="e">
        <f t="shared" si="0"/>
        <v>#DIV/0!</v>
      </c>
      <c r="AB17" s="294">
        <f t="shared" si="1"/>
        <v>0</v>
      </c>
      <c r="AC17" s="333" t="e">
        <f>IF($G$49=1,"-",(AA17-AB17)/AA17*100)</f>
        <v>#DIV/0!</v>
      </c>
      <c r="AD17" s="295" t="e">
        <f t="shared" si="2"/>
        <v>#DIV/0!</v>
      </c>
      <c r="AE17" s="296" t="e">
        <f>IF(AC17&lt;-400,1,0)</f>
        <v>#DIV/0!</v>
      </c>
    </row>
    <row r="18" spans="1:31" x14ac:dyDescent="0.25">
      <c r="A18" s="980"/>
      <c r="B18" s="356">
        <v>17</v>
      </c>
      <c r="C18" s="563">
        <v>7.0000000000000007E-2</v>
      </c>
      <c r="D18" s="980"/>
      <c r="E18" s="356">
        <v>825</v>
      </c>
      <c r="F18" s="564">
        <v>0.01</v>
      </c>
      <c r="G18" s="980"/>
      <c r="H18" s="308">
        <v>5.0999999999999996</v>
      </c>
      <c r="I18" s="564">
        <v>0</v>
      </c>
      <c r="K18" s="991"/>
      <c r="L18" s="13">
        <v>17</v>
      </c>
      <c r="M18" s="56" t="e">
        <f>(1.11/1000)*SQRT(Bericht!$E$49/Berechnungen!$E$18)*Berechnungen!$G$17</f>
        <v>#DIV/0!</v>
      </c>
      <c r="N18" s="57"/>
      <c r="O18" s="60"/>
      <c r="P18" s="59"/>
      <c r="Q18" s="310">
        <f>IF($G$1="Neuerrichtung",$B$1*POWER(($C18/100)*(Berechnungen!I$4),2),0)</f>
        <v>0</v>
      </c>
      <c r="R18" s="309">
        <f>IF($G$54="Neuerrichtung",$B$54*POWER(($C71/100)*(Berechnungen!I$5),2),0)</f>
        <v>0</v>
      </c>
      <c r="S18" s="310">
        <f>IF($G$107="Neuerrichtung",$B$107*POWER(($C124/100)*(Berechnungen!I$6),2),0)</f>
        <v>0</v>
      </c>
      <c r="T18" s="309">
        <f>IF($G$160="Neuerrichtung",$B$160*POWER(($C177/100)*(Berechnungen!I$7),2),0)</f>
        <v>0</v>
      </c>
      <c r="U18" s="309">
        <f>IF($G$213="Neuerrichtung",$B$213*POWER(($C230/100)*(Berechnungen!I$8),2),0)</f>
        <v>0</v>
      </c>
      <c r="V18" s="309">
        <f>IF($G$266="Neuerrichtung",$B$266*POWER(($C283/100)*(Berechnungen!I$9),2),0)</f>
        <v>0</v>
      </c>
      <c r="W18" s="309">
        <f>IF($G$319="Neuerrichtung",$B$319*POWER(($C336/100)*(Berechnungen!I$10),2),0)</f>
        <v>0</v>
      </c>
      <c r="X18" s="309">
        <f>IF($G$372="Neuerrichtung",$B$372*POWER(($C389/100)*(Berechnungen!I$11),2),0)</f>
        <v>0</v>
      </c>
      <c r="Y18" s="309">
        <f>IF($G$425="Neuerrichtung",$B$425*POWER(($C442/100)*(Berechnungen!I$12),2),0)</f>
        <v>0</v>
      </c>
      <c r="Z18" s="829">
        <f>IF($G$478="Neuerrichtung",$B$478*POWER(($C495/100)*(Berechnungen!I$13),2),0)</f>
        <v>0</v>
      </c>
      <c r="AA18" s="332" t="e">
        <f t="shared" si="0"/>
        <v>#DIV/0!</v>
      </c>
      <c r="AB18" s="294">
        <f t="shared" si="1"/>
        <v>0</v>
      </c>
      <c r="AC18" s="333" t="e">
        <f t="shared" ref="AC18" si="6">(AA18-AB18)/AA18*100</f>
        <v>#DIV/0!</v>
      </c>
      <c r="AD18" s="295" t="e">
        <f t="shared" si="2"/>
        <v>#DIV/0!</v>
      </c>
      <c r="AE18" s="296" t="e">
        <f>IF(AC18&lt;-200,1,0)</f>
        <v>#DIV/0!</v>
      </c>
    </row>
    <row r="19" spans="1:31" x14ac:dyDescent="0.25">
      <c r="A19" s="980"/>
      <c r="B19" s="356">
        <v>18</v>
      </c>
      <c r="C19" s="563">
        <v>0</v>
      </c>
      <c r="D19" s="980"/>
      <c r="E19" s="356">
        <v>875</v>
      </c>
      <c r="F19" s="564">
        <v>0.01</v>
      </c>
      <c r="G19" s="980"/>
      <c r="H19" s="308">
        <v>5.3</v>
      </c>
      <c r="I19" s="564">
        <v>0</v>
      </c>
      <c r="K19" s="991"/>
      <c r="L19" s="13">
        <v>18</v>
      </c>
      <c r="M19" s="56" t="e">
        <f>(0.25/1000)*SQRT(Bericht!$E$49/Berechnungen!$E$18)*Berechnungen!$G$17</f>
        <v>#DIV/0!</v>
      </c>
      <c r="N19" s="57"/>
      <c r="O19" s="58"/>
      <c r="P19" s="59"/>
      <c r="Q19" s="310">
        <f>IF($G$1="Neuerrichtung",$B$1*POWER(($C19/100)*(Berechnungen!I$4),2),0)</f>
        <v>0</v>
      </c>
      <c r="R19" s="309">
        <f>IF($G$54="Neuerrichtung",$B$54*POWER(($C72/100)*(Berechnungen!I$5),2),0)</f>
        <v>0</v>
      </c>
      <c r="S19" s="310">
        <f>IF($G$107="Neuerrichtung",$B$107*POWER(($C125/100)*(Berechnungen!I$6),2),0)</f>
        <v>0</v>
      </c>
      <c r="T19" s="309">
        <f>IF($G$160="Neuerrichtung",$B$160*POWER(($C178/100)*(Berechnungen!I$7),2),0)</f>
        <v>0</v>
      </c>
      <c r="U19" s="309">
        <f>IF($G$213="Neuerrichtung",$B$213*POWER(($C231/100)*(Berechnungen!I$8),2),0)</f>
        <v>0</v>
      </c>
      <c r="V19" s="309">
        <f>IF($G$266="Neuerrichtung",$B$266*POWER(($C284/100)*(Berechnungen!I$9),2),0)</f>
        <v>0</v>
      </c>
      <c r="W19" s="309">
        <f>IF($G$319="Neuerrichtung",$B$319*POWER(($C337/100)*(Berechnungen!I$10),2),0)</f>
        <v>0</v>
      </c>
      <c r="X19" s="309">
        <f>IF($G$372="Neuerrichtung",$B$372*POWER(($C390/100)*(Berechnungen!I$11),2),0)</f>
        <v>0</v>
      </c>
      <c r="Y19" s="309">
        <f>IF($G$425="Neuerrichtung",$B$425*POWER(($C443/100)*(Berechnungen!I$12),2),0)</f>
        <v>0</v>
      </c>
      <c r="Z19" s="829">
        <f>IF($G$478="Neuerrichtung",$B$478*POWER(($C496/100)*(Berechnungen!I$13),2),0)</f>
        <v>0</v>
      </c>
      <c r="AA19" s="332" t="e">
        <f t="shared" si="0"/>
        <v>#DIV/0!</v>
      </c>
      <c r="AB19" s="294">
        <f t="shared" si="1"/>
        <v>0</v>
      </c>
      <c r="AC19" s="333" t="e">
        <f>IF($G$49=1,"-",(AA19-AB19)/AA19*100)</f>
        <v>#DIV/0!</v>
      </c>
      <c r="AD19" s="295" t="e">
        <f t="shared" si="2"/>
        <v>#DIV/0!</v>
      </c>
      <c r="AE19" s="296" t="e">
        <f>IF(AC19&lt;-400,1,0)</f>
        <v>#DIV/0!</v>
      </c>
    </row>
    <row r="20" spans="1:31" x14ac:dyDescent="0.25">
      <c r="A20" s="980"/>
      <c r="B20" s="356">
        <v>19</v>
      </c>
      <c r="C20" s="563">
        <v>0.02</v>
      </c>
      <c r="D20" s="980"/>
      <c r="E20" s="356">
        <v>925</v>
      </c>
      <c r="F20" s="564">
        <v>0.01</v>
      </c>
      <c r="G20" s="980"/>
      <c r="H20" s="308">
        <v>5.5</v>
      </c>
      <c r="I20" s="564">
        <v>0</v>
      </c>
      <c r="K20" s="991"/>
      <c r="L20" s="13">
        <v>19</v>
      </c>
      <c r="M20" s="56" t="e">
        <f>(0.88/1000)*SQRT(Bericht!$E$49/Berechnungen!$E$18)*Berechnungen!$G$17</f>
        <v>#DIV/0!</v>
      </c>
      <c r="N20" s="57"/>
      <c r="O20" s="60"/>
      <c r="P20" s="59"/>
      <c r="Q20" s="310">
        <f>IF($G$1="Neuerrichtung",$B$1*POWER(($C20/100)*(Berechnungen!I$4),2),0)</f>
        <v>0</v>
      </c>
      <c r="R20" s="309">
        <f>IF($G$54="Neuerrichtung",$B$54*POWER(($C73/100)*(Berechnungen!I$5),2),0)</f>
        <v>0</v>
      </c>
      <c r="S20" s="310">
        <f>IF($G$107="Neuerrichtung",$B$107*POWER(($C126/100)*(Berechnungen!I$6),2),0)</f>
        <v>0</v>
      </c>
      <c r="T20" s="309">
        <f>IF($G$160="Neuerrichtung",$B$160*POWER(($C179/100)*(Berechnungen!I$7),2),0)</f>
        <v>0</v>
      </c>
      <c r="U20" s="309">
        <f>IF($G$213="Neuerrichtung",$B$213*POWER(($C232/100)*(Berechnungen!I$8),2),0)</f>
        <v>0</v>
      </c>
      <c r="V20" s="309">
        <f>IF($G$266="Neuerrichtung",$B$266*POWER(($C285/100)*(Berechnungen!I$9),2),0)</f>
        <v>0</v>
      </c>
      <c r="W20" s="309">
        <f>IF($G$319="Neuerrichtung",$B$319*POWER(($C338/100)*(Berechnungen!I$10),2),0)</f>
        <v>0</v>
      </c>
      <c r="X20" s="309">
        <f>IF($G$372="Neuerrichtung",$B$372*POWER(($C391/100)*(Berechnungen!I$11),2),0)</f>
        <v>0</v>
      </c>
      <c r="Y20" s="309">
        <f>IF($G$425="Neuerrichtung",$B$425*POWER(($C444/100)*(Berechnungen!I$12),2),0)</f>
        <v>0</v>
      </c>
      <c r="Z20" s="829">
        <f>IF($G$478="Neuerrichtung",$B$478*POWER(($C497/100)*(Berechnungen!I$13),2),0)</f>
        <v>0</v>
      </c>
      <c r="AA20" s="332" t="e">
        <f t="shared" si="0"/>
        <v>#DIV/0!</v>
      </c>
      <c r="AB20" s="294">
        <f t="shared" si="1"/>
        <v>0</v>
      </c>
      <c r="AC20" s="333" t="e">
        <f t="shared" ref="AC20" si="7">(AA20-AB20)/AA20*100</f>
        <v>#DIV/0!</v>
      </c>
      <c r="AD20" s="295" t="e">
        <f t="shared" si="2"/>
        <v>#DIV/0!</v>
      </c>
      <c r="AE20" s="296" t="e">
        <f>IF(AC20&lt;-200,1,0)</f>
        <v>#DIV/0!</v>
      </c>
    </row>
    <row r="21" spans="1:31" x14ac:dyDescent="0.25">
      <c r="A21" s="980"/>
      <c r="B21" s="356">
        <v>20</v>
      </c>
      <c r="C21" s="563">
        <v>0</v>
      </c>
      <c r="D21" s="980"/>
      <c r="E21" s="356">
        <v>975</v>
      </c>
      <c r="F21" s="564">
        <v>0.01</v>
      </c>
      <c r="G21" s="980"/>
      <c r="H21" s="308">
        <v>5.7</v>
      </c>
      <c r="I21" s="564">
        <v>0</v>
      </c>
      <c r="K21" s="991"/>
      <c r="L21" s="13">
        <v>20</v>
      </c>
      <c r="M21" s="56" t="e">
        <f>(0.32/1000)*SQRT(Bericht!$E$49/Berechnungen!$E$18)*Berechnungen!$G$17</f>
        <v>#DIV/0!</v>
      </c>
      <c r="N21" s="57"/>
      <c r="O21" s="58"/>
      <c r="P21" s="59"/>
      <c r="Q21" s="310">
        <f>IF($G$1="Neuerrichtung",$B$1*POWER(($C21/100)*(Berechnungen!I$4),2),0)</f>
        <v>0</v>
      </c>
      <c r="R21" s="309">
        <f>IF($G$54="Neuerrichtung",$B$54*POWER(($C74/100)*(Berechnungen!I$5),2),0)</f>
        <v>0</v>
      </c>
      <c r="S21" s="310">
        <f>IF($G$107="Neuerrichtung",$B$107*POWER(($C127/100)*(Berechnungen!I$6),2),0)</f>
        <v>0</v>
      </c>
      <c r="T21" s="309">
        <f>IF($G$160="Neuerrichtung",$B$160*POWER(($C180/100)*(Berechnungen!I$7),2),0)</f>
        <v>0</v>
      </c>
      <c r="U21" s="309">
        <f>IF($G$213="Neuerrichtung",$B$213*POWER(($C233/100)*(Berechnungen!I$8),2),0)</f>
        <v>0</v>
      </c>
      <c r="V21" s="309">
        <f>IF($G$266="Neuerrichtung",$B$266*POWER(($C286/100)*(Berechnungen!I$9),2),0)</f>
        <v>0</v>
      </c>
      <c r="W21" s="309">
        <f>IF($G$319="Neuerrichtung",$B$319*POWER(($C339/100)*(Berechnungen!I$10),2),0)</f>
        <v>0</v>
      </c>
      <c r="X21" s="309">
        <f>IF($G$372="Neuerrichtung",$B$372*POWER(($C392/100)*(Berechnungen!I$11),2),0)</f>
        <v>0</v>
      </c>
      <c r="Y21" s="309">
        <f>IF($G$425="Neuerrichtung",$B$425*POWER(($C445/100)*(Berechnungen!I$12),2),0)</f>
        <v>0</v>
      </c>
      <c r="Z21" s="829">
        <f>IF($G$478="Neuerrichtung",$B$478*POWER(($C498/100)*(Berechnungen!I$13),2),0)</f>
        <v>0</v>
      </c>
      <c r="AA21" s="332" t="e">
        <f t="shared" si="0"/>
        <v>#DIV/0!</v>
      </c>
      <c r="AB21" s="294">
        <f t="shared" si="1"/>
        <v>0</v>
      </c>
      <c r="AC21" s="333" t="e">
        <f>IF($G$49=1,"-",(AA21-AB21)/AA21*100)</f>
        <v>#DIV/0!</v>
      </c>
      <c r="AD21" s="295" t="e">
        <f t="shared" si="2"/>
        <v>#DIV/0!</v>
      </c>
      <c r="AE21" s="296" t="e">
        <f>IF(AC21&lt;-400,1,0)</f>
        <v>#DIV/0!</v>
      </c>
    </row>
    <row r="22" spans="1:31" x14ac:dyDescent="0.25">
      <c r="A22" s="980"/>
      <c r="B22" s="356">
        <v>21</v>
      </c>
      <c r="C22" s="563">
        <v>0.01</v>
      </c>
      <c r="D22" s="980"/>
      <c r="E22" s="356">
        <v>1025</v>
      </c>
      <c r="F22" s="564">
        <v>0.01</v>
      </c>
      <c r="G22" s="980"/>
      <c r="H22" s="308">
        <v>5.9</v>
      </c>
      <c r="I22" s="564">
        <v>0</v>
      </c>
      <c r="K22" s="991"/>
      <c r="L22" s="13">
        <v>21</v>
      </c>
      <c r="M22" s="56" t="e">
        <f>(0.25/1000)*SQRT(Bericht!$E$49/Berechnungen!$E$18)*Berechnungen!$G$17</f>
        <v>#DIV/0!</v>
      </c>
      <c r="N22" s="57"/>
      <c r="O22" s="60"/>
      <c r="P22" s="59"/>
      <c r="Q22" s="310">
        <f>IF($G$1="Neuerrichtung",$B$1*POWER(($C22/100)*(Berechnungen!I$4),2),0)</f>
        <v>0</v>
      </c>
      <c r="R22" s="309">
        <f>IF($G$54="Neuerrichtung",$B$54*POWER(($C75/100)*(Berechnungen!I$5),2),0)</f>
        <v>0</v>
      </c>
      <c r="S22" s="310">
        <f>IF($G$107="Neuerrichtung",$B$107*POWER(($C128/100)*(Berechnungen!I$6),2),0)</f>
        <v>0</v>
      </c>
      <c r="T22" s="309">
        <f>IF($G$160="Neuerrichtung",$B$160*POWER(($C181/100)*(Berechnungen!I$7),2),0)</f>
        <v>0</v>
      </c>
      <c r="U22" s="309">
        <f>IF($G$213="Neuerrichtung",$B$213*POWER(($C234/100)*(Berechnungen!I$8),2),0)</f>
        <v>0</v>
      </c>
      <c r="V22" s="309">
        <f>IF($G$266="Neuerrichtung",$B$266*POWER(($C287/100)*(Berechnungen!I$9),2),0)</f>
        <v>0</v>
      </c>
      <c r="W22" s="309">
        <f>IF($G$319="Neuerrichtung",$B$319*POWER(($C340/100)*(Berechnungen!I$10),2),0)</f>
        <v>0</v>
      </c>
      <c r="X22" s="309">
        <f>IF($G$372="Neuerrichtung",$B$372*POWER(($C393/100)*(Berechnungen!I$11),2),0)</f>
        <v>0</v>
      </c>
      <c r="Y22" s="309">
        <f>IF($G$425="Neuerrichtung",$B$425*POWER(($C446/100)*(Berechnungen!I$12),2),0)</f>
        <v>0</v>
      </c>
      <c r="Z22" s="829">
        <f>IF($G$478="Neuerrichtung",$B$478*POWER(($C499/100)*(Berechnungen!I$13),2),0)</f>
        <v>0</v>
      </c>
      <c r="AA22" s="332" t="e">
        <f t="shared" si="0"/>
        <v>#DIV/0!</v>
      </c>
      <c r="AB22" s="294">
        <f t="shared" si="1"/>
        <v>0</v>
      </c>
      <c r="AC22" s="333" t="e">
        <f t="shared" ref="AC22" si="8">(AA22-AB22)/AA22*100</f>
        <v>#DIV/0!</v>
      </c>
      <c r="AD22" s="295" t="e">
        <f t="shared" si="2"/>
        <v>#DIV/0!</v>
      </c>
      <c r="AE22" s="296" t="e">
        <f>IF(AC22&lt;-400,1,0)</f>
        <v>#DIV/0!</v>
      </c>
    </row>
    <row r="23" spans="1:31" x14ac:dyDescent="0.25">
      <c r="A23" s="980"/>
      <c r="B23" s="356">
        <v>22</v>
      </c>
      <c r="C23" s="563">
        <v>0</v>
      </c>
      <c r="D23" s="980"/>
      <c r="E23" s="356">
        <v>1075</v>
      </c>
      <c r="F23" s="564">
        <v>0.01</v>
      </c>
      <c r="G23" s="980"/>
      <c r="H23" s="308">
        <v>6.1</v>
      </c>
      <c r="I23" s="564">
        <v>0</v>
      </c>
      <c r="K23" s="991"/>
      <c r="L23" s="13">
        <v>22</v>
      </c>
      <c r="M23" s="56" t="e">
        <f>(0.3/1000)*SQRT(Bericht!$E$49/Berechnungen!$E$18)*Berechnungen!$G$17</f>
        <v>#DIV/0!</v>
      </c>
      <c r="N23" s="57"/>
      <c r="O23" s="58"/>
      <c r="P23" s="59"/>
      <c r="Q23" s="310">
        <f>IF($G$1="Neuerrichtung",$B$1*POWER(($C23/100)*(Berechnungen!I$4),2),0)</f>
        <v>0</v>
      </c>
      <c r="R23" s="309">
        <f>IF($G$54="Neuerrichtung",$B$54*POWER(($C76/100)*(Berechnungen!I$5),2),0)</f>
        <v>0</v>
      </c>
      <c r="S23" s="310">
        <f>IF($G$107="Neuerrichtung",$B$107*POWER(($C129/100)*(Berechnungen!I$6),2),0)</f>
        <v>0</v>
      </c>
      <c r="T23" s="309">
        <f>IF($G$160="Neuerrichtung",$B$160*POWER(($C182/100)*(Berechnungen!I$7),2),0)</f>
        <v>0</v>
      </c>
      <c r="U23" s="309">
        <f>IF($G$213="Neuerrichtung",$B$213*POWER(($C235/100)*(Berechnungen!I$8),2),0)</f>
        <v>0</v>
      </c>
      <c r="V23" s="309">
        <f>IF($G$266="Neuerrichtung",$B$266*POWER(($C288/100)*(Berechnungen!I$9),2),0)</f>
        <v>0</v>
      </c>
      <c r="W23" s="309">
        <f>IF($G$319="Neuerrichtung",$B$319*POWER(($C341/100)*(Berechnungen!I$10),2),0)</f>
        <v>0</v>
      </c>
      <c r="X23" s="309">
        <f>IF($G$372="Neuerrichtung",$B$372*POWER(($C394/100)*(Berechnungen!I$11),2),0)</f>
        <v>0</v>
      </c>
      <c r="Y23" s="309">
        <f>IF($G$425="Neuerrichtung",$B$425*POWER(($C447/100)*(Berechnungen!I$12),2),0)</f>
        <v>0</v>
      </c>
      <c r="Z23" s="829">
        <f>IF($G$478="Neuerrichtung",$B$478*POWER(($C500/100)*(Berechnungen!I$13),2),0)</f>
        <v>0</v>
      </c>
      <c r="AA23" s="332" t="e">
        <f t="shared" si="0"/>
        <v>#DIV/0!</v>
      </c>
      <c r="AB23" s="294">
        <f t="shared" si="1"/>
        <v>0</v>
      </c>
      <c r="AC23" s="333" t="e">
        <f>IF($G$49=1,"-",(AA23-AB23)/AA23*100)</f>
        <v>#DIV/0!</v>
      </c>
      <c r="AD23" s="295" t="e">
        <f t="shared" si="2"/>
        <v>#DIV/0!</v>
      </c>
      <c r="AE23" s="296" t="e">
        <f>IF(AC23&lt;-400,1,0)</f>
        <v>#DIV/0!</v>
      </c>
    </row>
    <row r="24" spans="1:31" x14ac:dyDescent="0.25">
      <c r="A24" s="980"/>
      <c r="B24" s="356">
        <v>23</v>
      </c>
      <c r="C24" s="563">
        <v>0.05</v>
      </c>
      <c r="D24" s="980"/>
      <c r="E24" s="356">
        <v>1125</v>
      </c>
      <c r="F24" s="564">
        <v>0.01</v>
      </c>
      <c r="G24" s="980"/>
      <c r="H24" s="308">
        <v>6.3</v>
      </c>
      <c r="I24" s="564">
        <v>0</v>
      </c>
      <c r="K24" s="991"/>
      <c r="L24" s="13">
        <v>23</v>
      </c>
      <c r="M24" s="56" t="e">
        <f>(1.03/1000)*SQRT(Bericht!$E$49/Berechnungen!$E$18)*Berechnungen!$G$17</f>
        <v>#DIV/0!</v>
      </c>
      <c r="N24" s="57"/>
      <c r="O24" s="60"/>
      <c r="P24" s="59"/>
      <c r="Q24" s="310">
        <f>IF($G$1="Neuerrichtung",$B$1*POWER(($C24/100)*(Berechnungen!I$4),2),0)</f>
        <v>0</v>
      </c>
      <c r="R24" s="309">
        <f>IF($G$54="Neuerrichtung",$B$54*POWER(($C77/100)*(Berechnungen!I$5),2),0)</f>
        <v>0</v>
      </c>
      <c r="S24" s="310">
        <f>IF($G$107="Neuerrichtung",$B$107*POWER(($C130/100)*(Berechnungen!I$6),2),0)</f>
        <v>0</v>
      </c>
      <c r="T24" s="309">
        <f>IF($G$160="Neuerrichtung",$B$160*POWER(($C183/100)*(Berechnungen!I$7),2),0)</f>
        <v>0</v>
      </c>
      <c r="U24" s="309">
        <f>IF($G$213="Neuerrichtung",$B$213*POWER(($C236/100)*(Berechnungen!I$8),2),0)</f>
        <v>0</v>
      </c>
      <c r="V24" s="309">
        <f>IF($G$266="Neuerrichtung",$B$266*POWER(($C289/100)*(Berechnungen!I$9),2),0)</f>
        <v>0</v>
      </c>
      <c r="W24" s="309">
        <f>IF($G$319="Neuerrichtung",$B$319*POWER(($C342/100)*(Berechnungen!I$10),2),0)</f>
        <v>0</v>
      </c>
      <c r="X24" s="309">
        <f>IF($G$372="Neuerrichtung",$B$372*POWER(($C395/100)*(Berechnungen!I$11),2),0)</f>
        <v>0</v>
      </c>
      <c r="Y24" s="309">
        <f>IF($G$425="Neuerrichtung",$B$425*POWER(($C448/100)*(Berechnungen!I$12),2),0)</f>
        <v>0</v>
      </c>
      <c r="Z24" s="829">
        <f>IF($G$478="Neuerrichtung",$B$478*POWER(($C501/100)*(Berechnungen!I$13),2),0)</f>
        <v>0</v>
      </c>
      <c r="AA24" s="332" t="e">
        <f t="shared" si="0"/>
        <v>#DIV/0!</v>
      </c>
      <c r="AB24" s="294">
        <f t="shared" si="1"/>
        <v>0</v>
      </c>
      <c r="AC24" s="333" t="e">
        <f>(AA24-AB24)/AA24*100</f>
        <v>#DIV/0!</v>
      </c>
      <c r="AD24" s="295" t="e">
        <f t="shared" si="2"/>
        <v>#DIV/0!</v>
      </c>
      <c r="AE24" s="296" t="e">
        <f>IF(AC24&lt;-200,1,0)</f>
        <v>#DIV/0!</v>
      </c>
    </row>
    <row r="25" spans="1:31" x14ac:dyDescent="0.25">
      <c r="A25" s="980"/>
      <c r="B25" s="356">
        <v>24</v>
      </c>
      <c r="C25" s="563">
        <v>0</v>
      </c>
      <c r="D25" s="980"/>
      <c r="E25" s="356">
        <v>1175</v>
      </c>
      <c r="F25" s="564">
        <v>0.01</v>
      </c>
      <c r="G25" s="980"/>
      <c r="H25" s="308">
        <v>6.5</v>
      </c>
      <c r="I25" s="564">
        <v>0</v>
      </c>
      <c r="K25" s="991"/>
      <c r="L25" s="13">
        <v>24</v>
      </c>
      <c r="M25" s="56" t="e">
        <f>(0.26/1000)*SQRT(Bericht!$E$49/Berechnungen!$E$18)*Berechnungen!$G$17</f>
        <v>#DIV/0!</v>
      </c>
      <c r="N25" s="57"/>
      <c r="O25" s="58"/>
      <c r="P25" s="59"/>
      <c r="Q25" s="310">
        <f>IF($G$1="Neuerrichtung",$B$1*POWER(($C25/100)*(Berechnungen!I$4),2),0)</f>
        <v>0</v>
      </c>
      <c r="R25" s="309">
        <f>IF($G$54="Neuerrichtung",$B$54*POWER(($C78/100)*(Berechnungen!I$5),2),0)</f>
        <v>0</v>
      </c>
      <c r="S25" s="310">
        <f>IF($G$107="Neuerrichtung",$B$107*POWER(($C131/100)*(Berechnungen!I$6),2),0)</f>
        <v>0</v>
      </c>
      <c r="T25" s="309">
        <f>IF($G$160="Neuerrichtung",$B$160*POWER(($C184/100)*(Berechnungen!I$7),2),0)</f>
        <v>0</v>
      </c>
      <c r="U25" s="309">
        <f>IF($G$213="Neuerrichtung",$B$213*POWER(($C237/100)*(Berechnungen!I$8),2),0)</f>
        <v>0</v>
      </c>
      <c r="V25" s="309">
        <f>IF($G$266="Neuerrichtung",$B$266*POWER(($C290/100)*(Berechnungen!I$9),2),0)</f>
        <v>0</v>
      </c>
      <c r="W25" s="309">
        <f>IF($G$319="Neuerrichtung",$B$319*POWER(($C343/100)*(Berechnungen!I$10),2),0)</f>
        <v>0</v>
      </c>
      <c r="X25" s="309">
        <f>IF($G$372="Neuerrichtung",$B$372*POWER(($C396/100)*(Berechnungen!I$11),2),0)</f>
        <v>0</v>
      </c>
      <c r="Y25" s="309">
        <f>IF($G$425="Neuerrichtung",$B$425*POWER(($C449/100)*(Berechnungen!I$12),2),0)</f>
        <v>0</v>
      </c>
      <c r="Z25" s="829">
        <f>IF($G$478="Neuerrichtung",$B$478*POWER(($C502/100)*(Berechnungen!I$13),2),0)</f>
        <v>0</v>
      </c>
      <c r="AA25" s="332" t="e">
        <f t="shared" si="0"/>
        <v>#DIV/0!</v>
      </c>
      <c r="AB25" s="294">
        <f t="shared" si="1"/>
        <v>0</v>
      </c>
      <c r="AC25" s="333" t="e">
        <f>IF($G$49=1,"-",(AA25-AB25)/AA25*100)</f>
        <v>#DIV/0!</v>
      </c>
      <c r="AD25" s="295" t="e">
        <f t="shared" si="2"/>
        <v>#DIV/0!</v>
      </c>
      <c r="AE25" s="296" t="e">
        <f>IF(AC25&lt;-400,1,0)</f>
        <v>#DIV/0!</v>
      </c>
    </row>
    <row r="26" spans="1:31" x14ac:dyDescent="0.25">
      <c r="A26" s="980"/>
      <c r="B26" s="356">
        <v>25</v>
      </c>
      <c r="C26" s="563">
        <v>0.03</v>
      </c>
      <c r="D26" s="980"/>
      <c r="E26" s="356">
        <v>1225</v>
      </c>
      <c r="F26" s="564">
        <v>0.01</v>
      </c>
      <c r="G26" s="980"/>
      <c r="H26" s="308">
        <v>6.7</v>
      </c>
      <c r="I26" s="564">
        <v>0</v>
      </c>
      <c r="K26" s="991"/>
      <c r="L26" s="13">
        <v>25</v>
      </c>
      <c r="M26" s="56" t="e">
        <f>(0.85/1000)*SQRT(Bericht!$E$49/Berechnungen!$E$18)*Berechnungen!$G$17</f>
        <v>#DIV/0!</v>
      </c>
      <c r="N26" s="57"/>
      <c r="O26" s="60"/>
      <c r="P26" s="59"/>
      <c r="Q26" s="310">
        <f>IF($G$1="Neuerrichtung",$B$1*POWER(($C26/100)*(Berechnungen!I$4),2),0)</f>
        <v>0</v>
      </c>
      <c r="R26" s="309">
        <f>IF($G$54="Neuerrichtung",$B$54*POWER(($C79/100)*(Berechnungen!I$5),2),0)</f>
        <v>0</v>
      </c>
      <c r="S26" s="310">
        <f>IF($G$107="Neuerrichtung",$B$107*POWER(($C132/100)*(Berechnungen!I$6),2),0)</f>
        <v>0</v>
      </c>
      <c r="T26" s="309">
        <f>IF($G$160="Neuerrichtung",$B$160*POWER(($C185/100)*(Berechnungen!I$7),2),0)</f>
        <v>0</v>
      </c>
      <c r="U26" s="309">
        <f>IF($G$213="Neuerrichtung",$B$213*POWER(($C238/100)*(Berechnungen!I$8),2),0)</f>
        <v>0</v>
      </c>
      <c r="V26" s="309">
        <f>IF($G$266="Neuerrichtung",$B$266*POWER(($C291/100)*(Berechnungen!I$9),2),0)</f>
        <v>0</v>
      </c>
      <c r="W26" s="309">
        <f>IF($G$319="Neuerrichtung",$B$319*POWER(($C344/100)*(Berechnungen!I$10),2),0)</f>
        <v>0</v>
      </c>
      <c r="X26" s="309">
        <f>IF($G$372="Neuerrichtung",$B$372*POWER(($C397/100)*(Berechnungen!I$11),2),0)</f>
        <v>0</v>
      </c>
      <c r="Y26" s="309">
        <f>IF($G$425="Neuerrichtung",$B$425*POWER(($C450/100)*(Berechnungen!I$12),2),0)</f>
        <v>0</v>
      </c>
      <c r="Z26" s="829">
        <f>IF($G$478="Neuerrichtung",$B$478*POWER(($C503/100)*(Berechnungen!I$13),2),0)</f>
        <v>0</v>
      </c>
      <c r="AA26" s="332" t="e">
        <f t="shared" si="0"/>
        <v>#DIV/0!</v>
      </c>
      <c r="AB26" s="294">
        <f t="shared" si="1"/>
        <v>0</v>
      </c>
      <c r="AC26" s="333" t="e">
        <f t="shared" ref="AC26" si="9">(AA26-AB26)/AA26*100</f>
        <v>#DIV/0!</v>
      </c>
      <c r="AD26" s="295" t="e">
        <f t="shared" si="2"/>
        <v>#DIV/0!</v>
      </c>
      <c r="AE26" s="296" t="e">
        <f>IF(AC26&lt;-200,1,0)</f>
        <v>#DIV/0!</v>
      </c>
    </row>
    <row r="27" spans="1:31" x14ac:dyDescent="0.25">
      <c r="A27" s="980"/>
      <c r="B27" s="356">
        <v>26</v>
      </c>
      <c r="C27" s="563">
        <v>0</v>
      </c>
      <c r="D27" s="980"/>
      <c r="E27" s="356">
        <v>1275</v>
      </c>
      <c r="F27" s="564">
        <v>0.01</v>
      </c>
      <c r="G27" s="980"/>
      <c r="H27" s="308">
        <v>6.9</v>
      </c>
      <c r="I27" s="564">
        <v>0</v>
      </c>
      <c r="K27" s="991"/>
      <c r="L27" s="13">
        <v>26</v>
      </c>
      <c r="M27" s="56" t="e">
        <f>(0.25/1000)*SQRT(Bericht!$E$49/Berechnungen!$E$18)*Berechnungen!$G$17</f>
        <v>#DIV/0!</v>
      </c>
      <c r="N27" s="57"/>
      <c r="O27" s="58"/>
      <c r="P27" s="59"/>
      <c r="Q27" s="310">
        <f>IF($G$1="Neuerrichtung",$B$1*POWER(($C27/100)*(Berechnungen!I$4),2),0)</f>
        <v>0</v>
      </c>
      <c r="R27" s="309">
        <f>IF($G$54="Neuerrichtung",$B$54*POWER(($C80/100)*(Berechnungen!I$5),2),0)</f>
        <v>0</v>
      </c>
      <c r="S27" s="310">
        <f>IF($G$107="Neuerrichtung",$B$107*POWER(($C133/100)*(Berechnungen!I$6),2),0)</f>
        <v>0</v>
      </c>
      <c r="T27" s="309">
        <f>IF($G$160="Neuerrichtung",$B$160*POWER(($C186/100)*(Berechnungen!I$7),2),0)</f>
        <v>0</v>
      </c>
      <c r="U27" s="309">
        <f>IF($G$213="Neuerrichtung",$B$213*POWER(($C239/100)*(Berechnungen!I$8),2),0)</f>
        <v>0</v>
      </c>
      <c r="V27" s="309">
        <f>IF($G$266="Neuerrichtung",$B$266*POWER(($C292/100)*(Berechnungen!I$9),2),0)</f>
        <v>0</v>
      </c>
      <c r="W27" s="309">
        <f>IF($G$319="Neuerrichtung",$B$319*POWER(($C345/100)*(Berechnungen!I$10),2),0)</f>
        <v>0</v>
      </c>
      <c r="X27" s="309">
        <f>IF($G$372="Neuerrichtung",$B$372*POWER(($C398/100)*(Berechnungen!I$11),2),0)</f>
        <v>0</v>
      </c>
      <c r="Y27" s="309">
        <f>IF($G$425="Neuerrichtung",$B$425*POWER(($C451/100)*(Berechnungen!I$12),2),0)</f>
        <v>0</v>
      </c>
      <c r="Z27" s="829">
        <f>IF($G$478="Neuerrichtung",$B$478*POWER(($C504/100)*(Berechnungen!I$13),2),0)</f>
        <v>0</v>
      </c>
      <c r="AA27" s="332" t="e">
        <f t="shared" si="0"/>
        <v>#DIV/0!</v>
      </c>
      <c r="AB27" s="294">
        <f t="shared" si="1"/>
        <v>0</v>
      </c>
      <c r="AC27" s="333" t="e">
        <f>IF($G$49=1,"-",(AA27-AB27)/AA27*100)</f>
        <v>#DIV/0!</v>
      </c>
      <c r="AD27" s="295" t="e">
        <f t="shared" si="2"/>
        <v>#DIV/0!</v>
      </c>
      <c r="AE27" s="296" t="e">
        <f t="shared" ref="AE27:AE51" si="10">IF(AC27&lt;-400,1,0)</f>
        <v>#DIV/0!</v>
      </c>
    </row>
    <row r="28" spans="1:31" x14ac:dyDescent="0.25">
      <c r="A28" s="980"/>
      <c r="B28" s="356">
        <v>27</v>
      </c>
      <c r="C28" s="563">
        <v>0</v>
      </c>
      <c r="D28" s="980"/>
      <c r="E28" s="356">
        <v>1325</v>
      </c>
      <c r="F28" s="564">
        <v>0.01</v>
      </c>
      <c r="G28" s="980"/>
      <c r="H28" s="308">
        <v>7.1</v>
      </c>
      <c r="I28" s="564">
        <v>0</v>
      </c>
      <c r="K28" s="991"/>
      <c r="L28" s="13">
        <v>27</v>
      </c>
      <c r="M28" s="56" t="e">
        <f>(0.14/1000)*SQRT(Bericht!$E$49/Berechnungen!$E$18)*Berechnungen!$G$17</f>
        <v>#DIV/0!</v>
      </c>
      <c r="N28" s="57"/>
      <c r="O28" s="60"/>
      <c r="P28" s="59"/>
      <c r="Q28" s="310">
        <f>IF($G$1="Neuerrichtung",$B$1*POWER(($C28/100)*(Berechnungen!I$4),2),0)</f>
        <v>0</v>
      </c>
      <c r="R28" s="309">
        <f>IF($G$54="Neuerrichtung",$B$54*POWER(($C81/100)*(Berechnungen!I$5),2),0)</f>
        <v>0</v>
      </c>
      <c r="S28" s="310">
        <f>IF($G$107="Neuerrichtung",$B$107*POWER(($C134/100)*(Berechnungen!I$6),2),0)</f>
        <v>0</v>
      </c>
      <c r="T28" s="309">
        <f>IF($G$160="Neuerrichtung",$B$160*POWER(($C187/100)*(Berechnungen!I$7),2),0)</f>
        <v>0</v>
      </c>
      <c r="U28" s="309">
        <f>IF($G$213="Neuerrichtung",$B$213*POWER(($C240/100)*(Berechnungen!I$8),2),0)</f>
        <v>0</v>
      </c>
      <c r="V28" s="309">
        <f>IF($G$266="Neuerrichtung",$B$266*POWER(($C293/100)*(Berechnungen!I$9),2),0)</f>
        <v>0</v>
      </c>
      <c r="W28" s="309">
        <f>IF($G$319="Neuerrichtung",$B$319*POWER(($C346/100)*(Berechnungen!I$10),2),0)</f>
        <v>0</v>
      </c>
      <c r="X28" s="309">
        <f>IF($G$372="Neuerrichtung",$B$372*POWER(($C399/100)*(Berechnungen!I$11),2),0)</f>
        <v>0</v>
      </c>
      <c r="Y28" s="309">
        <f>IF($G$425="Neuerrichtung",$B$425*POWER(($C452/100)*(Berechnungen!I$12),2),0)</f>
        <v>0</v>
      </c>
      <c r="Z28" s="829">
        <f>IF($G$478="Neuerrichtung",$B$478*POWER(($C505/100)*(Berechnungen!I$13),2),0)</f>
        <v>0</v>
      </c>
      <c r="AA28" s="332" t="e">
        <f t="shared" si="0"/>
        <v>#DIV/0!</v>
      </c>
      <c r="AB28" s="294">
        <f t="shared" si="1"/>
        <v>0</v>
      </c>
      <c r="AC28" s="333" t="e">
        <f t="shared" ref="AC28" si="11">(AA28-AB28)/AA28*100</f>
        <v>#DIV/0!</v>
      </c>
      <c r="AD28" s="295" t="e">
        <f t="shared" si="2"/>
        <v>#DIV/0!</v>
      </c>
      <c r="AE28" s="296" t="e">
        <f t="shared" si="10"/>
        <v>#DIV/0!</v>
      </c>
    </row>
    <row r="29" spans="1:31" x14ac:dyDescent="0.25">
      <c r="A29" s="980"/>
      <c r="B29" s="356">
        <v>28</v>
      </c>
      <c r="C29" s="563">
        <v>0</v>
      </c>
      <c r="D29" s="980"/>
      <c r="E29" s="356">
        <v>1375</v>
      </c>
      <c r="F29" s="564">
        <v>0.01</v>
      </c>
      <c r="G29" s="980"/>
      <c r="H29" s="308">
        <v>7.3</v>
      </c>
      <c r="I29" s="564">
        <v>0</v>
      </c>
      <c r="K29" s="991"/>
      <c r="L29" s="13">
        <v>28</v>
      </c>
      <c r="M29" s="56" t="e">
        <f>(0.23/1000)*SQRT(Bericht!$E$49/Berechnungen!$E$18)*Berechnungen!$G$17</f>
        <v>#DIV/0!</v>
      </c>
      <c r="N29" s="57"/>
      <c r="O29" s="58"/>
      <c r="P29" s="59"/>
      <c r="Q29" s="310">
        <f>IF($G$1="Neuerrichtung",$B$1*POWER(($C29/100)*(Berechnungen!I$4),2),0)</f>
        <v>0</v>
      </c>
      <c r="R29" s="309">
        <f>IF($G$54="Neuerrichtung",$B$54*POWER(($C82/100)*(Berechnungen!I$5),2),0)</f>
        <v>0</v>
      </c>
      <c r="S29" s="310">
        <f>IF($G$107="Neuerrichtung",$B$107*POWER(($C135/100)*(Berechnungen!I$6),2),0)</f>
        <v>0</v>
      </c>
      <c r="T29" s="309">
        <f>IF($G$160="Neuerrichtung",$B$160*POWER(($C188/100)*(Berechnungen!I$7),2),0)</f>
        <v>0</v>
      </c>
      <c r="U29" s="309">
        <f>IF($G$213="Neuerrichtung",$B$213*POWER(($C241/100)*(Berechnungen!I$8),2),0)</f>
        <v>0</v>
      </c>
      <c r="V29" s="309">
        <f>IF($G$266="Neuerrichtung",$B$266*POWER(($C294/100)*(Berechnungen!I$9),2),0)</f>
        <v>0</v>
      </c>
      <c r="W29" s="309">
        <f>IF($G$319="Neuerrichtung",$B$319*POWER(($C347/100)*(Berechnungen!I$10),2),0)</f>
        <v>0</v>
      </c>
      <c r="X29" s="309">
        <f>IF($G$372="Neuerrichtung",$B$372*POWER(($C400/100)*(Berechnungen!I$11),2),0)</f>
        <v>0</v>
      </c>
      <c r="Y29" s="309">
        <f>IF($G$425="Neuerrichtung",$B$425*POWER(($C453/100)*(Berechnungen!I$12),2),0)</f>
        <v>0</v>
      </c>
      <c r="Z29" s="829">
        <f>IF($G$478="Neuerrichtung",$B$478*POWER(($C506/100)*(Berechnungen!I$13),2),0)</f>
        <v>0</v>
      </c>
      <c r="AA29" s="332" t="e">
        <f t="shared" si="0"/>
        <v>#DIV/0!</v>
      </c>
      <c r="AB29" s="294">
        <f t="shared" si="1"/>
        <v>0</v>
      </c>
      <c r="AC29" s="333" t="e">
        <f>IF($G$49=1,"-",(AA29-AB29)/AA29*100)</f>
        <v>#DIV/0!</v>
      </c>
      <c r="AD29" s="295" t="e">
        <f t="shared" si="2"/>
        <v>#DIV/0!</v>
      </c>
      <c r="AE29" s="296" t="e">
        <f t="shared" si="10"/>
        <v>#DIV/0!</v>
      </c>
    </row>
    <row r="30" spans="1:31" x14ac:dyDescent="0.25">
      <c r="A30" s="980"/>
      <c r="B30" s="356">
        <v>29</v>
      </c>
      <c r="C30" s="563">
        <v>0.02</v>
      </c>
      <c r="D30" s="980"/>
      <c r="E30" s="356">
        <v>1425</v>
      </c>
      <c r="F30" s="564">
        <v>0.01</v>
      </c>
      <c r="G30" s="980"/>
      <c r="H30" s="308">
        <v>7.5</v>
      </c>
      <c r="I30" s="564">
        <v>0</v>
      </c>
      <c r="K30" s="991"/>
      <c r="L30" s="13">
        <v>29</v>
      </c>
      <c r="M30" s="56" t="e">
        <f>(0.61/1000)*SQRT(Bericht!$E$49/Berechnungen!$E$18)*Berechnungen!$G$17</f>
        <v>#DIV/0!</v>
      </c>
      <c r="N30" s="57"/>
      <c r="O30" s="60"/>
      <c r="P30" s="59"/>
      <c r="Q30" s="310">
        <f>IF($G$1="Neuerrichtung",$B$1*POWER(($C30/100)*(Berechnungen!I$4),2),0)</f>
        <v>0</v>
      </c>
      <c r="R30" s="309">
        <f>IF($G$54="Neuerrichtung",$B$54*POWER(($C83/100)*(Berechnungen!I$5),2),0)</f>
        <v>0</v>
      </c>
      <c r="S30" s="310">
        <f>IF($G$107="Neuerrichtung",$B$107*POWER(($C136/100)*(Berechnungen!I$6),2),0)</f>
        <v>0</v>
      </c>
      <c r="T30" s="309">
        <f>IF($G$160="Neuerrichtung",$B$160*POWER(($C189/100)*(Berechnungen!I$7),2),0)</f>
        <v>0</v>
      </c>
      <c r="U30" s="309">
        <f>IF($G$213="Neuerrichtung",$B$213*POWER(($C242/100)*(Berechnungen!I$8),2),0)</f>
        <v>0</v>
      </c>
      <c r="V30" s="309">
        <f>IF($G$266="Neuerrichtung",$B$266*POWER(($C295/100)*(Berechnungen!I$9),2),0)</f>
        <v>0</v>
      </c>
      <c r="W30" s="309">
        <f>IF($G$319="Neuerrichtung",$B$319*POWER(($C348/100)*(Berechnungen!I$10),2),0)</f>
        <v>0</v>
      </c>
      <c r="X30" s="309">
        <f>IF($G$372="Neuerrichtung",$B$372*POWER(($C401/100)*(Berechnungen!I$11),2),0)</f>
        <v>0</v>
      </c>
      <c r="Y30" s="309">
        <f>IF($G$425="Neuerrichtung",$B$425*POWER(($C454/100)*(Berechnungen!I$12),2),0)</f>
        <v>0</v>
      </c>
      <c r="Z30" s="829">
        <f>IF($G$478="Neuerrichtung",$B$478*POWER(($C507/100)*(Berechnungen!I$13),2),0)</f>
        <v>0</v>
      </c>
      <c r="AA30" s="332" t="e">
        <f t="shared" si="0"/>
        <v>#DIV/0!</v>
      </c>
      <c r="AB30" s="294">
        <f t="shared" si="1"/>
        <v>0</v>
      </c>
      <c r="AC30" s="333" t="e">
        <f t="shared" ref="AC30" si="12">(AA30-AB30)/AA30*100</f>
        <v>#DIV/0!</v>
      </c>
      <c r="AD30" s="295" t="e">
        <f t="shared" si="2"/>
        <v>#DIV/0!</v>
      </c>
      <c r="AE30" s="296" t="e">
        <f t="shared" si="10"/>
        <v>#DIV/0!</v>
      </c>
    </row>
    <row r="31" spans="1:31" x14ac:dyDescent="0.25">
      <c r="A31" s="980"/>
      <c r="B31" s="356">
        <v>30</v>
      </c>
      <c r="C31" s="563">
        <v>0</v>
      </c>
      <c r="D31" s="980"/>
      <c r="E31" s="356">
        <v>1475</v>
      </c>
      <c r="F31" s="564">
        <v>0.01</v>
      </c>
      <c r="G31" s="980"/>
      <c r="H31" s="308">
        <v>7.7</v>
      </c>
      <c r="I31" s="564">
        <v>0</v>
      </c>
      <c r="K31" s="991"/>
      <c r="L31" s="13">
        <v>30</v>
      </c>
      <c r="M31" s="56" t="e">
        <f>(0.21/1000)*SQRT(Bericht!$E$49/Berechnungen!$E$18)*Berechnungen!$G$17</f>
        <v>#DIV/0!</v>
      </c>
      <c r="N31" s="57"/>
      <c r="O31" s="58"/>
      <c r="P31" s="59"/>
      <c r="Q31" s="310">
        <f>IF($G$1="Neuerrichtung",$B$1*POWER(($C31/100)*(Berechnungen!I$4),2),0)</f>
        <v>0</v>
      </c>
      <c r="R31" s="309">
        <f>IF($G$54="Neuerrichtung",$B$54*POWER(($C84/100)*(Berechnungen!I$5),2),0)</f>
        <v>0</v>
      </c>
      <c r="S31" s="310">
        <f>IF($G$107="Neuerrichtung",$B$107*POWER(($C137/100)*(Berechnungen!I$6),2),0)</f>
        <v>0</v>
      </c>
      <c r="T31" s="309">
        <f>IF($G$160="Neuerrichtung",$B$160*POWER(($C190/100)*(Berechnungen!I$7),2),0)</f>
        <v>0</v>
      </c>
      <c r="U31" s="309">
        <f>IF($G$213="Neuerrichtung",$B$213*POWER(($C243/100)*(Berechnungen!I$8),2),0)</f>
        <v>0</v>
      </c>
      <c r="V31" s="309">
        <f>IF($G$266="Neuerrichtung",$B$266*POWER(($C296/100)*(Berechnungen!I$9),2),0)</f>
        <v>0</v>
      </c>
      <c r="W31" s="309">
        <f>IF($G$319="Neuerrichtung",$B$319*POWER(($C349/100)*(Berechnungen!I$10),2),0)</f>
        <v>0</v>
      </c>
      <c r="X31" s="309">
        <f>IF($G$372="Neuerrichtung",$B$372*POWER(($C402/100)*(Berechnungen!I$11),2),0)</f>
        <v>0</v>
      </c>
      <c r="Y31" s="309">
        <f>IF($G$425="Neuerrichtung",$B$425*POWER(($C455/100)*(Berechnungen!I$12),2),0)</f>
        <v>0</v>
      </c>
      <c r="Z31" s="829">
        <f>IF($G$478="Neuerrichtung",$B$478*POWER(($C508/100)*(Berechnungen!I$13),2),0)</f>
        <v>0</v>
      </c>
      <c r="AA31" s="332" t="e">
        <f t="shared" si="0"/>
        <v>#DIV/0!</v>
      </c>
      <c r="AB31" s="294">
        <f t="shared" si="1"/>
        <v>0</v>
      </c>
      <c r="AC31" s="333" t="e">
        <f>IF($G$49=1,"-",(AA31-AB31)/AA31*100)</f>
        <v>#DIV/0!</v>
      </c>
      <c r="AD31" s="295" t="e">
        <f t="shared" si="2"/>
        <v>#DIV/0!</v>
      </c>
      <c r="AE31" s="296" t="e">
        <f t="shared" si="10"/>
        <v>#DIV/0!</v>
      </c>
    </row>
    <row r="32" spans="1:31" x14ac:dyDescent="0.25">
      <c r="A32" s="980"/>
      <c r="B32" s="356">
        <v>31</v>
      </c>
      <c r="C32" s="563">
        <v>0.02</v>
      </c>
      <c r="D32" s="980"/>
      <c r="E32" s="356">
        <v>1525</v>
      </c>
      <c r="F32" s="564">
        <v>0.01</v>
      </c>
      <c r="G32" s="980"/>
      <c r="H32" s="308">
        <v>7.9</v>
      </c>
      <c r="I32" s="564">
        <v>0</v>
      </c>
      <c r="K32" s="991"/>
      <c r="L32" s="13">
        <v>31</v>
      </c>
      <c r="M32" s="56" t="e">
        <f>(0.52/1000)*SQRT(Bericht!$E$49/Berechnungen!$E$18)*Berechnungen!$G$17</f>
        <v>#DIV/0!</v>
      </c>
      <c r="N32" s="57"/>
      <c r="O32" s="60"/>
      <c r="P32" s="59"/>
      <c r="Q32" s="310">
        <f>IF($G$1="Neuerrichtung",$B$1*POWER(($C32/100)*(Berechnungen!I$4),2),0)</f>
        <v>0</v>
      </c>
      <c r="R32" s="309">
        <f>IF($G$54="Neuerrichtung",$B$54*POWER(($C85/100)*(Berechnungen!I$5),2),0)</f>
        <v>0</v>
      </c>
      <c r="S32" s="310">
        <f>IF($G$107="Neuerrichtung",$B$107*POWER(($C138/100)*(Berechnungen!I$6),2),0)</f>
        <v>0</v>
      </c>
      <c r="T32" s="309">
        <f>IF($G$160="Neuerrichtung",$B$160*POWER(($C191/100)*(Berechnungen!I$7),2),0)</f>
        <v>0</v>
      </c>
      <c r="U32" s="309">
        <f>IF($G$213="Neuerrichtung",$B$213*POWER(($C244/100)*(Berechnungen!I$8),2),0)</f>
        <v>0</v>
      </c>
      <c r="V32" s="309">
        <f>IF($G$266="Neuerrichtung",$B$266*POWER(($C297/100)*(Berechnungen!I$9),2),0)</f>
        <v>0</v>
      </c>
      <c r="W32" s="309">
        <f>IF($G$319="Neuerrichtung",$B$319*POWER(($C350/100)*(Berechnungen!I$10),2),0)</f>
        <v>0</v>
      </c>
      <c r="X32" s="309">
        <f>IF($G$372="Neuerrichtung",$B$372*POWER(($C403/100)*(Berechnungen!I$11),2),0)</f>
        <v>0</v>
      </c>
      <c r="Y32" s="309">
        <f>IF($G$425="Neuerrichtung",$B$425*POWER(($C456/100)*(Berechnungen!I$12),2),0)</f>
        <v>0</v>
      </c>
      <c r="Z32" s="829">
        <f>IF($G$478="Neuerrichtung",$B$478*POWER(($C509/100)*(Berechnungen!I$13),2),0)</f>
        <v>0</v>
      </c>
      <c r="AA32" s="332" t="e">
        <f t="shared" si="0"/>
        <v>#DIV/0!</v>
      </c>
      <c r="AB32" s="294">
        <f t="shared" si="1"/>
        <v>0</v>
      </c>
      <c r="AC32" s="333" t="e">
        <f>(AA32-AB32)/AA32*100</f>
        <v>#DIV/0!</v>
      </c>
      <c r="AD32" s="295" t="e">
        <f t="shared" si="2"/>
        <v>#DIV/0!</v>
      </c>
      <c r="AE32" s="296" t="e">
        <f t="shared" si="10"/>
        <v>#DIV/0!</v>
      </c>
    </row>
    <row r="33" spans="1:31" x14ac:dyDescent="0.25">
      <c r="A33" s="980"/>
      <c r="B33" s="356">
        <v>32</v>
      </c>
      <c r="C33" s="563">
        <v>0.01</v>
      </c>
      <c r="D33" s="980"/>
      <c r="E33" s="356">
        <v>1575</v>
      </c>
      <c r="F33" s="564">
        <v>0.01</v>
      </c>
      <c r="G33" s="980"/>
      <c r="H33" s="308">
        <v>8.1</v>
      </c>
      <c r="I33" s="564">
        <v>0</v>
      </c>
      <c r="K33" s="991"/>
      <c r="L33" s="13">
        <v>32</v>
      </c>
      <c r="M33" s="56" t="e">
        <f>(0.2/1000)*SQRT(Bericht!$E$49/Berechnungen!$E$18)*Berechnungen!$G$17</f>
        <v>#DIV/0!</v>
      </c>
      <c r="N33" s="57"/>
      <c r="O33" s="58"/>
      <c r="P33" s="59"/>
      <c r="Q33" s="310">
        <f>IF($G$1="Neuerrichtung",$B$1*POWER(($C33/100)*(Berechnungen!I$4),2),0)</f>
        <v>0</v>
      </c>
      <c r="R33" s="309">
        <f>IF($G$54="Neuerrichtung",$B$54*POWER(($C86/100)*(Berechnungen!I$5),2),0)</f>
        <v>0</v>
      </c>
      <c r="S33" s="310">
        <f>IF($G$107="Neuerrichtung",$B$107*POWER(($C139/100)*(Berechnungen!I$6),2),0)</f>
        <v>0</v>
      </c>
      <c r="T33" s="309">
        <f>IF($G$160="Neuerrichtung",$B$160*POWER(($C192/100)*(Berechnungen!I$7),2),0)</f>
        <v>0</v>
      </c>
      <c r="U33" s="309">
        <f>IF($G$213="Neuerrichtung",$B$213*POWER(($C245/100)*(Berechnungen!I$8),2),0)</f>
        <v>0</v>
      </c>
      <c r="V33" s="309">
        <f>IF($G$266="Neuerrichtung",$B$266*POWER(($C298/100)*(Berechnungen!I$9),2),0)</f>
        <v>0</v>
      </c>
      <c r="W33" s="309">
        <f>IF($G$319="Neuerrichtung",$B$319*POWER(($C351/100)*(Berechnungen!I$10),2),0)</f>
        <v>0</v>
      </c>
      <c r="X33" s="309">
        <f>IF($G$372="Neuerrichtung",$B$372*POWER(($C404/100)*(Berechnungen!I$11),2),0)</f>
        <v>0</v>
      </c>
      <c r="Y33" s="309">
        <f>IF($G$425="Neuerrichtung",$B$425*POWER(($C457/100)*(Berechnungen!I$12),2),0)</f>
        <v>0</v>
      </c>
      <c r="Z33" s="829">
        <f>IF($G$478="Neuerrichtung",$B$478*POWER(($C510/100)*(Berechnungen!I$13),2),0)</f>
        <v>0</v>
      </c>
      <c r="AA33" s="332" t="e">
        <f t="shared" si="0"/>
        <v>#DIV/0!</v>
      </c>
      <c r="AB33" s="294">
        <f t="shared" si="1"/>
        <v>0</v>
      </c>
      <c r="AC33" s="333" t="e">
        <f>IF($G$49=1,"-",(AA33-AB33)/AA33*100)</f>
        <v>#DIV/0!</v>
      </c>
      <c r="AD33" s="295" t="e">
        <f t="shared" si="2"/>
        <v>#DIV/0!</v>
      </c>
      <c r="AE33" s="296" t="e">
        <f t="shared" si="10"/>
        <v>#DIV/0!</v>
      </c>
    </row>
    <row r="34" spans="1:31" x14ac:dyDescent="0.25">
      <c r="A34" s="980"/>
      <c r="B34" s="356">
        <v>33</v>
      </c>
      <c r="C34" s="563">
        <v>0.01</v>
      </c>
      <c r="D34" s="980"/>
      <c r="E34" s="356">
        <v>1625</v>
      </c>
      <c r="F34" s="564">
        <v>0.01</v>
      </c>
      <c r="G34" s="980"/>
      <c r="H34" s="308">
        <v>8.3000000000000007</v>
      </c>
      <c r="I34" s="564">
        <v>0</v>
      </c>
      <c r="K34" s="991"/>
      <c r="L34" s="13">
        <v>33</v>
      </c>
      <c r="M34" s="56" t="e">
        <f>(0.12/1000)*SQRT(Bericht!$E$49/Berechnungen!$E$18)*Berechnungen!$G$17</f>
        <v>#DIV/0!</v>
      </c>
      <c r="N34" s="57"/>
      <c r="O34" s="60"/>
      <c r="P34" s="59"/>
      <c r="Q34" s="310">
        <f>IF($G$1="Neuerrichtung",$B$1*POWER(($C34/100)*(Berechnungen!I$4),2),0)</f>
        <v>0</v>
      </c>
      <c r="R34" s="309">
        <f>IF($G$54="Neuerrichtung",$B$54*POWER(($C87/100)*(Berechnungen!I$5),2),0)</f>
        <v>0</v>
      </c>
      <c r="S34" s="310">
        <f>IF($G$107="Neuerrichtung",$B$107*POWER(($C140/100)*(Berechnungen!I$6),2),0)</f>
        <v>0</v>
      </c>
      <c r="T34" s="309">
        <f>IF($G$160="Neuerrichtung",$B$160*POWER(($C193/100)*(Berechnungen!I$7),2),0)</f>
        <v>0</v>
      </c>
      <c r="U34" s="309">
        <f>IF($G$213="Neuerrichtung",$B$213*POWER(($C246/100)*(Berechnungen!I$8),2),0)</f>
        <v>0</v>
      </c>
      <c r="V34" s="309">
        <f>IF($G$266="Neuerrichtung",$B$266*POWER(($C299/100)*(Berechnungen!I$9),2),0)</f>
        <v>0</v>
      </c>
      <c r="W34" s="309">
        <f>IF($G$319="Neuerrichtung",$B$319*POWER(($C352/100)*(Berechnungen!I$10),2),0)</f>
        <v>0</v>
      </c>
      <c r="X34" s="309">
        <f>IF($G$372="Neuerrichtung",$B$372*POWER(($C405/100)*(Berechnungen!I$11),2),0)</f>
        <v>0</v>
      </c>
      <c r="Y34" s="309">
        <f>IF($G$425="Neuerrichtung",$B$425*POWER(($C458/100)*(Berechnungen!I$12),2),0)</f>
        <v>0</v>
      </c>
      <c r="Z34" s="829">
        <f>IF($G$478="Neuerrichtung",$B$478*POWER(($C511/100)*(Berechnungen!I$13),2),0)</f>
        <v>0</v>
      </c>
      <c r="AA34" s="332" t="e">
        <f t="shared" si="0"/>
        <v>#DIV/0!</v>
      </c>
      <c r="AB34" s="294">
        <f t="shared" si="1"/>
        <v>0</v>
      </c>
      <c r="AC34" s="333" t="e">
        <f t="shared" ref="AC34" si="13">(AA34-AB34)/AA34*100</f>
        <v>#DIV/0!</v>
      </c>
      <c r="AD34" s="295" t="e">
        <f t="shared" si="2"/>
        <v>#DIV/0!</v>
      </c>
      <c r="AE34" s="296" t="e">
        <f t="shared" si="10"/>
        <v>#DIV/0!</v>
      </c>
    </row>
    <row r="35" spans="1:31" x14ac:dyDescent="0.25">
      <c r="A35" s="980"/>
      <c r="B35" s="356">
        <v>34</v>
      </c>
      <c r="C35" s="563">
        <v>0.01</v>
      </c>
      <c r="D35" s="980"/>
      <c r="E35" s="356">
        <v>1675</v>
      </c>
      <c r="F35" s="564">
        <v>0.01</v>
      </c>
      <c r="G35" s="980"/>
      <c r="H35" s="308">
        <v>8.5</v>
      </c>
      <c r="I35" s="564">
        <v>0</v>
      </c>
      <c r="K35" s="991"/>
      <c r="L35" s="13">
        <v>34</v>
      </c>
      <c r="M35" s="56" t="e">
        <f>(0.18/1000)*SQRT(Bericht!$E$49/Berechnungen!$E$18)*Berechnungen!$G$17</f>
        <v>#DIV/0!</v>
      </c>
      <c r="N35" s="57"/>
      <c r="O35" s="58"/>
      <c r="P35" s="59"/>
      <c r="Q35" s="310">
        <f>IF($G$1="Neuerrichtung",$B$1*POWER(($C35/100)*(Berechnungen!I$4),2),0)</f>
        <v>0</v>
      </c>
      <c r="R35" s="309">
        <f>IF($G$54="Neuerrichtung",$B$54*POWER(($C88/100)*(Berechnungen!I$5),2),0)</f>
        <v>0</v>
      </c>
      <c r="S35" s="310">
        <f>IF($G$107="Neuerrichtung",$B$107*POWER(($C141/100)*(Berechnungen!I$6),2),0)</f>
        <v>0</v>
      </c>
      <c r="T35" s="309">
        <f>IF($G$160="Neuerrichtung",$B$160*POWER(($C194/100)*(Berechnungen!I$7),2),0)</f>
        <v>0</v>
      </c>
      <c r="U35" s="309">
        <f>IF($G$213="Neuerrichtung",$B$213*POWER(($C247/100)*(Berechnungen!I$8),2),0)</f>
        <v>0</v>
      </c>
      <c r="V35" s="309">
        <f>IF($G$266="Neuerrichtung",$B$266*POWER(($C300/100)*(Berechnungen!I$9),2),0)</f>
        <v>0</v>
      </c>
      <c r="W35" s="309">
        <f>IF($G$319="Neuerrichtung",$B$319*POWER(($C353/100)*(Berechnungen!I$10),2),0)</f>
        <v>0</v>
      </c>
      <c r="X35" s="309">
        <f>IF($G$372="Neuerrichtung",$B$372*POWER(($C406/100)*(Berechnungen!I$11),2),0)</f>
        <v>0</v>
      </c>
      <c r="Y35" s="309">
        <f>IF($G$425="Neuerrichtung",$B$425*POWER(($C459/100)*(Berechnungen!I$12),2),0)</f>
        <v>0</v>
      </c>
      <c r="Z35" s="829">
        <f>IF($G$478="Neuerrichtung",$B$478*POWER(($C512/100)*(Berechnungen!I$13),2),0)</f>
        <v>0</v>
      </c>
      <c r="AA35" s="332" t="e">
        <f t="shared" si="0"/>
        <v>#DIV/0!</v>
      </c>
      <c r="AB35" s="294">
        <f t="shared" si="1"/>
        <v>0</v>
      </c>
      <c r="AC35" s="333" t="e">
        <f>IF($G$49=1,"-",(AA35-AB35)/AA35*100)</f>
        <v>#DIV/0!</v>
      </c>
      <c r="AD35" s="295" t="e">
        <f t="shared" si="2"/>
        <v>#DIV/0!</v>
      </c>
      <c r="AE35" s="296" t="e">
        <f t="shared" si="10"/>
        <v>#DIV/0!</v>
      </c>
    </row>
    <row r="36" spans="1:31" x14ac:dyDescent="0.25">
      <c r="A36" s="980"/>
      <c r="B36" s="356">
        <v>35</v>
      </c>
      <c r="C36" s="563">
        <v>0.04</v>
      </c>
      <c r="D36" s="980"/>
      <c r="E36" s="356">
        <v>1725</v>
      </c>
      <c r="F36" s="564">
        <v>0.01</v>
      </c>
      <c r="G36" s="980"/>
      <c r="H36" s="308">
        <v>8.6999999999999993</v>
      </c>
      <c r="I36" s="564">
        <v>0</v>
      </c>
      <c r="K36" s="991"/>
      <c r="L36" s="13">
        <v>35</v>
      </c>
      <c r="M36" s="56" t="e">
        <f>(0.42/1000)*SQRT(Bericht!$E$49/Berechnungen!$E$18)*Berechnungen!$G$17</f>
        <v>#DIV/0!</v>
      </c>
      <c r="N36" s="57"/>
      <c r="O36" s="60"/>
      <c r="P36" s="59"/>
      <c r="Q36" s="310">
        <f>IF($G$1="Neuerrichtung",$B$1*POWER(($C36/100)*(Berechnungen!I$4),2),0)</f>
        <v>0</v>
      </c>
      <c r="R36" s="309">
        <f>IF($G$54="Neuerrichtung",$B$54*POWER(($C89/100)*(Berechnungen!I$5),2),0)</f>
        <v>0</v>
      </c>
      <c r="S36" s="310">
        <f>IF($G$107="Neuerrichtung",$B$107*POWER(($C142/100)*(Berechnungen!I$6),2),0)</f>
        <v>0</v>
      </c>
      <c r="T36" s="309">
        <f>IF($G$160="Neuerrichtung",$B$160*POWER(($C195/100)*(Berechnungen!I$7),2),0)</f>
        <v>0</v>
      </c>
      <c r="U36" s="309">
        <f>IF($G$213="Neuerrichtung",$B$213*POWER(($C248/100)*(Berechnungen!I$8),2),0)</f>
        <v>0</v>
      </c>
      <c r="V36" s="309">
        <f>IF($G$266="Neuerrichtung",$B$266*POWER(($C301/100)*(Berechnungen!I$9),2),0)</f>
        <v>0</v>
      </c>
      <c r="W36" s="309">
        <f>IF($G$319="Neuerrichtung",$B$319*POWER(($C354/100)*(Berechnungen!I$10),2),0)</f>
        <v>0</v>
      </c>
      <c r="X36" s="309">
        <f>IF($G$372="Neuerrichtung",$B$372*POWER(($C407/100)*(Berechnungen!I$11),2),0)</f>
        <v>0</v>
      </c>
      <c r="Y36" s="309">
        <f>IF($G$425="Neuerrichtung",$B$425*POWER(($C460/100)*(Berechnungen!I$12),2),0)</f>
        <v>0</v>
      </c>
      <c r="Z36" s="829">
        <f>IF($G$478="Neuerrichtung",$B$478*POWER(($C513/100)*(Berechnungen!I$13),2),0)</f>
        <v>0</v>
      </c>
      <c r="AA36" s="332" t="e">
        <f t="shared" si="0"/>
        <v>#DIV/0!</v>
      </c>
      <c r="AB36" s="294">
        <f t="shared" si="1"/>
        <v>0</v>
      </c>
      <c r="AC36" s="333" t="e">
        <f t="shared" ref="AC36" si="14">(AA36-AB36)/AA36*100</f>
        <v>#DIV/0!</v>
      </c>
      <c r="AD36" s="295" t="e">
        <f t="shared" si="2"/>
        <v>#DIV/0!</v>
      </c>
      <c r="AE36" s="296" t="e">
        <f t="shared" si="10"/>
        <v>#DIV/0!</v>
      </c>
    </row>
    <row r="37" spans="1:31" x14ac:dyDescent="0.25">
      <c r="A37" s="980"/>
      <c r="B37" s="356">
        <v>36</v>
      </c>
      <c r="C37" s="563">
        <v>0</v>
      </c>
      <c r="D37" s="980"/>
      <c r="E37" s="356">
        <v>1775</v>
      </c>
      <c r="F37" s="564">
        <v>0.01</v>
      </c>
      <c r="G37" s="981"/>
      <c r="H37" s="308">
        <v>8.9</v>
      </c>
      <c r="I37" s="564">
        <v>0</v>
      </c>
      <c r="K37" s="991"/>
      <c r="L37" s="13">
        <v>36</v>
      </c>
      <c r="M37" s="56" t="e">
        <f>(0.18/1000)*SQRT(Bericht!$E$49/Berechnungen!$E$18)*Berechnungen!$G$17</f>
        <v>#DIV/0!</v>
      </c>
      <c r="N37" s="57"/>
      <c r="O37" s="58"/>
      <c r="P37" s="59"/>
      <c r="Q37" s="310">
        <f>IF($G$1="Neuerrichtung",$B$1*POWER(($C37/100)*(Berechnungen!I$4),2),0)</f>
        <v>0</v>
      </c>
      <c r="R37" s="309">
        <f>IF($G$54="Neuerrichtung",$B$54*POWER(($C90/100)*(Berechnungen!I$5),2),0)</f>
        <v>0</v>
      </c>
      <c r="S37" s="310">
        <f>IF($G$107="Neuerrichtung",$B$107*POWER(($C143/100)*(Berechnungen!I$6),2),0)</f>
        <v>0</v>
      </c>
      <c r="T37" s="309">
        <f>IF($G$160="Neuerrichtung",$B$160*POWER(($C196/100)*(Berechnungen!I$7),2),0)</f>
        <v>0</v>
      </c>
      <c r="U37" s="309">
        <f>IF($G$213="Neuerrichtung",$B$213*POWER(($C249/100)*(Berechnungen!I$8),2),0)</f>
        <v>0</v>
      </c>
      <c r="V37" s="309">
        <f>IF($G$266="Neuerrichtung",$B$266*POWER(($C302/100)*(Berechnungen!I$9),2),0)</f>
        <v>0</v>
      </c>
      <c r="W37" s="309">
        <f>IF($G$319="Neuerrichtung",$B$319*POWER(($C355/100)*(Berechnungen!I$10),2),0)</f>
        <v>0</v>
      </c>
      <c r="X37" s="309">
        <f>IF($G$372="Neuerrichtung",$B$372*POWER(($C408/100)*(Berechnungen!I$11),2),0)</f>
        <v>0</v>
      </c>
      <c r="Y37" s="309">
        <f>IF($G$425="Neuerrichtung",$B$425*POWER(($C461/100)*(Berechnungen!I$12),2),0)</f>
        <v>0</v>
      </c>
      <c r="Z37" s="829">
        <f>IF($G$478="Neuerrichtung",$B$478*POWER(($C514/100)*(Berechnungen!I$13),2),0)</f>
        <v>0</v>
      </c>
      <c r="AA37" s="332" t="e">
        <f t="shared" si="0"/>
        <v>#DIV/0!</v>
      </c>
      <c r="AB37" s="294">
        <f t="shared" si="1"/>
        <v>0</v>
      </c>
      <c r="AC37" s="333" t="e">
        <f>IF($G$49=1,"-",(AA37-AB37)/AA37*100)</f>
        <v>#DIV/0!</v>
      </c>
      <c r="AD37" s="295" t="e">
        <f t="shared" si="2"/>
        <v>#DIV/0!</v>
      </c>
      <c r="AE37" s="296" t="e">
        <f t="shared" si="10"/>
        <v>#DIV/0!</v>
      </c>
    </row>
    <row r="38" spans="1:31" x14ac:dyDescent="0.25">
      <c r="A38" s="980"/>
      <c r="B38" s="356">
        <v>37</v>
      </c>
      <c r="C38" s="563">
        <v>0.08</v>
      </c>
      <c r="D38" s="980"/>
      <c r="E38" s="356">
        <v>1825</v>
      </c>
      <c r="F38" s="564">
        <v>0.01</v>
      </c>
      <c r="G38" s="107"/>
      <c r="H38" s="107"/>
      <c r="I38" s="107"/>
      <c r="K38" s="991"/>
      <c r="L38" s="13">
        <v>37</v>
      </c>
      <c r="M38" s="56" t="e">
        <f>(0.37/1000)*SQRT(Bericht!$E$49/Berechnungen!$E$18)*Berechnungen!$G$17</f>
        <v>#DIV/0!</v>
      </c>
      <c r="N38" s="57"/>
      <c r="O38" s="60"/>
      <c r="P38" s="59"/>
      <c r="Q38" s="310">
        <f>IF($G$1="Neuerrichtung",$B$1*POWER(($C38/100)*(Berechnungen!I$4),2),0)</f>
        <v>0</v>
      </c>
      <c r="R38" s="309">
        <f>IF($G$54="Neuerrichtung",$B$54*POWER(($C91/100)*(Berechnungen!I$5),2),0)</f>
        <v>0</v>
      </c>
      <c r="S38" s="310">
        <f>IF($G$107="Neuerrichtung",$B$107*POWER(($C144/100)*(Berechnungen!I$6),2),0)</f>
        <v>0</v>
      </c>
      <c r="T38" s="309">
        <f>IF($G$160="Neuerrichtung",$B$160*POWER(($C197/100)*(Berechnungen!I$7),2),0)</f>
        <v>0</v>
      </c>
      <c r="U38" s="309">
        <f>IF($G$213="Neuerrichtung",$B$213*POWER(($C250/100)*(Berechnungen!I$8),2),0)</f>
        <v>0</v>
      </c>
      <c r="V38" s="309">
        <f>IF($G$266="Neuerrichtung",$B$266*POWER(($C303/100)*(Berechnungen!I$9),2),0)</f>
        <v>0</v>
      </c>
      <c r="W38" s="309">
        <f>IF($G$319="Neuerrichtung",$B$319*POWER(($C356/100)*(Berechnungen!I$10),2),0)</f>
        <v>0</v>
      </c>
      <c r="X38" s="309">
        <f>IF($G$372="Neuerrichtung",$B$372*POWER(($C409/100)*(Berechnungen!I$11),2),0)</f>
        <v>0</v>
      </c>
      <c r="Y38" s="309">
        <f>IF($G$425="Neuerrichtung",$B$425*POWER(($C462/100)*(Berechnungen!I$12),2),0)</f>
        <v>0</v>
      </c>
      <c r="Z38" s="829">
        <f>IF($G$478="Neuerrichtung",$B$478*POWER(($C515/100)*(Berechnungen!I$13),2),0)</f>
        <v>0</v>
      </c>
      <c r="AA38" s="332" t="e">
        <f t="shared" si="0"/>
        <v>#DIV/0!</v>
      </c>
      <c r="AB38" s="294">
        <f t="shared" si="1"/>
        <v>0</v>
      </c>
      <c r="AC38" s="333" t="e">
        <f t="shared" ref="AC38" si="15">(AA38-AB38)/AA38*100</f>
        <v>#DIV/0!</v>
      </c>
      <c r="AD38" s="295" t="e">
        <f t="shared" si="2"/>
        <v>#DIV/0!</v>
      </c>
      <c r="AE38" s="296" t="e">
        <f t="shared" si="10"/>
        <v>#DIV/0!</v>
      </c>
    </row>
    <row r="39" spans="1:31" x14ac:dyDescent="0.25">
      <c r="A39" s="980"/>
      <c r="B39" s="356">
        <v>38</v>
      </c>
      <c r="C39" s="563">
        <v>0</v>
      </c>
      <c r="D39" s="980"/>
      <c r="E39" s="356">
        <v>1875</v>
      </c>
      <c r="F39" s="564">
        <v>0.01</v>
      </c>
      <c r="G39" s="107"/>
      <c r="H39" s="107"/>
      <c r="I39" s="107"/>
      <c r="K39" s="991"/>
      <c r="L39" s="13">
        <v>38</v>
      </c>
      <c r="M39" s="56" t="e">
        <f>(0.17/1000)*SQRT(Bericht!$E$49/Berechnungen!$E$18)*Berechnungen!$G$17</f>
        <v>#DIV/0!</v>
      </c>
      <c r="N39" s="57"/>
      <c r="O39" s="58"/>
      <c r="P39" s="59"/>
      <c r="Q39" s="310">
        <f>IF($G$1="Neuerrichtung",$B$1*POWER(($C39/100)*(Berechnungen!I$4),2),0)</f>
        <v>0</v>
      </c>
      <c r="R39" s="309">
        <f>IF($G$54="Neuerrichtung",$B$54*POWER(($C92/100)*(Berechnungen!I$5),2),0)</f>
        <v>0</v>
      </c>
      <c r="S39" s="310">
        <f>IF($G$107="Neuerrichtung",$B$107*POWER(($C145/100)*(Berechnungen!I$6),2),0)</f>
        <v>0</v>
      </c>
      <c r="T39" s="309">
        <f>IF($G$160="Neuerrichtung",$B$160*POWER(($C198/100)*(Berechnungen!I$7),2),0)</f>
        <v>0</v>
      </c>
      <c r="U39" s="309">
        <f>IF($G$213="Neuerrichtung",$B$213*POWER(($C251/100)*(Berechnungen!I$8),2),0)</f>
        <v>0</v>
      </c>
      <c r="V39" s="309">
        <f>IF($G$266="Neuerrichtung",$B$266*POWER(($C304/100)*(Berechnungen!I$9),2),0)</f>
        <v>0</v>
      </c>
      <c r="W39" s="309">
        <f>IF($G$319="Neuerrichtung",$B$319*POWER(($C357/100)*(Berechnungen!I$10),2),0)</f>
        <v>0</v>
      </c>
      <c r="X39" s="309">
        <f>IF($G$372="Neuerrichtung",$B$372*POWER(($C410/100)*(Berechnungen!I$11),2),0)</f>
        <v>0</v>
      </c>
      <c r="Y39" s="309">
        <f>IF($G$425="Neuerrichtung",$B$425*POWER(($C463/100)*(Berechnungen!I$12),2),0)</f>
        <v>0</v>
      </c>
      <c r="Z39" s="829">
        <f>IF($G$478="Neuerrichtung",$B$478*POWER(($C516/100)*(Berechnungen!I$13),2),0)</f>
        <v>0</v>
      </c>
      <c r="AA39" s="332" t="e">
        <f t="shared" si="0"/>
        <v>#DIV/0!</v>
      </c>
      <c r="AB39" s="294">
        <f t="shared" si="1"/>
        <v>0</v>
      </c>
      <c r="AC39" s="333" t="e">
        <f>IF($G$49=1,"-",(AA39-AB39)/AA39*100)</f>
        <v>#DIV/0!</v>
      </c>
      <c r="AD39" s="295" t="e">
        <f t="shared" si="2"/>
        <v>#DIV/0!</v>
      </c>
      <c r="AE39" s="296" t="e">
        <f t="shared" si="10"/>
        <v>#DIV/0!</v>
      </c>
    </row>
    <row r="40" spans="1:31" x14ac:dyDescent="0.25">
      <c r="A40" s="980"/>
      <c r="B40" s="356">
        <v>39</v>
      </c>
      <c r="C40" s="563">
        <v>0.01</v>
      </c>
      <c r="D40" s="980"/>
      <c r="E40" s="356">
        <v>1925</v>
      </c>
      <c r="F40" s="564">
        <v>0.01</v>
      </c>
      <c r="G40" s="107"/>
      <c r="H40" s="107"/>
      <c r="I40" s="107"/>
      <c r="K40" s="991"/>
      <c r="L40" s="13">
        <v>39</v>
      </c>
      <c r="M40" s="56" t="e">
        <f>(0.1/1000)*SQRT(Bericht!$E$49/Berechnungen!$E$18)*Berechnungen!$G$17</f>
        <v>#DIV/0!</v>
      </c>
      <c r="N40" s="57"/>
      <c r="O40" s="60"/>
      <c r="P40" s="59"/>
      <c r="Q40" s="310">
        <f>IF($G$1="Neuerrichtung",$B$1*POWER(($C40/100)*(Berechnungen!I$4),2),0)</f>
        <v>0</v>
      </c>
      <c r="R40" s="309">
        <f>IF($G$54="Neuerrichtung",$B$54*POWER(($C93/100)*(Berechnungen!I$5),2),0)</f>
        <v>0</v>
      </c>
      <c r="S40" s="310">
        <f>IF($G$107="Neuerrichtung",$B$107*POWER(($C146/100)*(Berechnungen!I$6),2),0)</f>
        <v>0</v>
      </c>
      <c r="T40" s="309">
        <f>IF($G$160="Neuerrichtung",$B$160*POWER(($C199/100)*(Berechnungen!I$7),2),0)</f>
        <v>0</v>
      </c>
      <c r="U40" s="309">
        <f>IF($G$213="Neuerrichtung",$B$213*POWER(($C252/100)*(Berechnungen!I$8),2),0)</f>
        <v>0</v>
      </c>
      <c r="V40" s="309">
        <f>IF($G$266="Neuerrichtung",$B$266*POWER(($C305/100)*(Berechnungen!I$9),2),0)</f>
        <v>0</v>
      </c>
      <c r="W40" s="309">
        <f>IF($G$319="Neuerrichtung",$B$319*POWER(($C358/100)*(Berechnungen!I$10),2),0)</f>
        <v>0</v>
      </c>
      <c r="X40" s="309">
        <f>IF($G$372="Neuerrichtung",$B$372*POWER(($C411/100)*(Berechnungen!I$11),2),0)</f>
        <v>0</v>
      </c>
      <c r="Y40" s="309">
        <f>IF($G$425="Neuerrichtung",$B$425*POWER(($C464/100)*(Berechnungen!I$12),2),0)</f>
        <v>0</v>
      </c>
      <c r="Z40" s="829">
        <f>IF($G$478="Neuerrichtung",$B$478*POWER(($C517/100)*(Berechnungen!I$13),2),0)</f>
        <v>0</v>
      </c>
      <c r="AA40" s="332" t="e">
        <f t="shared" si="0"/>
        <v>#DIV/0!</v>
      </c>
      <c r="AB40" s="294">
        <f t="shared" si="1"/>
        <v>0</v>
      </c>
      <c r="AC40" s="333" t="e">
        <f t="shared" ref="AC40" si="16">(AA40-AB40)/AA40*100</f>
        <v>#DIV/0!</v>
      </c>
      <c r="AD40" s="295" t="e">
        <f t="shared" si="2"/>
        <v>#DIV/0!</v>
      </c>
      <c r="AE40" s="296" t="e">
        <f t="shared" si="10"/>
        <v>#DIV/0!</v>
      </c>
    </row>
    <row r="41" spans="1:31" x14ac:dyDescent="0.25">
      <c r="A41" s="980"/>
      <c r="B41" s="356">
        <v>40</v>
      </c>
      <c r="C41" s="564">
        <v>0</v>
      </c>
      <c r="D41" s="981"/>
      <c r="E41" s="356">
        <v>1975</v>
      </c>
      <c r="F41" s="564">
        <v>0.01</v>
      </c>
      <c r="G41" s="107"/>
      <c r="H41" s="107"/>
      <c r="I41" s="107"/>
      <c r="K41" s="991"/>
      <c r="L41" s="13">
        <v>40</v>
      </c>
      <c r="M41" s="56" t="e">
        <f>(0.16/1000)*SQRT(Bericht!$E$49/Berechnungen!$E$18)*Berechnungen!$G$17</f>
        <v>#DIV/0!</v>
      </c>
      <c r="N41" s="57"/>
      <c r="O41" s="58"/>
      <c r="P41" s="59"/>
      <c r="Q41" s="310">
        <f>IF($G$1="Neuerrichtung",$B$1*POWER(($C41/100)*(Berechnungen!I$4),2),0)</f>
        <v>0</v>
      </c>
      <c r="R41" s="309">
        <f>IF($G$54="Neuerrichtung",$B$54*POWER(($C94/100)*(Berechnungen!I$5),2),0)</f>
        <v>0</v>
      </c>
      <c r="S41" s="310">
        <f>IF($G$107="Neuerrichtung",$B$107*POWER(($C147/100)*(Berechnungen!I$6),2),0)</f>
        <v>0</v>
      </c>
      <c r="T41" s="309">
        <f>IF($G$160="Neuerrichtung",$B$160*POWER(($C200/100)*(Berechnungen!I$7),2),0)</f>
        <v>0</v>
      </c>
      <c r="U41" s="309">
        <f>IF($G$213="Neuerrichtung",$B$213*POWER(($C253/100)*(Berechnungen!I$8),2),0)</f>
        <v>0</v>
      </c>
      <c r="V41" s="309">
        <f>IF($G$266="Neuerrichtung",$B$266*POWER(($C306/100)*(Berechnungen!I$9),2),0)</f>
        <v>0</v>
      </c>
      <c r="W41" s="309">
        <f>IF($G$319="Neuerrichtung",$B$319*POWER(($C359/100)*(Berechnungen!I$10),2),0)</f>
        <v>0</v>
      </c>
      <c r="X41" s="309">
        <f>IF($G$372="Neuerrichtung",$B$372*POWER(($C412/100)*(Berechnungen!I$11),2),0)</f>
        <v>0</v>
      </c>
      <c r="Y41" s="309">
        <f>IF($G$425="Neuerrichtung",$B$425*POWER(($C465/100)*(Berechnungen!I$12),2),0)</f>
        <v>0</v>
      </c>
      <c r="Z41" s="829">
        <f>IF($G$478="Neuerrichtung",$B$478*POWER(($C518/100)*(Berechnungen!I$13),2),0)</f>
        <v>0</v>
      </c>
      <c r="AA41" s="332" t="e">
        <f t="shared" si="0"/>
        <v>#DIV/0!</v>
      </c>
      <c r="AB41" s="294">
        <f t="shared" si="1"/>
        <v>0</v>
      </c>
      <c r="AC41" s="333" t="e">
        <f>IF($G$49=1,"-",(AA41-AB41)/AA41*100)</f>
        <v>#DIV/0!</v>
      </c>
      <c r="AD41" s="295" t="e">
        <f t="shared" si="2"/>
        <v>#DIV/0!</v>
      </c>
      <c r="AE41" s="296" t="e">
        <f t="shared" si="10"/>
        <v>#DIV/0!</v>
      </c>
    </row>
    <row r="42" spans="1:31" x14ac:dyDescent="0.25">
      <c r="A42" s="980"/>
      <c r="B42" s="356">
        <v>41</v>
      </c>
      <c r="C42" s="564">
        <v>0.03</v>
      </c>
      <c r="D42" s="107"/>
      <c r="E42" s="107"/>
      <c r="F42" s="107"/>
      <c r="G42" s="107"/>
      <c r="H42" s="107"/>
      <c r="I42" s="107"/>
      <c r="K42" s="991"/>
      <c r="L42" s="13">
        <v>41</v>
      </c>
      <c r="M42" s="56"/>
      <c r="N42" s="57"/>
      <c r="O42" s="60"/>
      <c r="P42" s="59"/>
      <c r="Q42" s="310">
        <f>IF($G$1="Neuerrichtung",$B$1*POWER(($C42/100)*(Berechnungen!I$4),2),0)</f>
        <v>0</v>
      </c>
      <c r="R42" s="309">
        <f>IF($G$54="Neuerrichtung",$B$54*POWER(($C95/100)*(Berechnungen!I$5),2),0)</f>
        <v>0</v>
      </c>
      <c r="S42" s="310">
        <f>IF($G$107="Neuerrichtung",$B$107*POWER(($C148/100)*(Berechnungen!I$6),2),0)</f>
        <v>0</v>
      </c>
      <c r="T42" s="309">
        <f>IF($G$160="Neuerrichtung",$B$160*POWER(($C201/100)*(Berechnungen!I$7),2),0)</f>
        <v>0</v>
      </c>
      <c r="U42" s="309">
        <f>IF($G$213="Neuerrichtung",$B$213*POWER(($C254/100)*(Berechnungen!I$8),2),0)</f>
        <v>0</v>
      </c>
      <c r="V42" s="309">
        <f>IF($G$266="Neuerrichtung",$B$266*POWER(($C307/100)*(Berechnungen!I$9),2),0)</f>
        <v>0</v>
      </c>
      <c r="W42" s="309">
        <f>IF($G$319="Neuerrichtung",$B$319*POWER(($C360/100)*(Berechnungen!I$10),2),0)</f>
        <v>0</v>
      </c>
      <c r="X42" s="309">
        <f>IF($G$372="Neuerrichtung",$B$372*POWER(($C413/100)*(Berechnungen!I$11),2),0)</f>
        <v>0</v>
      </c>
      <c r="Y42" s="309">
        <f>IF($G$425="Neuerrichtung",$B$425*POWER(($C466/100)*(Berechnungen!I$12),2),0)</f>
        <v>0</v>
      </c>
      <c r="Z42" s="829">
        <f>IF($G$478="Neuerrichtung",$B$478*POWER(($C519/100)*(Berechnungen!I$13),2),0)</f>
        <v>0</v>
      </c>
      <c r="AA42" s="332">
        <f t="shared" si="0"/>
        <v>0</v>
      </c>
      <c r="AB42" s="294">
        <f t="shared" si="1"/>
        <v>0</v>
      </c>
      <c r="AC42" s="333" t="e">
        <f t="shared" ref="AC42" si="17">(AA42-AB42)/AA42*100</f>
        <v>#DIV/0!</v>
      </c>
      <c r="AD42" s="295" t="e">
        <f t="shared" si="2"/>
        <v>#DIV/0!</v>
      </c>
      <c r="AE42" s="296" t="e">
        <f t="shared" si="10"/>
        <v>#DIV/0!</v>
      </c>
    </row>
    <row r="43" spans="1:31" x14ac:dyDescent="0.25">
      <c r="A43" s="980"/>
      <c r="B43" s="356">
        <v>42</v>
      </c>
      <c r="C43" s="564">
        <v>0</v>
      </c>
      <c r="D43" s="107"/>
      <c r="E43" s="107"/>
      <c r="F43" s="107"/>
      <c r="G43" s="107"/>
      <c r="H43" s="107"/>
      <c r="I43" s="107"/>
      <c r="K43" s="991"/>
      <c r="L43" s="13">
        <v>42</v>
      </c>
      <c r="M43" s="56"/>
      <c r="N43" s="57"/>
      <c r="O43" s="58"/>
      <c r="P43" s="59"/>
      <c r="Q43" s="310">
        <f>IF($G$1="Neuerrichtung",$B$1*POWER(($C43/100)*(Berechnungen!I$4),2),0)</f>
        <v>0</v>
      </c>
      <c r="R43" s="309">
        <f>IF($G$54="Neuerrichtung",$B$54*POWER(($C96/100)*(Berechnungen!I$5),2),0)</f>
        <v>0</v>
      </c>
      <c r="S43" s="310">
        <f>IF($G$107="Neuerrichtung",$B$107*POWER(($C149/100)*(Berechnungen!I$6),2),0)</f>
        <v>0</v>
      </c>
      <c r="T43" s="309">
        <f>IF($G$160="Neuerrichtung",$B$160*POWER(($C202/100)*(Berechnungen!I$7),2),0)</f>
        <v>0</v>
      </c>
      <c r="U43" s="309">
        <f>IF($G$213="Neuerrichtung",$B$213*POWER(($C255/100)*(Berechnungen!I$8),2),0)</f>
        <v>0</v>
      </c>
      <c r="V43" s="309">
        <f>IF($G$266="Neuerrichtung",$B$266*POWER(($C308/100)*(Berechnungen!I$9),2),0)</f>
        <v>0</v>
      </c>
      <c r="W43" s="309">
        <f>IF($G$319="Neuerrichtung",$B$319*POWER(($C361/100)*(Berechnungen!I$10),2),0)</f>
        <v>0</v>
      </c>
      <c r="X43" s="309">
        <f>IF($G$372="Neuerrichtung",$B$372*POWER(($C414/100)*(Berechnungen!I$11),2),0)</f>
        <v>0</v>
      </c>
      <c r="Y43" s="309">
        <f>IF($G$425="Neuerrichtung",$B$425*POWER(($C467/100)*(Berechnungen!I$12),2),0)</f>
        <v>0</v>
      </c>
      <c r="Z43" s="829">
        <f>IF($G$478="Neuerrichtung",$B$478*POWER(($C520/100)*(Berechnungen!I$13),2),0)</f>
        <v>0</v>
      </c>
      <c r="AA43" s="332">
        <f t="shared" si="0"/>
        <v>0</v>
      </c>
      <c r="AB43" s="294">
        <f t="shared" si="1"/>
        <v>0</v>
      </c>
      <c r="AC43" s="333" t="e">
        <f>IF($G$49=1,"-",(AA43-AB43)/AA43*100)</f>
        <v>#DIV/0!</v>
      </c>
      <c r="AD43" s="295" t="e">
        <f t="shared" si="2"/>
        <v>#DIV/0!</v>
      </c>
      <c r="AE43" s="296" t="e">
        <f t="shared" si="10"/>
        <v>#DIV/0!</v>
      </c>
    </row>
    <row r="44" spans="1:31" x14ac:dyDescent="0.25">
      <c r="A44" s="980"/>
      <c r="B44" s="356">
        <v>43</v>
      </c>
      <c r="C44" s="564">
        <v>0</v>
      </c>
      <c r="D44" s="107"/>
      <c r="E44" s="107"/>
      <c r="F44" s="107"/>
      <c r="G44" s="107"/>
      <c r="H44" s="107"/>
      <c r="I44" s="107"/>
      <c r="K44" s="991"/>
      <c r="L44" s="13">
        <v>43</v>
      </c>
      <c r="M44" s="56"/>
      <c r="N44" s="57"/>
      <c r="O44" s="60"/>
      <c r="P44" s="59"/>
      <c r="Q44" s="310">
        <f>IF($G$1="Neuerrichtung",$B$1*POWER(($C44/100)*(Berechnungen!I$4),2),0)</f>
        <v>0</v>
      </c>
      <c r="R44" s="309">
        <f>IF($G$54="Neuerrichtung",$B$54*POWER(($C97/100)*(Berechnungen!I$5),2),0)</f>
        <v>0</v>
      </c>
      <c r="S44" s="310">
        <f>IF($G$107="Neuerrichtung",$B$107*POWER(($C150/100)*(Berechnungen!I$6),2),0)</f>
        <v>0</v>
      </c>
      <c r="T44" s="309">
        <f>IF($G$160="Neuerrichtung",$B$160*POWER(($C203/100)*(Berechnungen!I$7),2),0)</f>
        <v>0</v>
      </c>
      <c r="U44" s="309">
        <f>IF($G$213="Neuerrichtung",$B$213*POWER(($C256/100)*(Berechnungen!I$8),2),0)</f>
        <v>0</v>
      </c>
      <c r="V44" s="309">
        <f>IF($G$266="Neuerrichtung",$B$266*POWER(($C309/100)*(Berechnungen!I$9),2),0)</f>
        <v>0</v>
      </c>
      <c r="W44" s="309">
        <f>IF($G$319="Neuerrichtung",$B$319*POWER(($C362/100)*(Berechnungen!I$10),2),0)</f>
        <v>0</v>
      </c>
      <c r="X44" s="309">
        <f>IF($G$372="Neuerrichtung",$B$372*POWER(($C415/100)*(Berechnungen!I$11),2),0)</f>
        <v>0</v>
      </c>
      <c r="Y44" s="309">
        <f>IF($G$425="Neuerrichtung",$B$425*POWER(($C468/100)*(Berechnungen!I$12),2),0)</f>
        <v>0</v>
      </c>
      <c r="Z44" s="829">
        <f>IF($G$478="Neuerrichtung",$B$478*POWER(($C521/100)*(Berechnungen!I$13),2),0)</f>
        <v>0</v>
      </c>
      <c r="AA44" s="332">
        <f t="shared" si="0"/>
        <v>0</v>
      </c>
      <c r="AB44" s="294">
        <f t="shared" si="1"/>
        <v>0</v>
      </c>
      <c r="AC44" s="333" t="e">
        <f t="shared" ref="AC44" si="18">(AA44-AB44)/AA44*100</f>
        <v>#DIV/0!</v>
      </c>
      <c r="AD44" s="295" t="e">
        <f t="shared" si="2"/>
        <v>#DIV/0!</v>
      </c>
      <c r="AE44" s="296" t="e">
        <f t="shared" si="10"/>
        <v>#DIV/0!</v>
      </c>
    </row>
    <row r="45" spans="1:31" ht="15.75" thickBot="1" x14ac:dyDescent="0.3">
      <c r="A45" s="980"/>
      <c r="B45" s="356">
        <v>44</v>
      </c>
      <c r="C45" s="564">
        <v>0</v>
      </c>
      <c r="D45" s="107"/>
      <c r="E45" s="107"/>
      <c r="F45" s="107"/>
      <c r="G45" s="107"/>
      <c r="H45" s="107"/>
      <c r="I45" s="107"/>
      <c r="K45" s="991"/>
      <c r="L45" s="13">
        <v>44</v>
      </c>
      <c r="M45" s="56"/>
      <c r="N45" s="57"/>
      <c r="O45" s="58"/>
      <c r="P45" s="59"/>
      <c r="Q45" s="310">
        <f>IF($G$1="Neuerrichtung",$B$1*POWER(($C45/100)*(Berechnungen!I$4),2),0)</f>
        <v>0</v>
      </c>
      <c r="R45" s="309">
        <f>IF($G$54="Neuerrichtung",$B$54*POWER(($C98/100)*(Berechnungen!I$5),2),0)</f>
        <v>0</v>
      </c>
      <c r="S45" s="310">
        <f>IF($G$107="Neuerrichtung",$B$107*POWER(($C151/100)*(Berechnungen!I$6),2),0)</f>
        <v>0</v>
      </c>
      <c r="T45" s="309">
        <f>IF($G$160="Neuerrichtung",$B$160*POWER(($C204/100)*(Berechnungen!I$7),2),0)</f>
        <v>0</v>
      </c>
      <c r="U45" s="309">
        <f>IF($G$213="Neuerrichtung",$B$213*POWER(($C257/100)*(Berechnungen!I$8),2),0)</f>
        <v>0</v>
      </c>
      <c r="V45" s="309">
        <f>IF($G$266="Neuerrichtung",$B$266*POWER(($C310/100)*(Berechnungen!I$9),2),0)</f>
        <v>0</v>
      </c>
      <c r="W45" s="309">
        <f>IF($G$319="Neuerrichtung",$B$319*POWER(($C363/100)*(Berechnungen!I$10),2),0)</f>
        <v>0</v>
      </c>
      <c r="X45" s="309">
        <f>IF($G$372="Neuerrichtung",$B$372*POWER(($C416/100)*(Berechnungen!I$11),2),0)</f>
        <v>0</v>
      </c>
      <c r="Y45" s="309">
        <f>IF($G$425="Neuerrichtung",$B$425*POWER(($C469/100)*(Berechnungen!I$12),2),0)</f>
        <v>0</v>
      </c>
      <c r="Z45" s="829">
        <f>IF($G$478="Neuerrichtung",$B$478*POWER(($C522/100)*(Berechnungen!I$13),2),0)</f>
        <v>0</v>
      </c>
      <c r="AA45" s="332">
        <f t="shared" si="0"/>
        <v>0</v>
      </c>
      <c r="AB45" s="294">
        <f t="shared" si="1"/>
        <v>0</v>
      </c>
      <c r="AC45" s="333" t="e">
        <f>IF($G$49=1,"-",(AA45-AB45)/AA45*100)</f>
        <v>#DIV/0!</v>
      </c>
      <c r="AD45" s="295" t="e">
        <f t="shared" si="2"/>
        <v>#DIV/0!</v>
      </c>
      <c r="AE45" s="296" t="e">
        <f t="shared" si="10"/>
        <v>#DIV/0!</v>
      </c>
    </row>
    <row r="46" spans="1:31" ht="15.75" thickTop="1" x14ac:dyDescent="0.25">
      <c r="A46" s="980"/>
      <c r="B46" s="356">
        <v>45</v>
      </c>
      <c r="C46" s="564">
        <v>0</v>
      </c>
      <c r="D46" s="107"/>
      <c r="E46" s="107"/>
      <c r="F46" s="107"/>
      <c r="G46" s="995" t="s">
        <v>513</v>
      </c>
      <c r="H46" s="996"/>
      <c r="I46" s="997"/>
      <c r="K46" s="991"/>
      <c r="L46" s="13">
        <v>45</v>
      </c>
      <c r="M46" s="56"/>
      <c r="N46" s="57"/>
      <c r="O46" s="60"/>
      <c r="P46" s="59"/>
      <c r="Q46" s="310">
        <f>IF($G$1="Neuerrichtung",$B$1*POWER(($C46/100)*(Berechnungen!I$4),2),0)</f>
        <v>0</v>
      </c>
      <c r="R46" s="309">
        <f>IF($G$54="Neuerrichtung",$B$54*POWER(($C99/100)*(Berechnungen!I$5),2),0)</f>
        <v>0</v>
      </c>
      <c r="S46" s="310">
        <f>IF($G$107="Neuerrichtung",$B$107*POWER(($C152/100)*(Berechnungen!I$6),2),0)</f>
        <v>0</v>
      </c>
      <c r="T46" s="309">
        <f>IF($G$160="Neuerrichtung",$B$160*POWER(($C205/100)*(Berechnungen!I$7),2),0)</f>
        <v>0</v>
      </c>
      <c r="U46" s="309">
        <f>IF($G$213="Neuerrichtung",$B$213*POWER(($C258/100)*(Berechnungen!I$8),2),0)</f>
        <v>0</v>
      </c>
      <c r="V46" s="309">
        <f>IF($G$266="Neuerrichtung",$B$266*POWER(($C311/100)*(Berechnungen!I$9),2),0)</f>
        <v>0</v>
      </c>
      <c r="W46" s="309">
        <f>IF($G$319="Neuerrichtung",$B$319*POWER(($C364/100)*(Berechnungen!I$10),2),0)</f>
        <v>0</v>
      </c>
      <c r="X46" s="309">
        <f>IF($G$372="Neuerrichtung",$B$372*POWER(($C417/100)*(Berechnungen!I$11),2),0)</f>
        <v>0</v>
      </c>
      <c r="Y46" s="309">
        <f>IF($G$425="Neuerrichtung",$B$425*POWER(($C470/100)*(Berechnungen!I$12),2),0)</f>
        <v>0</v>
      </c>
      <c r="Z46" s="829">
        <f>IF($G$478="Neuerrichtung",$B$478*POWER(($C523/100)*(Berechnungen!I$13),2),0)</f>
        <v>0</v>
      </c>
      <c r="AA46" s="332">
        <f t="shared" si="0"/>
        <v>0</v>
      </c>
      <c r="AB46" s="294">
        <f t="shared" si="1"/>
        <v>0</v>
      </c>
      <c r="AC46" s="333" t="e">
        <f t="shared" ref="AC46" si="19">(AA46-AB46)/AA46*100</f>
        <v>#DIV/0!</v>
      </c>
      <c r="AD46" s="295" t="e">
        <f t="shared" si="2"/>
        <v>#DIV/0!</v>
      </c>
      <c r="AE46" s="296" t="e">
        <f t="shared" si="10"/>
        <v>#DIV/0!</v>
      </c>
    </row>
    <row r="47" spans="1:31" x14ac:dyDescent="0.25">
      <c r="A47" s="980"/>
      <c r="B47" s="356">
        <v>46</v>
      </c>
      <c r="C47" s="564">
        <v>0</v>
      </c>
      <c r="D47" s="107"/>
      <c r="E47" s="107"/>
      <c r="F47" s="107"/>
      <c r="G47" s="998"/>
      <c r="H47" s="999"/>
      <c r="I47" s="1000"/>
      <c r="K47" s="991"/>
      <c r="L47" s="13">
        <v>46</v>
      </c>
      <c r="M47" s="56"/>
      <c r="N47" s="57"/>
      <c r="O47" s="58"/>
      <c r="P47" s="59"/>
      <c r="Q47" s="310">
        <f>IF($G$1="Neuerrichtung",$B$1*POWER(($C47/100)*(Berechnungen!I$4),2),0)</f>
        <v>0</v>
      </c>
      <c r="R47" s="309">
        <f>IF($G$54="Neuerrichtung",$B$54*POWER(($C100/100)*(Berechnungen!I$5),2),0)</f>
        <v>0</v>
      </c>
      <c r="S47" s="310">
        <f>IF($G$107="Neuerrichtung",$B$107*POWER(($C153/100)*(Berechnungen!I$6),2),0)</f>
        <v>0</v>
      </c>
      <c r="T47" s="309">
        <f>IF($G$160="Neuerrichtung",$B$160*POWER(($C206/100)*(Berechnungen!I$7),2),0)</f>
        <v>0</v>
      </c>
      <c r="U47" s="309">
        <f>IF($G$213="Neuerrichtung",$B$213*POWER(($C259/100)*(Berechnungen!I$8),2),0)</f>
        <v>0</v>
      </c>
      <c r="V47" s="309">
        <f>IF($G$266="Neuerrichtung",$B$266*POWER(($C312/100)*(Berechnungen!I$9),2),0)</f>
        <v>0</v>
      </c>
      <c r="W47" s="309">
        <f>IF($G$319="Neuerrichtung",$B$319*POWER(($C365/100)*(Berechnungen!I$10),2),0)</f>
        <v>0</v>
      </c>
      <c r="X47" s="309">
        <f>IF($G$372="Neuerrichtung",$B$372*POWER(($C418/100)*(Berechnungen!I$11),2),0)</f>
        <v>0</v>
      </c>
      <c r="Y47" s="309">
        <f>IF($G$425="Neuerrichtung",$B$425*POWER(($C471/100)*(Berechnungen!I$12),2),0)</f>
        <v>0</v>
      </c>
      <c r="Z47" s="829">
        <f>IF($G$478="Neuerrichtung",$B$478*POWER(($C524/100)*(Berechnungen!I$13),2),0)</f>
        <v>0</v>
      </c>
      <c r="AA47" s="332">
        <f t="shared" si="0"/>
        <v>0</v>
      </c>
      <c r="AB47" s="294">
        <f t="shared" si="1"/>
        <v>0</v>
      </c>
      <c r="AC47" s="333" t="e">
        <f>IF($G$49=1,"-",(AA47-AB47)/AA47*100)</f>
        <v>#DIV/0!</v>
      </c>
      <c r="AD47" s="295" t="e">
        <f t="shared" si="2"/>
        <v>#DIV/0!</v>
      </c>
      <c r="AE47" s="296" t="e">
        <f t="shared" si="10"/>
        <v>#DIV/0!</v>
      </c>
    </row>
    <row r="48" spans="1:31" x14ac:dyDescent="0.25">
      <c r="A48" s="980"/>
      <c r="B48" s="356">
        <v>47</v>
      </c>
      <c r="C48" s="564">
        <v>0</v>
      </c>
      <c r="D48" s="107"/>
      <c r="E48" s="107"/>
      <c r="F48" s="107"/>
      <c r="G48" s="1001"/>
      <c r="H48" s="1002"/>
      <c r="I48" s="1003"/>
      <c r="K48" s="991"/>
      <c r="L48" s="13">
        <v>47</v>
      </c>
      <c r="M48" s="56"/>
      <c r="N48" s="57"/>
      <c r="O48" s="60"/>
      <c r="P48" s="59"/>
      <c r="Q48" s="310">
        <f>IF($G$1="Neuerrichtung",$B$1*POWER(($C48/100)*(Berechnungen!I$4),2),0)</f>
        <v>0</v>
      </c>
      <c r="R48" s="309">
        <f>IF($G$54="Neuerrichtung",$B$54*POWER(($C101/100)*(Berechnungen!I$5),2),0)</f>
        <v>0</v>
      </c>
      <c r="S48" s="310">
        <f>IF($G$107="Neuerrichtung",$B$107*POWER(($C154/100)*(Berechnungen!I$6),2),0)</f>
        <v>0</v>
      </c>
      <c r="T48" s="309">
        <f>IF($G$160="Neuerrichtung",$B$160*POWER(($C207/100)*(Berechnungen!I$7),2),0)</f>
        <v>0</v>
      </c>
      <c r="U48" s="309">
        <f>IF($G$213="Neuerrichtung",$B$213*POWER(($C260/100)*(Berechnungen!I$8),2),0)</f>
        <v>0</v>
      </c>
      <c r="V48" s="309">
        <f>IF($G$266="Neuerrichtung",$B$266*POWER(($C313/100)*(Berechnungen!I$9),2),0)</f>
        <v>0</v>
      </c>
      <c r="W48" s="309">
        <f>IF($G$319="Neuerrichtung",$B$319*POWER(($C366/100)*(Berechnungen!I$10),2),0)</f>
        <v>0</v>
      </c>
      <c r="X48" s="309">
        <f>IF($G$372="Neuerrichtung",$B$372*POWER(($C419/100)*(Berechnungen!I$11),2),0)</f>
        <v>0</v>
      </c>
      <c r="Y48" s="309">
        <f>IF($G$425="Neuerrichtung",$B$425*POWER(($C472/100)*(Berechnungen!I$12),2),0)</f>
        <v>0</v>
      </c>
      <c r="Z48" s="309">
        <f>IF($G$478="Neuerrichtung",$B$478*POWER(($C525/100)*(Berechnungen!I$13),2),0)</f>
        <v>0</v>
      </c>
      <c r="AA48" s="332">
        <f t="shared" si="0"/>
        <v>0</v>
      </c>
      <c r="AB48" s="294">
        <f t="shared" si="1"/>
        <v>0</v>
      </c>
      <c r="AC48" s="333" t="e">
        <f t="shared" ref="AC48" si="20">(AA48-AB48)/AA48*100</f>
        <v>#DIV/0!</v>
      </c>
      <c r="AD48" s="295" t="e">
        <f t="shared" si="2"/>
        <v>#DIV/0!</v>
      </c>
      <c r="AE48" s="296" t="e">
        <f t="shared" si="10"/>
        <v>#DIV/0!</v>
      </c>
    </row>
    <row r="49" spans="1:32" ht="15.75" thickBot="1" x14ac:dyDescent="0.3">
      <c r="A49" s="980"/>
      <c r="B49" s="356">
        <v>48</v>
      </c>
      <c r="C49" s="564">
        <v>0</v>
      </c>
      <c r="D49" s="107"/>
      <c r="E49" s="107"/>
      <c r="F49" s="107"/>
      <c r="G49" s="1004">
        <v>0</v>
      </c>
      <c r="H49" s="1005"/>
      <c r="I49" s="1006"/>
      <c r="K49" s="991"/>
      <c r="L49" s="13">
        <v>48</v>
      </c>
      <c r="M49" s="56"/>
      <c r="N49" s="57"/>
      <c r="O49" s="58"/>
      <c r="P49" s="59"/>
      <c r="Q49" s="310">
        <f>IF($G$1="Neuerrichtung",$B$1*POWER(($C49/100)*(Berechnungen!I$4),2),0)</f>
        <v>0</v>
      </c>
      <c r="R49" s="309">
        <f>IF($G$54="Neuerrichtung",$B$54*POWER(($C102/100)*(Berechnungen!I$5),2),0)</f>
        <v>0</v>
      </c>
      <c r="S49" s="310">
        <f>IF($G$107="Neuerrichtung",$B$107*POWER(($C155/100)*(Berechnungen!I$6),2),0)</f>
        <v>0</v>
      </c>
      <c r="T49" s="309">
        <f>IF($G$160="Neuerrichtung",$B$160*POWER(($C208/100)*(Berechnungen!I$7),2),0)</f>
        <v>0</v>
      </c>
      <c r="U49" s="309">
        <f>IF($G$213="Neuerrichtung",$B$213*POWER(($C261/100)*(Berechnungen!I$8),2),0)</f>
        <v>0</v>
      </c>
      <c r="V49" s="309">
        <f>IF($G$266="Neuerrichtung",$B$266*POWER(($C314/100)*(Berechnungen!I$9),2),0)</f>
        <v>0</v>
      </c>
      <c r="W49" s="309">
        <f>IF($G$319="Neuerrichtung",$B$319*POWER(($C367/100)*(Berechnungen!I$10),2),0)</f>
        <v>0</v>
      </c>
      <c r="X49" s="309">
        <f>IF($G$372="Neuerrichtung",$B$372*POWER(($C420/100)*(Berechnungen!I$11),2),0)</f>
        <v>0</v>
      </c>
      <c r="Y49" s="309">
        <f>IF($G$425="Neuerrichtung",$B$425*POWER(($C473/100)*(Berechnungen!I$12),2),0)</f>
        <v>0</v>
      </c>
      <c r="Z49" s="309">
        <f>IF($G$478="Neuerrichtung",$B$478*POWER(($C526/100)*(Berechnungen!I$13),2),0)</f>
        <v>0</v>
      </c>
      <c r="AA49" s="332">
        <f t="shared" si="0"/>
        <v>0</v>
      </c>
      <c r="AB49" s="294">
        <f t="shared" si="1"/>
        <v>0</v>
      </c>
      <c r="AC49" s="333" t="e">
        <f>IF($G$49=1,"-",(AA49-AB49)/AA49*100)</f>
        <v>#DIV/0!</v>
      </c>
      <c r="AD49" s="295" t="e">
        <f t="shared" si="2"/>
        <v>#DIV/0!</v>
      </c>
      <c r="AE49" s="296" t="e">
        <f t="shared" si="10"/>
        <v>#DIV/0!</v>
      </c>
    </row>
    <row r="50" spans="1:32" ht="15.75" thickTop="1" x14ac:dyDescent="0.25">
      <c r="A50" s="980"/>
      <c r="B50" s="356">
        <v>49</v>
      </c>
      <c r="C50" s="564">
        <v>0</v>
      </c>
      <c r="D50" s="107"/>
      <c r="E50" s="107"/>
      <c r="F50" s="107"/>
      <c r="G50" s="107"/>
      <c r="H50" s="107"/>
      <c r="I50" s="107"/>
      <c r="K50" s="991"/>
      <c r="L50" s="13">
        <v>49</v>
      </c>
      <c r="M50" s="56"/>
      <c r="N50" s="57"/>
      <c r="O50" s="60"/>
      <c r="P50" s="59"/>
      <c r="Q50" s="310">
        <f>IF($G$1="Neuerrichtung",$B$1*POWER(($C50/100)*(Berechnungen!I$4),2),0)</f>
        <v>0</v>
      </c>
      <c r="R50" s="309">
        <f>IF($G$54="Neuerrichtung",$B$54*POWER(($C103/100)*(Berechnungen!I$5),2),0)</f>
        <v>0</v>
      </c>
      <c r="S50" s="310">
        <f>IF($G$107="Neuerrichtung",$B$107*POWER(($C156/100)*(Berechnungen!I$6),2),0)</f>
        <v>0</v>
      </c>
      <c r="T50" s="309">
        <f>IF($G$160="Neuerrichtung",$B$160*POWER(($C209/100)*(Berechnungen!I$7),2),0)</f>
        <v>0</v>
      </c>
      <c r="U50" s="309">
        <f>IF($G$213="Neuerrichtung",$B$213*POWER(($C262/100)*(Berechnungen!I$8),2),0)</f>
        <v>0</v>
      </c>
      <c r="V50" s="309">
        <f>IF($G$266="Neuerrichtung",$B$266*POWER(($C315/100)*(Berechnungen!I$9),2),0)</f>
        <v>0</v>
      </c>
      <c r="W50" s="309">
        <f>IF($G$319="Neuerrichtung",$B$319*POWER(($C368/100)*(Berechnungen!I$10),2),0)</f>
        <v>0</v>
      </c>
      <c r="X50" s="309">
        <f>IF($G$372="Neuerrichtung",$B$372*POWER(($C421/100)*(Berechnungen!I$11),2),0)</f>
        <v>0</v>
      </c>
      <c r="Y50" s="309">
        <f>IF($G$425="Neuerrichtung",$B$425*POWER(($C474/100)*(Berechnungen!I$12),2),0)</f>
        <v>0</v>
      </c>
      <c r="Z50" s="309">
        <f>IF($G$478="Neuerrichtung",$B$478*POWER(($C527/100)*(Berechnungen!I$13),2),0)</f>
        <v>0</v>
      </c>
      <c r="AA50" s="332">
        <f t="shared" si="0"/>
        <v>0</v>
      </c>
      <c r="AB50" s="294">
        <f t="shared" si="1"/>
        <v>0</v>
      </c>
      <c r="AC50" s="333" t="e">
        <f t="shared" ref="AC50" si="21">(AA50-AB50)/AA50*100</f>
        <v>#DIV/0!</v>
      </c>
      <c r="AD50" s="295" t="e">
        <f t="shared" si="2"/>
        <v>#DIV/0!</v>
      </c>
      <c r="AE50" s="296" t="e">
        <f t="shared" si="10"/>
        <v>#DIV/0!</v>
      </c>
    </row>
    <row r="51" spans="1:32" x14ac:dyDescent="0.25">
      <c r="A51" s="981"/>
      <c r="B51" s="356">
        <v>50</v>
      </c>
      <c r="C51" s="564">
        <v>0</v>
      </c>
      <c r="D51" s="107"/>
      <c r="E51" s="107"/>
      <c r="F51" s="107"/>
      <c r="G51" s="107"/>
      <c r="H51" s="107"/>
      <c r="I51" s="107"/>
      <c r="J51" t="s">
        <v>22</v>
      </c>
      <c r="K51" s="992"/>
      <c r="L51" s="13">
        <v>50</v>
      </c>
      <c r="M51" s="56"/>
      <c r="N51" s="57"/>
      <c r="O51" s="60"/>
      <c r="P51" s="59"/>
      <c r="Q51" s="310">
        <f>IF($G$1="Neuerrichtung",$B$1*POWER(($C51/100)*(Berechnungen!I$4),2),0)</f>
        <v>0</v>
      </c>
      <c r="R51" s="309">
        <f>IF($G$54="Neuerrichtung",$B$54*POWER(($C104/100)*(Berechnungen!I$5),2),0)</f>
        <v>0</v>
      </c>
      <c r="S51" s="309">
        <f>IF($G$107="Neuerrichtung",$B$107*POWER(($C157/100)*(Berechnungen!I$6),2),0)</f>
        <v>0</v>
      </c>
      <c r="T51" s="309">
        <f>IF($G$160="Neuerrichtung",$B$160*POWER(($C210/100)*(Berechnungen!I$7),2),0)</f>
        <v>0</v>
      </c>
      <c r="U51" s="309">
        <f>IF($G$213="Neuerrichtung",$B$213*POWER(($C263/100)*(Berechnungen!I$8),2),0)</f>
        <v>0</v>
      </c>
      <c r="V51" s="309">
        <f>IF($G$266="Neuerrichtung",$B$266*POWER(($C316/100)*(Berechnungen!I$9),2),0)</f>
        <v>0</v>
      </c>
      <c r="W51" s="309">
        <f>IF($G$319="Neuerrichtung",$B$319*POWER(($C369/100)*(Berechnungen!I$10),2),0)</f>
        <v>0</v>
      </c>
      <c r="X51" s="309">
        <f>IF($G$372="Neuerrichtung",$B$372*POWER(($C422/100)*(Berechnungen!I$11),2),0)</f>
        <v>0</v>
      </c>
      <c r="Y51" s="309">
        <f>IF($G$425="Neuerrichtung",$B$425*POWER(($C475/100)*(Berechnungen!I$12),2),0)</f>
        <v>0</v>
      </c>
      <c r="Z51" s="309">
        <f>IF($G$478="Neuerrichtung",$B$478*POWER(($C528/100)*(Berechnungen!I$13),2),0)</f>
        <v>0</v>
      </c>
      <c r="AA51" s="332">
        <f t="shared" si="0"/>
        <v>0</v>
      </c>
      <c r="AB51" s="294">
        <f t="shared" si="1"/>
        <v>0</v>
      </c>
      <c r="AC51" s="333" t="e">
        <f>IF($G$49=1,"-",(AA51-AB51)/AA51*100)</f>
        <v>#DIV/0!</v>
      </c>
      <c r="AD51" s="295" t="e">
        <f t="shared" si="2"/>
        <v>#DIV/0!</v>
      </c>
      <c r="AE51" s="296" t="e">
        <f t="shared" si="10"/>
        <v>#DIV/0!</v>
      </c>
    </row>
    <row r="52" spans="1:32" s="20" customFormat="1" ht="15" customHeight="1" thickBot="1" x14ac:dyDescent="0.3">
      <c r="A52" s="29"/>
      <c r="B52" s="29"/>
      <c r="C52" s="29"/>
      <c r="E52" s="29"/>
      <c r="F52" s="29"/>
      <c r="G52"/>
      <c r="H52"/>
      <c r="I52"/>
      <c r="J52" s="14">
        <v>1.5</v>
      </c>
      <c r="K52" s="987" t="s">
        <v>24</v>
      </c>
      <c r="L52" s="122">
        <v>75</v>
      </c>
      <c r="M52" s="312" t="e">
        <f>(1/$O$139)*(0.07/100)*(Bericht!$E$49/Berechnungen!$E$14)*Berechnungen!$G$17</f>
        <v>#DIV/0!</v>
      </c>
      <c r="N52" s="313"/>
      <c r="O52" s="60"/>
      <c r="P52" s="314"/>
      <c r="Q52" s="310">
        <f>IF($G$1="Neuerrichtung",$B$1*POWER(($F3/100)*(Berechnungen!I$4),2),0)</f>
        <v>0</v>
      </c>
      <c r="R52" s="309">
        <f>IF($G$54="Neuerrichtung",$B$54*POWER(($F56/100)*(Berechnungen!I$5),2),0)</f>
        <v>0</v>
      </c>
      <c r="S52" s="310">
        <f>IF($G$107="Neuerrichtung",$B$107*POWER(($F109/100)*(Berechnungen!I$6),2),0)</f>
        <v>0</v>
      </c>
      <c r="T52" s="309">
        <f>IF($G$160="Neuerrichtung",$B$160*POWER(($F162/100)*(Berechnungen!I$7),2),0)</f>
        <v>0</v>
      </c>
      <c r="U52" s="309">
        <f>IF($G$213="Neuerrichtung",$B$213*POWER(($F215/100)*(Berechnungen!I$8),2),0)</f>
        <v>0</v>
      </c>
      <c r="V52" s="309">
        <f>IF($G$266="Neuerrichtung",$B$266*POWER(($F268/100)*(Berechnungen!I$9),2),0)</f>
        <v>0</v>
      </c>
      <c r="W52" s="309">
        <f>IF($G$319="Neuerrichtung",$B$319*POWER(($F321/100)*(Berechnungen!I$10),2),0)</f>
        <v>0</v>
      </c>
      <c r="X52" s="309">
        <f>IF($G$372="Neuerrichtung",$B$372*POWER(($F374/100)*(Berechnungen!I$11),2),0)</f>
        <v>0</v>
      </c>
      <c r="Y52" s="309">
        <f>IF($G$425="Neuerrichtung",$B$425*POWER(($F427/100)*(Berechnungen!I$12),2),0)</f>
        <v>0</v>
      </c>
      <c r="Z52" s="309">
        <f>IF($G$478="Neuerrichtung",$B$478*POWER(($F480/100)*(Berechnungen!I$13),2),0)</f>
        <v>0</v>
      </c>
      <c r="AA52" s="332" t="e">
        <f t="shared" si="0"/>
        <v>#DIV/0!</v>
      </c>
      <c r="AB52" s="294">
        <f t="shared" si="1"/>
        <v>0</v>
      </c>
      <c r="AC52" s="333" t="e">
        <f>IF(AND($G$49=1,NOT(OR(L52=TFR!$G$8,L52=TFR!$G$10,L52=TFR!$G$12))),"-",(AA52-AB52)/AA52*100)</f>
        <v>#DIV/0!</v>
      </c>
      <c r="AD52" s="295" t="e">
        <f t="shared" si="2"/>
        <v>#DIV/0!</v>
      </c>
      <c r="AE52" s="297" t="e">
        <f t="shared" ref="AE52:AE90" si="22">IF(AD52=1,1,0)</f>
        <v>#DIV/0!</v>
      </c>
      <c r="AF52" s="331"/>
    </row>
    <row r="53" spans="1:32" ht="15" customHeight="1" thickBot="1" x14ac:dyDescent="0.3">
      <c r="A53" s="1007" t="s">
        <v>1111</v>
      </c>
      <c r="B53" s="1008"/>
      <c r="C53" s="1008"/>
      <c r="D53" s="1008"/>
      <c r="E53" s="1008"/>
      <c r="F53" s="1008"/>
      <c r="G53" s="1008"/>
      <c r="H53" s="1008"/>
      <c r="I53" s="1009"/>
      <c r="J53" s="292">
        <f t="shared" ref="J53:J90" si="23">L53/50</f>
        <v>2.5</v>
      </c>
      <c r="K53" s="988"/>
      <c r="L53" s="122">
        <v>125</v>
      </c>
      <c r="M53" s="312" t="e">
        <f>(1/$O$139)*(0.04/100)*(Bericht!$E$49/Berechnungen!$E$14)*Berechnungen!$G$17</f>
        <v>#DIV/0!</v>
      </c>
      <c r="N53" s="57"/>
      <c r="O53" s="58"/>
      <c r="P53" s="314"/>
      <c r="Q53" s="310">
        <f>IF($G$1="Neuerrichtung",$B$1*POWER(($F4/100)*(Berechnungen!I$4),2),0)</f>
        <v>0</v>
      </c>
      <c r="R53" s="309">
        <f>IF($G$54="Neuerrichtung",$B$54*POWER(($F57/100)*(Berechnungen!I$5),2),0)</f>
        <v>0</v>
      </c>
      <c r="S53" s="310">
        <f>IF($G$107="Neuerrichtung",$B$107*POWER(($F110/100)*(Berechnungen!I$6),2),0)</f>
        <v>0</v>
      </c>
      <c r="T53" s="309">
        <f>IF($G$160="Neuerrichtung",$B$160*POWER(($F163/100)*(Berechnungen!I$7),2),0)</f>
        <v>0</v>
      </c>
      <c r="U53" s="309">
        <f>IF($G$213="Neuerrichtung",$B$213*POWER(($F216/100)*(Berechnungen!I$8),2),0)</f>
        <v>0</v>
      </c>
      <c r="V53" s="309">
        <f>IF($G$266="Neuerrichtung",$B$266*POWER(($F269/100)*(Berechnungen!I$9),2),0)</f>
        <v>0</v>
      </c>
      <c r="W53" s="309">
        <f>IF($G$319="Neuerrichtung",$B$319*POWER(($F322/100)*(Berechnungen!I$10),2),0)</f>
        <v>0</v>
      </c>
      <c r="X53" s="309">
        <f>IF($G$372="Neuerrichtung",$B$372*POWER(($F375/100)*(Berechnungen!I$11),2),0)</f>
        <v>0</v>
      </c>
      <c r="Y53" s="309">
        <f>IF($G$425="Neuerrichtung",$B$425*POWER(($F428/100)*(Berechnungen!I$12),2),0)</f>
        <v>0</v>
      </c>
      <c r="Z53" s="309">
        <f>IF($G$478="Neuerrichtung",$B$478*POWER(($F481/100)*(Berechnungen!I$13),2),0)</f>
        <v>0</v>
      </c>
      <c r="AA53" s="332" t="e">
        <f t="shared" si="0"/>
        <v>#DIV/0!</v>
      </c>
      <c r="AB53" s="294">
        <f t="shared" si="1"/>
        <v>0</v>
      </c>
      <c r="AC53" s="333" t="e">
        <f>IF(AND($G$49=1,NOT(OR(L53=TFR!$G$8,L53=TFR!$G$10,L53=TFR!$G$12))),"-",(AA53-AB53)/AA53*100)</f>
        <v>#DIV/0!</v>
      </c>
      <c r="AD53" s="295" t="e">
        <f t="shared" si="2"/>
        <v>#DIV/0!</v>
      </c>
      <c r="AE53" s="297" t="e">
        <f t="shared" si="22"/>
        <v>#DIV/0!</v>
      </c>
    </row>
    <row r="54" spans="1:32" ht="15" customHeight="1" x14ac:dyDescent="0.25">
      <c r="A54" s="107" t="s">
        <v>488</v>
      </c>
      <c r="B54" s="853">
        <f>Berechnungen!D$5</f>
        <v>0</v>
      </c>
      <c r="C54" s="107"/>
      <c r="D54" s="107" t="s">
        <v>489</v>
      </c>
      <c r="E54" s="107"/>
      <c r="F54" s="107"/>
      <c r="G54" s="854">
        <f>IF(Berechnungen!D5&gt;0,"Neuerrichtung",0)</f>
        <v>0</v>
      </c>
      <c r="H54" s="107"/>
      <c r="I54" s="855">
        <f>IF(OR($G54=0,$G54="Bestand"),0,Berechnungen!$F$5)</f>
        <v>0</v>
      </c>
      <c r="J54" s="14">
        <f t="shared" si="23"/>
        <v>3.5</v>
      </c>
      <c r="K54" s="988"/>
      <c r="L54" s="122">
        <v>175</v>
      </c>
      <c r="M54" s="312" t="e">
        <f>(1/$O$139)*((0.2/(J54))/100)*(Bericht!$E$49/Berechnungen!$E$14)*Berechnungen!$G$17</f>
        <v>#DIV/0!</v>
      </c>
      <c r="N54" s="57"/>
      <c r="O54" s="58"/>
      <c r="P54" s="314"/>
      <c r="Q54" s="310">
        <f>IF($G$1="Neuerrichtung",$B$1*POWER(($F5/100)*(Berechnungen!I$4),2),0)</f>
        <v>0</v>
      </c>
      <c r="R54" s="309">
        <f>IF($G$54="Neuerrichtung",$B$54*POWER(($F58/100)*(Berechnungen!I$5),2),0)</f>
        <v>0</v>
      </c>
      <c r="S54" s="310">
        <f>IF($G$107="Neuerrichtung",$B$107*POWER(($F111/100)*(Berechnungen!I$6),2),0)</f>
        <v>0</v>
      </c>
      <c r="T54" s="309">
        <f>IF($G$160="Neuerrichtung",$B$160*POWER(($F164/100)*(Berechnungen!I$7),2),0)</f>
        <v>0</v>
      </c>
      <c r="U54" s="309">
        <f>IF($G$213="Neuerrichtung",$B$213*POWER(($F217/100)*(Berechnungen!I$8),2),0)</f>
        <v>0</v>
      </c>
      <c r="V54" s="309">
        <f>IF($G$266="Neuerrichtung",$B$266*POWER(($F270/100)*(Berechnungen!I$9),2),0)</f>
        <v>0</v>
      </c>
      <c r="W54" s="309">
        <f>IF($G$319="Neuerrichtung",$B$319*POWER(($F323/100)*(Berechnungen!I$10),2),0)</f>
        <v>0</v>
      </c>
      <c r="X54" s="309">
        <f>IF($G$372="Neuerrichtung",$B$372*POWER(($F376/100)*(Berechnungen!I$11),2),0)</f>
        <v>0</v>
      </c>
      <c r="Y54" s="309">
        <f>IF($G$425="Neuerrichtung",$B$425*POWER(($F429/100)*(Berechnungen!I$12),2),0)</f>
        <v>0</v>
      </c>
      <c r="Z54" s="309">
        <f>IF($G$478="Neuerrichtung",$B$478*POWER(($F482/100)*(Berechnungen!I$13),2),0)</f>
        <v>0</v>
      </c>
      <c r="AA54" s="332" t="e">
        <f t="shared" si="0"/>
        <v>#DIV/0!</v>
      </c>
      <c r="AB54" s="294">
        <f t="shared" si="1"/>
        <v>0</v>
      </c>
      <c r="AC54" s="333" t="e">
        <f>IF(AND($G$49=1,NOT(OR(L54=TFR!$G$8,L54=TFR!$G$10,L54=TFR!$G$12))),"-",(AA54-AB54)/AA54*100)</f>
        <v>#DIV/0!</v>
      </c>
      <c r="AD54" s="295" t="e">
        <f t="shared" si="2"/>
        <v>#DIV/0!</v>
      </c>
      <c r="AE54" s="297" t="e">
        <f t="shared" si="22"/>
        <v>#DIV/0!</v>
      </c>
    </row>
    <row r="55" spans="1:32" ht="15" customHeight="1" x14ac:dyDescent="0.35">
      <c r="A55" s="346"/>
      <c r="B55" s="31" t="s">
        <v>22</v>
      </c>
      <c r="C55" s="31" t="s">
        <v>25</v>
      </c>
      <c r="D55" s="32"/>
      <c r="E55" s="31" t="s">
        <v>753</v>
      </c>
      <c r="F55" s="31" t="s">
        <v>26</v>
      </c>
      <c r="G55" s="32"/>
      <c r="H55" s="31" t="s">
        <v>754</v>
      </c>
      <c r="I55" s="31" t="s">
        <v>25</v>
      </c>
      <c r="J55" s="14">
        <f t="shared" si="23"/>
        <v>4.5</v>
      </c>
      <c r="K55" s="988"/>
      <c r="L55" s="122">
        <v>225</v>
      </c>
      <c r="M55" s="312" t="e">
        <f>(1/$O$139)*((0.2/(J55))/100)*(Bericht!$E$49/Berechnungen!$E$14)*Berechnungen!$G$17</f>
        <v>#DIV/0!</v>
      </c>
      <c r="N55" s="57"/>
      <c r="O55" s="58"/>
      <c r="P55" s="314"/>
      <c r="Q55" s="310">
        <f>IF($G$1="Neuerrichtung",$B$1*POWER(($F6/100)*(Berechnungen!I$4),2),0)</f>
        <v>0</v>
      </c>
      <c r="R55" s="309">
        <f>IF($G$54="Neuerrichtung",$B$54*POWER(($F59/100)*(Berechnungen!I$5),2),0)</f>
        <v>0</v>
      </c>
      <c r="S55" s="310">
        <f>IF($G$107="Neuerrichtung",$B$107*POWER(($F112/100)*(Berechnungen!I$6),2),0)</f>
        <v>0</v>
      </c>
      <c r="T55" s="309">
        <f>IF($G$160="Neuerrichtung",$B$160*POWER(($F165/100)*(Berechnungen!I$7),2),0)</f>
        <v>0</v>
      </c>
      <c r="U55" s="309">
        <f>IF($G$213="Neuerrichtung",$B$213*POWER(($F218/100)*(Berechnungen!I$8),2),0)</f>
        <v>0</v>
      </c>
      <c r="V55" s="309">
        <f>IF($G$266="Neuerrichtung",$B$266*POWER(($F271/100)*(Berechnungen!I$9),2),0)</f>
        <v>0</v>
      </c>
      <c r="W55" s="309">
        <f>IF($G$319="Neuerrichtung",$B$319*POWER(($F324/100)*(Berechnungen!I$10),2),0)</f>
        <v>0</v>
      </c>
      <c r="X55" s="309">
        <f>IF($G$372="Neuerrichtung",$B$372*POWER(($F377/100)*(Berechnungen!I$11),2),0)</f>
        <v>0</v>
      </c>
      <c r="Y55" s="309">
        <f>IF($G$425="Neuerrichtung",$B$425*POWER(($F430/100)*(Berechnungen!I$12),2),0)</f>
        <v>0</v>
      </c>
      <c r="Z55" s="309">
        <f>IF($G$478="Neuerrichtung",$B$478*POWER(($F483/100)*(Berechnungen!I$13),2),0)</f>
        <v>0</v>
      </c>
      <c r="AA55" s="332" t="e">
        <f t="shared" si="0"/>
        <v>#DIV/0!</v>
      </c>
      <c r="AB55" s="294">
        <f t="shared" si="1"/>
        <v>0</v>
      </c>
      <c r="AC55" s="333" t="e">
        <f>IF(AND($G$49=1,NOT(OR(L55=TFR!$G$8,L55=TFR!$G$10,L55=TFR!$G$12))),"-",(AA55-AB55)/AA55*100)</f>
        <v>#DIV/0!</v>
      </c>
      <c r="AD55" s="295" t="e">
        <f t="shared" si="2"/>
        <v>#DIV/0!</v>
      </c>
      <c r="AE55" s="297" t="e">
        <f t="shared" si="22"/>
        <v>#DIV/0!</v>
      </c>
    </row>
    <row r="56" spans="1:32" ht="15.75" customHeight="1" x14ac:dyDescent="0.25">
      <c r="A56" s="979" t="s">
        <v>30</v>
      </c>
      <c r="B56" s="108">
        <v>2</v>
      </c>
      <c r="C56" s="564"/>
      <c r="D56" s="979" t="s">
        <v>28</v>
      </c>
      <c r="E56" s="108">
        <v>75</v>
      </c>
      <c r="F56" s="564"/>
      <c r="G56" s="979"/>
      <c r="H56" s="108">
        <v>2.1</v>
      </c>
      <c r="I56" s="564"/>
      <c r="J56" s="14">
        <f t="shared" si="23"/>
        <v>5.5</v>
      </c>
      <c r="K56" s="988"/>
      <c r="L56" s="122">
        <v>275</v>
      </c>
      <c r="M56" s="312" t="e">
        <f>(1/$O$139)*((0.2/(J56))/100)*(Bericht!$E$49/Berechnungen!$E$14)*Berechnungen!$G$17</f>
        <v>#DIV/0!</v>
      </c>
      <c r="N56" s="57"/>
      <c r="O56" s="58"/>
      <c r="P56" s="314"/>
      <c r="Q56" s="310">
        <f>IF($G$1="Neuerrichtung",$B$1*POWER(($F7/100)*(Berechnungen!I$4),2),0)</f>
        <v>0</v>
      </c>
      <c r="R56" s="309">
        <f>IF($G$54="Neuerrichtung",$B$54*POWER(($F60/100)*(Berechnungen!I$5),2),0)</f>
        <v>0</v>
      </c>
      <c r="S56" s="310">
        <f>IF($G$107="Neuerrichtung",$B$107*POWER(($F113/100)*(Berechnungen!I$6),2),0)</f>
        <v>0</v>
      </c>
      <c r="T56" s="309">
        <f>IF($G$160="Neuerrichtung",$B$160*POWER(($F166/100)*(Berechnungen!I$7),2),0)</f>
        <v>0</v>
      </c>
      <c r="U56" s="309">
        <f>IF($G$213="Neuerrichtung",$B$213*POWER(($F219/100)*(Berechnungen!I$8),2),0)</f>
        <v>0</v>
      </c>
      <c r="V56" s="309">
        <f>IF($G$266="Neuerrichtung",$B$266*POWER(($F272/100)*(Berechnungen!I$9),2),0)</f>
        <v>0</v>
      </c>
      <c r="W56" s="309">
        <f>IF($G$319="Neuerrichtung",$B$319*POWER(($F325/100)*(Berechnungen!I$10),2),0)</f>
        <v>0</v>
      </c>
      <c r="X56" s="309">
        <f>IF($G$372="Neuerrichtung",$B$372*POWER(($F378/100)*(Berechnungen!I$11),2),0)</f>
        <v>0</v>
      </c>
      <c r="Y56" s="309">
        <f>IF($G$425="Neuerrichtung",$B$425*POWER(($F431/100)*(Berechnungen!I$12),2),0)</f>
        <v>0</v>
      </c>
      <c r="Z56" s="309">
        <f>IF($G$478="Neuerrichtung",$B$478*POWER(($F484/100)*(Berechnungen!I$13),2),0)</f>
        <v>0</v>
      </c>
      <c r="AA56" s="332" t="e">
        <f t="shared" si="0"/>
        <v>#DIV/0!</v>
      </c>
      <c r="AB56" s="294">
        <f t="shared" si="1"/>
        <v>0</v>
      </c>
      <c r="AC56" s="333" t="e">
        <f>IF(AND($G$49=1,NOT(OR(L56=TFR!$G$8,L56=TFR!$G$10,L56=TFR!$G$12))),"-",(AA56-AB56)/AA56*100)</f>
        <v>#DIV/0!</v>
      </c>
      <c r="AD56" s="295" t="e">
        <f t="shared" si="2"/>
        <v>#DIV/0!</v>
      </c>
      <c r="AE56" s="297" t="e">
        <f t="shared" si="22"/>
        <v>#DIV/0!</v>
      </c>
    </row>
    <row r="57" spans="1:32" ht="15.75" customHeight="1" x14ac:dyDescent="0.25">
      <c r="A57" s="980"/>
      <c r="B57" s="356">
        <v>3</v>
      </c>
      <c r="C57" s="564"/>
      <c r="D57" s="980"/>
      <c r="E57" s="356">
        <v>125</v>
      </c>
      <c r="F57" s="564"/>
      <c r="G57" s="980"/>
      <c r="H57" s="356">
        <v>2.2999999999999998</v>
      </c>
      <c r="I57" s="564"/>
      <c r="J57" s="14">
        <f t="shared" si="23"/>
        <v>6.5</v>
      </c>
      <c r="K57" s="988"/>
      <c r="L57" s="122">
        <v>325</v>
      </c>
      <c r="M57" s="312" t="e">
        <f>(1/$O$139)*((0.2/(J57))/100)*(Bericht!$E$49/Berechnungen!$E$14)*Berechnungen!$G$17</f>
        <v>#DIV/0!</v>
      </c>
      <c r="N57" s="57"/>
      <c r="O57" s="58"/>
      <c r="P57" s="314"/>
      <c r="Q57" s="310">
        <f>IF($G$1="Neuerrichtung",$B$1*POWER(($F8/100)*(Berechnungen!I$4),2),0)</f>
        <v>0</v>
      </c>
      <c r="R57" s="309">
        <f>IF($G$54="Neuerrichtung",$B$54*POWER(($F61/100)*(Berechnungen!I$5),2),0)</f>
        <v>0</v>
      </c>
      <c r="S57" s="310">
        <f>IF($G$107="Neuerrichtung",$B$107*POWER(($F114/100)*(Berechnungen!I$6),2),0)</f>
        <v>0</v>
      </c>
      <c r="T57" s="309">
        <f>IF($G$160="Neuerrichtung",$B$160*POWER(($F167/100)*(Berechnungen!I$7),2),0)</f>
        <v>0</v>
      </c>
      <c r="U57" s="309">
        <f>IF($G$213="Neuerrichtung",$B$213*POWER(($F220/100)*(Berechnungen!I$8),2),0)</f>
        <v>0</v>
      </c>
      <c r="V57" s="309">
        <f>IF($G$266="Neuerrichtung",$B$266*POWER(($F273/100)*(Berechnungen!I$9),2),0)</f>
        <v>0</v>
      </c>
      <c r="W57" s="309">
        <f>IF($G$319="Neuerrichtung",$B$319*POWER(($F326/100)*(Berechnungen!I$10),2),0)</f>
        <v>0</v>
      </c>
      <c r="X57" s="309">
        <f>IF($G$372="Neuerrichtung",$B$372*POWER(($F379/100)*(Berechnungen!I$11),2),0)</f>
        <v>0</v>
      </c>
      <c r="Y57" s="309">
        <f>IF($G$425="Neuerrichtung",$B$425*POWER(($F432/100)*(Berechnungen!I$12),2),0)</f>
        <v>0</v>
      </c>
      <c r="Z57" s="309">
        <f>IF($G$478="Neuerrichtung",$B$478*POWER(($F485/100)*(Berechnungen!I$13),2),0)</f>
        <v>0</v>
      </c>
      <c r="AA57" s="332" t="e">
        <f t="shared" si="0"/>
        <v>#DIV/0!</v>
      </c>
      <c r="AB57" s="294">
        <f t="shared" si="1"/>
        <v>0</v>
      </c>
      <c r="AC57" s="333" t="e">
        <f>IF(AND($G$49=1,NOT(OR(L57=TFR!$G$8,L57=TFR!$G$10,L57=TFR!$G$12))),"-",(AA57-AB57)/AA57*100)</f>
        <v>#DIV/0!</v>
      </c>
      <c r="AD57" s="295" t="e">
        <f t="shared" si="2"/>
        <v>#DIV/0!</v>
      </c>
      <c r="AE57" s="297" t="e">
        <f t="shared" si="22"/>
        <v>#DIV/0!</v>
      </c>
    </row>
    <row r="58" spans="1:32" ht="15.75" customHeight="1" x14ac:dyDescent="0.25">
      <c r="A58" s="980"/>
      <c r="B58" s="356">
        <v>4</v>
      </c>
      <c r="C58" s="564"/>
      <c r="D58" s="980"/>
      <c r="E58" s="356">
        <v>175</v>
      </c>
      <c r="F58" s="564"/>
      <c r="G58" s="980"/>
      <c r="H58" s="356">
        <v>2.5</v>
      </c>
      <c r="I58" s="564"/>
      <c r="J58" s="14">
        <f t="shared" si="23"/>
        <v>7.5</v>
      </c>
      <c r="K58" s="988"/>
      <c r="L58" s="122">
        <v>375</v>
      </c>
      <c r="M58" s="312" t="e">
        <f>(1/$O$139)*((0.2/(J58))/100)*(Bericht!$E$49/Berechnungen!$E$14)*Berechnungen!$G$17</f>
        <v>#DIV/0!</v>
      </c>
      <c r="N58" s="57"/>
      <c r="O58" s="58"/>
      <c r="P58" s="314"/>
      <c r="Q58" s="310">
        <f>IF($G$1="Neuerrichtung",$B$1*POWER(($F9/100)*(Berechnungen!I$4),2),0)</f>
        <v>0</v>
      </c>
      <c r="R58" s="309">
        <f>IF($G$54="Neuerrichtung",$B$54*POWER(($F62/100)*(Berechnungen!I$5),2),0)</f>
        <v>0</v>
      </c>
      <c r="S58" s="310">
        <f>IF($G$107="Neuerrichtung",$B$107*POWER(($F115/100)*(Berechnungen!I$6),2),0)</f>
        <v>0</v>
      </c>
      <c r="T58" s="309">
        <f>IF($G$160="Neuerrichtung",$B$160*POWER(($F168/100)*(Berechnungen!I$7),2),0)</f>
        <v>0</v>
      </c>
      <c r="U58" s="309">
        <f>IF($G$213="Neuerrichtung",$B$213*POWER(($F221/100)*(Berechnungen!I$8),2),0)</f>
        <v>0</v>
      </c>
      <c r="V58" s="309">
        <f>IF($G$266="Neuerrichtung",$B$266*POWER(($F274/100)*(Berechnungen!I$9),2),0)</f>
        <v>0</v>
      </c>
      <c r="W58" s="309">
        <f>IF($G$319="Neuerrichtung",$B$319*POWER(($F327/100)*(Berechnungen!I$10),2),0)</f>
        <v>0</v>
      </c>
      <c r="X58" s="309">
        <f>IF($G$372="Neuerrichtung",$B$372*POWER(($F380/100)*(Berechnungen!I$11),2),0)</f>
        <v>0</v>
      </c>
      <c r="Y58" s="309">
        <f>IF($G$425="Neuerrichtung",$B$425*POWER(($F433/100)*(Berechnungen!I$12),2),0)</f>
        <v>0</v>
      </c>
      <c r="Z58" s="309">
        <f>IF($G$478="Neuerrichtung",$B$478*POWER(($F486/100)*(Berechnungen!I$13),2),0)</f>
        <v>0</v>
      </c>
      <c r="AA58" s="332" t="e">
        <f t="shared" si="0"/>
        <v>#DIV/0!</v>
      </c>
      <c r="AB58" s="294">
        <f t="shared" si="1"/>
        <v>0</v>
      </c>
      <c r="AC58" s="333" t="e">
        <f>IF(AND($G$49=1,NOT(OR(L58=TFR!$G$8,L58=TFR!$G$10,L58=TFR!$G$12))),"-",(AA58-AB58)/AA58*100)</f>
        <v>#DIV/0!</v>
      </c>
      <c r="AD58" s="295" t="e">
        <f t="shared" si="2"/>
        <v>#DIV/0!</v>
      </c>
      <c r="AE58" s="297" t="e">
        <f t="shared" si="22"/>
        <v>#DIV/0!</v>
      </c>
    </row>
    <row r="59" spans="1:32" ht="15.75" customHeight="1" x14ac:dyDescent="0.25">
      <c r="A59" s="980"/>
      <c r="B59" s="356">
        <v>5</v>
      </c>
      <c r="C59" s="564"/>
      <c r="D59" s="980"/>
      <c r="E59" s="356">
        <v>225</v>
      </c>
      <c r="F59" s="564"/>
      <c r="G59" s="980"/>
      <c r="H59" s="356">
        <v>2.7</v>
      </c>
      <c r="I59" s="564"/>
      <c r="J59" s="14">
        <f t="shared" si="23"/>
        <v>8.5</v>
      </c>
      <c r="K59" s="988"/>
      <c r="L59" s="122">
        <v>425</v>
      </c>
      <c r="M59" s="312" t="e">
        <f>(1/$O$139)*((0.2/(J59))/100)*(Bericht!$E$49/Berechnungen!$E$14)*Berechnungen!$G$17</f>
        <v>#DIV/0!</v>
      </c>
      <c r="N59" s="57"/>
      <c r="O59" s="58"/>
      <c r="P59" s="314"/>
      <c r="Q59" s="310">
        <f>IF($G$1="Neuerrichtung",$B$1*POWER(($F10/100)*(Berechnungen!I$4),2),0)</f>
        <v>0</v>
      </c>
      <c r="R59" s="309">
        <f>IF($G$54="Neuerrichtung",$B$54*POWER(($F63/100)*(Berechnungen!I$5),2),0)</f>
        <v>0</v>
      </c>
      <c r="S59" s="310">
        <f>IF($G$107="Neuerrichtung",$B$107*POWER(($F116/100)*(Berechnungen!I$6),2),0)</f>
        <v>0</v>
      </c>
      <c r="T59" s="309">
        <f>IF($G$160="Neuerrichtung",$B$160*POWER(($F169/100)*(Berechnungen!I$7),2),0)</f>
        <v>0</v>
      </c>
      <c r="U59" s="309">
        <f>IF($G$213="Neuerrichtung",$B$213*POWER(($F222/100)*(Berechnungen!I$8),2),0)</f>
        <v>0</v>
      </c>
      <c r="V59" s="309">
        <f>IF($G$266="Neuerrichtung",$B$266*POWER(($F275/100)*(Berechnungen!I$9),2),0)</f>
        <v>0</v>
      </c>
      <c r="W59" s="309">
        <f>IF($G$319="Neuerrichtung",$B$319*POWER(($F328/100)*(Berechnungen!I$10),2),0)</f>
        <v>0</v>
      </c>
      <c r="X59" s="309">
        <f>IF($G$372="Neuerrichtung",$B$372*POWER(($F381/100)*(Berechnungen!I$11),2),0)</f>
        <v>0</v>
      </c>
      <c r="Y59" s="309">
        <f>IF($G$425="Neuerrichtung",$B$425*POWER(($F434/100)*(Berechnungen!I$12),2),0)</f>
        <v>0</v>
      </c>
      <c r="Z59" s="309">
        <f>IF($G$478="Neuerrichtung",$B$478*POWER(($F487/100)*(Berechnungen!I$13),2),0)</f>
        <v>0</v>
      </c>
      <c r="AA59" s="332" t="e">
        <f t="shared" si="0"/>
        <v>#DIV/0!</v>
      </c>
      <c r="AB59" s="294">
        <f t="shared" si="1"/>
        <v>0</v>
      </c>
      <c r="AC59" s="333" t="e">
        <f>IF(AND($G$49=1,NOT(OR(L59=TFR!$G$8,L59=TFR!$G$10,L59=TFR!$G$12))),"-",(AA59-AB59)/AA59*100)</f>
        <v>#DIV/0!</v>
      </c>
      <c r="AD59" s="295" t="e">
        <f t="shared" si="2"/>
        <v>#DIV/0!</v>
      </c>
      <c r="AE59" s="297" t="e">
        <f t="shared" si="22"/>
        <v>#DIV/0!</v>
      </c>
    </row>
    <row r="60" spans="1:32" ht="15.75" customHeight="1" x14ac:dyDescent="0.25">
      <c r="A60" s="980"/>
      <c r="B60" s="356">
        <v>6</v>
      </c>
      <c r="C60" s="564"/>
      <c r="D60" s="980"/>
      <c r="E60" s="356">
        <v>275</v>
      </c>
      <c r="F60" s="564"/>
      <c r="G60" s="980"/>
      <c r="H60" s="356">
        <v>2.9</v>
      </c>
      <c r="I60" s="564"/>
      <c r="J60" s="14">
        <f t="shared" si="23"/>
        <v>9.5</v>
      </c>
      <c r="K60" s="988"/>
      <c r="L60" s="122">
        <v>475</v>
      </c>
      <c r="M60" s="312" t="e">
        <f>(1/$O$139)*((0.2/(J60))/100)*(Bericht!$E$49/Berechnungen!$E$14)*Berechnungen!$G$17</f>
        <v>#DIV/0!</v>
      </c>
      <c r="N60" s="57"/>
      <c r="O60" s="58"/>
      <c r="P60" s="314"/>
      <c r="Q60" s="310">
        <f>IF($G$1="Neuerrichtung",$B$1*POWER(($F11/100)*(Berechnungen!I$4),2),0)</f>
        <v>0</v>
      </c>
      <c r="R60" s="309">
        <f>IF($G$54="Neuerrichtung",$B$54*POWER(($F64/100)*(Berechnungen!I$5),2),0)</f>
        <v>0</v>
      </c>
      <c r="S60" s="310">
        <f>IF($G$107="Neuerrichtung",$B$107*POWER(($F117/100)*(Berechnungen!I$6),2),0)</f>
        <v>0</v>
      </c>
      <c r="T60" s="309">
        <f>IF($G$160="Neuerrichtung",$B$160*POWER(($F170/100)*(Berechnungen!I$7),2),0)</f>
        <v>0</v>
      </c>
      <c r="U60" s="309">
        <f>IF($G$213="Neuerrichtung",$B$213*POWER(($F223/100)*(Berechnungen!I$8),2),0)</f>
        <v>0</v>
      </c>
      <c r="V60" s="309">
        <f>IF($G$266="Neuerrichtung",$B$266*POWER(($F276/100)*(Berechnungen!I$9),2),0)</f>
        <v>0</v>
      </c>
      <c r="W60" s="309">
        <f>IF($G$319="Neuerrichtung",$B$319*POWER(($F329/100)*(Berechnungen!I$10),2),0)</f>
        <v>0</v>
      </c>
      <c r="X60" s="309">
        <f>IF($G$372="Neuerrichtung",$B$372*POWER(($F382/100)*(Berechnungen!I$11),2),0)</f>
        <v>0</v>
      </c>
      <c r="Y60" s="309">
        <f>IF($G$425="Neuerrichtung",$B$425*POWER(($F435/100)*(Berechnungen!I$12),2),0)</f>
        <v>0</v>
      </c>
      <c r="Z60" s="309">
        <f>IF($G$478="Neuerrichtung",$B$478*POWER(($F488/100)*(Berechnungen!I$13),2),0)</f>
        <v>0</v>
      </c>
      <c r="AA60" s="332" t="e">
        <f t="shared" si="0"/>
        <v>#DIV/0!</v>
      </c>
      <c r="AB60" s="294">
        <f t="shared" si="1"/>
        <v>0</v>
      </c>
      <c r="AC60" s="333" t="e">
        <f>IF(AND($G$49=1,NOT(OR(L60=TFR!$G$8,L60=TFR!$G$10,L60=TFR!$G$12))),"-",(AA60-AB60)/AA60*100)</f>
        <v>#DIV/0!</v>
      </c>
      <c r="AD60" s="295" t="e">
        <f t="shared" si="2"/>
        <v>#DIV/0!</v>
      </c>
      <c r="AE60" s="297" t="e">
        <f t="shared" si="22"/>
        <v>#DIV/0!</v>
      </c>
    </row>
    <row r="61" spans="1:32" ht="15.75" customHeight="1" x14ac:dyDescent="0.25">
      <c r="A61" s="980"/>
      <c r="B61" s="356">
        <v>7</v>
      </c>
      <c r="C61" s="564"/>
      <c r="D61" s="980"/>
      <c r="E61" s="356">
        <v>325</v>
      </c>
      <c r="F61" s="564"/>
      <c r="G61" s="980"/>
      <c r="H61" s="356">
        <v>3.1</v>
      </c>
      <c r="I61" s="564"/>
      <c r="J61" s="14">
        <f t="shared" si="23"/>
        <v>10.5</v>
      </c>
      <c r="K61" s="988"/>
      <c r="L61" s="122">
        <v>525</v>
      </c>
      <c r="M61" s="312" t="e">
        <f>(1/$O$139)*((0.2/(J61))/100)*(Bericht!$E$49/Berechnungen!$E$14)*Berechnungen!$G$17</f>
        <v>#DIV/0!</v>
      </c>
      <c r="N61" s="57"/>
      <c r="O61" s="58"/>
      <c r="P61" s="314"/>
      <c r="Q61" s="310">
        <f>IF($G$1="Neuerrichtung",$B$1*POWER(($F12/100)*(Berechnungen!I$4),2),0)</f>
        <v>0</v>
      </c>
      <c r="R61" s="309">
        <f>IF($G$54="Neuerrichtung",$B$54*POWER(($F65/100)*(Berechnungen!I$5),2),0)</f>
        <v>0</v>
      </c>
      <c r="S61" s="310">
        <f>IF($G$107="Neuerrichtung",$B$107*POWER(($F118/100)*(Berechnungen!I$6),2),0)</f>
        <v>0</v>
      </c>
      <c r="T61" s="309">
        <f>IF($G$160="Neuerrichtung",$B$160*POWER(($F171/100)*(Berechnungen!I$7),2),0)</f>
        <v>0</v>
      </c>
      <c r="U61" s="309">
        <f>IF($G$213="Neuerrichtung",$B$213*POWER(($F224/100)*(Berechnungen!I$8),2),0)</f>
        <v>0</v>
      </c>
      <c r="V61" s="309">
        <f>IF($G$266="Neuerrichtung",$B$266*POWER(($F277/100)*(Berechnungen!I$9),2),0)</f>
        <v>0</v>
      </c>
      <c r="W61" s="309">
        <f>IF($G$319="Neuerrichtung",$B$319*POWER(($F330/100)*(Berechnungen!I$10),2),0)</f>
        <v>0</v>
      </c>
      <c r="X61" s="309">
        <f>IF($G$372="Neuerrichtung",$B$372*POWER(($F383/100)*(Berechnungen!I$11),2),0)</f>
        <v>0</v>
      </c>
      <c r="Y61" s="309">
        <f>IF($G$425="Neuerrichtung",$B$425*POWER(($F436/100)*(Berechnungen!I$12),2),0)</f>
        <v>0</v>
      </c>
      <c r="Z61" s="309">
        <f>IF($G$478="Neuerrichtung",$B$478*POWER(($F489/100)*(Berechnungen!I$13),2),0)</f>
        <v>0</v>
      </c>
      <c r="AA61" s="332" t="e">
        <f t="shared" si="0"/>
        <v>#DIV/0!</v>
      </c>
      <c r="AB61" s="294">
        <f t="shared" si="1"/>
        <v>0</v>
      </c>
      <c r="AC61" s="333" t="e">
        <f>IF(AND($G$49=1,NOT(OR(L61=TFR!$G$8,L61=TFR!$G$10,L61=TFR!$G$12))),"-",(AA61-AB61)/AA61*100)</f>
        <v>#DIV/0!</v>
      </c>
      <c r="AD61" s="295" t="e">
        <f t="shared" si="2"/>
        <v>#DIV/0!</v>
      </c>
      <c r="AE61" s="297" t="e">
        <f t="shared" si="22"/>
        <v>#DIV/0!</v>
      </c>
    </row>
    <row r="62" spans="1:32" ht="15.75" customHeight="1" x14ac:dyDescent="0.25">
      <c r="A62" s="980"/>
      <c r="B62" s="356">
        <v>8</v>
      </c>
      <c r="C62" s="564"/>
      <c r="D62" s="980"/>
      <c r="E62" s="356">
        <v>375</v>
      </c>
      <c r="F62" s="564"/>
      <c r="G62" s="980"/>
      <c r="H62" s="356">
        <v>3.3</v>
      </c>
      <c r="I62" s="564"/>
      <c r="J62" s="14">
        <f t="shared" si="23"/>
        <v>11.5</v>
      </c>
      <c r="K62" s="988"/>
      <c r="L62" s="122">
        <v>575</v>
      </c>
      <c r="M62" s="312" t="e">
        <f>(1/$O$139)*((0.2/(J62))/100)*(Bericht!$E$49/Berechnungen!$E$14)*Berechnungen!$G$17</f>
        <v>#DIV/0!</v>
      </c>
      <c r="N62" s="57"/>
      <c r="O62" s="58"/>
      <c r="P62" s="314"/>
      <c r="Q62" s="310">
        <f>IF($G$1="Neuerrichtung",$B$1*POWER(($F13/100)*(Berechnungen!I$4),2),0)</f>
        <v>0</v>
      </c>
      <c r="R62" s="309">
        <f>IF($G$54="Neuerrichtung",$B$54*POWER(($F66/100)*(Berechnungen!I$5),2),0)</f>
        <v>0</v>
      </c>
      <c r="S62" s="310">
        <f>IF($G$107="Neuerrichtung",$B$107*POWER(($F119/100)*(Berechnungen!I$6),2),0)</f>
        <v>0</v>
      </c>
      <c r="T62" s="309">
        <f>IF($G$160="Neuerrichtung",$B$160*POWER(($F172/100)*(Berechnungen!I$7),2),0)</f>
        <v>0</v>
      </c>
      <c r="U62" s="309">
        <f>IF($G$213="Neuerrichtung",$B$213*POWER(($F225/100)*(Berechnungen!I$8),2),0)</f>
        <v>0</v>
      </c>
      <c r="V62" s="309">
        <f>IF($G$266="Neuerrichtung",$B$266*POWER(($F278/100)*(Berechnungen!I$9),2),0)</f>
        <v>0</v>
      </c>
      <c r="W62" s="309">
        <f>IF($G$319="Neuerrichtung",$B$319*POWER(($F331/100)*(Berechnungen!I$10),2),0)</f>
        <v>0</v>
      </c>
      <c r="X62" s="309">
        <f>IF($G$372="Neuerrichtung",$B$372*POWER(($F384/100)*(Berechnungen!I$11),2),0)</f>
        <v>0</v>
      </c>
      <c r="Y62" s="309">
        <f>IF($G$425="Neuerrichtung",$B$425*POWER(($F437/100)*(Berechnungen!I$12),2),0)</f>
        <v>0</v>
      </c>
      <c r="Z62" s="309">
        <f>IF($G$478="Neuerrichtung",$B$478*POWER(($F490/100)*(Berechnungen!I$13),2),0)</f>
        <v>0</v>
      </c>
      <c r="AA62" s="332" t="e">
        <f t="shared" si="0"/>
        <v>#DIV/0!</v>
      </c>
      <c r="AB62" s="294">
        <f t="shared" si="1"/>
        <v>0</v>
      </c>
      <c r="AC62" s="333" t="e">
        <f>IF(AND($G$49=1,NOT(OR(L62=TFR!$G$8,L62=TFR!$G$10,L62=TFR!$G$12))),"-",(AA62-AB62)/AA62*100)</f>
        <v>#DIV/0!</v>
      </c>
      <c r="AD62" s="295" t="e">
        <f t="shared" si="2"/>
        <v>#DIV/0!</v>
      </c>
      <c r="AE62" s="297" t="e">
        <f t="shared" si="22"/>
        <v>#DIV/0!</v>
      </c>
    </row>
    <row r="63" spans="1:32" ht="15.75" customHeight="1" x14ac:dyDescent="0.25">
      <c r="A63" s="980"/>
      <c r="B63" s="356">
        <v>9</v>
      </c>
      <c r="C63" s="564"/>
      <c r="D63" s="980"/>
      <c r="E63" s="356">
        <v>425</v>
      </c>
      <c r="F63" s="564"/>
      <c r="G63" s="980"/>
      <c r="H63" s="356">
        <v>3.5</v>
      </c>
      <c r="I63" s="564"/>
      <c r="J63" s="292">
        <f t="shared" si="23"/>
        <v>12.5</v>
      </c>
      <c r="K63" s="988"/>
      <c r="L63" s="122">
        <v>625</v>
      </c>
      <c r="M63" s="312" t="e">
        <f>(1/$O$139)*((0.2/(J63))/100)*(Bericht!$E$49/Berechnungen!$E$14)*Berechnungen!$G$17</f>
        <v>#DIV/0!</v>
      </c>
      <c r="N63" s="57"/>
      <c r="O63" s="58"/>
      <c r="P63" s="314"/>
      <c r="Q63" s="310">
        <f>IF($G$1="Neuerrichtung",$B$1*POWER(($F14/100)*(Berechnungen!I$4),2),0)</f>
        <v>0</v>
      </c>
      <c r="R63" s="309">
        <f>IF($G$54="Neuerrichtung",$B$54*POWER(($F67/100)*(Berechnungen!I$5),2),0)</f>
        <v>0</v>
      </c>
      <c r="S63" s="310">
        <f>IF($G$107="Neuerrichtung",$B$107*POWER(($F120/100)*(Berechnungen!I$6),2),0)</f>
        <v>0</v>
      </c>
      <c r="T63" s="309">
        <f>IF($G$160="Neuerrichtung",$B$160*POWER(($F173/100)*(Berechnungen!I$7),2),0)</f>
        <v>0</v>
      </c>
      <c r="U63" s="309">
        <f>IF($G$213="Neuerrichtung",$B$213*POWER(($F226/100)*(Berechnungen!I$8),2),0)</f>
        <v>0</v>
      </c>
      <c r="V63" s="309">
        <f>IF($G$266="Neuerrichtung",$B$266*POWER(($F279/100)*(Berechnungen!I$9),2),0)</f>
        <v>0</v>
      </c>
      <c r="W63" s="309">
        <f>IF($G$319="Neuerrichtung",$B$319*POWER(($F332/100)*(Berechnungen!I$10),2),0)</f>
        <v>0</v>
      </c>
      <c r="X63" s="309">
        <f>IF($G$372="Neuerrichtung",$B$372*POWER(($F385/100)*(Berechnungen!I$11),2),0)</f>
        <v>0</v>
      </c>
      <c r="Y63" s="309">
        <f>IF($G$425="Neuerrichtung",$B$425*POWER(($F438/100)*(Berechnungen!I$12),2),0)</f>
        <v>0</v>
      </c>
      <c r="Z63" s="309">
        <f>IF($G$478="Neuerrichtung",$B$478*POWER(($F491/100)*(Berechnungen!I$13),2),0)</f>
        <v>0</v>
      </c>
      <c r="AA63" s="332" t="e">
        <f t="shared" si="0"/>
        <v>#DIV/0!</v>
      </c>
      <c r="AB63" s="294">
        <f t="shared" si="1"/>
        <v>0</v>
      </c>
      <c r="AC63" s="333" t="e">
        <f>IF(AND($G$49=1,NOT(OR(L63=TFR!$G$8,L63=TFR!$G$10,L63=TFR!$G$12))),"-",(AA63-AB63)/AA63*100)</f>
        <v>#DIV/0!</v>
      </c>
      <c r="AD63" s="295" t="e">
        <f t="shared" si="2"/>
        <v>#DIV/0!</v>
      </c>
      <c r="AE63" s="297" t="e">
        <f t="shared" si="22"/>
        <v>#DIV/0!</v>
      </c>
    </row>
    <row r="64" spans="1:32" ht="15.75" customHeight="1" x14ac:dyDescent="0.25">
      <c r="A64" s="980"/>
      <c r="B64" s="356">
        <v>10</v>
      </c>
      <c r="C64" s="564"/>
      <c r="D64" s="980"/>
      <c r="E64" s="356">
        <v>475</v>
      </c>
      <c r="F64" s="564"/>
      <c r="G64" s="980"/>
      <c r="H64" s="356">
        <v>3.7</v>
      </c>
      <c r="I64" s="564"/>
      <c r="J64" s="292">
        <f t="shared" si="23"/>
        <v>13.5</v>
      </c>
      <c r="K64" s="988"/>
      <c r="L64" s="122">
        <v>675</v>
      </c>
      <c r="M64" s="312" t="e">
        <f>(1/$O$139)*((0.2/(J64))/100)*(Bericht!$E$49/Berechnungen!$E$14)*Berechnungen!$G$17</f>
        <v>#DIV/0!</v>
      </c>
      <c r="N64" s="57"/>
      <c r="O64" s="58"/>
      <c r="P64" s="314"/>
      <c r="Q64" s="310">
        <f>IF($G$1="Neuerrichtung",$B$1*POWER(($F15/100)*(Berechnungen!I$4),2),0)</f>
        <v>0</v>
      </c>
      <c r="R64" s="309">
        <f>IF($G$54="Neuerrichtung",$B$54*POWER(($F68/100)*(Berechnungen!I$5),2),0)</f>
        <v>0</v>
      </c>
      <c r="S64" s="310">
        <f>IF($G$107="Neuerrichtung",$B$107*POWER(($F121/100)*(Berechnungen!I$6),2),0)</f>
        <v>0</v>
      </c>
      <c r="T64" s="309">
        <f>IF($G$160="Neuerrichtung",$B$160*POWER(($F174/100)*(Berechnungen!I$7),2),0)</f>
        <v>0</v>
      </c>
      <c r="U64" s="309">
        <f>IF($G$213="Neuerrichtung",$B$213*POWER(($F227/100)*(Berechnungen!I$8),2),0)</f>
        <v>0</v>
      </c>
      <c r="V64" s="309">
        <f>IF($G$266="Neuerrichtung",$B$266*POWER(($F280/100)*(Berechnungen!I$9),2),0)</f>
        <v>0</v>
      </c>
      <c r="W64" s="309">
        <f>IF($G$319="Neuerrichtung",$B$319*POWER(($F333/100)*(Berechnungen!I$10),2),0)</f>
        <v>0</v>
      </c>
      <c r="X64" s="309">
        <f>IF($G$372="Neuerrichtung",$B$372*POWER(($F386/100)*(Berechnungen!I$11),2),0)</f>
        <v>0</v>
      </c>
      <c r="Y64" s="309">
        <f>IF($G$425="Neuerrichtung",$B$425*POWER(($F439/100)*(Berechnungen!I$12),2),0)</f>
        <v>0</v>
      </c>
      <c r="Z64" s="309">
        <f>IF($G$478="Neuerrichtung",$B$478*POWER(($F492/100)*(Berechnungen!I$13),2),0)</f>
        <v>0</v>
      </c>
      <c r="AA64" s="332" t="e">
        <f t="shared" si="0"/>
        <v>#DIV/0!</v>
      </c>
      <c r="AB64" s="294">
        <f t="shared" si="1"/>
        <v>0</v>
      </c>
      <c r="AC64" s="333" t="e">
        <f>IF(AND($G$49=1,NOT(OR(L64=TFR!$G$8,L64=TFR!$G$10,L64=TFR!$G$12))),"-",(AA64-AB64)/AA64*100)</f>
        <v>#DIV/0!</v>
      </c>
      <c r="AD64" s="295" t="e">
        <f t="shared" si="2"/>
        <v>#DIV/0!</v>
      </c>
      <c r="AE64" s="297" t="e">
        <f t="shared" si="22"/>
        <v>#DIV/0!</v>
      </c>
    </row>
    <row r="65" spans="1:31" ht="15.75" customHeight="1" x14ac:dyDescent="0.25">
      <c r="A65" s="980"/>
      <c r="B65" s="356">
        <v>11</v>
      </c>
      <c r="C65" s="564"/>
      <c r="D65" s="980"/>
      <c r="E65" s="356">
        <v>525</v>
      </c>
      <c r="F65" s="564"/>
      <c r="G65" s="980"/>
      <c r="H65" s="356">
        <v>3.9</v>
      </c>
      <c r="I65" s="564"/>
      <c r="J65" s="292">
        <f t="shared" si="23"/>
        <v>14.5</v>
      </c>
      <c r="K65" s="988"/>
      <c r="L65" s="122">
        <v>725</v>
      </c>
      <c r="M65" s="312" t="e">
        <f>(1/$O$139)*((0.2/(J65))/100)*(Bericht!$E$49/Berechnungen!$E$14)*Berechnungen!$G$17</f>
        <v>#DIV/0!</v>
      </c>
      <c r="N65" s="57"/>
      <c r="O65" s="58"/>
      <c r="P65" s="314"/>
      <c r="Q65" s="310">
        <f>IF($G$1="Neuerrichtung",$B$1*POWER(($F16/100)*(Berechnungen!I$4),2),0)</f>
        <v>0</v>
      </c>
      <c r="R65" s="309">
        <f>IF($G$54="Neuerrichtung",$B$54*POWER(($F69/100)*(Berechnungen!I$5),2),0)</f>
        <v>0</v>
      </c>
      <c r="S65" s="310">
        <f>IF($G$107="Neuerrichtung",$B$107*POWER(($F122/100)*(Berechnungen!I$6),2),0)</f>
        <v>0</v>
      </c>
      <c r="T65" s="309">
        <f>IF($G$160="Neuerrichtung",$B$160*POWER(($F175/100)*(Berechnungen!I$7),2),0)</f>
        <v>0</v>
      </c>
      <c r="U65" s="309">
        <f>IF($G$213="Neuerrichtung",$B$213*POWER(($F228/100)*(Berechnungen!I$8),2),0)</f>
        <v>0</v>
      </c>
      <c r="V65" s="309">
        <f>IF($G$266="Neuerrichtung",$B$266*POWER(($F281/100)*(Berechnungen!I$9),2),0)</f>
        <v>0</v>
      </c>
      <c r="W65" s="309">
        <f>IF($G$319="Neuerrichtung",$B$319*POWER(($F334/100)*(Berechnungen!I$10),2),0)</f>
        <v>0</v>
      </c>
      <c r="X65" s="309">
        <f>IF($G$372="Neuerrichtung",$B$372*POWER(($F387/100)*(Berechnungen!I$11),2),0)</f>
        <v>0</v>
      </c>
      <c r="Y65" s="309">
        <f>IF($G$425="Neuerrichtung",$B$425*POWER(($F440/100)*(Berechnungen!I$12),2),0)</f>
        <v>0</v>
      </c>
      <c r="Z65" s="309">
        <f>IF($G$478="Neuerrichtung",$B$478*POWER(($F493/100)*(Berechnungen!I$13),2),0)</f>
        <v>0</v>
      </c>
      <c r="AA65" s="332" t="e">
        <f t="shared" si="0"/>
        <v>#DIV/0!</v>
      </c>
      <c r="AB65" s="294">
        <f t="shared" si="1"/>
        <v>0</v>
      </c>
      <c r="AC65" s="333" t="e">
        <f>IF(AND($G$49=1,NOT(OR(L65=TFR!$G$8,L65=TFR!$G$10,L65=TFR!$G$12))),"-",(AA65-AB65)/AA65*100)</f>
        <v>#DIV/0!</v>
      </c>
      <c r="AD65" s="295" t="e">
        <f t="shared" si="2"/>
        <v>#DIV/0!</v>
      </c>
      <c r="AE65" s="297" t="e">
        <f t="shared" si="22"/>
        <v>#DIV/0!</v>
      </c>
    </row>
    <row r="66" spans="1:31" ht="15.75" customHeight="1" x14ac:dyDescent="0.25">
      <c r="A66" s="980"/>
      <c r="B66" s="356">
        <v>12</v>
      </c>
      <c r="C66" s="564"/>
      <c r="D66" s="980"/>
      <c r="E66" s="356">
        <v>575</v>
      </c>
      <c r="F66" s="564"/>
      <c r="G66" s="980"/>
      <c r="H66" s="356">
        <v>4.0999999999999996</v>
      </c>
      <c r="I66" s="564"/>
      <c r="J66" s="292">
        <f t="shared" si="23"/>
        <v>15.5</v>
      </c>
      <c r="K66" s="988"/>
      <c r="L66" s="122">
        <v>775</v>
      </c>
      <c r="M66" s="312" t="e">
        <f>(1/$O$139)*((0.2/(J66))/100)*(Bericht!$E$49/Berechnungen!$E$14)*Berechnungen!$G$17</f>
        <v>#DIV/0!</v>
      </c>
      <c r="N66" s="57"/>
      <c r="O66" s="58"/>
      <c r="P66" s="314"/>
      <c r="Q66" s="310">
        <f>IF($G$1="Neuerrichtung",$B$1*POWER(($F17/100)*(Berechnungen!I$4),2),0)</f>
        <v>0</v>
      </c>
      <c r="R66" s="309">
        <f>IF($G$54="Neuerrichtung",$B$54*POWER(($F70/100)*(Berechnungen!I$5),2),0)</f>
        <v>0</v>
      </c>
      <c r="S66" s="310">
        <f>IF($G$107="Neuerrichtung",$B$107*POWER(($F123/100)*(Berechnungen!I$6),2),0)</f>
        <v>0</v>
      </c>
      <c r="T66" s="309">
        <f>IF($G$160="Neuerrichtung",$B$160*POWER(($F176/100)*(Berechnungen!I$7),2),0)</f>
        <v>0</v>
      </c>
      <c r="U66" s="309">
        <f>IF($G$213="Neuerrichtung",$B$213*POWER(($F229/100)*(Berechnungen!I$8),2),0)</f>
        <v>0</v>
      </c>
      <c r="V66" s="309">
        <f>IF($G$266="Neuerrichtung",$B$266*POWER(($F282/100)*(Berechnungen!I$9),2),0)</f>
        <v>0</v>
      </c>
      <c r="W66" s="309">
        <f>IF($G$319="Neuerrichtung",$B$319*POWER(($F335/100)*(Berechnungen!I$10),2),0)</f>
        <v>0</v>
      </c>
      <c r="X66" s="309">
        <f>IF($G$372="Neuerrichtung",$B$372*POWER(($F388/100)*(Berechnungen!I$11),2),0)</f>
        <v>0</v>
      </c>
      <c r="Y66" s="309">
        <f>IF($G$425="Neuerrichtung",$B$425*POWER(($F441/100)*(Berechnungen!I$12),2),0)</f>
        <v>0</v>
      </c>
      <c r="Z66" s="309">
        <f>IF($G$478="Neuerrichtung",$B$478*POWER(($F494/100)*(Berechnungen!I$13),2),0)</f>
        <v>0</v>
      </c>
      <c r="AA66" s="332" t="e">
        <f t="shared" si="0"/>
        <v>#DIV/0!</v>
      </c>
      <c r="AB66" s="294">
        <f t="shared" si="1"/>
        <v>0</v>
      </c>
      <c r="AC66" s="333" t="e">
        <f>IF(AND($G$49=1,NOT(OR(L66=TFR!$G$8,L66=TFR!$G$10,L66=TFR!$G$12))),"-",(AA66-AB66)/AA66*100)</f>
        <v>#DIV/0!</v>
      </c>
      <c r="AD66" s="295" t="e">
        <f t="shared" si="2"/>
        <v>#DIV/0!</v>
      </c>
      <c r="AE66" s="297" t="e">
        <f t="shared" si="22"/>
        <v>#DIV/0!</v>
      </c>
    </row>
    <row r="67" spans="1:31" ht="15.75" customHeight="1" x14ac:dyDescent="0.25">
      <c r="A67" s="980"/>
      <c r="B67" s="356">
        <v>13</v>
      </c>
      <c r="C67" s="564"/>
      <c r="D67" s="980"/>
      <c r="E67" s="356">
        <v>625</v>
      </c>
      <c r="F67" s="564"/>
      <c r="G67" s="980"/>
      <c r="H67" s="356">
        <v>4.3</v>
      </c>
      <c r="I67" s="564"/>
      <c r="J67" s="292">
        <f t="shared" si="23"/>
        <v>16.5</v>
      </c>
      <c r="K67" s="988"/>
      <c r="L67" s="122">
        <v>825</v>
      </c>
      <c r="M67" s="312" t="e">
        <f>(1/$O$139)*((0.2/(J67))/100)*(Bericht!$E$49/Berechnungen!$E$14)*Berechnungen!$G$17</f>
        <v>#DIV/0!</v>
      </c>
      <c r="N67" s="57"/>
      <c r="O67" s="58"/>
      <c r="P67" s="314"/>
      <c r="Q67" s="310">
        <f>IF($G$1="Neuerrichtung",$B$1*POWER(($F18/100)*(Berechnungen!I$4),2),0)</f>
        <v>0</v>
      </c>
      <c r="R67" s="309">
        <f>IF($G$54="Neuerrichtung",$B$54*POWER(($F71/100)*(Berechnungen!I$5),2),0)</f>
        <v>0</v>
      </c>
      <c r="S67" s="310">
        <f>IF($G$107="Neuerrichtung",$B$107*POWER(($F124/100)*(Berechnungen!I$6),2),0)</f>
        <v>0</v>
      </c>
      <c r="T67" s="309">
        <f>IF($G$160="Neuerrichtung",$B$160*POWER(($F177/100)*(Berechnungen!I$7),2),0)</f>
        <v>0</v>
      </c>
      <c r="U67" s="309">
        <f>IF($G$213="Neuerrichtung",$B$213*POWER(($F230/100)*(Berechnungen!I$8),2),0)</f>
        <v>0</v>
      </c>
      <c r="V67" s="309">
        <f>IF($G$266="Neuerrichtung",$B$266*POWER(($F283/100)*(Berechnungen!I$9),2),0)</f>
        <v>0</v>
      </c>
      <c r="W67" s="309">
        <f>IF($G$319="Neuerrichtung",$B$319*POWER(($F336/100)*(Berechnungen!I$10),2),0)</f>
        <v>0</v>
      </c>
      <c r="X67" s="309">
        <f>IF($G$372="Neuerrichtung",$B$372*POWER(($F389/100)*(Berechnungen!I$11),2),0)</f>
        <v>0</v>
      </c>
      <c r="Y67" s="309">
        <f>IF($G$425="Neuerrichtung",$B$425*POWER(($F442/100)*(Berechnungen!I$12),2),0)</f>
        <v>0</v>
      </c>
      <c r="Z67" s="309">
        <f>IF($G$478="Neuerrichtung",$B$478*POWER(($F495/100)*(Berechnungen!I$13),2),0)</f>
        <v>0</v>
      </c>
      <c r="AA67" s="332" t="e">
        <f t="shared" si="0"/>
        <v>#DIV/0!</v>
      </c>
      <c r="AB67" s="294">
        <f t="shared" si="1"/>
        <v>0</v>
      </c>
      <c r="AC67" s="333" t="e">
        <f>IF(AND($G$49=1,NOT(OR(L67=TFR!$G$8,L67=TFR!$G$10,L67=TFR!$G$12))),"-",(AA67-AB67)/AA67*100)</f>
        <v>#DIV/0!</v>
      </c>
      <c r="AD67" s="295" t="e">
        <f t="shared" si="2"/>
        <v>#DIV/0!</v>
      </c>
      <c r="AE67" s="297" t="e">
        <f t="shared" si="22"/>
        <v>#DIV/0!</v>
      </c>
    </row>
    <row r="68" spans="1:31" ht="15.75" customHeight="1" x14ac:dyDescent="0.25">
      <c r="A68" s="980"/>
      <c r="B68" s="356">
        <v>14</v>
      </c>
      <c r="C68" s="564"/>
      <c r="D68" s="980"/>
      <c r="E68" s="356">
        <v>675</v>
      </c>
      <c r="F68" s="564"/>
      <c r="G68" s="980"/>
      <c r="H68" s="356">
        <v>4.5</v>
      </c>
      <c r="I68" s="564"/>
      <c r="J68" s="292">
        <f t="shared" si="23"/>
        <v>17.5</v>
      </c>
      <c r="K68" s="988"/>
      <c r="L68" s="122">
        <v>875</v>
      </c>
      <c r="M68" s="312" t="e">
        <f>(1/$O$139)*((0.2/(J68))/100)*(Bericht!$E$49/Berechnungen!$E$14)*Berechnungen!$G$17</f>
        <v>#DIV/0!</v>
      </c>
      <c r="N68" s="57"/>
      <c r="O68" s="58"/>
      <c r="P68" s="314"/>
      <c r="Q68" s="310">
        <f>IF($G$1="Neuerrichtung",$B$1*POWER(($F19/100)*(Berechnungen!I$4),2),0)</f>
        <v>0</v>
      </c>
      <c r="R68" s="309">
        <f>IF($G$54="Neuerrichtung",$B$54*POWER(($F72/100)*(Berechnungen!I$5),2),0)</f>
        <v>0</v>
      </c>
      <c r="S68" s="310">
        <f>IF($G$107="Neuerrichtung",$B$107*POWER(($F125/100)*(Berechnungen!I$6),2),0)</f>
        <v>0</v>
      </c>
      <c r="T68" s="309">
        <f>IF($G$160="Neuerrichtung",$B$160*POWER(($F178/100)*(Berechnungen!I$7),2),0)</f>
        <v>0</v>
      </c>
      <c r="U68" s="309">
        <f>IF($G$213="Neuerrichtung",$B$213*POWER(($F231/100)*(Berechnungen!I$8),2),0)</f>
        <v>0</v>
      </c>
      <c r="V68" s="309">
        <f>IF($G$266="Neuerrichtung",$B$266*POWER(($F284/100)*(Berechnungen!I$9),2),0)</f>
        <v>0</v>
      </c>
      <c r="W68" s="309">
        <f>IF($G$319="Neuerrichtung",$B$319*POWER(($F337/100)*(Berechnungen!I$10),2),0)</f>
        <v>0</v>
      </c>
      <c r="X68" s="309">
        <f>IF($G$372="Neuerrichtung",$B$372*POWER(($F390/100)*(Berechnungen!I$11),2),0)</f>
        <v>0</v>
      </c>
      <c r="Y68" s="309">
        <f>IF($G$425="Neuerrichtung",$B$425*POWER(($F443/100)*(Berechnungen!I$12),2),0)</f>
        <v>0</v>
      </c>
      <c r="Z68" s="309">
        <f>IF($G$478="Neuerrichtung",$B$478*POWER(($F496/100)*(Berechnungen!I$13),2),0)</f>
        <v>0</v>
      </c>
      <c r="AA68" s="332" t="e">
        <f t="shared" ref="AA68:AA125" si="24">M68</f>
        <v>#DIV/0!</v>
      </c>
      <c r="AB68" s="294">
        <f t="shared" ref="AB68:AB125" si="25">SQRT(Q68+R68+S68+T68+U68+V68+W68+X68+Y68+Z68)</f>
        <v>0</v>
      </c>
      <c r="AC68" s="333" t="e">
        <f>IF(AND($G$49=1,NOT(OR(L68=TFR!$G$8,L68=TFR!$G$10,L68=TFR!$G$12))),"-",(AA68-AB68)/AA68*100)</f>
        <v>#DIV/0!</v>
      </c>
      <c r="AD68" s="295" t="e">
        <f t="shared" ref="AD68:AD125" si="26">IF(AC68&lt;0,1,0)</f>
        <v>#DIV/0!</v>
      </c>
      <c r="AE68" s="297" t="e">
        <f t="shared" si="22"/>
        <v>#DIV/0!</v>
      </c>
    </row>
    <row r="69" spans="1:31" ht="15.75" customHeight="1" x14ac:dyDescent="0.25">
      <c r="A69" s="980"/>
      <c r="B69" s="356">
        <v>15</v>
      </c>
      <c r="C69" s="564"/>
      <c r="D69" s="980"/>
      <c r="E69" s="356">
        <v>725</v>
      </c>
      <c r="F69" s="564"/>
      <c r="G69" s="980"/>
      <c r="H69" s="356">
        <v>4.7</v>
      </c>
      <c r="I69" s="564"/>
      <c r="J69" s="292">
        <f t="shared" si="23"/>
        <v>18.5</v>
      </c>
      <c r="K69" s="988"/>
      <c r="L69" s="122">
        <v>925</v>
      </c>
      <c r="M69" s="312" t="e">
        <f>(1/$O$139)*((0.2/(J69))/100)*(Bericht!$E$49/Berechnungen!$E$14)*Berechnungen!$G$17</f>
        <v>#DIV/0!</v>
      </c>
      <c r="N69" s="57"/>
      <c r="O69" s="58"/>
      <c r="P69" s="314"/>
      <c r="Q69" s="310">
        <f>IF($G$1="Neuerrichtung",$B$1*POWER(($F20/100)*(Berechnungen!I$4),2),0)</f>
        <v>0</v>
      </c>
      <c r="R69" s="309">
        <f>IF($G$54="Neuerrichtung",$B$54*POWER(($F73/100)*(Berechnungen!I$5),2),0)</f>
        <v>0</v>
      </c>
      <c r="S69" s="310">
        <f>IF($G$107="Neuerrichtung",$B$107*POWER(($F126/100)*(Berechnungen!I$6),2),0)</f>
        <v>0</v>
      </c>
      <c r="T69" s="309">
        <f>IF($G$160="Neuerrichtung",$B$160*POWER(($F179/100)*(Berechnungen!I$7),2),0)</f>
        <v>0</v>
      </c>
      <c r="U69" s="309">
        <f>IF($G$213="Neuerrichtung",$B$213*POWER(($F232/100)*(Berechnungen!I$8),2),0)</f>
        <v>0</v>
      </c>
      <c r="V69" s="309">
        <f>IF($G$266="Neuerrichtung",$B$266*POWER(($F285/100)*(Berechnungen!I$9),2),0)</f>
        <v>0</v>
      </c>
      <c r="W69" s="309">
        <f>IF($G$319="Neuerrichtung",$B$319*POWER(($F338/100)*(Berechnungen!I$10),2),0)</f>
        <v>0</v>
      </c>
      <c r="X69" s="309">
        <f>IF($G$372="Neuerrichtung",$B$372*POWER(($F391/100)*(Berechnungen!I$11),2),0)</f>
        <v>0</v>
      </c>
      <c r="Y69" s="309">
        <f>IF($G$425="Neuerrichtung",$B$425*POWER(($F444/100)*(Berechnungen!I$12),2),0)</f>
        <v>0</v>
      </c>
      <c r="Z69" s="309">
        <f>IF($G$478="Neuerrichtung",$B$478*POWER(($F497/100)*(Berechnungen!I$13),2),0)</f>
        <v>0</v>
      </c>
      <c r="AA69" s="332" t="e">
        <f t="shared" si="24"/>
        <v>#DIV/0!</v>
      </c>
      <c r="AB69" s="294">
        <f t="shared" si="25"/>
        <v>0</v>
      </c>
      <c r="AC69" s="333" t="e">
        <f>IF(AND($G$49=1,NOT(OR(L69=TFR!$G$8,L69=TFR!$G$10,L69=TFR!$G$12))),"-",(AA69-AB69)/AA69*100)</f>
        <v>#DIV/0!</v>
      </c>
      <c r="AD69" s="295" t="e">
        <f t="shared" si="26"/>
        <v>#DIV/0!</v>
      </c>
      <c r="AE69" s="297" t="e">
        <f t="shared" si="22"/>
        <v>#DIV/0!</v>
      </c>
    </row>
    <row r="70" spans="1:31" ht="15.75" customHeight="1" x14ac:dyDescent="0.25">
      <c r="A70" s="980"/>
      <c r="B70" s="356">
        <v>16</v>
      </c>
      <c r="C70" s="564"/>
      <c r="D70" s="980"/>
      <c r="E70" s="356">
        <v>775</v>
      </c>
      <c r="F70" s="564"/>
      <c r="G70" s="980"/>
      <c r="H70" s="356">
        <v>4.9000000000000004</v>
      </c>
      <c r="I70" s="564"/>
      <c r="J70" s="292">
        <f t="shared" si="23"/>
        <v>19.5</v>
      </c>
      <c r="K70" s="988"/>
      <c r="L70" s="122">
        <v>975</v>
      </c>
      <c r="M70" s="312" t="e">
        <f>(1/$O$139)*((0.2/(J70))/100)*(Bericht!$E$49/Berechnungen!$E$14)*Berechnungen!$G$17</f>
        <v>#DIV/0!</v>
      </c>
      <c r="N70" s="57"/>
      <c r="O70" s="58"/>
      <c r="P70" s="314"/>
      <c r="Q70" s="310">
        <f>IF($G$1="Neuerrichtung",$B$1*POWER(($F21/100)*(Berechnungen!I$4),2),0)</f>
        <v>0</v>
      </c>
      <c r="R70" s="309">
        <f>IF($G$54="Neuerrichtung",$B$54*POWER(($F74/100)*(Berechnungen!I$5),2),0)</f>
        <v>0</v>
      </c>
      <c r="S70" s="310">
        <f>IF($G$107="Neuerrichtung",$B$107*POWER(($F127/100)*(Berechnungen!I$6),2),0)</f>
        <v>0</v>
      </c>
      <c r="T70" s="309">
        <f>IF($G$160="Neuerrichtung",$B$160*POWER(($F180/100)*(Berechnungen!I$7),2),0)</f>
        <v>0</v>
      </c>
      <c r="U70" s="309">
        <f>IF($G$213="Neuerrichtung",$B$213*POWER(($F233/100)*(Berechnungen!I$8),2),0)</f>
        <v>0</v>
      </c>
      <c r="V70" s="309">
        <f>IF($G$266="Neuerrichtung",$B$266*POWER(($F286/100)*(Berechnungen!I$9),2),0)</f>
        <v>0</v>
      </c>
      <c r="W70" s="309">
        <f>IF($G$319="Neuerrichtung",$B$319*POWER(($F339/100)*(Berechnungen!I$10),2),0)</f>
        <v>0</v>
      </c>
      <c r="X70" s="309">
        <f>IF($G$372="Neuerrichtung",$B$372*POWER(($F392/100)*(Berechnungen!I$11),2),0)</f>
        <v>0</v>
      </c>
      <c r="Y70" s="309">
        <f>IF($G$425="Neuerrichtung",$B$425*POWER(($F445/100)*(Berechnungen!I$12),2),0)</f>
        <v>0</v>
      </c>
      <c r="Z70" s="309">
        <f>IF($G$478="Neuerrichtung",$B$478*POWER(($F498/100)*(Berechnungen!I$13),2),0)</f>
        <v>0</v>
      </c>
      <c r="AA70" s="332" t="e">
        <f t="shared" si="24"/>
        <v>#DIV/0!</v>
      </c>
      <c r="AB70" s="294">
        <f t="shared" si="25"/>
        <v>0</v>
      </c>
      <c r="AC70" s="333" t="e">
        <f>IF(AND($G$49=1,NOT(OR(L70=TFR!$G$8,L70=TFR!$G$10,L70=TFR!$G$12))),"-",(AA70-AB70)/AA70*100)</f>
        <v>#DIV/0!</v>
      </c>
      <c r="AD70" s="295" t="e">
        <f t="shared" si="26"/>
        <v>#DIV/0!</v>
      </c>
      <c r="AE70" s="297" t="e">
        <f t="shared" si="22"/>
        <v>#DIV/0!</v>
      </c>
    </row>
    <row r="71" spans="1:31" ht="15.75" customHeight="1" x14ac:dyDescent="0.25">
      <c r="A71" s="980"/>
      <c r="B71" s="356">
        <v>17</v>
      </c>
      <c r="C71" s="564"/>
      <c r="D71" s="980"/>
      <c r="E71" s="356">
        <v>825</v>
      </c>
      <c r="F71" s="564"/>
      <c r="G71" s="980"/>
      <c r="H71" s="356">
        <v>5.0999999999999996</v>
      </c>
      <c r="I71" s="564"/>
      <c r="J71" s="292">
        <f t="shared" si="23"/>
        <v>20.5</v>
      </c>
      <c r="K71" s="988"/>
      <c r="L71" s="122">
        <v>1025</v>
      </c>
      <c r="M71" s="312" t="e">
        <f>(1/$O$139)*((0.2/(J71))/100)*(Bericht!$E$49/Berechnungen!$E$14)*Berechnungen!$G$17</f>
        <v>#DIV/0!</v>
      </c>
      <c r="N71" s="57"/>
      <c r="O71" s="58"/>
      <c r="P71" s="314"/>
      <c r="Q71" s="310">
        <f>IF($G$1="Neuerrichtung",$B$1*POWER(($F22/100)*(Berechnungen!I$4),2),0)</f>
        <v>0</v>
      </c>
      <c r="R71" s="309">
        <f>IF($G$54="Neuerrichtung",$B$54*POWER(($F75/100)*(Berechnungen!I$5),2),0)</f>
        <v>0</v>
      </c>
      <c r="S71" s="310">
        <f>IF($G$107="Neuerrichtung",$B$107*POWER(($F128/100)*(Berechnungen!I$6),2),0)</f>
        <v>0</v>
      </c>
      <c r="T71" s="309">
        <f>IF($G$160="Neuerrichtung",$B$160*POWER(($F181/100)*(Berechnungen!I$7),2),0)</f>
        <v>0</v>
      </c>
      <c r="U71" s="309">
        <f>IF($G$213="Neuerrichtung",$B$213*POWER(($F234/100)*(Berechnungen!I$8),2),0)</f>
        <v>0</v>
      </c>
      <c r="V71" s="309">
        <f>IF($G$266="Neuerrichtung",$B$266*POWER(($F287/100)*(Berechnungen!I$9),2),0)</f>
        <v>0</v>
      </c>
      <c r="W71" s="309">
        <f>IF($G$319="Neuerrichtung",$B$319*POWER(($F340/100)*(Berechnungen!I$10),2),0)</f>
        <v>0</v>
      </c>
      <c r="X71" s="309">
        <f>IF($G$372="Neuerrichtung",$B$372*POWER(($F393/100)*(Berechnungen!I$11),2),0)</f>
        <v>0</v>
      </c>
      <c r="Y71" s="309">
        <f>IF($G$425="Neuerrichtung",$B$425*POWER(($F446/100)*(Berechnungen!I$12),2),0)</f>
        <v>0</v>
      </c>
      <c r="Z71" s="309">
        <f>IF($G$478="Neuerrichtung",$B$478*POWER(($F499/100)*(Berechnungen!I$13),2),0)</f>
        <v>0</v>
      </c>
      <c r="AA71" s="332" t="e">
        <f t="shared" si="24"/>
        <v>#DIV/0!</v>
      </c>
      <c r="AB71" s="294">
        <f t="shared" si="25"/>
        <v>0</v>
      </c>
      <c r="AC71" s="333" t="e">
        <f>IF(AND($G$49=1,NOT(OR(L71=TFR!$G$8,L71=TFR!$G$10,L71=TFR!$G$12))),"-",(AA71-AB71)/AA71*100)</f>
        <v>#DIV/0!</v>
      </c>
      <c r="AD71" s="295" t="e">
        <f t="shared" si="26"/>
        <v>#DIV/0!</v>
      </c>
      <c r="AE71" s="297" t="e">
        <f t="shared" si="22"/>
        <v>#DIV/0!</v>
      </c>
    </row>
    <row r="72" spans="1:31" ht="15.75" customHeight="1" x14ac:dyDescent="0.25">
      <c r="A72" s="980"/>
      <c r="B72" s="356">
        <v>18</v>
      </c>
      <c r="C72" s="564"/>
      <c r="D72" s="980"/>
      <c r="E72" s="356">
        <v>875</v>
      </c>
      <c r="F72" s="564"/>
      <c r="G72" s="980"/>
      <c r="H72" s="356">
        <v>5.3</v>
      </c>
      <c r="I72" s="564"/>
      <c r="J72" s="292">
        <f t="shared" si="23"/>
        <v>21.5</v>
      </c>
      <c r="K72" s="988"/>
      <c r="L72" s="122">
        <v>1075</v>
      </c>
      <c r="M72" s="312" t="e">
        <f>(1/$O$139)*((0.2/(J72))/100)*(Bericht!$E$49/Berechnungen!$E$14)*Berechnungen!$G$17</f>
        <v>#DIV/0!</v>
      </c>
      <c r="N72" s="57"/>
      <c r="O72" s="58"/>
      <c r="P72" s="314"/>
      <c r="Q72" s="310">
        <f>IF($G$1="Neuerrichtung",$B$1*POWER(($F23/100)*(Berechnungen!I$4),2),0)</f>
        <v>0</v>
      </c>
      <c r="R72" s="309">
        <f>IF($G$54="Neuerrichtung",$B$54*POWER(($F76/100)*(Berechnungen!I$5),2),0)</f>
        <v>0</v>
      </c>
      <c r="S72" s="310">
        <f>IF($G$107="Neuerrichtung",$B$107*POWER(($F129/100)*(Berechnungen!I$6),2),0)</f>
        <v>0</v>
      </c>
      <c r="T72" s="309">
        <f>IF($G$160="Neuerrichtung",$B$160*POWER(($F182/100)*(Berechnungen!I$7),2),0)</f>
        <v>0</v>
      </c>
      <c r="U72" s="309">
        <f>IF($G$213="Neuerrichtung",$B$213*POWER(($F235/100)*(Berechnungen!I$8),2),0)</f>
        <v>0</v>
      </c>
      <c r="V72" s="309">
        <f>IF($G$266="Neuerrichtung",$B$266*POWER(($F288/100)*(Berechnungen!I$9),2),0)</f>
        <v>0</v>
      </c>
      <c r="W72" s="309">
        <f>IF($G$319="Neuerrichtung",$B$319*POWER(($F341/100)*(Berechnungen!I$10),2),0)</f>
        <v>0</v>
      </c>
      <c r="X72" s="309">
        <f>IF($G$372="Neuerrichtung",$B$372*POWER(($F394/100)*(Berechnungen!I$11),2),0)</f>
        <v>0</v>
      </c>
      <c r="Y72" s="309">
        <f>IF($G$425="Neuerrichtung",$B$425*POWER(($F447/100)*(Berechnungen!I$12),2),0)</f>
        <v>0</v>
      </c>
      <c r="Z72" s="309">
        <f>IF($G$478="Neuerrichtung",$B$478*POWER(($F500/100)*(Berechnungen!I$13),2),0)</f>
        <v>0</v>
      </c>
      <c r="AA72" s="332" t="e">
        <f t="shared" si="24"/>
        <v>#DIV/0!</v>
      </c>
      <c r="AB72" s="294">
        <f t="shared" si="25"/>
        <v>0</v>
      </c>
      <c r="AC72" s="333" t="e">
        <f>IF(AND($G$49=1,NOT(OR(L72=TFR!$G$8,L72=TFR!$G$10,L72=TFR!$G$12))),"-",(AA72-AB72)/AA72*100)</f>
        <v>#DIV/0!</v>
      </c>
      <c r="AD72" s="295" t="e">
        <f t="shared" si="26"/>
        <v>#DIV/0!</v>
      </c>
      <c r="AE72" s="297" t="e">
        <f t="shared" si="22"/>
        <v>#DIV/0!</v>
      </c>
    </row>
    <row r="73" spans="1:31" ht="15.75" customHeight="1" x14ac:dyDescent="0.25">
      <c r="A73" s="980"/>
      <c r="B73" s="356">
        <v>19</v>
      </c>
      <c r="C73" s="564"/>
      <c r="D73" s="980"/>
      <c r="E73" s="356">
        <v>925</v>
      </c>
      <c r="F73" s="564"/>
      <c r="G73" s="980"/>
      <c r="H73" s="356">
        <v>5.5</v>
      </c>
      <c r="I73" s="564"/>
      <c r="J73" s="14">
        <f t="shared" si="23"/>
        <v>22.5</v>
      </c>
      <c r="K73" s="988"/>
      <c r="L73" s="122">
        <v>1125</v>
      </c>
      <c r="M73" s="312" t="e">
        <f>(1/$O$139)*((0.2/(J73))/100)*(Bericht!$E$49/Berechnungen!$E$14)*Berechnungen!$G$17</f>
        <v>#DIV/0!</v>
      </c>
      <c r="N73" s="57"/>
      <c r="O73" s="58"/>
      <c r="P73" s="314"/>
      <c r="Q73" s="310">
        <f>IF($G$1="Neuerrichtung",$B$1*POWER(($F24/100)*(Berechnungen!I$4),2),0)</f>
        <v>0</v>
      </c>
      <c r="R73" s="309">
        <f>IF($G$54="Neuerrichtung",$B$54*POWER(($F77/100)*(Berechnungen!I$5),2),0)</f>
        <v>0</v>
      </c>
      <c r="S73" s="310">
        <f>IF($G$107="Neuerrichtung",$B$107*POWER(($F130/100)*(Berechnungen!I$6),2),0)</f>
        <v>0</v>
      </c>
      <c r="T73" s="309">
        <f>IF($G$160="Neuerrichtung",$B$160*POWER(($F183/100)*(Berechnungen!I$7),2),0)</f>
        <v>0</v>
      </c>
      <c r="U73" s="309">
        <f>IF($G$213="Neuerrichtung",$B$213*POWER(($F236/100)*(Berechnungen!I$8),2),0)</f>
        <v>0</v>
      </c>
      <c r="V73" s="309">
        <f>IF($G$266="Neuerrichtung",$B$266*POWER(($F289/100)*(Berechnungen!I$9),2),0)</f>
        <v>0</v>
      </c>
      <c r="W73" s="309">
        <f>IF($G$319="Neuerrichtung",$B$319*POWER(($F342/100)*(Berechnungen!I$10),2),0)</f>
        <v>0</v>
      </c>
      <c r="X73" s="309">
        <f>IF($G$372="Neuerrichtung",$B$372*POWER(($F395/100)*(Berechnungen!I$11),2),0)</f>
        <v>0</v>
      </c>
      <c r="Y73" s="309">
        <f>IF($G$425="Neuerrichtung",$B$425*POWER(($F448/100)*(Berechnungen!I$12),2),0)</f>
        <v>0</v>
      </c>
      <c r="Z73" s="309">
        <f>IF($G$478="Neuerrichtung",$B$478*POWER(($F501/100)*(Berechnungen!I$13),2),0)</f>
        <v>0</v>
      </c>
      <c r="AA73" s="332" t="e">
        <f t="shared" si="24"/>
        <v>#DIV/0!</v>
      </c>
      <c r="AB73" s="294">
        <f t="shared" si="25"/>
        <v>0</v>
      </c>
      <c r="AC73" s="333" t="e">
        <f>IF(AND($G$49=1,NOT(OR(L73=TFR!$G$8,L73=TFR!$G$10,L73=TFR!$G$12))),"-",(AA73-AB73)/AA73*100)</f>
        <v>#DIV/0!</v>
      </c>
      <c r="AD73" s="295" t="e">
        <f t="shared" si="26"/>
        <v>#DIV/0!</v>
      </c>
      <c r="AE73" s="297" t="e">
        <f t="shared" si="22"/>
        <v>#DIV/0!</v>
      </c>
    </row>
    <row r="74" spans="1:31" ht="15.75" customHeight="1" x14ac:dyDescent="0.25">
      <c r="A74" s="980"/>
      <c r="B74" s="356">
        <v>20</v>
      </c>
      <c r="C74" s="564"/>
      <c r="D74" s="980"/>
      <c r="E74" s="356">
        <v>975</v>
      </c>
      <c r="F74" s="564"/>
      <c r="G74" s="980"/>
      <c r="H74" s="356">
        <v>5.7</v>
      </c>
      <c r="I74" s="564"/>
      <c r="J74" s="14">
        <f t="shared" si="23"/>
        <v>23.5</v>
      </c>
      <c r="K74" s="988"/>
      <c r="L74" s="122">
        <v>1175</v>
      </c>
      <c r="M74" s="312" t="e">
        <f>(1/$O$139)*((0.2/(J74))/100)*(Bericht!$E$49/Berechnungen!$E$14)*Berechnungen!$G$17</f>
        <v>#DIV/0!</v>
      </c>
      <c r="N74" s="57"/>
      <c r="O74" s="58"/>
      <c r="P74" s="314"/>
      <c r="Q74" s="310">
        <f>IF($G$1="Neuerrichtung",$B$1*POWER(($F25/100)*(Berechnungen!I$4),2),0)</f>
        <v>0</v>
      </c>
      <c r="R74" s="309">
        <f>IF($G$54="Neuerrichtung",$B$54*POWER(($F78/100)*(Berechnungen!I$5),2),0)</f>
        <v>0</v>
      </c>
      <c r="S74" s="310">
        <f>IF($G$107="Neuerrichtung",$B$107*POWER(($F131/100)*(Berechnungen!I$6),2),0)</f>
        <v>0</v>
      </c>
      <c r="T74" s="309">
        <f>IF($G$160="Neuerrichtung",$B$160*POWER(($F184/100)*(Berechnungen!I$7),2),0)</f>
        <v>0</v>
      </c>
      <c r="U74" s="309">
        <f>IF($G$213="Neuerrichtung",$B$213*POWER(($F237/100)*(Berechnungen!I$8),2),0)</f>
        <v>0</v>
      </c>
      <c r="V74" s="309">
        <f>IF($G$266="Neuerrichtung",$B$266*POWER(($F290/100)*(Berechnungen!I$9),2),0)</f>
        <v>0</v>
      </c>
      <c r="W74" s="309">
        <f>IF($G$319="Neuerrichtung",$B$319*POWER(($F343/100)*(Berechnungen!I$10),2),0)</f>
        <v>0</v>
      </c>
      <c r="X74" s="309">
        <f>IF($G$372="Neuerrichtung",$B$372*POWER(($F396/100)*(Berechnungen!I$11),2),0)</f>
        <v>0</v>
      </c>
      <c r="Y74" s="309">
        <f>IF($G$425="Neuerrichtung",$B$425*POWER(($F449/100)*(Berechnungen!I$12),2),0)</f>
        <v>0</v>
      </c>
      <c r="Z74" s="309">
        <f>IF($G$478="Neuerrichtung",$B$478*POWER(($F502/100)*(Berechnungen!I$13),2),0)</f>
        <v>0</v>
      </c>
      <c r="AA74" s="332" t="e">
        <f t="shared" si="24"/>
        <v>#DIV/0!</v>
      </c>
      <c r="AB74" s="294">
        <f t="shared" si="25"/>
        <v>0</v>
      </c>
      <c r="AC74" s="333" t="e">
        <f>IF(AND($G$49=1,NOT(OR(L74=TFR!$G$8,L74=TFR!$G$10,L74=TFR!$G$12))),"-",(AA74-AB74)/AA74*100)</f>
        <v>#DIV/0!</v>
      </c>
      <c r="AD74" s="295" t="e">
        <f t="shared" si="26"/>
        <v>#DIV/0!</v>
      </c>
      <c r="AE74" s="297" t="e">
        <f t="shared" si="22"/>
        <v>#DIV/0!</v>
      </c>
    </row>
    <row r="75" spans="1:31" ht="15.75" customHeight="1" x14ac:dyDescent="0.25">
      <c r="A75" s="980"/>
      <c r="B75" s="356">
        <v>21</v>
      </c>
      <c r="C75" s="564"/>
      <c r="D75" s="980"/>
      <c r="E75" s="356">
        <v>1025</v>
      </c>
      <c r="F75" s="564"/>
      <c r="G75" s="980"/>
      <c r="H75" s="356">
        <v>5.9</v>
      </c>
      <c r="I75" s="564"/>
      <c r="J75" s="14">
        <f t="shared" si="23"/>
        <v>24.5</v>
      </c>
      <c r="K75" s="988"/>
      <c r="L75" s="122">
        <v>1225</v>
      </c>
      <c r="M75" s="312" t="e">
        <f>(1/$O$139)*((0.2/(J75))/100)*(Bericht!$E$49/Berechnungen!$E$14)*Berechnungen!$G$17</f>
        <v>#DIV/0!</v>
      </c>
      <c r="N75" s="57"/>
      <c r="O75" s="58"/>
      <c r="P75" s="314"/>
      <c r="Q75" s="310">
        <f>IF($G$1="Neuerrichtung",$B$1*POWER(($F26/100)*(Berechnungen!I$4),2),0)</f>
        <v>0</v>
      </c>
      <c r="R75" s="309">
        <f>IF($G$54="Neuerrichtung",$B$54*POWER(($F79/100)*(Berechnungen!I$5),2),0)</f>
        <v>0</v>
      </c>
      <c r="S75" s="310">
        <f>IF($G$107="Neuerrichtung",$B$107*POWER(($F132/100)*(Berechnungen!I$6),2),0)</f>
        <v>0</v>
      </c>
      <c r="T75" s="309">
        <f>IF($G$160="Neuerrichtung",$B$160*POWER(($F185/100)*(Berechnungen!I$7),2),0)</f>
        <v>0</v>
      </c>
      <c r="U75" s="309">
        <f>IF($G$213="Neuerrichtung",$B$213*POWER(($F238/100)*(Berechnungen!I$8),2),0)</f>
        <v>0</v>
      </c>
      <c r="V75" s="309">
        <f>IF($G$266="Neuerrichtung",$B$266*POWER(($F291/100)*(Berechnungen!I$9),2),0)</f>
        <v>0</v>
      </c>
      <c r="W75" s="309">
        <f>IF($G$319="Neuerrichtung",$B$319*POWER(($F344/100)*(Berechnungen!I$10),2),0)</f>
        <v>0</v>
      </c>
      <c r="X75" s="309">
        <f>IF($G$372="Neuerrichtung",$B$372*POWER(($F397/100)*(Berechnungen!I$11),2),0)</f>
        <v>0</v>
      </c>
      <c r="Y75" s="309">
        <f>IF($G$425="Neuerrichtung",$B$425*POWER(($F450/100)*(Berechnungen!I$12),2),0)</f>
        <v>0</v>
      </c>
      <c r="Z75" s="309">
        <f>IF($G$478="Neuerrichtung",$B$478*POWER(($F503/100)*(Berechnungen!I$13),2),0)</f>
        <v>0</v>
      </c>
      <c r="AA75" s="332" t="e">
        <f t="shared" si="24"/>
        <v>#DIV/0!</v>
      </c>
      <c r="AB75" s="294">
        <f t="shared" si="25"/>
        <v>0</v>
      </c>
      <c r="AC75" s="333" t="e">
        <f>IF(AND($G$49=1,NOT(OR(L75=TFR!$G$8,L75=TFR!$G$10,L75=TFR!$G$12))),"-",(AA75-AB75)/AA75*100)</f>
        <v>#DIV/0!</v>
      </c>
      <c r="AD75" s="295" t="e">
        <f t="shared" si="26"/>
        <v>#DIV/0!</v>
      </c>
      <c r="AE75" s="297" t="e">
        <f t="shared" si="22"/>
        <v>#DIV/0!</v>
      </c>
    </row>
    <row r="76" spans="1:31" ht="15.75" customHeight="1" x14ac:dyDescent="0.25">
      <c r="A76" s="980"/>
      <c r="B76" s="356">
        <v>22</v>
      </c>
      <c r="C76" s="564"/>
      <c r="D76" s="980"/>
      <c r="E76" s="356">
        <v>1075</v>
      </c>
      <c r="F76" s="564"/>
      <c r="G76" s="980"/>
      <c r="H76" s="356">
        <v>6.1</v>
      </c>
      <c r="I76" s="564"/>
      <c r="J76" s="14">
        <f t="shared" si="23"/>
        <v>25.5</v>
      </c>
      <c r="K76" s="988"/>
      <c r="L76" s="122">
        <v>1275</v>
      </c>
      <c r="M76" s="312" t="e">
        <f>(1/$O$139)*((0.2/(J76))/100)*(Bericht!$E$49/Berechnungen!$E$14)*Berechnungen!$G$17</f>
        <v>#DIV/0!</v>
      </c>
      <c r="N76" s="57"/>
      <c r="O76" s="58"/>
      <c r="P76" s="314"/>
      <c r="Q76" s="310">
        <f>IF($G$1="Neuerrichtung",$B$1*POWER(($F27/100)*(Berechnungen!I$4),2),0)</f>
        <v>0</v>
      </c>
      <c r="R76" s="309">
        <f>IF($G$54="Neuerrichtung",$B$54*POWER(($F80/100)*(Berechnungen!I$5),2),0)</f>
        <v>0</v>
      </c>
      <c r="S76" s="310">
        <f>IF($G$107="Neuerrichtung",$B$107*POWER(($F133/100)*(Berechnungen!I$6),2),0)</f>
        <v>0</v>
      </c>
      <c r="T76" s="309">
        <f>IF($G$160="Neuerrichtung",$B$160*POWER(($F186/100)*(Berechnungen!I$7),2),0)</f>
        <v>0</v>
      </c>
      <c r="U76" s="309">
        <f>IF($G$213="Neuerrichtung",$B$213*POWER(($F239/100)*(Berechnungen!I$8),2),0)</f>
        <v>0</v>
      </c>
      <c r="V76" s="309">
        <f>IF($G$266="Neuerrichtung",$B$266*POWER(($F292/100)*(Berechnungen!I$9),2),0)</f>
        <v>0</v>
      </c>
      <c r="W76" s="309">
        <f>IF($G$319="Neuerrichtung",$B$319*POWER(($F345/100)*(Berechnungen!I$10),2),0)</f>
        <v>0</v>
      </c>
      <c r="X76" s="309">
        <f>IF($G$372="Neuerrichtung",$B$372*POWER(($F398/100)*(Berechnungen!I$11),2),0)</f>
        <v>0</v>
      </c>
      <c r="Y76" s="309">
        <f>IF($G$425="Neuerrichtung",$B$425*POWER(($F451/100)*(Berechnungen!I$12),2),0)</f>
        <v>0</v>
      </c>
      <c r="Z76" s="309">
        <f>IF($G$478="Neuerrichtung",$B$478*POWER(($F504/100)*(Berechnungen!I$13),2),0)</f>
        <v>0</v>
      </c>
      <c r="AA76" s="332" t="e">
        <f t="shared" si="24"/>
        <v>#DIV/0!</v>
      </c>
      <c r="AB76" s="294">
        <f t="shared" si="25"/>
        <v>0</v>
      </c>
      <c r="AC76" s="333" t="e">
        <f>IF(AND($G$49=1,NOT(OR(L76=TFR!$G$8,L76=TFR!$G$10,L76=TFR!$G$12))),"-",(AA76-AB76)/AA76*100)</f>
        <v>#DIV/0!</v>
      </c>
      <c r="AD76" s="295" t="e">
        <f t="shared" si="26"/>
        <v>#DIV/0!</v>
      </c>
      <c r="AE76" s="297" t="e">
        <f t="shared" si="22"/>
        <v>#DIV/0!</v>
      </c>
    </row>
    <row r="77" spans="1:31" ht="15.75" customHeight="1" x14ac:dyDescent="0.25">
      <c r="A77" s="980"/>
      <c r="B77" s="356">
        <v>23</v>
      </c>
      <c r="C77" s="564"/>
      <c r="D77" s="980"/>
      <c r="E77" s="356">
        <v>1125</v>
      </c>
      <c r="F77" s="564"/>
      <c r="G77" s="980"/>
      <c r="H77" s="356">
        <v>6.3</v>
      </c>
      <c r="I77" s="564"/>
      <c r="J77" s="14">
        <f t="shared" si="23"/>
        <v>26.5</v>
      </c>
      <c r="K77" s="988"/>
      <c r="L77" s="122">
        <v>1325</v>
      </c>
      <c r="M77" s="312" t="e">
        <f>(1/$O$139)*((0.2/(J77))/100)*(Bericht!$E$49/Berechnungen!$E$14)*Berechnungen!$G$17</f>
        <v>#DIV/0!</v>
      </c>
      <c r="N77" s="57"/>
      <c r="O77" s="58"/>
      <c r="P77" s="314"/>
      <c r="Q77" s="310">
        <f>IF($G$1="Neuerrichtung",$B$1*POWER(($F28/100)*(Berechnungen!I$4),2),0)</f>
        <v>0</v>
      </c>
      <c r="R77" s="309">
        <f>IF($G$54="Neuerrichtung",$B$54*POWER(($F81/100)*(Berechnungen!I$5),2),0)</f>
        <v>0</v>
      </c>
      <c r="S77" s="310">
        <f>IF($G$107="Neuerrichtung",$B$107*POWER(($F134/100)*(Berechnungen!I$6),2),0)</f>
        <v>0</v>
      </c>
      <c r="T77" s="309">
        <f>IF($G$160="Neuerrichtung",$B$160*POWER(($F187/100)*(Berechnungen!I$7),2),0)</f>
        <v>0</v>
      </c>
      <c r="U77" s="309">
        <f>IF($G$213="Neuerrichtung",$B$213*POWER(($F240/100)*(Berechnungen!I$8),2),0)</f>
        <v>0</v>
      </c>
      <c r="V77" s="309">
        <f>IF($G$266="Neuerrichtung",$B$266*POWER(($F293/100)*(Berechnungen!I$9),2),0)</f>
        <v>0</v>
      </c>
      <c r="W77" s="309">
        <f>IF($G$319="Neuerrichtung",$B$319*POWER(($F346/100)*(Berechnungen!I$10),2),0)</f>
        <v>0</v>
      </c>
      <c r="X77" s="309">
        <f>IF($G$372="Neuerrichtung",$B$372*POWER(($F399/100)*(Berechnungen!I$11),2),0)</f>
        <v>0</v>
      </c>
      <c r="Y77" s="309">
        <f>IF($G$425="Neuerrichtung",$B$425*POWER(($F452/100)*(Berechnungen!I$12),2),0)</f>
        <v>0</v>
      </c>
      <c r="Z77" s="309">
        <f>IF($G$478="Neuerrichtung",$B$478*POWER(($F505/100)*(Berechnungen!I$13),2),0)</f>
        <v>0</v>
      </c>
      <c r="AA77" s="332" t="e">
        <f t="shared" si="24"/>
        <v>#DIV/0!</v>
      </c>
      <c r="AB77" s="294">
        <f t="shared" si="25"/>
        <v>0</v>
      </c>
      <c r="AC77" s="333" t="e">
        <f>IF(AND($G$49=1,NOT(OR(L77=TFR!$G$8,L77=TFR!$G$10,L77=TFR!$G$12))),"-",(AA77-AB77)/AA77*100)</f>
        <v>#DIV/0!</v>
      </c>
      <c r="AD77" s="295" t="e">
        <f t="shared" si="26"/>
        <v>#DIV/0!</v>
      </c>
      <c r="AE77" s="297" t="e">
        <f t="shared" si="22"/>
        <v>#DIV/0!</v>
      </c>
    </row>
    <row r="78" spans="1:31" ht="15.75" customHeight="1" x14ac:dyDescent="0.25">
      <c r="A78" s="980"/>
      <c r="B78" s="356">
        <v>24</v>
      </c>
      <c r="C78" s="564"/>
      <c r="D78" s="980"/>
      <c r="E78" s="356">
        <v>1175</v>
      </c>
      <c r="F78" s="564"/>
      <c r="G78" s="980"/>
      <c r="H78" s="356">
        <v>6.5</v>
      </c>
      <c r="I78" s="564"/>
      <c r="J78" s="14">
        <f t="shared" si="23"/>
        <v>27.5</v>
      </c>
      <c r="K78" s="988"/>
      <c r="L78" s="122">
        <v>1375</v>
      </c>
      <c r="M78" s="312" t="e">
        <f>(1/$O$139)*((0.2/(J78))/100)*(Bericht!$E$49/Berechnungen!$E$14)*Berechnungen!$G$17</f>
        <v>#DIV/0!</v>
      </c>
      <c r="N78" s="57"/>
      <c r="O78" s="58"/>
      <c r="P78" s="314"/>
      <c r="Q78" s="310">
        <f>IF($G$1="Neuerrichtung",$B$1*POWER(($F29/100)*(Berechnungen!I$4),2),0)</f>
        <v>0</v>
      </c>
      <c r="R78" s="309">
        <f>IF($G$54="Neuerrichtung",$B$54*POWER(($F82/100)*(Berechnungen!I$5),2),0)</f>
        <v>0</v>
      </c>
      <c r="S78" s="310">
        <f>IF($G$107="Neuerrichtung",$B$107*POWER(($F135/100)*(Berechnungen!I$6),2),0)</f>
        <v>0</v>
      </c>
      <c r="T78" s="309">
        <f>IF($G$160="Neuerrichtung",$B$160*POWER(($F188/100)*(Berechnungen!I$7),2),0)</f>
        <v>0</v>
      </c>
      <c r="U78" s="309">
        <f>IF($G$213="Neuerrichtung",$B$213*POWER(($F241/100)*(Berechnungen!I$8),2),0)</f>
        <v>0</v>
      </c>
      <c r="V78" s="309">
        <f>IF($G$266="Neuerrichtung",$B$266*POWER(($F294/100)*(Berechnungen!I$9),2),0)</f>
        <v>0</v>
      </c>
      <c r="W78" s="309">
        <f>IF($G$319="Neuerrichtung",$B$319*POWER(($F347/100)*(Berechnungen!I$10),2),0)</f>
        <v>0</v>
      </c>
      <c r="X78" s="309">
        <f>IF($G$372="Neuerrichtung",$B$372*POWER(($F400/100)*(Berechnungen!I$11),2),0)</f>
        <v>0</v>
      </c>
      <c r="Y78" s="309">
        <f>IF($G$425="Neuerrichtung",$B$425*POWER(($F453/100)*(Berechnungen!I$12),2),0)</f>
        <v>0</v>
      </c>
      <c r="Z78" s="309">
        <f>IF($G$478="Neuerrichtung",$B$478*POWER(($F506/100)*(Berechnungen!I$13),2),0)</f>
        <v>0</v>
      </c>
      <c r="AA78" s="332" t="e">
        <f t="shared" si="24"/>
        <v>#DIV/0!</v>
      </c>
      <c r="AB78" s="294">
        <f t="shared" si="25"/>
        <v>0</v>
      </c>
      <c r="AC78" s="333" t="e">
        <f>IF(AND($G$49=1,NOT(OR(L78=TFR!$G$8,L78=TFR!$G$10,L78=TFR!$G$12))),"-",(AA78-AB78)/AA78*100)</f>
        <v>#DIV/0!</v>
      </c>
      <c r="AD78" s="295" t="e">
        <f t="shared" si="26"/>
        <v>#DIV/0!</v>
      </c>
      <c r="AE78" s="297" t="e">
        <f t="shared" si="22"/>
        <v>#DIV/0!</v>
      </c>
    </row>
    <row r="79" spans="1:31" ht="15.75" customHeight="1" x14ac:dyDescent="0.25">
      <c r="A79" s="980"/>
      <c r="B79" s="356">
        <v>25</v>
      </c>
      <c r="C79" s="564"/>
      <c r="D79" s="980"/>
      <c r="E79" s="356">
        <v>1225</v>
      </c>
      <c r="F79" s="564"/>
      <c r="G79" s="980"/>
      <c r="H79" s="356">
        <v>6.7</v>
      </c>
      <c r="I79" s="564"/>
      <c r="J79" s="14">
        <f t="shared" si="23"/>
        <v>28.5</v>
      </c>
      <c r="K79" s="988"/>
      <c r="L79" s="122">
        <v>1425</v>
      </c>
      <c r="M79" s="312" t="e">
        <f>(1/$O$139)*((0.2/(J79))/100)*(Bericht!$E$49/Berechnungen!$E$14)*Berechnungen!$G$17</f>
        <v>#DIV/0!</v>
      </c>
      <c r="N79" s="57"/>
      <c r="O79" s="58"/>
      <c r="P79" s="314"/>
      <c r="Q79" s="310">
        <f>IF($G$1="Neuerrichtung",$B$1*POWER(($F30/100)*(Berechnungen!I$4),2),0)</f>
        <v>0</v>
      </c>
      <c r="R79" s="309">
        <f>IF($G$54="Neuerrichtung",$B$54*POWER(($F83/100)*(Berechnungen!I$5),2),0)</f>
        <v>0</v>
      </c>
      <c r="S79" s="310">
        <f>IF($G$107="Neuerrichtung",$B$107*POWER(($F136/100)*(Berechnungen!I$6),2),0)</f>
        <v>0</v>
      </c>
      <c r="T79" s="309">
        <f>IF($G$160="Neuerrichtung",$B$160*POWER(($F189/100)*(Berechnungen!I$7),2),0)</f>
        <v>0</v>
      </c>
      <c r="U79" s="309">
        <f>IF($G$213="Neuerrichtung",$B$213*POWER(($F242/100)*(Berechnungen!I$8),2),0)</f>
        <v>0</v>
      </c>
      <c r="V79" s="309">
        <f>IF($G$266="Neuerrichtung",$B$266*POWER(($F295/100)*(Berechnungen!I$9),2),0)</f>
        <v>0</v>
      </c>
      <c r="W79" s="309">
        <f>IF($G$319="Neuerrichtung",$B$319*POWER(($F348/100)*(Berechnungen!I$10),2),0)</f>
        <v>0</v>
      </c>
      <c r="X79" s="309">
        <f>IF($G$372="Neuerrichtung",$B$372*POWER(($F401/100)*(Berechnungen!I$11),2),0)</f>
        <v>0</v>
      </c>
      <c r="Y79" s="309">
        <f>IF($G$425="Neuerrichtung",$B$425*POWER(($F454/100)*(Berechnungen!I$12),2),0)</f>
        <v>0</v>
      </c>
      <c r="Z79" s="309">
        <f>IF($G$478="Neuerrichtung",$B$478*POWER(($F507/100)*(Berechnungen!I$13),2),0)</f>
        <v>0</v>
      </c>
      <c r="AA79" s="332" t="e">
        <f t="shared" si="24"/>
        <v>#DIV/0!</v>
      </c>
      <c r="AB79" s="294">
        <f t="shared" si="25"/>
        <v>0</v>
      </c>
      <c r="AC79" s="333" t="e">
        <f>IF(AND($G$49=1,NOT(OR(L79=TFR!$G$8,L79=TFR!$G$10,L79=TFR!$G$12))),"-",(AA79-AB79)/AA79*100)</f>
        <v>#DIV/0!</v>
      </c>
      <c r="AD79" s="295" t="e">
        <f t="shared" si="26"/>
        <v>#DIV/0!</v>
      </c>
      <c r="AE79" s="297" t="e">
        <f t="shared" si="22"/>
        <v>#DIV/0!</v>
      </c>
    </row>
    <row r="80" spans="1:31" ht="15.75" customHeight="1" x14ac:dyDescent="0.25">
      <c r="A80" s="980"/>
      <c r="B80" s="356">
        <v>26</v>
      </c>
      <c r="C80" s="564"/>
      <c r="D80" s="980"/>
      <c r="E80" s="356">
        <v>1275</v>
      </c>
      <c r="F80" s="564"/>
      <c r="G80" s="980"/>
      <c r="H80" s="356">
        <v>6.9</v>
      </c>
      <c r="I80" s="564"/>
      <c r="J80" s="14">
        <f t="shared" si="23"/>
        <v>29.5</v>
      </c>
      <c r="K80" s="988"/>
      <c r="L80" s="122">
        <v>1475</v>
      </c>
      <c r="M80" s="312" t="e">
        <f>(1/$O$139)*((0.2/(J80))/100)*(Bericht!$E$49/Berechnungen!$E$14)*Berechnungen!$G$17</f>
        <v>#DIV/0!</v>
      </c>
      <c r="N80" s="57"/>
      <c r="O80" s="58"/>
      <c r="P80" s="314"/>
      <c r="Q80" s="310">
        <f>IF($G$1="Neuerrichtung",$B$1*POWER(($F31/100)*(Berechnungen!I$4),2),0)</f>
        <v>0</v>
      </c>
      <c r="R80" s="309">
        <f>IF($G$54="Neuerrichtung",$B$54*POWER(($F84/100)*(Berechnungen!I$5),2),0)</f>
        <v>0</v>
      </c>
      <c r="S80" s="310">
        <f>IF($G$107="Neuerrichtung",$B$107*POWER(($F137/100)*(Berechnungen!I$6),2),0)</f>
        <v>0</v>
      </c>
      <c r="T80" s="309">
        <f>IF($G$160="Neuerrichtung",$B$160*POWER(($F190/100)*(Berechnungen!I$7),2),0)</f>
        <v>0</v>
      </c>
      <c r="U80" s="309">
        <f>IF($G$213="Neuerrichtung",$B$213*POWER(($F243/100)*(Berechnungen!I$8),2),0)</f>
        <v>0</v>
      </c>
      <c r="V80" s="309">
        <f>IF($G$266="Neuerrichtung",$B$266*POWER(($F296/100)*(Berechnungen!I$9),2),0)</f>
        <v>0</v>
      </c>
      <c r="W80" s="309">
        <f>IF($G$319="Neuerrichtung",$B$319*POWER(($F349/100)*(Berechnungen!I$10),2),0)</f>
        <v>0</v>
      </c>
      <c r="X80" s="309">
        <f>IF($G$372="Neuerrichtung",$B$372*POWER(($F402/100)*(Berechnungen!I$11),2),0)</f>
        <v>0</v>
      </c>
      <c r="Y80" s="309">
        <f>IF($G$425="Neuerrichtung",$B$425*POWER(($F455/100)*(Berechnungen!I$12),2),0)</f>
        <v>0</v>
      </c>
      <c r="Z80" s="309">
        <f>IF($G$478="Neuerrichtung",$B$478*POWER(($F508/100)*(Berechnungen!I$13),2),0)</f>
        <v>0</v>
      </c>
      <c r="AA80" s="332" t="e">
        <f t="shared" si="24"/>
        <v>#DIV/0!</v>
      </c>
      <c r="AB80" s="294">
        <f t="shared" si="25"/>
        <v>0</v>
      </c>
      <c r="AC80" s="333" t="e">
        <f>IF(AND($G$49=1,NOT(OR(L80=TFR!$G$8,L80=TFR!$G$10,L80=TFR!$G$12))),"-",(AA80-AB80)/AA80*100)</f>
        <v>#DIV/0!</v>
      </c>
      <c r="AD80" s="295" t="e">
        <f t="shared" si="26"/>
        <v>#DIV/0!</v>
      </c>
      <c r="AE80" s="297" t="e">
        <f t="shared" si="22"/>
        <v>#DIV/0!</v>
      </c>
    </row>
    <row r="81" spans="1:32" ht="15.75" customHeight="1" x14ac:dyDescent="0.25">
      <c r="A81" s="980"/>
      <c r="B81" s="356">
        <v>27</v>
      </c>
      <c r="C81" s="564"/>
      <c r="D81" s="980"/>
      <c r="E81" s="356">
        <v>1325</v>
      </c>
      <c r="F81" s="564"/>
      <c r="G81" s="980"/>
      <c r="H81" s="356">
        <v>7.1</v>
      </c>
      <c r="I81" s="564"/>
      <c r="J81" s="14">
        <f t="shared" si="23"/>
        <v>30.5</v>
      </c>
      <c r="K81" s="988"/>
      <c r="L81" s="122">
        <v>1525</v>
      </c>
      <c r="M81" s="312" t="e">
        <f>(1/$O$139)*((0.2/(J81))/100)*(Bericht!$E$49/Berechnungen!$E$14)*Berechnungen!$G$17</f>
        <v>#DIV/0!</v>
      </c>
      <c r="N81" s="57"/>
      <c r="O81" s="58"/>
      <c r="P81" s="314"/>
      <c r="Q81" s="310">
        <f>IF($G$1="Neuerrichtung",$B$1*POWER(($F32/100)*(Berechnungen!I$4),2),0)</f>
        <v>0</v>
      </c>
      <c r="R81" s="309">
        <f>IF($G$54="Neuerrichtung",$B$54*POWER(($F85/100)*(Berechnungen!I$5),2),0)</f>
        <v>0</v>
      </c>
      <c r="S81" s="310">
        <f>IF($G$107="Neuerrichtung",$B$107*POWER(($F138/100)*(Berechnungen!I$6),2),0)</f>
        <v>0</v>
      </c>
      <c r="T81" s="309">
        <f>IF($G$160="Neuerrichtung",$B$160*POWER(($F191/100)*(Berechnungen!I$7),2),0)</f>
        <v>0</v>
      </c>
      <c r="U81" s="309">
        <f>IF($G$213="Neuerrichtung",$B$213*POWER(($F244/100)*(Berechnungen!I$8),2),0)</f>
        <v>0</v>
      </c>
      <c r="V81" s="309">
        <f>IF($G$266="Neuerrichtung",$B$266*POWER(($F297/100)*(Berechnungen!I$9),2),0)</f>
        <v>0</v>
      </c>
      <c r="W81" s="309">
        <f>IF($G$319="Neuerrichtung",$B$319*POWER(($F350/100)*(Berechnungen!I$10),2),0)</f>
        <v>0</v>
      </c>
      <c r="X81" s="309">
        <f>IF($G$372="Neuerrichtung",$B$372*POWER(($F403/100)*(Berechnungen!I$11),2),0)</f>
        <v>0</v>
      </c>
      <c r="Y81" s="309">
        <f>IF($G$425="Neuerrichtung",$B$425*POWER(($F456/100)*(Berechnungen!I$12),2),0)</f>
        <v>0</v>
      </c>
      <c r="Z81" s="309">
        <f>IF($G$478="Neuerrichtung",$B$478*POWER(($F509/100)*(Berechnungen!I$13),2),0)</f>
        <v>0</v>
      </c>
      <c r="AA81" s="332" t="e">
        <f t="shared" si="24"/>
        <v>#DIV/0!</v>
      </c>
      <c r="AB81" s="294">
        <f t="shared" si="25"/>
        <v>0</v>
      </c>
      <c r="AC81" s="333" t="e">
        <f>IF(AND($G$49=1,NOT(OR(L81=TFR!$G$8,L81=TFR!$G$10,L81=TFR!$G$12))),"-",(AA81-AB81)/AA81*100)</f>
        <v>#DIV/0!</v>
      </c>
      <c r="AD81" s="295" t="e">
        <f t="shared" si="26"/>
        <v>#DIV/0!</v>
      </c>
      <c r="AE81" s="297" t="e">
        <f t="shared" si="22"/>
        <v>#DIV/0!</v>
      </c>
    </row>
    <row r="82" spans="1:32" ht="15.75" customHeight="1" x14ac:dyDescent="0.25">
      <c r="A82" s="980"/>
      <c r="B82" s="356">
        <v>28</v>
      </c>
      <c r="C82" s="564"/>
      <c r="D82" s="980"/>
      <c r="E82" s="356">
        <v>1375</v>
      </c>
      <c r="F82" s="564"/>
      <c r="G82" s="980"/>
      <c r="H82" s="356">
        <v>7.3</v>
      </c>
      <c r="I82" s="564"/>
      <c r="J82" s="14">
        <f t="shared" si="23"/>
        <v>31.5</v>
      </c>
      <c r="K82" s="988"/>
      <c r="L82" s="122">
        <v>1575</v>
      </c>
      <c r="M82" s="312" t="e">
        <f>(1/$O$139)*((0.3/(J82))/100)*(Bericht!$E$49/Berechnungen!$E$14)*Berechnungen!$G$17</f>
        <v>#DIV/0!</v>
      </c>
      <c r="N82" s="57"/>
      <c r="O82" s="58"/>
      <c r="P82" s="314"/>
      <c r="Q82" s="310">
        <f>IF($G$1="Neuerrichtung",$B$1*POWER(($F33/100)*(Berechnungen!I$4),2),0)</f>
        <v>0</v>
      </c>
      <c r="R82" s="309">
        <f>IF($G$54="Neuerrichtung",$B$54*POWER(($F86/100)*(Berechnungen!I$5),2),0)</f>
        <v>0</v>
      </c>
      <c r="S82" s="310">
        <f>IF($G$107="Neuerrichtung",$B$107*POWER(($F139/100)*(Berechnungen!I$6),2),0)</f>
        <v>0</v>
      </c>
      <c r="T82" s="309">
        <f>IF($G$160="Neuerrichtung",$B$160*POWER(($F192/100)*(Berechnungen!I$7),2),0)</f>
        <v>0</v>
      </c>
      <c r="U82" s="309">
        <f>IF($G$213="Neuerrichtung",$B$213*POWER(($F245/100)*(Berechnungen!I$8),2),0)</f>
        <v>0</v>
      </c>
      <c r="V82" s="309">
        <f>IF($G$266="Neuerrichtung",$B$266*POWER(($F298/100)*(Berechnungen!I$9),2),0)</f>
        <v>0</v>
      </c>
      <c r="W82" s="309">
        <f>IF($G$319="Neuerrichtung",$B$319*POWER(($F351/100)*(Berechnungen!I$10),2),0)</f>
        <v>0</v>
      </c>
      <c r="X82" s="309">
        <f>IF($G$372="Neuerrichtung",$B$372*POWER(($F404/100)*(Berechnungen!I$11),2),0)</f>
        <v>0</v>
      </c>
      <c r="Y82" s="309">
        <f>IF($G$425="Neuerrichtung",$B$425*POWER(($F457/100)*(Berechnungen!I$12),2),0)</f>
        <v>0</v>
      </c>
      <c r="Z82" s="309">
        <f>IF($G$478="Neuerrichtung",$B$478*POWER(($F510/100)*(Berechnungen!I$13),2),0)</f>
        <v>0</v>
      </c>
      <c r="AA82" s="332" t="e">
        <f t="shared" si="24"/>
        <v>#DIV/0!</v>
      </c>
      <c r="AB82" s="294">
        <f t="shared" si="25"/>
        <v>0</v>
      </c>
      <c r="AC82" s="333" t="e">
        <f>IF(AND($G$49=1,NOT(OR(L82=TFR!$G$8,L82=TFR!$G$10,L82=TFR!$G$12))),"-",(AA82-AB82)/AA82*100)</f>
        <v>#DIV/0!</v>
      </c>
      <c r="AD82" s="295" t="e">
        <f t="shared" si="26"/>
        <v>#DIV/0!</v>
      </c>
      <c r="AE82" s="297" t="e">
        <f t="shared" si="22"/>
        <v>#DIV/0!</v>
      </c>
    </row>
    <row r="83" spans="1:32" ht="15.75" customHeight="1" x14ac:dyDescent="0.25">
      <c r="A83" s="980"/>
      <c r="B83" s="356">
        <v>29</v>
      </c>
      <c r="C83" s="564"/>
      <c r="D83" s="980"/>
      <c r="E83" s="356">
        <v>1425</v>
      </c>
      <c r="F83" s="564"/>
      <c r="G83" s="980"/>
      <c r="H83" s="356">
        <v>7.5</v>
      </c>
      <c r="I83" s="564"/>
      <c r="J83" s="14">
        <f t="shared" si="23"/>
        <v>32.5</v>
      </c>
      <c r="K83" s="988"/>
      <c r="L83" s="122">
        <v>1625</v>
      </c>
      <c r="M83" s="312" t="e">
        <f>(1/$O$139)*((0.3/(J83))/100)*(Bericht!$E$49/Berechnungen!$E$14)*Berechnungen!$G$17</f>
        <v>#DIV/0!</v>
      </c>
      <c r="N83" s="57"/>
      <c r="O83" s="58"/>
      <c r="P83" s="314"/>
      <c r="Q83" s="310">
        <f>IF($G$1="Neuerrichtung",$B$1*POWER(($F34/100)*(Berechnungen!I$4),2),0)</f>
        <v>0</v>
      </c>
      <c r="R83" s="309">
        <f>IF($G$54="Neuerrichtung",$B$54*POWER(($F87/100)*(Berechnungen!I$5),2),0)</f>
        <v>0</v>
      </c>
      <c r="S83" s="310">
        <f>IF($G$107="Neuerrichtung",$B$107*POWER(($F140/100)*(Berechnungen!I$6),2),0)</f>
        <v>0</v>
      </c>
      <c r="T83" s="309">
        <f>IF($G$160="Neuerrichtung",$B$160*POWER(($F193/100)*(Berechnungen!I$7),2),0)</f>
        <v>0</v>
      </c>
      <c r="U83" s="309">
        <f>IF($G$213="Neuerrichtung",$B$213*POWER(($F246/100)*(Berechnungen!I$8),2),0)</f>
        <v>0</v>
      </c>
      <c r="V83" s="309">
        <f>IF($G$266="Neuerrichtung",$B$266*POWER(($F299/100)*(Berechnungen!I$9),2),0)</f>
        <v>0</v>
      </c>
      <c r="W83" s="309">
        <f>IF($G$319="Neuerrichtung",$B$319*POWER(($F352/100)*(Berechnungen!I$10),2),0)</f>
        <v>0</v>
      </c>
      <c r="X83" s="309">
        <f>IF($G$372="Neuerrichtung",$B$372*POWER(($F405/100)*(Berechnungen!I$11),2),0)</f>
        <v>0</v>
      </c>
      <c r="Y83" s="309">
        <f>IF($G$425="Neuerrichtung",$B$425*POWER(($F458/100)*(Berechnungen!I$12),2),0)</f>
        <v>0</v>
      </c>
      <c r="Z83" s="309">
        <f>IF($G$478="Neuerrichtung",$B$478*POWER(($F511/100)*(Berechnungen!I$13),2),0)</f>
        <v>0</v>
      </c>
      <c r="AA83" s="332" t="e">
        <f t="shared" si="24"/>
        <v>#DIV/0!</v>
      </c>
      <c r="AB83" s="294">
        <f t="shared" si="25"/>
        <v>0</v>
      </c>
      <c r="AC83" s="333" t="e">
        <f>IF(AND($G$49=1,NOT(OR(L83=TFR!$G$8,L83=TFR!$G$10,L83=TFR!$G$12))),"-",(AA83-AB83)/AA83*100)</f>
        <v>#DIV/0!</v>
      </c>
      <c r="AD83" s="295" t="e">
        <f t="shared" si="26"/>
        <v>#DIV/0!</v>
      </c>
      <c r="AE83" s="297" t="e">
        <f t="shared" si="22"/>
        <v>#DIV/0!</v>
      </c>
    </row>
    <row r="84" spans="1:32" ht="15.75" customHeight="1" x14ac:dyDescent="0.25">
      <c r="A84" s="980"/>
      <c r="B84" s="356">
        <v>30</v>
      </c>
      <c r="C84" s="564"/>
      <c r="D84" s="980"/>
      <c r="E84" s="356">
        <v>1475</v>
      </c>
      <c r="F84" s="564"/>
      <c r="G84" s="980"/>
      <c r="H84" s="356">
        <v>7.7</v>
      </c>
      <c r="I84" s="564"/>
      <c r="J84" s="14">
        <f t="shared" si="23"/>
        <v>33.5</v>
      </c>
      <c r="K84" s="988"/>
      <c r="L84" s="122">
        <v>1675</v>
      </c>
      <c r="M84" s="312" t="e">
        <f>(1/$O$139)*((0.3/(J84))/100)*(Bericht!$E$49/Berechnungen!$E$14)*Berechnungen!$G$17</f>
        <v>#DIV/0!</v>
      </c>
      <c r="N84" s="57"/>
      <c r="O84" s="58"/>
      <c r="P84" s="314"/>
      <c r="Q84" s="310">
        <f>IF($G$1="Neuerrichtung",$B$1*POWER(($F35/100)*(Berechnungen!I$4),2),0)</f>
        <v>0</v>
      </c>
      <c r="R84" s="309">
        <f>IF($G$54="Neuerrichtung",$B$54*POWER(($F88/100)*(Berechnungen!I$5),2),0)</f>
        <v>0</v>
      </c>
      <c r="S84" s="310">
        <f>IF($G$107="Neuerrichtung",$B$107*POWER(($F141/100)*(Berechnungen!I$6),2),0)</f>
        <v>0</v>
      </c>
      <c r="T84" s="309">
        <f>IF($G$160="Neuerrichtung",$B$160*POWER(($F194/100)*(Berechnungen!I$7),2),0)</f>
        <v>0</v>
      </c>
      <c r="U84" s="309">
        <f>IF($G$213="Neuerrichtung",$B$213*POWER(($F247/100)*(Berechnungen!I$8),2),0)</f>
        <v>0</v>
      </c>
      <c r="V84" s="309">
        <f>IF($G$266="Neuerrichtung",$B$266*POWER(($F300/100)*(Berechnungen!I$9),2),0)</f>
        <v>0</v>
      </c>
      <c r="W84" s="309">
        <f>IF($G$319="Neuerrichtung",$B$319*POWER(($F353/100)*(Berechnungen!I$10),2),0)</f>
        <v>0</v>
      </c>
      <c r="X84" s="309">
        <f>IF($G$372="Neuerrichtung",$B$372*POWER(($F406/100)*(Berechnungen!I$11),2),0)</f>
        <v>0</v>
      </c>
      <c r="Y84" s="309">
        <f>IF($G$425="Neuerrichtung",$B$425*POWER(($F459/100)*(Berechnungen!I$12),2),0)</f>
        <v>0</v>
      </c>
      <c r="Z84" s="309">
        <f>IF($G$478="Neuerrichtung",$B$478*POWER(($F512/100)*(Berechnungen!I$13),2),0)</f>
        <v>0</v>
      </c>
      <c r="AA84" s="332" t="e">
        <f t="shared" si="24"/>
        <v>#DIV/0!</v>
      </c>
      <c r="AB84" s="294">
        <f t="shared" si="25"/>
        <v>0</v>
      </c>
      <c r="AC84" s="333" t="e">
        <f>IF(AND($G$49=1,NOT(OR(L84=TFR!$G$8,L84=TFR!$G$10,L84=TFR!$G$12))),"-",(AA84-AB84)/AA84*100)</f>
        <v>#DIV/0!</v>
      </c>
      <c r="AD84" s="295" t="e">
        <f t="shared" si="26"/>
        <v>#DIV/0!</v>
      </c>
      <c r="AE84" s="297" t="e">
        <f t="shared" si="22"/>
        <v>#DIV/0!</v>
      </c>
    </row>
    <row r="85" spans="1:32" s="20" customFormat="1" ht="15.75" customHeight="1" x14ac:dyDescent="0.25">
      <c r="A85" s="980"/>
      <c r="B85" s="356">
        <v>31</v>
      </c>
      <c r="C85" s="564"/>
      <c r="D85" s="980"/>
      <c r="E85" s="356">
        <v>1525</v>
      </c>
      <c r="F85" s="564"/>
      <c r="G85" s="980"/>
      <c r="H85" s="356">
        <v>7.9</v>
      </c>
      <c r="I85" s="564"/>
      <c r="J85" s="14">
        <f t="shared" si="23"/>
        <v>34.5</v>
      </c>
      <c r="K85" s="988"/>
      <c r="L85" s="122">
        <v>1725</v>
      </c>
      <c r="M85" s="312" t="e">
        <f>(1/$O$139)*((0.3/(J85))/100)*(Bericht!$E$49/Berechnungen!$E$14)*Berechnungen!$G$17</f>
        <v>#DIV/0!</v>
      </c>
      <c r="N85" s="57"/>
      <c r="O85" s="58"/>
      <c r="P85" s="314"/>
      <c r="Q85" s="310">
        <f>IF($G$1="Neuerrichtung",$B$1*POWER(($F36/100)*(Berechnungen!I$4),2),0)</f>
        <v>0</v>
      </c>
      <c r="R85" s="309">
        <f>IF($G$54="Neuerrichtung",$B$54*POWER(($F89/100)*(Berechnungen!I$5),2),0)</f>
        <v>0</v>
      </c>
      <c r="S85" s="310">
        <f>IF($G$107="Neuerrichtung",$B$107*POWER(($F142/100)*(Berechnungen!I$6),2),0)</f>
        <v>0</v>
      </c>
      <c r="T85" s="309">
        <f>IF($G$160="Neuerrichtung",$B$160*POWER(($F195/100)*(Berechnungen!I$7),2),0)</f>
        <v>0</v>
      </c>
      <c r="U85" s="309">
        <f>IF($G$213="Neuerrichtung",$B$213*POWER(($F248/100)*(Berechnungen!I$8),2),0)</f>
        <v>0</v>
      </c>
      <c r="V85" s="309">
        <f>IF($G$266="Neuerrichtung",$B$266*POWER(($F301/100)*(Berechnungen!I$9),2),0)</f>
        <v>0</v>
      </c>
      <c r="W85" s="309">
        <f>IF($G$319="Neuerrichtung",$B$319*POWER(($F354/100)*(Berechnungen!I$10),2),0)</f>
        <v>0</v>
      </c>
      <c r="X85" s="309">
        <f>IF($G$372="Neuerrichtung",$B$372*POWER(($F407/100)*(Berechnungen!I$11),2),0)</f>
        <v>0</v>
      </c>
      <c r="Y85" s="309">
        <f>IF($G$425="Neuerrichtung",$B$425*POWER(($F460/100)*(Berechnungen!I$12),2),0)</f>
        <v>0</v>
      </c>
      <c r="Z85" s="309">
        <f>IF($G$478="Neuerrichtung",$B$478*POWER(($F513/100)*(Berechnungen!I$13),2),0)</f>
        <v>0</v>
      </c>
      <c r="AA85" s="332" t="e">
        <f t="shared" si="24"/>
        <v>#DIV/0!</v>
      </c>
      <c r="AB85" s="294">
        <f t="shared" si="25"/>
        <v>0</v>
      </c>
      <c r="AC85" s="333" t="e">
        <f>IF(AND($G$49=1,NOT(OR(L85=TFR!$G$8,L85=TFR!$G$10,L85=TFR!$G$12))),"-",(AA85-AB85)/AA85*100)</f>
        <v>#DIV/0!</v>
      </c>
      <c r="AD85" s="295" t="e">
        <f t="shared" si="26"/>
        <v>#DIV/0!</v>
      </c>
      <c r="AE85" s="297" t="e">
        <f t="shared" si="22"/>
        <v>#DIV/0!</v>
      </c>
    </row>
    <row r="86" spans="1:32" ht="15.75" customHeight="1" x14ac:dyDescent="0.25">
      <c r="A86" s="980"/>
      <c r="B86" s="356">
        <v>32</v>
      </c>
      <c r="C86" s="564"/>
      <c r="D86" s="980"/>
      <c r="E86" s="356">
        <v>1575</v>
      </c>
      <c r="F86" s="564"/>
      <c r="G86" s="980"/>
      <c r="H86" s="356">
        <v>8.1</v>
      </c>
      <c r="I86" s="564"/>
      <c r="J86" s="14">
        <f t="shared" si="23"/>
        <v>35.5</v>
      </c>
      <c r="K86" s="988"/>
      <c r="L86" s="122">
        <v>1775</v>
      </c>
      <c r="M86" s="312" t="e">
        <f>(1/$O$139)*((0.3/(J86))/100)*(Bericht!$E$49/Berechnungen!$E$14)*Berechnungen!$G$17</f>
        <v>#DIV/0!</v>
      </c>
      <c r="N86" s="57"/>
      <c r="O86" s="58"/>
      <c r="P86" s="314"/>
      <c r="Q86" s="310">
        <f>IF($G$1="Neuerrichtung",$B$1*POWER(($F37/100)*(Berechnungen!I$4),2),0)</f>
        <v>0</v>
      </c>
      <c r="R86" s="309">
        <f>IF($G$54="Neuerrichtung",$B$54*POWER(($F90/100)*(Berechnungen!I$5),2),0)</f>
        <v>0</v>
      </c>
      <c r="S86" s="310">
        <f>IF($G$107="Neuerrichtung",$B$107*POWER(($F143/100)*(Berechnungen!I$6),2),0)</f>
        <v>0</v>
      </c>
      <c r="T86" s="309">
        <f>IF($G$160="Neuerrichtung",$B$160*POWER(($F196/100)*(Berechnungen!I$7),2),0)</f>
        <v>0</v>
      </c>
      <c r="U86" s="309">
        <f>IF($G$213="Neuerrichtung",$B$213*POWER(($F249/100)*(Berechnungen!I$8),2),0)</f>
        <v>0</v>
      </c>
      <c r="V86" s="309">
        <f>IF($G$266="Neuerrichtung",$B$266*POWER(($F302/100)*(Berechnungen!I$9),2),0)</f>
        <v>0</v>
      </c>
      <c r="W86" s="309">
        <f>IF($G$319="Neuerrichtung",$B$319*POWER(($F355/100)*(Berechnungen!I$10),2),0)</f>
        <v>0</v>
      </c>
      <c r="X86" s="309">
        <f>IF($G$372="Neuerrichtung",$B$372*POWER(($F408/100)*(Berechnungen!I$11),2),0)</f>
        <v>0</v>
      </c>
      <c r="Y86" s="309">
        <f>IF($G$425="Neuerrichtung",$B$425*POWER(($F461/100)*(Berechnungen!I$12),2),0)</f>
        <v>0</v>
      </c>
      <c r="Z86" s="309">
        <f>IF($G$478="Neuerrichtung",$B$478*POWER(($F514/100)*(Berechnungen!I$13),2),0)</f>
        <v>0</v>
      </c>
      <c r="AA86" s="332" t="e">
        <f t="shared" si="24"/>
        <v>#DIV/0!</v>
      </c>
      <c r="AB86" s="294">
        <f t="shared" si="25"/>
        <v>0</v>
      </c>
      <c r="AC86" s="333" t="e">
        <f>IF(AND($G$49=1,NOT(OR(L86=TFR!$G$8,L86=TFR!$G$10,L86=TFR!$G$12))),"-",(AA86-AB86)/AA86*100)</f>
        <v>#DIV/0!</v>
      </c>
      <c r="AD86" s="295" t="e">
        <f t="shared" si="26"/>
        <v>#DIV/0!</v>
      </c>
      <c r="AE86" s="297" t="e">
        <f t="shared" si="22"/>
        <v>#DIV/0!</v>
      </c>
    </row>
    <row r="87" spans="1:32" s="20" customFormat="1" ht="15.75" customHeight="1" x14ac:dyDescent="0.25">
      <c r="A87" s="980"/>
      <c r="B87" s="356">
        <v>33</v>
      </c>
      <c r="C87" s="564"/>
      <c r="D87" s="980"/>
      <c r="E87" s="356">
        <v>1625</v>
      </c>
      <c r="F87" s="564"/>
      <c r="G87" s="980"/>
      <c r="H87" s="356">
        <v>8.3000000000000007</v>
      </c>
      <c r="I87" s="564"/>
      <c r="J87" s="14">
        <f t="shared" si="23"/>
        <v>36.5</v>
      </c>
      <c r="K87" s="988"/>
      <c r="L87" s="122">
        <v>1825</v>
      </c>
      <c r="M87" s="312" t="e">
        <f>(1/$O$139)*((0.3/(J87))/100)*(Bericht!$E$49/Berechnungen!$E$14)*Berechnungen!$G$17</f>
        <v>#DIV/0!</v>
      </c>
      <c r="N87" s="57"/>
      <c r="O87" s="58"/>
      <c r="P87" s="314"/>
      <c r="Q87" s="310">
        <f>IF($G$1="Neuerrichtung",$B$1*POWER(($F38/100)*(Berechnungen!I$4),2),0)</f>
        <v>0</v>
      </c>
      <c r="R87" s="309">
        <f>IF($G$54="Neuerrichtung",$B$54*POWER(($F91/100)*(Berechnungen!I$5),2),0)</f>
        <v>0</v>
      </c>
      <c r="S87" s="310">
        <f>IF($G$107="Neuerrichtung",$B$107*POWER(($F144/100)*(Berechnungen!I$6),2),0)</f>
        <v>0</v>
      </c>
      <c r="T87" s="309">
        <f>IF($G$160="Neuerrichtung",$B$160*POWER(($F197/100)*(Berechnungen!I$7),2),0)</f>
        <v>0</v>
      </c>
      <c r="U87" s="309">
        <f>IF($G$213="Neuerrichtung",$B$213*POWER(($F250/100)*(Berechnungen!I$8),2),0)</f>
        <v>0</v>
      </c>
      <c r="V87" s="309">
        <f>IF($G$266="Neuerrichtung",$B$266*POWER(($F303/100)*(Berechnungen!I$9),2),0)</f>
        <v>0</v>
      </c>
      <c r="W87" s="309">
        <f>IF($G$319="Neuerrichtung",$B$319*POWER(($F356/100)*(Berechnungen!I$10),2),0)</f>
        <v>0</v>
      </c>
      <c r="X87" s="309">
        <f>IF($G$372="Neuerrichtung",$B$372*POWER(($F409/100)*(Berechnungen!I$11),2),0)</f>
        <v>0</v>
      </c>
      <c r="Y87" s="309">
        <f>IF($G$425="Neuerrichtung",$B$425*POWER(($F462/100)*(Berechnungen!I$12),2),0)</f>
        <v>0</v>
      </c>
      <c r="Z87" s="309">
        <f>IF($G$478="Neuerrichtung",$B$478*POWER(($F515/100)*(Berechnungen!I$13),2),0)</f>
        <v>0</v>
      </c>
      <c r="AA87" s="332" t="e">
        <f t="shared" si="24"/>
        <v>#DIV/0!</v>
      </c>
      <c r="AB87" s="294">
        <f t="shared" si="25"/>
        <v>0</v>
      </c>
      <c r="AC87" s="333" t="e">
        <f>IF(AND($G$49=1,NOT(OR(L87=TFR!$G$8,L87=TFR!$G$10,L87=TFR!$G$12))),"-",(AA87-AB87)/AA87*100)</f>
        <v>#DIV/0!</v>
      </c>
      <c r="AD87" s="295" t="e">
        <f t="shared" si="26"/>
        <v>#DIV/0!</v>
      </c>
      <c r="AE87" s="297" t="e">
        <f t="shared" si="22"/>
        <v>#DIV/0!</v>
      </c>
    </row>
    <row r="88" spans="1:32" s="20" customFormat="1" ht="15.75" customHeight="1" x14ac:dyDescent="0.25">
      <c r="A88" s="980"/>
      <c r="B88" s="356">
        <v>34</v>
      </c>
      <c r="C88" s="564"/>
      <c r="D88" s="980"/>
      <c r="E88" s="356">
        <v>1675</v>
      </c>
      <c r="F88" s="564"/>
      <c r="G88" s="980"/>
      <c r="H88" s="356">
        <v>8.5</v>
      </c>
      <c r="I88" s="564"/>
      <c r="J88" s="14">
        <f t="shared" si="23"/>
        <v>37.5</v>
      </c>
      <c r="K88" s="988"/>
      <c r="L88" s="122">
        <v>1875</v>
      </c>
      <c r="M88" s="312" t="e">
        <f>(1/$O$139)*((0.3/(J88))/100)*(Bericht!$E$49/Berechnungen!$E$14)*Berechnungen!$G$17</f>
        <v>#DIV/0!</v>
      </c>
      <c r="N88" s="57"/>
      <c r="O88" s="58"/>
      <c r="P88" s="314"/>
      <c r="Q88" s="310">
        <f>IF($G$1="Neuerrichtung",$B$1*POWER(($F39/100)*(Berechnungen!I$4),2),0)</f>
        <v>0</v>
      </c>
      <c r="R88" s="309">
        <f>IF($G$54="Neuerrichtung",$B$54*POWER(($F92/100)*(Berechnungen!I$5),2),0)</f>
        <v>0</v>
      </c>
      <c r="S88" s="310">
        <f>IF($G$107="Neuerrichtung",$B$107*POWER(($F145/100)*(Berechnungen!I$6),2),0)</f>
        <v>0</v>
      </c>
      <c r="T88" s="309">
        <f>IF($G$160="Neuerrichtung",$B$160*POWER(($F198/100)*(Berechnungen!I$7),2),0)</f>
        <v>0</v>
      </c>
      <c r="U88" s="309">
        <f>IF($G$213="Neuerrichtung",$B$213*POWER(($F251/100)*(Berechnungen!I$8),2),0)</f>
        <v>0</v>
      </c>
      <c r="V88" s="309">
        <f>IF($G$266="Neuerrichtung",$B$266*POWER(($F304/100)*(Berechnungen!I$9),2),0)</f>
        <v>0</v>
      </c>
      <c r="W88" s="309">
        <f>IF($G$319="Neuerrichtung",$B$319*POWER(($F357/100)*(Berechnungen!I$10),2),0)</f>
        <v>0</v>
      </c>
      <c r="X88" s="309">
        <f>IF($G$372="Neuerrichtung",$B$372*POWER(($F410/100)*(Berechnungen!I$11),2),0)</f>
        <v>0</v>
      </c>
      <c r="Y88" s="309">
        <f>IF($G$425="Neuerrichtung",$B$425*POWER(($F463/100)*(Berechnungen!I$12),2),0)</f>
        <v>0</v>
      </c>
      <c r="Z88" s="309">
        <f>IF($G$478="Neuerrichtung",$B$478*POWER(($F516/100)*(Berechnungen!I$13),2),0)</f>
        <v>0</v>
      </c>
      <c r="AA88" s="332" t="e">
        <f t="shared" si="24"/>
        <v>#DIV/0!</v>
      </c>
      <c r="AB88" s="294">
        <f t="shared" si="25"/>
        <v>0</v>
      </c>
      <c r="AC88" s="333" t="e">
        <f>IF(AND($G$49=1,NOT(OR(L88=TFR!$G$8,L88=TFR!$G$10,L88=TFR!$G$12))),"-",(AA88-AB88)/AA88*100)</f>
        <v>#DIV/0!</v>
      </c>
      <c r="AD88" s="295" t="e">
        <f t="shared" si="26"/>
        <v>#DIV/0!</v>
      </c>
      <c r="AE88" s="297" t="e">
        <f t="shared" si="22"/>
        <v>#DIV/0!</v>
      </c>
    </row>
    <row r="89" spans="1:32" s="20" customFormat="1" ht="15.75" customHeight="1" x14ac:dyDescent="0.25">
      <c r="A89" s="980"/>
      <c r="B89" s="356">
        <v>35</v>
      </c>
      <c r="C89" s="564"/>
      <c r="D89" s="980"/>
      <c r="E89" s="356">
        <v>1725</v>
      </c>
      <c r="F89" s="564"/>
      <c r="G89" s="980"/>
      <c r="H89" s="356">
        <v>8.6999999999999993</v>
      </c>
      <c r="I89" s="564"/>
      <c r="J89" s="14">
        <f t="shared" si="23"/>
        <v>38.5</v>
      </c>
      <c r="K89" s="988"/>
      <c r="L89" s="122">
        <v>1925</v>
      </c>
      <c r="M89" s="312" t="e">
        <f>(1/$O$139)*((0.3/(J89))/100)*(Bericht!$E$49/Berechnungen!$E$14)*Berechnungen!$G$17</f>
        <v>#DIV/0!</v>
      </c>
      <c r="N89" s="57"/>
      <c r="O89" s="58"/>
      <c r="P89" s="314"/>
      <c r="Q89" s="310">
        <f>IF($G$1="Neuerrichtung",$B$1*POWER(($F40/100)*(Berechnungen!I$4),2),0)</f>
        <v>0</v>
      </c>
      <c r="R89" s="309">
        <f>IF($G$54="Neuerrichtung",$B$54*POWER(($F93/100)*(Berechnungen!I$5),2),0)</f>
        <v>0</v>
      </c>
      <c r="S89" s="310">
        <f>IF($G$107="Neuerrichtung",$B$107*POWER(($F146/100)*(Berechnungen!I$6),2),0)</f>
        <v>0</v>
      </c>
      <c r="T89" s="309">
        <f>IF($G$160="Neuerrichtung",$B$160*POWER(($F199/100)*(Berechnungen!I$7),2),0)</f>
        <v>0</v>
      </c>
      <c r="U89" s="309">
        <f>IF($G$213="Neuerrichtung",$B$213*POWER(($F252/100)*(Berechnungen!I$8),2),0)</f>
        <v>0</v>
      </c>
      <c r="V89" s="309">
        <f>IF($G$266="Neuerrichtung",$B$266*POWER(($F305/100)*(Berechnungen!I$9),2),0)</f>
        <v>0</v>
      </c>
      <c r="W89" s="309">
        <f>IF($G$319="Neuerrichtung",$B$319*POWER(($F358/100)*(Berechnungen!I$10),2),0)</f>
        <v>0</v>
      </c>
      <c r="X89" s="309">
        <f>IF($G$372="Neuerrichtung",$B$372*POWER(($F411/100)*(Berechnungen!I$11),2),0)</f>
        <v>0</v>
      </c>
      <c r="Y89" s="309">
        <f>IF($G$425="Neuerrichtung",$B$425*POWER(($F464/100)*(Berechnungen!I$12),2),0)</f>
        <v>0</v>
      </c>
      <c r="Z89" s="309">
        <f>IF($G$478="Neuerrichtung",$B$478*POWER(($F517/100)*(Berechnungen!I$13),2),0)</f>
        <v>0</v>
      </c>
      <c r="AA89" s="332" t="e">
        <f t="shared" si="24"/>
        <v>#DIV/0!</v>
      </c>
      <c r="AB89" s="294">
        <f t="shared" si="25"/>
        <v>0</v>
      </c>
      <c r="AC89" s="333" t="e">
        <f>IF(AND($G$49=1,NOT(OR(L89=TFR!$G$8,L89=TFR!$G$10,L89=TFR!$G$12))),"-",(AA89-AB89)/AA89*100)</f>
        <v>#DIV/0!</v>
      </c>
      <c r="AD89" s="295" t="e">
        <f t="shared" si="26"/>
        <v>#DIV/0!</v>
      </c>
      <c r="AE89" s="297" t="e">
        <f t="shared" si="22"/>
        <v>#DIV/0!</v>
      </c>
    </row>
    <row r="90" spans="1:32" s="20" customFormat="1" ht="15.75" customHeight="1" x14ac:dyDescent="0.25">
      <c r="A90" s="980"/>
      <c r="B90" s="356">
        <v>36</v>
      </c>
      <c r="C90" s="564"/>
      <c r="D90" s="980"/>
      <c r="E90" s="356">
        <v>1775</v>
      </c>
      <c r="F90" s="564"/>
      <c r="G90" s="981"/>
      <c r="H90" s="356">
        <v>8.9</v>
      </c>
      <c r="I90" s="564"/>
      <c r="J90" s="315">
        <f t="shared" si="23"/>
        <v>39.5</v>
      </c>
      <c r="K90" s="989"/>
      <c r="L90" s="122">
        <v>1975</v>
      </c>
      <c r="M90" s="312" t="e">
        <f>(1/$O$139)*((0.3/(J90))/100)*(Bericht!$E$49/Berechnungen!$E$14)*Berechnungen!$G$17</f>
        <v>#DIV/0!</v>
      </c>
      <c r="N90" s="57"/>
      <c r="O90" s="60"/>
      <c r="P90" s="314"/>
      <c r="Q90" s="310">
        <f>IF($G$1="Neuerrichtung",$B$1*POWER(($F41/100)*(Berechnungen!I$4),2),0)</f>
        <v>0</v>
      </c>
      <c r="R90" s="309">
        <f>IF($G$54="Neuerrichtung",$B$54*POWER(($F94/100)*(Berechnungen!I$5),2),0)</f>
        <v>0</v>
      </c>
      <c r="S90" s="310">
        <f>IF($G$107="Neuerrichtung",$B$107*POWER(($F147/100)*(Berechnungen!I$6),2),0)</f>
        <v>0</v>
      </c>
      <c r="T90" s="309">
        <f>IF($G$160="Neuerrichtung",$B$160*POWER(($F200/100)*(Berechnungen!I$7),2),0)</f>
        <v>0</v>
      </c>
      <c r="U90" s="309">
        <f>IF($G$213="Neuerrichtung",$B$213*POWER(($F253/100)*(Berechnungen!I$8),2),0)</f>
        <v>0</v>
      </c>
      <c r="V90" s="309">
        <f>IF($G$266="Neuerrichtung",$B$266*POWER(($F306/100)*(Berechnungen!I$9),2),0)</f>
        <v>0</v>
      </c>
      <c r="W90" s="309">
        <f>IF($G$319="Neuerrichtung",$B$319*POWER(($F359/100)*(Berechnungen!I$10),2),0)</f>
        <v>0</v>
      </c>
      <c r="X90" s="309">
        <f>IF($G$372="Neuerrichtung",$B$372*POWER(($F412/100)*(Berechnungen!I$11),2),0)</f>
        <v>0</v>
      </c>
      <c r="Y90" s="309">
        <f>IF($G$425="Neuerrichtung",$B$425*POWER(($F465/100)*(Berechnungen!I$12),2),0)</f>
        <v>0</v>
      </c>
      <c r="Z90" s="309">
        <f>IF($G$478="Neuerrichtung",$B$478*POWER(($F518/100)*(Berechnungen!I$13),2),0)</f>
        <v>0</v>
      </c>
      <c r="AA90" s="332" t="e">
        <f t="shared" si="24"/>
        <v>#DIV/0!</v>
      </c>
      <c r="AB90" s="294">
        <f t="shared" si="25"/>
        <v>0</v>
      </c>
      <c r="AC90" s="333" t="e">
        <f>IF(AND($G$49=1,NOT(OR(L90=TFR!$G$8,L90=TFR!$G$10,L90=TFR!$G$12))),"-",(AA90-AB90)/AA90*100)</f>
        <v>#DIV/0!</v>
      </c>
      <c r="AD90" s="295" t="e">
        <f t="shared" si="26"/>
        <v>#DIV/0!</v>
      </c>
      <c r="AE90" s="297" t="e">
        <f t="shared" si="22"/>
        <v>#DIV/0!</v>
      </c>
    </row>
    <row r="91" spans="1:32" ht="15" customHeight="1" x14ac:dyDescent="0.25">
      <c r="A91" s="980"/>
      <c r="B91" s="356">
        <v>37</v>
      </c>
      <c r="C91" s="564"/>
      <c r="D91" s="980"/>
      <c r="E91" s="356">
        <v>1825</v>
      </c>
      <c r="F91" s="564"/>
      <c r="G91" s="107"/>
      <c r="H91" s="107"/>
      <c r="I91" s="107"/>
      <c r="J91" s="311">
        <f>L91*1000/50</f>
        <v>42</v>
      </c>
      <c r="K91" s="993" t="s">
        <v>27</v>
      </c>
      <c r="L91" s="311">
        <v>2.1</v>
      </c>
      <c r="M91" s="62" t="e">
        <f>(1/$O$141)*((1.015*POWER(L91,-0.52)*(0.05/L91))/100)*(Bericht!$E$49/Berechnungen!$E$14)*Berechnungen!$G$17</f>
        <v>#DIV/0!</v>
      </c>
      <c r="N91" s="57"/>
      <c r="O91" s="58"/>
      <c r="P91" s="59"/>
      <c r="Q91" s="310">
        <f>IF($G$1="Neuerrichtung",$B$1*POWER(($I3/100)*(Berechnungen!I$4),2),0)</f>
        <v>0</v>
      </c>
      <c r="R91" s="309">
        <f>IF($G$54="Neuerrichtung",$B$54*POWER(($I56/100)*(Berechnungen!I$5),2),0)</f>
        <v>0</v>
      </c>
      <c r="S91" s="310">
        <f>IF($G$107="Neuerrichtung",$B$107*POWER(($I109/100)*(Berechnungen!I$6),2),0)</f>
        <v>0</v>
      </c>
      <c r="T91" s="309">
        <f>IF($G$160="Neuerrichtung",$B$160*POWER(($I162/100)*(Berechnungen!I$7),2),0)</f>
        <v>0</v>
      </c>
      <c r="U91" s="309">
        <f>IF($G$213="Neuerrichtung",$B$213*POWER(($I215/100)*(Berechnungen!I$8),2),0)</f>
        <v>0</v>
      </c>
      <c r="V91" s="309">
        <f>IF($G$266="Neuerrichtung",$B$266*POWER(($I268/100)*(Berechnungen!I$9),2),0)</f>
        <v>0</v>
      </c>
      <c r="W91" s="309">
        <f>IF($G$319="Neuerrichtung",$B$319*POWER(($I321/100)*(Berechnungen!I$10),2),0)</f>
        <v>0</v>
      </c>
      <c r="X91" s="309">
        <f>IF($G$372="Neuerrichtung",$B$372*POWER(($I374/100)*(Berechnungen!I$11),2),0)</f>
        <v>0</v>
      </c>
      <c r="Y91" s="309">
        <f>IF($G$425="Neuerrichtung",$B$425*POWER(($I427/100)*(Berechnungen!I$12),2),0)</f>
        <v>0</v>
      </c>
      <c r="Z91" s="309">
        <f>IF($G$478="Neuerrichtung",$B$478*POWER(($I480/100)*(Berechnungen!I$13),2),0)</f>
        <v>0</v>
      </c>
      <c r="AA91" s="332" t="e">
        <f t="shared" si="24"/>
        <v>#DIV/0!</v>
      </c>
      <c r="AB91" s="294">
        <f t="shared" si="25"/>
        <v>0</v>
      </c>
      <c r="AC91" s="333" t="e">
        <f>(AA91-AB91)/AA91*100</f>
        <v>#DIV/0!</v>
      </c>
      <c r="AD91" s="295" t="e">
        <f t="shared" si="26"/>
        <v>#DIV/0!</v>
      </c>
      <c r="AE91" s="297" t="e">
        <f>IF(AC91&lt;-400,1,0)</f>
        <v>#DIV/0!</v>
      </c>
      <c r="AF91" s="331"/>
    </row>
    <row r="92" spans="1:32" x14ac:dyDescent="0.25">
      <c r="A92" s="980"/>
      <c r="B92" s="356">
        <v>38</v>
      </c>
      <c r="C92" s="564"/>
      <c r="D92" s="980"/>
      <c r="E92" s="356">
        <v>1875</v>
      </c>
      <c r="F92" s="564"/>
      <c r="G92" s="107"/>
      <c r="H92" s="107"/>
      <c r="I92" s="107"/>
      <c r="J92" s="311">
        <f>L92*1000/50</f>
        <v>46</v>
      </c>
      <c r="K92" s="993"/>
      <c r="L92" s="15">
        <v>2.2999999999999998</v>
      </c>
      <c r="M92" s="62" t="e">
        <f>(1/$O$141)*((1.015*POWER(L92,-0.52)*(0.05/L92))/100)*(Bericht!$E$49/Berechnungen!$E$14)*Berechnungen!$G$17</f>
        <v>#DIV/0!</v>
      </c>
      <c r="N92" s="57"/>
      <c r="O92" s="58"/>
      <c r="P92" s="59"/>
      <c r="Q92" s="310">
        <f>IF($G$1="Neuerrichtung",$B$1*POWER(($I4/100)*(Berechnungen!I$4),2),0)</f>
        <v>0</v>
      </c>
      <c r="R92" s="309">
        <f>IF($G$54="Neuerrichtung",$B$54*POWER(($I57/100)*(Berechnungen!I$5),2),0)</f>
        <v>0</v>
      </c>
      <c r="S92" s="310">
        <f>IF($G$107="Neuerrichtung",$B$107*POWER(($I110/100)*(Berechnungen!I$6),2),0)</f>
        <v>0</v>
      </c>
      <c r="T92" s="309">
        <f>IF($G$160="Neuerrichtung",$B$160*POWER(($I163/100)*(Berechnungen!I$7),2),0)</f>
        <v>0</v>
      </c>
      <c r="U92" s="309">
        <f>IF($G$213="Neuerrichtung",$B$213*POWER(($I216/100)*(Berechnungen!I$8),2),0)</f>
        <v>0</v>
      </c>
      <c r="V92" s="309">
        <f>IF($G$266="Neuerrichtung",$B$266*POWER(($I269/100)*(Berechnungen!I$9),2),0)</f>
        <v>0</v>
      </c>
      <c r="W92" s="309">
        <f>IF($G$319="Neuerrichtung",$B$319*POWER(($I322/100)*(Berechnungen!I$10),2),0)</f>
        <v>0</v>
      </c>
      <c r="X92" s="309">
        <f>IF($G$372="Neuerrichtung",$B$372*POWER(($I375/100)*(Berechnungen!I$11),2),0)</f>
        <v>0</v>
      </c>
      <c r="Y92" s="309">
        <f>IF($G$425="Neuerrichtung",$B$425*POWER(($I428/100)*(Berechnungen!I$12),2),0)</f>
        <v>0</v>
      </c>
      <c r="Z92" s="309">
        <f>IF($G$478="Neuerrichtung",$B$478*POWER(($I481/100)*(Berechnungen!I$13),2),0)</f>
        <v>0</v>
      </c>
      <c r="AA92" s="332" t="e">
        <f t="shared" si="24"/>
        <v>#DIV/0!</v>
      </c>
      <c r="AB92" s="294">
        <f t="shared" si="25"/>
        <v>0</v>
      </c>
      <c r="AC92" s="333" t="e">
        <f>(AA92-AB92)/AA92*100</f>
        <v>#DIV/0!</v>
      </c>
      <c r="AD92" s="295" t="e">
        <f t="shared" si="26"/>
        <v>#DIV/0!</v>
      </c>
      <c r="AE92" s="297" t="e">
        <f>IF(AC92&lt;-400,1,0)</f>
        <v>#DIV/0!</v>
      </c>
    </row>
    <row r="93" spans="1:32" x14ac:dyDescent="0.25">
      <c r="A93" s="980"/>
      <c r="B93" s="356">
        <v>39</v>
      </c>
      <c r="C93" s="564"/>
      <c r="D93" s="980"/>
      <c r="E93" s="356">
        <v>1925</v>
      </c>
      <c r="F93" s="564"/>
      <c r="G93" s="107"/>
      <c r="H93" s="107"/>
      <c r="I93" s="107"/>
      <c r="J93" s="311">
        <f>L93*1000/50</f>
        <v>50</v>
      </c>
      <c r="K93" s="993"/>
      <c r="L93" s="15">
        <v>2.5</v>
      </c>
      <c r="M93" s="62" t="e">
        <f>(1/$O$141)*((1.015*POWER(L93,-0.52)*(0.05/L93))/100)*(Bericht!$E$49/Berechnungen!$E$14)*Berechnungen!$G$17</f>
        <v>#DIV/0!</v>
      </c>
      <c r="N93" s="57"/>
      <c r="O93" s="58"/>
      <c r="P93" s="59"/>
      <c r="Q93" s="310">
        <f>IF($G$1="Neuerrichtung",$B$1*POWER(($I5/100)*(Berechnungen!I$4),2),0)</f>
        <v>0</v>
      </c>
      <c r="R93" s="309">
        <f>IF($G$54="Neuerrichtung",$B$54*POWER(($I58/100)*(Berechnungen!I$5),2),0)</f>
        <v>0</v>
      </c>
      <c r="S93" s="310">
        <f>IF($G$107="Neuerrichtung",$B$107*POWER(($I111/100)*(Berechnungen!I$6),2),0)</f>
        <v>0</v>
      </c>
      <c r="T93" s="309">
        <f>IF($G$160="Neuerrichtung",$B$160*POWER(($I164/100)*(Berechnungen!I$7),2),0)</f>
        <v>0</v>
      </c>
      <c r="U93" s="309">
        <f>IF($G$213="Neuerrichtung",$B$213*POWER(($I217/100)*(Berechnungen!I$8),2),0)</f>
        <v>0</v>
      </c>
      <c r="V93" s="309">
        <f>IF($G$266="Neuerrichtung",$B$266*POWER(($I270/100)*(Berechnungen!I$9),2),0)</f>
        <v>0</v>
      </c>
      <c r="W93" s="309">
        <f>IF($G$319="Neuerrichtung",$B$319*POWER(($I323/100)*(Berechnungen!I$10),2),0)</f>
        <v>0</v>
      </c>
      <c r="X93" s="309">
        <f>IF($G$372="Neuerrichtung",$B$372*POWER(($I376/100)*(Berechnungen!I$11),2),0)</f>
        <v>0</v>
      </c>
      <c r="Y93" s="309">
        <f>IF($G$425="Neuerrichtung",$B$425*POWER(($I429/100)*(Berechnungen!I$12),2),0)</f>
        <v>0</v>
      </c>
      <c r="Z93" s="309">
        <f>IF($G$478="Neuerrichtung",$B$478*POWER(($I482/100)*(Berechnungen!I$13),2),0)</f>
        <v>0</v>
      </c>
      <c r="AA93" s="332" t="e">
        <f t="shared" si="24"/>
        <v>#DIV/0!</v>
      </c>
      <c r="AB93" s="294">
        <f t="shared" si="25"/>
        <v>0</v>
      </c>
      <c r="AC93" s="333" t="e">
        <f t="shared" ref="AC93:AC125" si="27">(AA93-AB93)/AA93*100</f>
        <v>#DIV/0!</v>
      </c>
      <c r="AD93" s="295" t="e">
        <f t="shared" si="26"/>
        <v>#DIV/0!</v>
      </c>
      <c r="AE93" s="297" t="e">
        <f t="shared" ref="AE93:AE124" si="28">IF(AC93&lt;-400,1,0)</f>
        <v>#DIV/0!</v>
      </c>
    </row>
    <row r="94" spans="1:32" x14ac:dyDescent="0.25">
      <c r="A94" s="980"/>
      <c r="B94" s="356">
        <v>40</v>
      </c>
      <c r="C94" s="564"/>
      <c r="D94" s="981"/>
      <c r="E94" s="356">
        <v>1975</v>
      </c>
      <c r="F94" s="564"/>
      <c r="G94" s="107"/>
      <c r="H94" s="107"/>
      <c r="I94" s="107"/>
      <c r="J94" s="311">
        <f t="shared" ref="J94:J125" si="29">L94*1000/50</f>
        <v>54</v>
      </c>
      <c r="K94" s="993"/>
      <c r="L94" s="15">
        <v>2.7</v>
      </c>
      <c r="M94" s="62" t="e">
        <f>(1/$O$141)*((1.015*POWER(L94,-0.52)*(0.05/L94))/100)*(Bericht!$E$49/Berechnungen!$E$14)*Berechnungen!$G$17</f>
        <v>#DIV/0!</v>
      </c>
      <c r="N94" s="57"/>
      <c r="O94" s="58"/>
      <c r="P94" s="59"/>
      <c r="Q94" s="310">
        <f>IF($G$1="Neuerrichtung",$B$1*POWER(($I6/100)*(Berechnungen!I$4),2),0)</f>
        <v>0</v>
      </c>
      <c r="R94" s="309">
        <f>IF($G$54="Neuerrichtung",$B$54*POWER(($I59/100)*(Berechnungen!I$5),2),0)</f>
        <v>0</v>
      </c>
      <c r="S94" s="310">
        <f>IF($G$107="Neuerrichtung",$B$107*POWER(($I112/100)*(Berechnungen!I$6),2),0)</f>
        <v>0</v>
      </c>
      <c r="T94" s="309">
        <f>IF($G$160="Neuerrichtung",$B$160*POWER(($I165/100)*(Berechnungen!I$7),2),0)</f>
        <v>0</v>
      </c>
      <c r="U94" s="309">
        <f>IF($G$213="Neuerrichtung",$B$213*POWER(($I218/100)*(Berechnungen!I$8),2),0)</f>
        <v>0</v>
      </c>
      <c r="V94" s="309">
        <f>IF($G$266="Neuerrichtung",$B$266*POWER(($I271/100)*(Berechnungen!I$9),2),0)</f>
        <v>0</v>
      </c>
      <c r="W94" s="309">
        <f>IF($G$319="Neuerrichtung",$B$319*POWER(($I324/100)*(Berechnungen!I$10),2),0)</f>
        <v>0</v>
      </c>
      <c r="X94" s="309">
        <f>IF($G$372="Neuerrichtung",$B$372*POWER(($I377/100)*(Berechnungen!I$11),2),0)</f>
        <v>0</v>
      </c>
      <c r="Y94" s="309">
        <f>IF($G$425="Neuerrichtung",$B$425*POWER(($I430/100)*(Berechnungen!I$12),2),0)</f>
        <v>0</v>
      </c>
      <c r="Z94" s="309">
        <f>IF($G$478="Neuerrichtung",$B$478*POWER(($I483/100)*(Berechnungen!I$13),2),0)</f>
        <v>0</v>
      </c>
      <c r="AA94" s="332" t="e">
        <f t="shared" si="24"/>
        <v>#DIV/0!</v>
      </c>
      <c r="AB94" s="294">
        <f t="shared" si="25"/>
        <v>0</v>
      </c>
      <c r="AC94" s="333" t="e">
        <f t="shared" si="27"/>
        <v>#DIV/0!</v>
      </c>
      <c r="AD94" s="295" t="e">
        <f t="shared" si="26"/>
        <v>#DIV/0!</v>
      </c>
      <c r="AE94" s="297" t="e">
        <f t="shared" si="28"/>
        <v>#DIV/0!</v>
      </c>
    </row>
    <row r="95" spans="1:32" x14ac:dyDescent="0.25">
      <c r="A95" s="980"/>
      <c r="B95" s="356">
        <v>41</v>
      </c>
      <c r="C95" s="564"/>
      <c r="D95" s="107"/>
      <c r="E95" s="107"/>
      <c r="F95" s="107"/>
      <c r="G95" s="107"/>
      <c r="H95" s="107"/>
      <c r="I95" s="107"/>
      <c r="J95" s="311">
        <f t="shared" si="29"/>
        <v>58</v>
      </c>
      <c r="K95" s="993"/>
      <c r="L95" s="15">
        <v>2.9</v>
      </c>
      <c r="M95" s="62" t="e">
        <f>(1/$O$141)*((1.015*POWER(L95,-0.52)*(0.05/L95))/100)*(Bericht!$E$49/Berechnungen!$E$14)*Berechnungen!$G$17</f>
        <v>#DIV/0!</v>
      </c>
      <c r="N95" s="57"/>
      <c r="O95" s="58"/>
      <c r="P95" s="59"/>
      <c r="Q95" s="310">
        <f>IF($G$1="Neuerrichtung",$B$1*POWER(($I7/100)*(Berechnungen!I$4),2),0)</f>
        <v>0</v>
      </c>
      <c r="R95" s="309">
        <f>IF($G$54="Neuerrichtung",$B$54*POWER(($I60/100)*(Berechnungen!I$5),2),0)</f>
        <v>0</v>
      </c>
      <c r="S95" s="310">
        <f>IF($G$107="Neuerrichtung",$B$107*POWER(($I113/100)*(Berechnungen!I$6),2),0)</f>
        <v>0</v>
      </c>
      <c r="T95" s="309">
        <f>IF($G$160="Neuerrichtung",$B$160*POWER(($I166/100)*(Berechnungen!I$7),2),0)</f>
        <v>0</v>
      </c>
      <c r="U95" s="309">
        <f>IF($G$213="Neuerrichtung",$B$213*POWER(($I219/100)*(Berechnungen!I$8),2),0)</f>
        <v>0</v>
      </c>
      <c r="V95" s="309">
        <f>IF($G$266="Neuerrichtung",$B$266*POWER(($I272/100)*(Berechnungen!I$9),2),0)</f>
        <v>0</v>
      </c>
      <c r="W95" s="309">
        <f>IF($G$319="Neuerrichtung",$B$319*POWER(($I325/100)*(Berechnungen!I$10),2),0)</f>
        <v>0</v>
      </c>
      <c r="X95" s="309">
        <f>IF($G$372="Neuerrichtung",$B$372*POWER(($I378/100)*(Berechnungen!I$11),2),0)</f>
        <v>0</v>
      </c>
      <c r="Y95" s="309">
        <f>IF($G$425="Neuerrichtung",$B$425*POWER(($I431/100)*(Berechnungen!I$12),2),0)</f>
        <v>0</v>
      </c>
      <c r="Z95" s="309">
        <f>IF($G$478="Neuerrichtung",$B$478*POWER(($I484/100)*(Berechnungen!I$13),2),0)</f>
        <v>0</v>
      </c>
      <c r="AA95" s="332" t="e">
        <f t="shared" si="24"/>
        <v>#DIV/0!</v>
      </c>
      <c r="AB95" s="294">
        <f t="shared" si="25"/>
        <v>0</v>
      </c>
      <c r="AC95" s="333" t="e">
        <f t="shared" si="27"/>
        <v>#DIV/0!</v>
      </c>
      <c r="AD95" s="295" t="e">
        <f t="shared" si="26"/>
        <v>#DIV/0!</v>
      </c>
      <c r="AE95" s="297" t="e">
        <f t="shared" si="28"/>
        <v>#DIV/0!</v>
      </c>
    </row>
    <row r="96" spans="1:32" x14ac:dyDescent="0.25">
      <c r="A96" s="980"/>
      <c r="B96" s="356">
        <v>42</v>
      </c>
      <c r="C96" s="564"/>
      <c r="D96" s="107"/>
      <c r="E96" s="107"/>
      <c r="F96" s="107"/>
      <c r="G96" s="107"/>
      <c r="H96" s="107"/>
      <c r="I96" s="107"/>
      <c r="J96" s="311">
        <f t="shared" si="29"/>
        <v>62</v>
      </c>
      <c r="K96" s="993"/>
      <c r="L96" s="15">
        <v>3.1</v>
      </c>
      <c r="M96" s="62" t="e">
        <f>(1/$O$141)*((1.015*POWER(L96,-0.52)*(0.05/L96))/100)*(Bericht!$E$49/Berechnungen!$E$14)*Berechnungen!$G$17</f>
        <v>#DIV/0!</v>
      </c>
      <c r="N96" s="57"/>
      <c r="O96" s="58"/>
      <c r="P96" s="59"/>
      <c r="Q96" s="310">
        <f>IF($G$1="Neuerrichtung",$B$1*POWER(($I8/100)*(Berechnungen!I$4),2),0)</f>
        <v>0</v>
      </c>
      <c r="R96" s="309">
        <f>IF($G$54="Neuerrichtung",$B$54*POWER(($I61/100)*(Berechnungen!I$5),2),0)</f>
        <v>0</v>
      </c>
      <c r="S96" s="310">
        <f>IF($G$107="Neuerrichtung",$B$107*POWER(($I114/100)*(Berechnungen!I$6),2),0)</f>
        <v>0</v>
      </c>
      <c r="T96" s="309">
        <f>IF($G$160="Neuerrichtung",$B$160*POWER(($I167/100)*(Berechnungen!I$7),2),0)</f>
        <v>0</v>
      </c>
      <c r="U96" s="309">
        <f>IF($G$213="Neuerrichtung",$B$213*POWER(($I220/100)*(Berechnungen!I$8),2),0)</f>
        <v>0</v>
      </c>
      <c r="V96" s="309">
        <f>IF($G$266="Neuerrichtung",$B$266*POWER(($I273/100)*(Berechnungen!I$9),2),0)</f>
        <v>0</v>
      </c>
      <c r="W96" s="309">
        <f>IF($G$319="Neuerrichtung",$B$319*POWER(($I326/100)*(Berechnungen!I$10),2),0)</f>
        <v>0</v>
      </c>
      <c r="X96" s="309">
        <f>IF($G$372="Neuerrichtung",$B$372*POWER(($I379/100)*(Berechnungen!I$11),2),0)</f>
        <v>0</v>
      </c>
      <c r="Y96" s="309">
        <f>IF($G$425="Neuerrichtung",$B$425*POWER(($I432/100)*(Berechnungen!I$12),2),0)</f>
        <v>0</v>
      </c>
      <c r="Z96" s="309">
        <f>IF($G$478="Neuerrichtung",$B$478*POWER(($I485/100)*(Berechnungen!I$13),2),0)</f>
        <v>0</v>
      </c>
      <c r="AA96" s="332" t="e">
        <f t="shared" si="24"/>
        <v>#DIV/0!</v>
      </c>
      <c r="AB96" s="294">
        <f t="shared" si="25"/>
        <v>0</v>
      </c>
      <c r="AC96" s="333" t="e">
        <f t="shared" si="27"/>
        <v>#DIV/0!</v>
      </c>
      <c r="AD96" s="295" t="e">
        <f t="shared" si="26"/>
        <v>#DIV/0!</v>
      </c>
      <c r="AE96" s="297" t="e">
        <f t="shared" si="28"/>
        <v>#DIV/0!</v>
      </c>
    </row>
    <row r="97" spans="1:31" x14ac:dyDescent="0.25">
      <c r="A97" s="980"/>
      <c r="B97" s="356">
        <v>43</v>
      </c>
      <c r="C97" s="564"/>
      <c r="D97" s="107"/>
      <c r="E97" s="107"/>
      <c r="F97" s="107"/>
      <c r="G97" s="107"/>
      <c r="H97" s="107"/>
      <c r="I97" s="107"/>
      <c r="J97" s="311">
        <f t="shared" si="29"/>
        <v>66</v>
      </c>
      <c r="K97" s="993"/>
      <c r="L97" s="15">
        <v>3.3</v>
      </c>
      <c r="M97" s="62" t="e">
        <f>(1/$O$141)*((1.015*POWER(L97,-0.52)*(0.05/L97))/100)*(Bericht!$E$49/Berechnungen!$E$14)*Berechnungen!$G$17</f>
        <v>#DIV/0!</v>
      </c>
      <c r="N97" s="57"/>
      <c r="O97" s="58"/>
      <c r="P97" s="59"/>
      <c r="Q97" s="310">
        <f>IF($G$1="Neuerrichtung",$B$1*POWER(($I9/100)*(Berechnungen!I$4),2),0)</f>
        <v>0</v>
      </c>
      <c r="R97" s="309">
        <f>IF($G$54="Neuerrichtung",$B$54*POWER(($I62/100)*(Berechnungen!I$5),2),0)</f>
        <v>0</v>
      </c>
      <c r="S97" s="310">
        <f>IF($G$107="Neuerrichtung",$B$107*POWER(($I115/100)*(Berechnungen!I$6),2),0)</f>
        <v>0</v>
      </c>
      <c r="T97" s="309">
        <f>IF($G$160="Neuerrichtung",$B$160*POWER(($I168/100)*(Berechnungen!I$7),2),0)</f>
        <v>0</v>
      </c>
      <c r="U97" s="309">
        <f>IF($G$213="Neuerrichtung",$B$213*POWER(($I221/100)*(Berechnungen!I$8),2),0)</f>
        <v>0</v>
      </c>
      <c r="V97" s="309">
        <f>IF($G$266="Neuerrichtung",$B$266*POWER(($I274/100)*(Berechnungen!I$9),2),0)</f>
        <v>0</v>
      </c>
      <c r="W97" s="309">
        <f>IF($G$319="Neuerrichtung",$B$319*POWER(($I327/100)*(Berechnungen!I$10),2),0)</f>
        <v>0</v>
      </c>
      <c r="X97" s="309">
        <f>IF($G$372="Neuerrichtung",$B$372*POWER(($I380/100)*(Berechnungen!I$11),2),0)</f>
        <v>0</v>
      </c>
      <c r="Y97" s="309">
        <f>IF($G$425="Neuerrichtung",$B$425*POWER(($I433/100)*(Berechnungen!I$12),2),0)</f>
        <v>0</v>
      </c>
      <c r="Z97" s="309">
        <f>IF($G$478="Neuerrichtung",$B$478*POWER(($I486/100)*(Berechnungen!I$13),2),0)</f>
        <v>0</v>
      </c>
      <c r="AA97" s="332" t="e">
        <f t="shared" si="24"/>
        <v>#DIV/0!</v>
      </c>
      <c r="AB97" s="294">
        <f t="shared" si="25"/>
        <v>0</v>
      </c>
      <c r="AC97" s="333" t="e">
        <f t="shared" si="27"/>
        <v>#DIV/0!</v>
      </c>
      <c r="AD97" s="295" t="e">
        <f t="shared" si="26"/>
        <v>#DIV/0!</v>
      </c>
      <c r="AE97" s="297" t="e">
        <f t="shared" si="28"/>
        <v>#DIV/0!</v>
      </c>
    </row>
    <row r="98" spans="1:31" x14ac:dyDescent="0.25">
      <c r="A98" s="980"/>
      <c r="B98" s="356">
        <v>44</v>
      </c>
      <c r="C98" s="564"/>
      <c r="D98" s="107"/>
      <c r="E98" s="107"/>
      <c r="F98" s="107"/>
      <c r="G98" s="107"/>
      <c r="H98" s="107"/>
      <c r="I98" s="107"/>
      <c r="J98" s="311">
        <f t="shared" si="29"/>
        <v>70</v>
      </c>
      <c r="K98" s="993"/>
      <c r="L98" s="15">
        <v>3.5</v>
      </c>
      <c r="M98" s="62" t="e">
        <f>(1/$O$141)*((1.015*POWER(L98,-0.52)*(0.05/L98))/100)*(Bericht!$E$49/Berechnungen!$E$14)*Berechnungen!$G$17</f>
        <v>#DIV/0!</v>
      </c>
      <c r="N98" s="57"/>
      <c r="O98" s="58"/>
      <c r="P98" s="59"/>
      <c r="Q98" s="310">
        <f>IF($G$1="Neuerrichtung",$B$1*POWER(($I10/100)*(Berechnungen!I$4),2),0)</f>
        <v>0</v>
      </c>
      <c r="R98" s="309">
        <f>IF($G$54="Neuerrichtung",$B$54*POWER(($I63/100)*(Berechnungen!I$5),2),0)</f>
        <v>0</v>
      </c>
      <c r="S98" s="310">
        <f>IF($G$107="Neuerrichtung",$B$107*POWER(($I116/100)*(Berechnungen!I$6),2),0)</f>
        <v>0</v>
      </c>
      <c r="T98" s="309">
        <f>IF($G$160="Neuerrichtung",$B$160*POWER(($I169/100)*(Berechnungen!I$7),2),0)</f>
        <v>0</v>
      </c>
      <c r="U98" s="309">
        <f>IF($G$213="Neuerrichtung",$B$213*POWER(($I222/100)*(Berechnungen!I$8),2),0)</f>
        <v>0</v>
      </c>
      <c r="V98" s="309">
        <f>IF($G$266="Neuerrichtung",$B$266*POWER(($I275/100)*(Berechnungen!I$9),2),0)</f>
        <v>0</v>
      </c>
      <c r="W98" s="309">
        <f>IF($G$319="Neuerrichtung",$B$319*POWER(($I328/100)*(Berechnungen!I$10),2),0)</f>
        <v>0</v>
      </c>
      <c r="X98" s="309">
        <f>IF($G$372="Neuerrichtung",$B$372*POWER(($I381/100)*(Berechnungen!I$11),2),0)</f>
        <v>0</v>
      </c>
      <c r="Y98" s="309">
        <f>IF($G$425="Neuerrichtung",$B$425*POWER(($I434/100)*(Berechnungen!I$12),2),0)</f>
        <v>0</v>
      </c>
      <c r="Z98" s="309">
        <f>IF($G$478="Neuerrichtung",$B$478*POWER(($I487/100)*(Berechnungen!I$13),2),0)</f>
        <v>0</v>
      </c>
      <c r="AA98" s="332" t="e">
        <f t="shared" si="24"/>
        <v>#DIV/0!</v>
      </c>
      <c r="AB98" s="294">
        <f t="shared" si="25"/>
        <v>0</v>
      </c>
      <c r="AC98" s="333" t="e">
        <f t="shared" si="27"/>
        <v>#DIV/0!</v>
      </c>
      <c r="AD98" s="295" t="e">
        <f t="shared" si="26"/>
        <v>#DIV/0!</v>
      </c>
      <c r="AE98" s="297" t="e">
        <f t="shared" si="28"/>
        <v>#DIV/0!</v>
      </c>
    </row>
    <row r="99" spans="1:31" x14ac:dyDescent="0.25">
      <c r="A99" s="980"/>
      <c r="B99" s="356">
        <v>45</v>
      </c>
      <c r="C99" s="564"/>
      <c r="D99" s="107"/>
      <c r="E99" s="107"/>
      <c r="F99" s="107"/>
      <c r="G99" s="107"/>
      <c r="H99" s="107"/>
      <c r="I99" s="107"/>
      <c r="J99" s="311">
        <f t="shared" si="29"/>
        <v>74</v>
      </c>
      <c r="K99" s="993"/>
      <c r="L99" s="15">
        <v>3.7</v>
      </c>
      <c r="M99" s="62" t="e">
        <f>(1/$O$141)*((1.015*POWER(L99,-0.52)*(0.05/L99))/100)*(Bericht!$E$49/Berechnungen!$E$14)*Berechnungen!$G$17</f>
        <v>#DIV/0!</v>
      </c>
      <c r="N99" s="57"/>
      <c r="O99" s="58"/>
      <c r="P99" s="59"/>
      <c r="Q99" s="310">
        <f>IF($G$1="Neuerrichtung",$B$1*POWER(($I11/100)*(Berechnungen!I$4),2),0)</f>
        <v>0</v>
      </c>
      <c r="R99" s="309">
        <f>IF($G$54="Neuerrichtung",$B$54*POWER(($I64/100)*(Berechnungen!I$5),2),0)</f>
        <v>0</v>
      </c>
      <c r="S99" s="310">
        <f>IF($G$107="Neuerrichtung",$B$107*POWER(($I117/100)*(Berechnungen!I$6),2),0)</f>
        <v>0</v>
      </c>
      <c r="T99" s="309">
        <f>IF($G$160="Neuerrichtung",$B$160*POWER(($I170/100)*(Berechnungen!I$7),2),0)</f>
        <v>0</v>
      </c>
      <c r="U99" s="309">
        <f>IF($G$213="Neuerrichtung",$B$213*POWER(($I223/100)*(Berechnungen!I$8),2),0)</f>
        <v>0</v>
      </c>
      <c r="V99" s="309">
        <f>IF($G$266="Neuerrichtung",$B$266*POWER(($I276/100)*(Berechnungen!I$9),2),0)</f>
        <v>0</v>
      </c>
      <c r="W99" s="309">
        <f>IF($G$319="Neuerrichtung",$B$319*POWER(($I329/100)*(Berechnungen!I$10),2),0)</f>
        <v>0</v>
      </c>
      <c r="X99" s="309">
        <f>IF($G$372="Neuerrichtung",$B$372*POWER(($I382/100)*(Berechnungen!I$11),2),0)</f>
        <v>0</v>
      </c>
      <c r="Y99" s="309">
        <f>IF($G$425="Neuerrichtung",$B$425*POWER(($I435/100)*(Berechnungen!I$12),2),0)</f>
        <v>0</v>
      </c>
      <c r="Z99" s="309">
        <f>IF($G$478="Neuerrichtung",$B$478*POWER(($I488/100)*(Berechnungen!I$13),2),0)</f>
        <v>0</v>
      </c>
      <c r="AA99" s="332" t="e">
        <f t="shared" si="24"/>
        <v>#DIV/0!</v>
      </c>
      <c r="AB99" s="294">
        <f t="shared" si="25"/>
        <v>0</v>
      </c>
      <c r="AC99" s="333" t="e">
        <f t="shared" si="27"/>
        <v>#DIV/0!</v>
      </c>
      <c r="AD99" s="295" t="e">
        <f t="shared" si="26"/>
        <v>#DIV/0!</v>
      </c>
      <c r="AE99" s="297" t="e">
        <f t="shared" si="28"/>
        <v>#DIV/0!</v>
      </c>
    </row>
    <row r="100" spans="1:31" x14ac:dyDescent="0.25">
      <c r="A100" s="980"/>
      <c r="B100" s="356">
        <v>46</v>
      </c>
      <c r="C100" s="564"/>
      <c r="D100" s="107"/>
      <c r="E100" s="107"/>
      <c r="F100" s="107"/>
      <c r="G100" s="107"/>
      <c r="H100" s="107"/>
      <c r="I100" s="107"/>
      <c r="J100" s="311">
        <f t="shared" si="29"/>
        <v>78</v>
      </c>
      <c r="K100" s="993"/>
      <c r="L100" s="15">
        <v>3.9</v>
      </c>
      <c r="M100" s="62" t="e">
        <f>(1/$O$141)*((1.015*POWER(L100,-0.52)*(0.05/L100))/100)*(Bericht!$E$49/Berechnungen!$E$14)*Berechnungen!$G$17</f>
        <v>#DIV/0!</v>
      </c>
      <c r="N100" s="57"/>
      <c r="O100" s="58"/>
      <c r="P100" s="59"/>
      <c r="Q100" s="310">
        <f>IF($G$1="Neuerrichtung",$B$1*POWER(($I12/100)*(Berechnungen!I$4),2),0)</f>
        <v>0</v>
      </c>
      <c r="R100" s="309">
        <f>IF($G$54="Neuerrichtung",$B$54*POWER(($I65/100)*(Berechnungen!I$5),2),0)</f>
        <v>0</v>
      </c>
      <c r="S100" s="310">
        <f>IF($G$107="Neuerrichtung",$B$107*POWER(($I118/100)*(Berechnungen!I$6),2),0)</f>
        <v>0</v>
      </c>
      <c r="T100" s="309">
        <f>IF($G$160="Neuerrichtung",$B$160*POWER(($I171/100)*(Berechnungen!I$7),2),0)</f>
        <v>0</v>
      </c>
      <c r="U100" s="309">
        <f>IF($G$213="Neuerrichtung",$B$213*POWER(($I224/100)*(Berechnungen!I$8),2),0)</f>
        <v>0</v>
      </c>
      <c r="V100" s="309">
        <f>IF($G$266="Neuerrichtung",$B$266*POWER(($I277/100)*(Berechnungen!I$9),2),0)</f>
        <v>0</v>
      </c>
      <c r="W100" s="309">
        <f>IF($G$319="Neuerrichtung",$B$319*POWER(($I330/100)*(Berechnungen!I$10),2),0)</f>
        <v>0</v>
      </c>
      <c r="X100" s="309">
        <f>IF($G$372="Neuerrichtung",$B$372*POWER(($I383/100)*(Berechnungen!I$11),2),0)</f>
        <v>0</v>
      </c>
      <c r="Y100" s="309">
        <f>IF($G$425="Neuerrichtung",$B$425*POWER(($I436/100)*(Berechnungen!I$12),2),0)</f>
        <v>0</v>
      </c>
      <c r="Z100" s="309">
        <f>IF($G$478="Neuerrichtung",$B$478*POWER(($I489/100)*(Berechnungen!I$13),2),0)</f>
        <v>0</v>
      </c>
      <c r="AA100" s="332" t="e">
        <f t="shared" si="24"/>
        <v>#DIV/0!</v>
      </c>
      <c r="AB100" s="294">
        <f t="shared" si="25"/>
        <v>0</v>
      </c>
      <c r="AC100" s="333" t="e">
        <f t="shared" si="27"/>
        <v>#DIV/0!</v>
      </c>
      <c r="AD100" s="295" t="e">
        <f t="shared" si="26"/>
        <v>#DIV/0!</v>
      </c>
      <c r="AE100" s="297" t="e">
        <f t="shared" si="28"/>
        <v>#DIV/0!</v>
      </c>
    </row>
    <row r="101" spans="1:31" x14ac:dyDescent="0.25">
      <c r="A101" s="980"/>
      <c r="B101" s="356">
        <v>47</v>
      </c>
      <c r="C101" s="564"/>
      <c r="D101" s="107"/>
      <c r="E101" s="107"/>
      <c r="F101" s="107"/>
      <c r="G101" s="107"/>
      <c r="H101" s="107"/>
      <c r="I101" s="107"/>
      <c r="J101" s="311">
        <f t="shared" si="29"/>
        <v>82</v>
      </c>
      <c r="K101" s="993"/>
      <c r="L101" s="15">
        <v>4.0999999999999996</v>
      </c>
      <c r="M101" s="62" t="e">
        <f>(1/$O$141)*((1.015*POWER(L101,-0.52)*(0.05/L101))/100)*(Bericht!$E$49/Berechnungen!$E$14)*Berechnungen!$G$17</f>
        <v>#DIV/0!</v>
      </c>
      <c r="N101" s="57"/>
      <c r="O101" s="58"/>
      <c r="P101" s="59"/>
      <c r="Q101" s="310">
        <f>IF($G$1="Neuerrichtung",$B$1*POWER(($I13/100)*(Berechnungen!I$4),2),0)</f>
        <v>0</v>
      </c>
      <c r="R101" s="309">
        <f>IF($G$54="Neuerrichtung",$B$54*POWER(($I66/100)*(Berechnungen!I$5),2),0)</f>
        <v>0</v>
      </c>
      <c r="S101" s="310">
        <f>IF($G$107="Neuerrichtung",$B$107*POWER(($I119/100)*(Berechnungen!I$6),2),0)</f>
        <v>0</v>
      </c>
      <c r="T101" s="309">
        <f>IF($G$160="Neuerrichtung",$B$160*POWER(($I172/100)*(Berechnungen!I$7),2),0)</f>
        <v>0</v>
      </c>
      <c r="U101" s="309">
        <f>IF($G$213="Neuerrichtung",$B$213*POWER(($I225/100)*(Berechnungen!I$8),2),0)</f>
        <v>0</v>
      </c>
      <c r="V101" s="309">
        <f>IF($G$266="Neuerrichtung",$B$266*POWER(($I278/100)*(Berechnungen!I$9),2),0)</f>
        <v>0</v>
      </c>
      <c r="W101" s="309">
        <f>IF($G$319="Neuerrichtung",$B$319*POWER(($I331/100)*(Berechnungen!I$10),2),0)</f>
        <v>0</v>
      </c>
      <c r="X101" s="309">
        <f>IF($G$372="Neuerrichtung",$B$372*POWER(($I384/100)*(Berechnungen!I$11),2),0)</f>
        <v>0</v>
      </c>
      <c r="Y101" s="309">
        <f>IF($G$425="Neuerrichtung",$B$425*POWER(($I437/100)*(Berechnungen!I$12),2),0)</f>
        <v>0</v>
      </c>
      <c r="Z101" s="309">
        <f>IF($G$478="Neuerrichtung",$B$478*POWER(($I490/100)*(Berechnungen!I$13),2),0)</f>
        <v>0</v>
      </c>
      <c r="AA101" s="332" t="e">
        <f t="shared" si="24"/>
        <v>#DIV/0!</v>
      </c>
      <c r="AB101" s="875">
        <f t="shared" si="25"/>
        <v>0</v>
      </c>
      <c r="AC101" s="333" t="e">
        <f t="shared" si="27"/>
        <v>#DIV/0!</v>
      </c>
      <c r="AD101" s="295" t="e">
        <f t="shared" si="26"/>
        <v>#DIV/0!</v>
      </c>
      <c r="AE101" s="297" t="e">
        <f t="shared" si="28"/>
        <v>#DIV/0!</v>
      </c>
    </row>
    <row r="102" spans="1:31" x14ac:dyDescent="0.25">
      <c r="A102" s="980"/>
      <c r="B102" s="356">
        <v>48</v>
      </c>
      <c r="C102" s="564"/>
      <c r="D102" s="107"/>
      <c r="E102" s="107"/>
      <c r="F102" s="107"/>
      <c r="G102" s="107"/>
      <c r="H102" s="107"/>
      <c r="I102" s="107"/>
      <c r="J102" s="311">
        <f t="shared" si="29"/>
        <v>86</v>
      </c>
      <c r="K102" s="993"/>
      <c r="L102" s="15">
        <v>4.3</v>
      </c>
      <c r="M102" s="62" t="e">
        <f>(1/$O$141)*((1.015*POWER(L102,-0.52)*(0.05/L102))/100)*(Bericht!$E$49/Berechnungen!$E$14)*Berechnungen!$G$17</f>
        <v>#DIV/0!</v>
      </c>
      <c r="N102" s="57"/>
      <c r="O102" s="58"/>
      <c r="P102" s="59"/>
      <c r="Q102" s="310">
        <f>IF($G$1="Neuerrichtung",$B$1*POWER(($I14/100)*(Berechnungen!I$4),2),0)</f>
        <v>0</v>
      </c>
      <c r="R102" s="309">
        <f>IF($G$54="Neuerrichtung",$B$54*POWER(($I67/100)*(Berechnungen!I$5),2),0)</f>
        <v>0</v>
      </c>
      <c r="S102" s="310">
        <f>IF($G$107="Neuerrichtung",$B$107*POWER(($I120/100)*(Berechnungen!I$6),2),0)</f>
        <v>0</v>
      </c>
      <c r="T102" s="309">
        <f>IF($G$160="Neuerrichtung",$B$160*POWER(($I173/100)*(Berechnungen!I$7),2),0)</f>
        <v>0</v>
      </c>
      <c r="U102" s="309">
        <f>IF($G$213="Neuerrichtung",$B$213*POWER(($I226/100)*(Berechnungen!I$8),2),0)</f>
        <v>0</v>
      </c>
      <c r="V102" s="309">
        <f>IF($G$266="Neuerrichtung",$B$266*POWER(($I279/100)*(Berechnungen!I$9),2),0)</f>
        <v>0</v>
      </c>
      <c r="W102" s="309">
        <f>IF($G$319="Neuerrichtung",$B$319*POWER(($I332/100)*(Berechnungen!I$10),2),0)</f>
        <v>0</v>
      </c>
      <c r="X102" s="309">
        <f>IF($G$372="Neuerrichtung",$B$372*POWER(($I385/100)*(Berechnungen!I$11),2),0)</f>
        <v>0</v>
      </c>
      <c r="Y102" s="309">
        <f>IF($G$425="Neuerrichtung",$B$425*POWER(($I438/100)*(Berechnungen!I$12),2),0)</f>
        <v>0</v>
      </c>
      <c r="Z102" s="309">
        <f>IF($G$478="Neuerrichtung",$B$478*POWER(($I491/100)*(Berechnungen!I$13),2),0)</f>
        <v>0</v>
      </c>
      <c r="AA102" s="332" t="e">
        <f t="shared" si="24"/>
        <v>#DIV/0!</v>
      </c>
      <c r="AB102" s="875">
        <f t="shared" si="25"/>
        <v>0</v>
      </c>
      <c r="AC102" s="333" t="e">
        <f t="shared" si="27"/>
        <v>#DIV/0!</v>
      </c>
      <c r="AD102" s="295" t="e">
        <f t="shared" si="26"/>
        <v>#DIV/0!</v>
      </c>
      <c r="AE102" s="297" t="e">
        <f t="shared" si="28"/>
        <v>#DIV/0!</v>
      </c>
    </row>
    <row r="103" spans="1:31" x14ac:dyDescent="0.25">
      <c r="A103" s="980"/>
      <c r="B103" s="356">
        <v>49</v>
      </c>
      <c r="C103" s="564"/>
      <c r="D103" s="107"/>
      <c r="E103" s="107"/>
      <c r="F103" s="107"/>
      <c r="G103" s="107"/>
      <c r="H103" s="107"/>
      <c r="I103" s="107"/>
      <c r="J103" s="311">
        <f t="shared" si="29"/>
        <v>90</v>
      </c>
      <c r="K103" s="993"/>
      <c r="L103" s="15">
        <v>4.5</v>
      </c>
      <c r="M103" s="62" t="e">
        <f>(1/$O$141)*((1.015*POWER(L103,-0.52)*(0.05/L103))/100)*(Bericht!$E$49/Berechnungen!$E$14)*Berechnungen!$G$17</f>
        <v>#DIV/0!</v>
      </c>
      <c r="N103" s="57"/>
      <c r="O103" s="58"/>
      <c r="P103" s="59"/>
      <c r="Q103" s="310">
        <f>IF($G$1="Neuerrichtung",$B$1*POWER(($I15/100)*(Berechnungen!I$4),2),0)</f>
        <v>0</v>
      </c>
      <c r="R103" s="309">
        <f>IF($G$54="Neuerrichtung",$B$54*POWER(($I68/100)*(Berechnungen!I$5),2),0)</f>
        <v>0</v>
      </c>
      <c r="S103" s="310">
        <f>IF($G$107="Neuerrichtung",$B$107*POWER(($I121/100)*(Berechnungen!I$6),2),0)</f>
        <v>0</v>
      </c>
      <c r="T103" s="309">
        <f>IF($G$160="Neuerrichtung",$B$160*POWER(($I174/100)*(Berechnungen!I$7),2),0)</f>
        <v>0</v>
      </c>
      <c r="U103" s="309">
        <f>IF($G$213="Neuerrichtung",$B$213*POWER(($I227/100)*(Berechnungen!I$8),2),0)</f>
        <v>0</v>
      </c>
      <c r="V103" s="309">
        <f>IF($G$266="Neuerrichtung",$B$266*POWER(($I280/100)*(Berechnungen!I$9),2),0)</f>
        <v>0</v>
      </c>
      <c r="W103" s="309">
        <f>IF($G$319="Neuerrichtung",$B$319*POWER(($I333/100)*(Berechnungen!I$10),2),0)</f>
        <v>0</v>
      </c>
      <c r="X103" s="309">
        <f>IF($G$372="Neuerrichtung",$B$372*POWER(($I386/100)*(Berechnungen!I$11),2),0)</f>
        <v>0</v>
      </c>
      <c r="Y103" s="309">
        <f>IF($G$425="Neuerrichtung",$B$425*POWER(($I439/100)*(Berechnungen!I$12),2),0)</f>
        <v>0</v>
      </c>
      <c r="Z103" s="309">
        <f>IF($G$478="Neuerrichtung",$B$478*POWER(($I492/100)*(Berechnungen!I$13),2),0)</f>
        <v>0</v>
      </c>
      <c r="AA103" s="332" t="e">
        <f t="shared" si="24"/>
        <v>#DIV/0!</v>
      </c>
      <c r="AB103" s="875">
        <f t="shared" si="25"/>
        <v>0</v>
      </c>
      <c r="AC103" s="333" t="e">
        <f t="shared" si="27"/>
        <v>#DIV/0!</v>
      </c>
      <c r="AD103" s="295" t="e">
        <f t="shared" si="26"/>
        <v>#DIV/0!</v>
      </c>
      <c r="AE103" s="297" t="e">
        <f t="shared" si="28"/>
        <v>#DIV/0!</v>
      </c>
    </row>
    <row r="104" spans="1:31" x14ac:dyDescent="0.25">
      <c r="A104" s="981"/>
      <c r="B104" s="356">
        <v>50</v>
      </c>
      <c r="C104" s="564"/>
      <c r="D104" s="107"/>
      <c r="E104" s="107"/>
      <c r="F104" s="107"/>
      <c r="G104" s="107"/>
      <c r="H104" s="107"/>
      <c r="I104" s="107"/>
      <c r="J104" s="311">
        <f t="shared" si="29"/>
        <v>94</v>
      </c>
      <c r="K104" s="993"/>
      <c r="L104" s="15">
        <v>4.7</v>
      </c>
      <c r="M104" s="62" t="e">
        <f>(1/$O$141)*((1.015*POWER(L104,-0.52)*(0.05/L104))/100)*(Bericht!$E$49/Berechnungen!$E$14)*Berechnungen!$G$17</f>
        <v>#DIV/0!</v>
      </c>
      <c r="N104" s="57"/>
      <c r="O104" s="58"/>
      <c r="P104" s="59"/>
      <c r="Q104" s="310">
        <f>IF($G$1="Neuerrichtung",$B$1*POWER(($I16/100)*(Berechnungen!I$4),2),0)</f>
        <v>0</v>
      </c>
      <c r="R104" s="309">
        <f>IF($G$54="Neuerrichtung",$B$54*POWER(($I69/100)*(Berechnungen!I$5),2),0)</f>
        <v>0</v>
      </c>
      <c r="S104" s="310">
        <f>IF($G$107="Neuerrichtung",$B$107*POWER(($I122/100)*(Berechnungen!I$6),2),0)</f>
        <v>0</v>
      </c>
      <c r="T104" s="309">
        <f>IF($G$160="Neuerrichtung",$B$160*POWER(($I175/100)*(Berechnungen!I$7),2),0)</f>
        <v>0</v>
      </c>
      <c r="U104" s="309">
        <f>IF($G$213="Neuerrichtung",$B$213*POWER(($I228/100)*(Berechnungen!I$8),2),0)</f>
        <v>0</v>
      </c>
      <c r="V104" s="309">
        <f>IF($G$266="Neuerrichtung",$B$266*POWER(($I281/100)*(Berechnungen!I$9),2),0)</f>
        <v>0</v>
      </c>
      <c r="W104" s="309">
        <f>IF($G$319="Neuerrichtung",$B$319*POWER(($I334/100)*(Berechnungen!I$10),2),0)</f>
        <v>0</v>
      </c>
      <c r="X104" s="309">
        <f>IF($G$372="Neuerrichtung",$B$372*POWER(($I387/100)*(Berechnungen!I$11),2),0)</f>
        <v>0</v>
      </c>
      <c r="Y104" s="309">
        <f>IF($G$425="Neuerrichtung",$B$425*POWER(($I440/100)*(Berechnungen!I$12),2),0)</f>
        <v>0</v>
      </c>
      <c r="Z104" s="309">
        <f>IF($G$478="Neuerrichtung",$B$478*POWER(($I493/100)*(Berechnungen!I$13),2),0)</f>
        <v>0</v>
      </c>
      <c r="AA104" s="332" t="e">
        <f t="shared" si="24"/>
        <v>#DIV/0!</v>
      </c>
      <c r="AB104" s="875">
        <f t="shared" si="25"/>
        <v>0</v>
      </c>
      <c r="AC104" s="333" t="e">
        <f t="shared" si="27"/>
        <v>#DIV/0!</v>
      </c>
      <c r="AD104" s="295" t="e">
        <f t="shared" si="26"/>
        <v>#DIV/0!</v>
      </c>
      <c r="AE104" s="297" t="e">
        <f t="shared" si="28"/>
        <v>#DIV/0!</v>
      </c>
    </row>
    <row r="105" spans="1:31" ht="15.75" thickBot="1" x14ac:dyDescent="0.3">
      <c r="A105" s="107"/>
      <c r="B105" s="107"/>
      <c r="C105" s="107"/>
      <c r="D105" s="107"/>
      <c r="E105" s="107"/>
      <c r="F105" s="107"/>
      <c r="G105" s="107"/>
      <c r="H105" s="107"/>
      <c r="I105" s="107"/>
      <c r="J105" s="311">
        <f t="shared" si="29"/>
        <v>98</v>
      </c>
      <c r="K105" s="993"/>
      <c r="L105" s="15">
        <v>4.9000000000000004</v>
      </c>
      <c r="M105" s="62" t="e">
        <f>(1/$O$141)*((1.015*POWER(L105,-0.52)*(0.05/L105))/100)*(Bericht!$E$49/Berechnungen!$E$14)*Berechnungen!$G$17</f>
        <v>#DIV/0!</v>
      </c>
      <c r="N105" s="57"/>
      <c r="O105" s="58"/>
      <c r="P105" s="59"/>
      <c r="Q105" s="310">
        <f>IF($G$1="Neuerrichtung",$B$1*POWER(($I17/100)*(Berechnungen!I$4),2),0)</f>
        <v>0</v>
      </c>
      <c r="R105" s="309">
        <f>IF($G$54="Neuerrichtung",$B$54*POWER(($I70/100)*(Berechnungen!I$5),2),0)</f>
        <v>0</v>
      </c>
      <c r="S105" s="310">
        <f>IF($G$107="Neuerrichtung",$B$107*POWER(($I123/100)*(Berechnungen!I$6),2),0)</f>
        <v>0</v>
      </c>
      <c r="T105" s="309">
        <f>IF($G$160="Neuerrichtung",$B$160*POWER(($I176/100)*(Berechnungen!I$7),2),0)</f>
        <v>0</v>
      </c>
      <c r="U105" s="309">
        <f>IF($G$213="Neuerrichtung",$B$213*POWER(($I229/100)*(Berechnungen!I$8),2),0)</f>
        <v>0</v>
      </c>
      <c r="V105" s="309">
        <f>IF($G$266="Neuerrichtung",$B$266*POWER(($I282/100)*(Berechnungen!I$9),2),0)</f>
        <v>0</v>
      </c>
      <c r="W105" s="309">
        <f>IF($G$319="Neuerrichtung",$B$319*POWER(($I335/100)*(Berechnungen!I$10),2),0)</f>
        <v>0</v>
      </c>
      <c r="X105" s="309">
        <f>IF($G$372="Neuerrichtung",$B$372*POWER(($I388/100)*(Berechnungen!I$11),2),0)</f>
        <v>0</v>
      </c>
      <c r="Y105" s="309">
        <f>IF($G$425="Neuerrichtung",$B$425*POWER(($I441/100)*(Berechnungen!I$12),2),0)</f>
        <v>0</v>
      </c>
      <c r="Z105" s="309">
        <f>IF($G$478="Neuerrichtung",$B$478*POWER(($I494/100)*(Berechnungen!I$13),2),0)</f>
        <v>0</v>
      </c>
      <c r="AA105" s="332" t="e">
        <f t="shared" si="24"/>
        <v>#DIV/0!</v>
      </c>
      <c r="AB105" s="875">
        <f t="shared" si="25"/>
        <v>0</v>
      </c>
      <c r="AC105" s="333" t="e">
        <f t="shared" si="27"/>
        <v>#DIV/0!</v>
      </c>
      <c r="AD105" s="295" t="e">
        <f t="shared" si="26"/>
        <v>#DIV/0!</v>
      </c>
      <c r="AE105" s="297" t="e">
        <f t="shared" si="28"/>
        <v>#DIV/0!</v>
      </c>
    </row>
    <row r="106" spans="1:31" ht="15.75" thickBot="1" x14ac:dyDescent="0.3">
      <c r="A106" s="982" t="s">
        <v>1112</v>
      </c>
      <c r="B106" s="983"/>
      <c r="C106" s="983"/>
      <c r="D106" s="983"/>
      <c r="E106" s="983"/>
      <c r="F106" s="983"/>
      <c r="G106" s="983"/>
      <c r="H106" s="983"/>
      <c r="I106" s="984"/>
      <c r="J106" s="311">
        <f t="shared" si="29"/>
        <v>102</v>
      </c>
      <c r="K106" s="993"/>
      <c r="L106" s="15">
        <v>5.0999999999999996</v>
      </c>
      <c r="M106" s="62" t="e">
        <f>(1/$O$141)*((1.015*POWER(L106,-0.52)*(0.05/L106))/100)*(Bericht!$E$49/Berechnungen!$E$14)*Berechnungen!$G$17</f>
        <v>#DIV/0!</v>
      </c>
      <c r="N106" s="57"/>
      <c r="O106" s="58"/>
      <c r="P106" s="59"/>
      <c r="Q106" s="310">
        <f>IF($G$1="Neuerrichtung",$B$1*POWER(($I18/100)*(Berechnungen!I$4),2),0)</f>
        <v>0</v>
      </c>
      <c r="R106" s="309">
        <f>IF($G$54="Neuerrichtung",$B$54*POWER(($I71/100)*(Berechnungen!I$5),2),0)</f>
        <v>0</v>
      </c>
      <c r="S106" s="310">
        <f>IF($G$107="Neuerrichtung",$B$107*POWER(($I124/100)*(Berechnungen!I$6),2),0)</f>
        <v>0</v>
      </c>
      <c r="T106" s="309">
        <f>IF($G$160="Neuerrichtung",$B$160*POWER(($I177/100)*(Berechnungen!I$7),2),0)</f>
        <v>0</v>
      </c>
      <c r="U106" s="309">
        <f>IF($G$213="Neuerrichtung",$B$213*POWER(($I230/100)*(Berechnungen!I$8),2),0)</f>
        <v>0</v>
      </c>
      <c r="V106" s="309">
        <f>IF($G$266="Neuerrichtung",$B$266*POWER(($I283/100)*(Berechnungen!I$9),2),0)</f>
        <v>0</v>
      </c>
      <c r="W106" s="309">
        <f>IF($G$319="Neuerrichtung",$B$319*POWER(($I336/100)*(Berechnungen!I$10),2),0)</f>
        <v>0</v>
      </c>
      <c r="X106" s="309">
        <f>IF($G$372="Neuerrichtung",$B$372*POWER(($I389/100)*(Berechnungen!I$11),2),0)</f>
        <v>0</v>
      </c>
      <c r="Y106" s="309">
        <f>IF($G$425="Neuerrichtung",$B$425*POWER(($I442/100)*(Berechnungen!I$12),2),0)</f>
        <v>0</v>
      </c>
      <c r="Z106" s="309">
        <f>IF($G$478="Neuerrichtung",$B$478*POWER(($I495/100)*(Berechnungen!I$13),2),0)</f>
        <v>0</v>
      </c>
      <c r="AA106" s="332" t="e">
        <f t="shared" si="24"/>
        <v>#DIV/0!</v>
      </c>
      <c r="AB106" s="875">
        <f t="shared" si="25"/>
        <v>0</v>
      </c>
      <c r="AC106" s="333" t="e">
        <f t="shared" si="27"/>
        <v>#DIV/0!</v>
      </c>
      <c r="AD106" s="295" t="e">
        <f t="shared" si="26"/>
        <v>#DIV/0!</v>
      </c>
      <c r="AE106" s="297" t="e">
        <f t="shared" si="28"/>
        <v>#DIV/0!</v>
      </c>
    </row>
    <row r="107" spans="1:31" x14ac:dyDescent="0.25">
      <c r="A107" s="107" t="s">
        <v>488</v>
      </c>
      <c r="B107" s="853">
        <f>Berechnungen!D$6</f>
        <v>0</v>
      </c>
      <c r="C107" s="107"/>
      <c r="D107" s="107" t="s">
        <v>489</v>
      </c>
      <c r="E107" s="107"/>
      <c r="F107" s="107"/>
      <c r="G107" s="854">
        <f>IF(Berechnungen!D6&gt;0,"Neuerrichtung",0)</f>
        <v>0</v>
      </c>
      <c r="H107" s="107"/>
      <c r="I107" s="855">
        <f>IF(OR($G107=0,$G107="Bestand"),0,Berechnungen!$F$6)</f>
        <v>0</v>
      </c>
      <c r="J107" s="311">
        <f t="shared" si="29"/>
        <v>106</v>
      </c>
      <c r="K107" s="993"/>
      <c r="L107" s="15">
        <v>5.3</v>
      </c>
      <c r="M107" s="62" t="e">
        <f>(1/$O$141)*((1.015*POWER(L107,-0.52)*(0.05/L107))/100)*(Bericht!$E$49/Berechnungen!$E$14)*Berechnungen!$G$17</f>
        <v>#DIV/0!</v>
      </c>
      <c r="N107" s="57"/>
      <c r="O107" s="58"/>
      <c r="P107" s="59"/>
      <c r="Q107" s="310">
        <f>IF($G$1="Neuerrichtung",$B$1*POWER(($I19/100)*(Berechnungen!I$4),2),0)</f>
        <v>0</v>
      </c>
      <c r="R107" s="309">
        <f>IF($G$54="Neuerrichtung",$B$54*POWER(($I72/100)*(Berechnungen!I$5),2),0)</f>
        <v>0</v>
      </c>
      <c r="S107" s="310">
        <f>IF($G$107="Neuerrichtung",$B$107*POWER(($I125/100)*(Berechnungen!I$6),2),0)</f>
        <v>0</v>
      </c>
      <c r="T107" s="309">
        <f>IF($G$160="Neuerrichtung",$B$160*POWER(($I178/100)*(Berechnungen!I$7),2),0)</f>
        <v>0</v>
      </c>
      <c r="U107" s="309">
        <f>IF($G$213="Neuerrichtung",$B$213*POWER(($I231/100)*(Berechnungen!I$8),2),0)</f>
        <v>0</v>
      </c>
      <c r="V107" s="309">
        <f>IF($G$266="Neuerrichtung",$B$266*POWER(($I284/100)*(Berechnungen!I$9),2),0)</f>
        <v>0</v>
      </c>
      <c r="W107" s="309">
        <f>IF($G$319="Neuerrichtung",$B$319*POWER(($I337/100)*(Berechnungen!I$10),2),0)</f>
        <v>0</v>
      </c>
      <c r="X107" s="309">
        <f>IF($G$372="Neuerrichtung",$B$372*POWER(($I390/100)*(Berechnungen!I$11),2),0)</f>
        <v>0</v>
      </c>
      <c r="Y107" s="309">
        <f>IF($G$425="Neuerrichtung",$B$425*POWER(($I443/100)*(Berechnungen!I$12),2),0)</f>
        <v>0</v>
      </c>
      <c r="Z107" s="309">
        <f>IF($G$478="Neuerrichtung",$B$478*POWER(($I496/100)*(Berechnungen!I$13),2),0)</f>
        <v>0</v>
      </c>
      <c r="AA107" s="332" t="e">
        <f t="shared" si="24"/>
        <v>#DIV/0!</v>
      </c>
      <c r="AB107" s="875">
        <f t="shared" si="25"/>
        <v>0</v>
      </c>
      <c r="AC107" s="333" t="e">
        <f t="shared" si="27"/>
        <v>#DIV/0!</v>
      </c>
      <c r="AD107" s="295" t="e">
        <f t="shared" si="26"/>
        <v>#DIV/0!</v>
      </c>
      <c r="AE107" s="297" t="e">
        <f t="shared" si="28"/>
        <v>#DIV/0!</v>
      </c>
    </row>
    <row r="108" spans="1:31" ht="18" x14ac:dyDescent="0.35">
      <c r="A108" s="346"/>
      <c r="B108" s="31" t="s">
        <v>22</v>
      </c>
      <c r="C108" s="31" t="s">
        <v>25</v>
      </c>
      <c r="D108" s="32"/>
      <c r="E108" s="31" t="s">
        <v>753</v>
      </c>
      <c r="F108" s="31" t="s">
        <v>26</v>
      </c>
      <c r="G108" s="32"/>
      <c r="H108" s="31" t="s">
        <v>754</v>
      </c>
      <c r="I108" s="31" t="s">
        <v>25</v>
      </c>
      <c r="J108" s="311">
        <f t="shared" si="29"/>
        <v>110</v>
      </c>
      <c r="K108" s="993"/>
      <c r="L108" s="15">
        <v>5.5</v>
      </c>
      <c r="M108" s="62" t="e">
        <f>(1/$O$141)*((1.015*POWER(L108,-0.52)*(0.05/L108))/100)*(Bericht!$E$49/Berechnungen!$E$14)*Berechnungen!$G$17</f>
        <v>#DIV/0!</v>
      </c>
      <c r="N108" s="57"/>
      <c r="O108" s="58"/>
      <c r="P108" s="59"/>
      <c r="Q108" s="310">
        <f>IF($G$1="Neuerrichtung",$B$1*POWER(($I20/100)*(Berechnungen!I$4),2),0)</f>
        <v>0</v>
      </c>
      <c r="R108" s="309">
        <f>IF($G$54="Neuerrichtung",$B$54*POWER(($I73/100)*(Berechnungen!I$5),2),0)</f>
        <v>0</v>
      </c>
      <c r="S108" s="310">
        <f>IF($G$107="Neuerrichtung",$B$107*POWER(($I126/100)*(Berechnungen!I$6),2),0)</f>
        <v>0</v>
      </c>
      <c r="T108" s="309">
        <f>IF($G$160="Neuerrichtung",$B$160*POWER(($I179/100)*(Berechnungen!I$7),2),0)</f>
        <v>0</v>
      </c>
      <c r="U108" s="309">
        <f>IF($G$213="Neuerrichtung",$B$213*POWER(($I232/100)*(Berechnungen!I$8),2),0)</f>
        <v>0</v>
      </c>
      <c r="V108" s="309">
        <f>IF($G$266="Neuerrichtung",$B$266*POWER(($I285/100)*(Berechnungen!I$9),2),0)</f>
        <v>0</v>
      </c>
      <c r="W108" s="309">
        <f>IF($G$319="Neuerrichtung",$B$319*POWER(($I338/100)*(Berechnungen!I$10),2),0)</f>
        <v>0</v>
      </c>
      <c r="X108" s="309">
        <f>IF($G$372="Neuerrichtung",$B$372*POWER(($I391/100)*(Berechnungen!I$11),2),0)</f>
        <v>0</v>
      </c>
      <c r="Y108" s="309">
        <f>IF($G$425="Neuerrichtung",$B$425*POWER(($I444/100)*(Berechnungen!I$12),2),0)</f>
        <v>0</v>
      </c>
      <c r="Z108" s="309">
        <f>IF($G$478="Neuerrichtung",$B$478*POWER(($I497/100)*(Berechnungen!I$13),2),0)</f>
        <v>0</v>
      </c>
      <c r="AA108" s="332" t="e">
        <f t="shared" si="24"/>
        <v>#DIV/0!</v>
      </c>
      <c r="AB108" s="875">
        <f t="shared" si="25"/>
        <v>0</v>
      </c>
      <c r="AC108" s="333" t="e">
        <f t="shared" si="27"/>
        <v>#DIV/0!</v>
      </c>
      <c r="AD108" s="295" t="e">
        <f t="shared" si="26"/>
        <v>#DIV/0!</v>
      </c>
      <c r="AE108" s="297" t="e">
        <f t="shared" si="28"/>
        <v>#DIV/0!</v>
      </c>
    </row>
    <row r="109" spans="1:31" x14ac:dyDescent="0.25">
      <c r="A109" s="979" t="s">
        <v>30</v>
      </c>
      <c r="B109" s="108">
        <v>2</v>
      </c>
      <c r="C109" s="564"/>
      <c r="D109" s="979" t="s">
        <v>28</v>
      </c>
      <c r="E109" s="108">
        <v>75</v>
      </c>
      <c r="F109" s="564"/>
      <c r="G109" s="979" t="s">
        <v>29</v>
      </c>
      <c r="H109" s="108">
        <v>2.1</v>
      </c>
      <c r="I109" s="564"/>
      <c r="J109" s="311">
        <f t="shared" si="29"/>
        <v>114</v>
      </c>
      <c r="K109" s="993"/>
      <c r="L109" s="15">
        <v>5.7</v>
      </c>
      <c r="M109" s="62" t="e">
        <f>(1/$O$141)*((1.015*POWER(L109,-0.52)*(0.05/L109))/100)*(Bericht!$E$49/Berechnungen!$E$14)*Berechnungen!$G$17</f>
        <v>#DIV/0!</v>
      </c>
      <c r="N109" s="57"/>
      <c r="O109" s="58"/>
      <c r="P109" s="59"/>
      <c r="Q109" s="310">
        <f>IF($G$1="Neuerrichtung",$B$1*POWER(($I21/100)*(Berechnungen!I$4),2),0)</f>
        <v>0</v>
      </c>
      <c r="R109" s="309">
        <f>IF($G$54="Neuerrichtung",$B$54*POWER(($I74/100)*(Berechnungen!I$5),2),0)</f>
        <v>0</v>
      </c>
      <c r="S109" s="310">
        <f>IF($G$107="Neuerrichtung",$B$107*POWER(($I127/100)*(Berechnungen!I$6),2),0)</f>
        <v>0</v>
      </c>
      <c r="T109" s="309">
        <f>IF($G$160="Neuerrichtung",$B$160*POWER(($I180/100)*(Berechnungen!I$7),2),0)</f>
        <v>0</v>
      </c>
      <c r="U109" s="309">
        <f>IF($G$213="Neuerrichtung",$B$213*POWER(($I233/100)*(Berechnungen!I$8),2),0)</f>
        <v>0</v>
      </c>
      <c r="V109" s="309">
        <f>IF($G$266="Neuerrichtung",$B$266*POWER(($I286/100)*(Berechnungen!I$9),2),0)</f>
        <v>0</v>
      </c>
      <c r="W109" s="309">
        <f>IF($G$319="Neuerrichtung",$B$319*POWER(($I339/100)*(Berechnungen!I$10),2),0)</f>
        <v>0</v>
      </c>
      <c r="X109" s="309">
        <f>IF($G$372="Neuerrichtung",$B$372*POWER(($I392/100)*(Berechnungen!I$11),2),0)</f>
        <v>0</v>
      </c>
      <c r="Y109" s="309">
        <f>IF($G$425="Neuerrichtung",$B$425*POWER(($I445/100)*(Berechnungen!I$12),2),0)</f>
        <v>0</v>
      </c>
      <c r="Z109" s="309">
        <f>IF($G$478="Neuerrichtung",$B$478*POWER(($I498/100)*(Berechnungen!I$13),2),0)</f>
        <v>0</v>
      </c>
      <c r="AA109" s="332" t="e">
        <f t="shared" si="24"/>
        <v>#DIV/0!</v>
      </c>
      <c r="AB109" s="875">
        <f t="shared" si="25"/>
        <v>0</v>
      </c>
      <c r="AC109" s="333" t="e">
        <f t="shared" si="27"/>
        <v>#DIV/0!</v>
      </c>
      <c r="AD109" s="295" t="e">
        <f t="shared" si="26"/>
        <v>#DIV/0!</v>
      </c>
      <c r="AE109" s="297" t="e">
        <f t="shared" si="28"/>
        <v>#DIV/0!</v>
      </c>
    </row>
    <row r="110" spans="1:31" x14ac:dyDescent="0.25">
      <c r="A110" s="980"/>
      <c r="B110" s="356">
        <v>3</v>
      </c>
      <c r="C110" s="564"/>
      <c r="D110" s="980"/>
      <c r="E110" s="356">
        <v>125</v>
      </c>
      <c r="F110" s="564"/>
      <c r="G110" s="980"/>
      <c r="H110" s="356">
        <v>2.2999999999999998</v>
      </c>
      <c r="I110" s="564"/>
      <c r="J110" s="311">
        <f t="shared" si="29"/>
        <v>118</v>
      </c>
      <c r="K110" s="993"/>
      <c r="L110" s="15">
        <v>5.9</v>
      </c>
      <c r="M110" s="62" t="e">
        <f>(1/$O$141)*((1.015*POWER(L110,-0.52)*(0.05/L110))/100)*(Bericht!$E$49/Berechnungen!$E$14)*Berechnungen!$G$17</f>
        <v>#DIV/0!</v>
      </c>
      <c r="N110" s="57"/>
      <c r="O110" s="58"/>
      <c r="P110" s="59"/>
      <c r="Q110" s="310">
        <f>IF($G$1="Neuerrichtung",$B$1*POWER(($I22/100)*(Berechnungen!I$4),2),0)</f>
        <v>0</v>
      </c>
      <c r="R110" s="309">
        <f>IF($G$54="Neuerrichtung",$B$54*POWER(($I75/100)*(Berechnungen!I$5),2),0)</f>
        <v>0</v>
      </c>
      <c r="S110" s="310">
        <f>IF($G$107="Neuerrichtung",$B$107*POWER(($I128/100)*(Berechnungen!I$6),2),0)</f>
        <v>0</v>
      </c>
      <c r="T110" s="309">
        <f>IF($G$160="Neuerrichtung",$B$160*POWER(($I181/100)*(Berechnungen!I$7),2),0)</f>
        <v>0</v>
      </c>
      <c r="U110" s="309">
        <f>IF($G$213="Neuerrichtung",$B$213*POWER(($I234/100)*(Berechnungen!I$8),2),0)</f>
        <v>0</v>
      </c>
      <c r="V110" s="309">
        <f>IF($G$266="Neuerrichtung",$B$266*POWER(($I287/100)*(Berechnungen!I$9),2),0)</f>
        <v>0</v>
      </c>
      <c r="W110" s="309">
        <f>IF($G$319="Neuerrichtung",$B$319*POWER(($I340/100)*(Berechnungen!I$10),2),0)</f>
        <v>0</v>
      </c>
      <c r="X110" s="309">
        <f>IF($G$372="Neuerrichtung",$B$372*POWER(($I393/100)*(Berechnungen!I$11),2),0)</f>
        <v>0</v>
      </c>
      <c r="Y110" s="309">
        <f>IF($G$425="Neuerrichtung",$B$425*POWER(($I446/100)*(Berechnungen!I$12),2),0)</f>
        <v>0</v>
      </c>
      <c r="Z110" s="309">
        <f>IF($G$478="Neuerrichtung",$B$478*POWER(($I499/100)*(Berechnungen!I$13),2),0)</f>
        <v>0</v>
      </c>
      <c r="AA110" s="332" t="e">
        <f t="shared" si="24"/>
        <v>#DIV/0!</v>
      </c>
      <c r="AB110" s="875">
        <f t="shared" si="25"/>
        <v>0</v>
      </c>
      <c r="AC110" s="333" t="e">
        <f t="shared" si="27"/>
        <v>#DIV/0!</v>
      </c>
      <c r="AD110" s="295" t="e">
        <f t="shared" si="26"/>
        <v>#DIV/0!</v>
      </c>
      <c r="AE110" s="297" t="e">
        <f t="shared" si="28"/>
        <v>#DIV/0!</v>
      </c>
    </row>
    <row r="111" spans="1:31" x14ac:dyDescent="0.25">
      <c r="A111" s="980"/>
      <c r="B111" s="356">
        <v>4</v>
      </c>
      <c r="C111" s="564"/>
      <c r="D111" s="980"/>
      <c r="E111" s="356">
        <v>175</v>
      </c>
      <c r="F111" s="564"/>
      <c r="G111" s="980"/>
      <c r="H111" s="356">
        <v>2.5</v>
      </c>
      <c r="I111" s="564"/>
      <c r="J111" s="311">
        <f t="shared" si="29"/>
        <v>122</v>
      </c>
      <c r="K111" s="993"/>
      <c r="L111" s="15">
        <v>6.1</v>
      </c>
      <c r="M111" s="62" t="e">
        <f>(1/$O$141)*((1.015*POWER(L111,-0.52)*(0.05/L111))/100)*(Bericht!$E$49/Berechnungen!$E$14)*Berechnungen!$G$17</f>
        <v>#DIV/0!</v>
      </c>
      <c r="N111" s="57"/>
      <c r="O111" s="58"/>
      <c r="P111" s="59"/>
      <c r="Q111" s="310">
        <f>IF($G$1="Neuerrichtung",$B$1*POWER(($I23/100)*(Berechnungen!I$4),2),0)</f>
        <v>0</v>
      </c>
      <c r="R111" s="309">
        <f>IF($G$54="Neuerrichtung",$B$54*POWER(($I76/100)*(Berechnungen!I$5),2),0)</f>
        <v>0</v>
      </c>
      <c r="S111" s="310">
        <f>IF($G$107="Neuerrichtung",$B$107*POWER(($I129/100)*(Berechnungen!I$6),2),0)</f>
        <v>0</v>
      </c>
      <c r="T111" s="309">
        <f>IF($G$160="Neuerrichtung",$B$160*POWER(($I182/100)*(Berechnungen!I$7),2),0)</f>
        <v>0</v>
      </c>
      <c r="U111" s="309">
        <f>IF($G$213="Neuerrichtung",$B$213*POWER(($I235/100)*(Berechnungen!I$8),2),0)</f>
        <v>0</v>
      </c>
      <c r="V111" s="309">
        <f>IF($G$266="Neuerrichtung",$B$266*POWER(($I288/100)*(Berechnungen!I$9),2),0)</f>
        <v>0</v>
      </c>
      <c r="W111" s="309">
        <f>IF($G$319="Neuerrichtung",$B$319*POWER(($I341/100)*(Berechnungen!I$10),2),0)</f>
        <v>0</v>
      </c>
      <c r="X111" s="309">
        <f>IF($G$372="Neuerrichtung",$B$372*POWER(($I394/100)*(Berechnungen!I$11),2),0)</f>
        <v>0</v>
      </c>
      <c r="Y111" s="309">
        <f>IF($G$425="Neuerrichtung",$B$425*POWER(($I447/100)*(Berechnungen!I$12),2),0)</f>
        <v>0</v>
      </c>
      <c r="Z111" s="309">
        <f>IF($G$478="Neuerrichtung",$B$478*POWER(($I500/100)*(Berechnungen!I$13),2),0)</f>
        <v>0</v>
      </c>
      <c r="AA111" s="332" t="e">
        <f t="shared" si="24"/>
        <v>#DIV/0!</v>
      </c>
      <c r="AB111" s="875">
        <f t="shared" si="25"/>
        <v>0</v>
      </c>
      <c r="AC111" s="333" t="e">
        <f t="shared" si="27"/>
        <v>#DIV/0!</v>
      </c>
      <c r="AD111" s="295" t="e">
        <f t="shared" si="26"/>
        <v>#DIV/0!</v>
      </c>
      <c r="AE111" s="297" t="e">
        <f t="shared" si="28"/>
        <v>#DIV/0!</v>
      </c>
    </row>
    <row r="112" spans="1:31" x14ac:dyDescent="0.25">
      <c r="A112" s="980"/>
      <c r="B112" s="356">
        <v>5</v>
      </c>
      <c r="C112" s="564"/>
      <c r="D112" s="980"/>
      <c r="E112" s="356">
        <v>225</v>
      </c>
      <c r="F112" s="564"/>
      <c r="G112" s="980"/>
      <c r="H112" s="356">
        <v>2.7</v>
      </c>
      <c r="I112" s="564"/>
      <c r="J112" s="311">
        <f t="shared" si="29"/>
        <v>126</v>
      </c>
      <c r="K112" s="993"/>
      <c r="L112" s="15">
        <v>6.3</v>
      </c>
      <c r="M112" s="62" t="e">
        <f>(1/$O$141)*((1.015*POWER(L112,-0.52)*(0.05/L112))/100)*(Bericht!$E$49/Berechnungen!$E$14)*Berechnungen!$G$17</f>
        <v>#DIV/0!</v>
      </c>
      <c r="N112" s="57"/>
      <c r="O112" s="58"/>
      <c r="P112" s="59"/>
      <c r="Q112" s="310">
        <f>IF($G$1="Neuerrichtung",$B$1*POWER(($I24/100)*(Berechnungen!I$4),2),0)</f>
        <v>0</v>
      </c>
      <c r="R112" s="309">
        <f>IF($G$54="Neuerrichtung",$B$54*POWER(($I77/100)*(Berechnungen!I$5),2),0)</f>
        <v>0</v>
      </c>
      <c r="S112" s="310">
        <f>IF($G$107="Neuerrichtung",$B$107*POWER(($I130/100)*(Berechnungen!I$6),2),0)</f>
        <v>0</v>
      </c>
      <c r="T112" s="309">
        <f>IF($G$160="Neuerrichtung",$B$160*POWER(($I183/100)*(Berechnungen!I$7),2),0)</f>
        <v>0</v>
      </c>
      <c r="U112" s="309">
        <f>IF($G$213="Neuerrichtung",$B$213*POWER(($I236/100)*(Berechnungen!I$8),2),0)</f>
        <v>0</v>
      </c>
      <c r="V112" s="309">
        <f>IF($G$266="Neuerrichtung",$B$266*POWER(($I289/100)*(Berechnungen!I$9),2),0)</f>
        <v>0</v>
      </c>
      <c r="W112" s="309">
        <f>IF($G$319="Neuerrichtung",$B$319*POWER(($I342/100)*(Berechnungen!I$10),2),0)</f>
        <v>0</v>
      </c>
      <c r="X112" s="309">
        <f>IF($G$372="Neuerrichtung",$B$372*POWER(($I395/100)*(Berechnungen!I$11),2),0)</f>
        <v>0</v>
      </c>
      <c r="Y112" s="309">
        <f>IF($G$425="Neuerrichtung",$B$425*POWER(($I448/100)*(Berechnungen!I$12),2),0)</f>
        <v>0</v>
      </c>
      <c r="Z112" s="309">
        <f>IF($G$478="Neuerrichtung",$B$478*POWER(($I501/100)*(Berechnungen!I$13),2),0)</f>
        <v>0</v>
      </c>
      <c r="AA112" s="332" t="e">
        <f t="shared" si="24"/>
        <v>#DIV/0!</v>
      </c>
      <c r="AB112" s="875">
        <f t="shared" si="25"/>
        <v>0</v>
      </c>
      <c r="AC112" s="333" t="e">
        <f t="shared" si="27"/>
        <v>#DIV/0!</v>
      </c>
      <c r="AD112" s="295" t="e">
        <f t="shared" si="26"/>
        <v>#DIV/0!</v>
      </c>
      <c r="AE112" s="297" t="e">
        <f t="shared" si="28"/>
        <v>#DIV/0!</v>
      </c>
    </row>
    <row r="113" spans="1:31" x14ac:dyDescent="0.25">
      <c r="A113" s="980"/>
      <c r="B113" s="356">
        <v>6</v>
      </c>
      <c r="C113" s="564"/>
      <c r="D113" s="980"/>
      <c r="E113" s="356">
        <v>275</v>
      </c>
      <c r="F113" s="564"/>
      <c r="G113" s="980"/>
      <c r="H113" s="356">
        <v>2.9</v>
      </c>
      <c r="I113" s="564"/>
      <c r="J113" s="311">
        <f t="shared" si="29"/>
        <v>130</v>
      </c>
      <c r="K113" s="993"/>
      <c r="L113" s="15">
        <v>6.5</v>
      </c>
      <c r="M113" s="62" t="e">
        <f>(1/$O$141)*((1.015*POWER(L113,-0.52)*(0.05/L113))/100)*(Bericht!$E$49/Berechnungen!$E$14)*Berechnungen!$G$17</f>
        <v>#DIV/0!</v>
      </c>
      <c r="N113" s="57"/>
      <c r="O113" s="58"/>
      <c r="P113" s="59"/>
      <c r="Q113" s="310">
        <f>IF($G$1="Neuerrichtung",$B$1*POWER(($I25/100)*(Berechnungen!I$4),2),0)</f>
        <v>0</v>
      </c>
      <c r="R113" s="309">
        <f>IF($G$54="Neuerrichtung",$B$54*POWER(($I78/100)*(Berechnungen!I$5),2),0)</f>
        <v>0</v>
      </c>
      <c r="S113" s="310">
        <f>IF($G$107="Neuerrichtung",$B$107*POWER(($I131/100)*(Berechnungen!I$6),2),0)</f>
        <v>0</v>
      </c>
      <c r="T113" s="309">
        <f>IF($G$160="Neuerrichtung",$B$160*POWER(($I184/100)*(Berechnungen!I$7),2),0)</f>
        <v>0</v>
      </c>
      <c r="U113" s="309">
        <f>IF($G$213="Neuerrichtung",$B$213*POWER(($I237/100)*(Berechnungen!I$8),2),0)</f>
        <v>0</v>
      </c>
      <c r="V113" s="309">
        <f>IF($G$266="Neuerrichtung",$B$266*POWER(($I290/100)*(Berechnungen!I$9),2),0)</f>
        <v>0</v>
      </c>
      <c r="W113" s="309">
        <f>IF($G$319="Neuerrichtung",$B$319*POWER(($I343/100)*(Berechnungen!I$10),2),0)</f>
        <v>0</v>
      </c>
      <c r="X113" s="309">
        <f>IF($G$372="Neuerrichtung",$B$372*POWER(($I396/100)*(Berechnungen!I$11),2),0)</f>
        <v>0</v>
      </c>
      <c r="Y113" s="309">
        <f>IF($G$425="Neuerrichtung",$B$425*POWER(($I449/100)*(Berechnungen!I$12),2),0)</f>
        <v>0</v>
      </c>
      <c r="Z113" s="309">
        <f>IF($G$478="Neuerrichtung",$B$478*POWER(($I502/100)*(Berechnungen!I$13),2),0)</f>
        <v>0</v>
      </c>
      <c r="AA113" s="332" t="e">
        <f t="shared" si="24"/>
        <v>#DIV/0!</v>
      </c>
      <c r="AB113" s="875">
        <f t="shared" si="25"/>
        <v>0</v>
      </c>
      <c r="AC113" s="333" t="e">
        <f t="shared" si="27"/>
        <v>#DIV/0!</v>
      </c>
      <c r="AD113" s="295" t="e">
        <f t="shared" si="26"/>
        <v>#DIV/0!</v>
      </c>
      <c r="AE113" s="297" t="e">
        <f t="shared" si="28"/>
        <v>#DIV/0!</v>
      </c>
    </row>
    <row r="114" spans="1:31" x14ac:dyDescent="0.25">
      <c r="A114" s="980"/>
      <c r="B114" s="356">
        <v>7</v>
      </c>
      <c r="C114" s="564"/>
      <c r="D114" s="980"/>
      <c r="E114" s="356">
        <v>325</v>
      </c>
      <c r="F114" s="564"/>
      <c r="G114" s="980"/>
      <c r="H114" s="356">
        <v>3.1</v>
      </c>
      <c r="I114" s="564"/>
      <c r="J114" s="311">
        <f t="shared" si="29"/>
        <v>134</v>
      </c>
      <c r="K114" s="993"/>
      <c r="L114" s="15">
        <v>6.7</v>
      </c>
      <c r="M114" s="62" t="e">
        <f>(1/$O$141)*((1.015*POWER(L114,-0.52)*(0.05/L114))/100)*(Bericht!$E$49/Berechnungen!$E$14)*Berechnungen!$G$17</f>
        <v>#DIV/0!</v>
      </c>
      <c r="N114" s="57"/>
      <c r="O114" s="58"/>
      <c r="P114" s="59"/>
      <c r="Q114" s="310">
        <f>IF($G$1="Neuerrichtung",$B$1*POWER(($I26/100)*(Berechnungen!I$4),2),0)</f>
        <v>0</v>
      </c>
      <c r="R114" s="309">
        <f>IF($G$54="Neuerrichtung",$B$54*POWER(($I79/100)*(Berechnungen!I$5),2),0)</f>
        <v>0</v>
      </c>
      <c r="S114" s="310">
        <f>IF($G$107="Neuerrichtung",$B$107*POWER(($I132/100)*(Berechnungen!I$6),2),0)</f>
        <v>0</v>
      </c>
      <c r="T114" s="309">
        <f>IF($G$160="Neuerrichtung",$B$160*POWER(($I185/100)*(Berechnungen!I$7),2),0)</f>
        <v>0</v>
      </c>
      <c r="U114" s="309">
        <f>IF($G$213="Neuerrichtung",$B$213*POWER(($I238/100)*(Berechnungen!I$8),2),0)</f>
        <v>0</v>
      </c>
      <c r="V114" s="309">
        <f>IF($G$266="Neuerrichtung",$B$266*POWER(($I291/100)*(Berechnungen!I$9),2),0)</f>
        <v>0</v>
      </c>
      <c r="W114" s="309">
        <f>IF($G$319="Neuerrichtung",$B$319*POWER(($I344/100)*(Berechnungen!I$10),2),0)</f>
        <v>0</v>
      </c>
      <c r="X114" s="309">
        <f>IF($G$372="Neuerrichtung",$B$372*POWER(($I397/100)*(Berechnungen!I$11),2),0)</f>
        <v>0</v>
      </c>
      <c r="Y114" s="309">
        <f>IF($G$425="Neuerrichtung",$B$425*POWER(($I450/100)*(Berechnungen!I$12),2),0)</f>
        <v>0</v>
      </c>
      <c r="Z114" s="309">
        <f>IF($G$478="Neuerrichtung",$B$478*POWER(($I503/100)*(Berechnungen!I$13),2),0)</f>
        <v>0</v>
      </c>
      <c r="AA114" s="332" t="e">
        <f t="shared" si="24"/>
        <v>#DIV/0!</v>
      </c>
      <c r="AB114" s="875">
        <f t="shared" si="25"/>
        <v>0</v>
      </c>
      <c r="AC114" s="333" t="e">
        <f t="shared" si="27"/>
        <v>#DIV/0!</v>
      </c>
      <c r="AD114" s="295" t="e">
        <f t="shared" si="26"/>
        <v>#DIV/0!</v>
      </c>
      <c r="AE114" s="297" t="e">
        <f t="shared" si="28"/>
        <v>#DIV/0!</v>
      </c>
    </row>
    <row r="115" spans="1:31" x14ac:dyDescent="0.25">
      <c r="A115" s="980"/>
      <c r="B115" s="356">
        <v>8</v>
      </c>
      <c r="C115" s="564"/>
      <c r="D115" s="980"/>
      <c r="E115" s="356">
        <v>375</v>
      </c>
      <c r="F115" s="564"/>
      <c r="G115" s="980"/>
      <c r="H115" s="356">
        <v>3.3</v>
      </c>
      <c r="I115" s="564"/>
      <c r="J115" s="311">
        <f t="shared" si="29"/>
        <v>138</v>
      </c>
      <c r="K115" s="993"/>
      <c r="L115" s="15">
        <v>6.9</v>
      </c>
      <c r="M115" s="62" t="e">
        <f>(1/$O$141)*((1.015*POWER(L115,-0.52)*(0.05/L115))/100)*(Bericht!$E$49/Berechnungen!$E$14)*Berechnungen!$G$17</f>
        <v>#DIV/0!</v>
      </c>
      <c r="N115" s="57"/>
      <c r="O115" s="58"/>
      <c r="P115" s="59"/>
      <c r="Q115" s="310">
        <f>IF($G$1="Neuerrichtung",$B$1*POWER(($I27/100)*(Berechnungen!I$4),2),0)</f>
        <v>0</v>
      </c>
      <c r="R115" s="309">
        <f>IF($G$54="Neuerrichtung",$B$54*POWER(($I80/100)*(Berechnungen!I$5),2),0)</f>
        <v>0</v>
      </c>
      <c r="S115" s="310">
        <f>IF($G$107="Neuerrichtung",$B$107*POWER(($I133/100)*(Berechnungen!I$6),2),0)</f>
        <v>0</v>
      </c>
      <c r="T115" s="309">
        <f>IF($G$160="Neuerrichtung",$B$160*POWER(($I186/100)*(Berechnungen!I$7),2),0)</f>
        <v>0</v>
      </c>
      <c r="U115" s="309">
        <f>IF($G$213="Neuerrichtung",$B$213*POWER(($I239/100)*(Berechnungen!I$8),2),0)</f>
        <v>0</v>
      </c>
      <c r="V115" s="309">
        <f>IF($G$266="Neuerrichtung",$B$266*POWER(($I292/100)*(Berechnungen!I$9),2),0)</f>
        <v>0</v>
      </c>
      <c r="W115" s="309">
        <f>IF($G$319="Neuerrichtung",$B$319*POWER(($I345/100)*(Berechnungen!I$10),2),0)</f>
        <v>0</v>
      </c>
      <c r="X115" s="309">
        <f>IF($G$372="Neuerrichtung",$B$372*POWER(($I398/100)*(Berechnungen!I$11),2),0)</f>
        <v>0</v>
      </c>
      <c r="Y115" s="309">
        <f>IF($G$425="Neuerrichtung",$B$425*POWER(($I451/100)*(Berechnungen!I$12),2),0)</f>
        <v>0</v>
      </c>
      <c r="Z115" s="309">
        <f>IF($G$478="Neuerrichtung",$B$478*POWER(($I504/100)*(Berechnungen!I$13),2),0)</f>
        <v>0</v>
      </c>
      <c r="AA115" s="332" t="e">
        <f t="shared" si="24"/>
        <v>#DIV/0!</v>
      </c>
      <c r="AB115" s="875">
        <f t="shared" si="25"/>
        <v>0</v>
      </c>
      <c r="AC115" s="333" t="e">
        <f t="shared" si="27"/>
        <v>#DIV/0!</v>
      </c>
      <c r="AD115" s="295" t="e">
        <f t="shared" si="26"/>
        <v>#DIV/0!</v>
      </c>
      <c r="AE115" s="297" t="e">
        <f t="shared" si="28"/>
        <v>#DIV/0!</v>
      </c>
    </row>
    <row r="116" spans="1:31" x14ac:dyDescent="0.25">
      <c r="A116" s="980"/>
      <c r="B116" s="356">
        <v>9</v>
      </c>
      <c r="C116" s="564"/>
      <c r="D116" s="980"/>
      <c r="E116" s="356">
        <v>425</v>
      </c>
      <c r="F116" s="564"/>
      <c r="G116" s="980"/>
      <c r="H116" s="356">
        <v>3.5</v>
      </c>
      <c r="I116" s="564"/>
      <c r="J116" s="311">
        <f t="shared" si="29"/>
        <v>142</v>
      </c>
      <c r="K116" s="993"/>
      <c r="L116" s="15">
        <v>7.1</v>
      </c>
      <c r="M116" s="62" t="e">
        <f>(1/$O$141)*((1.015*POWER(L116,-0.52)*(0.05/L116))/100)*(Bericht!$E$49/Berechnungen!$E$14)*Berechnungen!$G$17</f>
        <v>#DIV/0!</v>
      </c>
      <c r="N116" s="57"/>
      <c r="O116" s="58"/>
      <c r="P116" s="59"/>
      <c r="Q116" s="310">
        <f>IF($G$1="Neuerrichtung",$B$1*POWER(($I28/100)*(Berechnungen!I$4),2),0)</f>
        <v>0</v>
      </c>
      <c r="R116" s="309">
        <f>IF($G$54="Neuerrichtung",$B$54*POWER(($I81/100)*(Berechnungen!I$5),2),0)</f>
        <v>0</v>
      </c>
      <c r="S116" s="310">
        <f>IF($G$107="Neuerrichtung",$B$107*POWER(($I134/100)*(Berechnungen!I$6),2),0)</f>
        <v>0</v>
      </c>
      <c r="T116" s="309">
        <f>IF($G$160="Neuerrichtung",$B$160*POWER(($I187/100)*(Berechnungen!I$7),2),0)</f>
        <v>0</v>
      </c>
      <c r="U116" s="309">
        <f>IF($G$213="Neuerrichtung",$B$213*POWER(($I240/100)*(Berechnungen!I$8),2),0)</f>
        <v>0</v>
      </c>
      <c r="V116" s="309">
        <f>IF($G$266="Neuerrichtung",$B$266*POWER(($I293/100)*(Berechnungen!I$9),2),0)</f>
        <v>0</v>
      </c>
      <c r="W116" s="309">
        <f>IF($G$319="Neuerrichtung",$B$319*POWER(($I346/100)*(Berechnungen!I$10),2),0)</f>
        <v>0</v>
      </c>
      <c r="X116" s="309">
        <f>IF($G$372="Neuerrichtung",$B$372*POWER(($I399/100)*(Berechnungen!I$11),2),0)</f>
        <v>0</v>
      </c>
      <c r="Y116" s="309">
        <f>IF($G$425="Neuerrichtung",$B$425*POWER(($I452/100)*(Berechnungen!I$12),2),0)</f>
        <v>0</v>
      </c>
      <c r="Z116" s="309">
        <f>IF($G$478="Neuerrichtung",$B$478*POWER(($I505/100)*(Berechnungen!I$13),2),0)</f>
        <v>0</v>
      </c>
      <c r="AA116" s="332" t="e">
        <f t="shared" si="24"/>
        <v>#DIV/0!</v>
      </c>
      <c r="AB116" s="875">
        <f t="shared" si="25"/>
        <v>0</v>
      </c>
      <c r="AC116" s="333" t="e">
        <f t="shared" si="27"/>
        <v>#DIV/0!</v>
      </c>
      <c r="AD116" s="295" t="e">
        <f t="shared" si="26"/>
        <v>#DIV/0!</v>
      </c>
      <c r="AE116" s="297" t="e">
        <f t="shared" si="28"/>
        <v>#DIV/0!</v>
      </c>
    </row>
    <row r="117" spans="1:31" x14ac:dyDescent="0.25">
      <c r="A117" s="980"/>
      <c r="B117" s="356">
        <v>10</v>
      </c>
      <c r="C117" s="564"/>
      <c r="D117" s="980"/>
      <c r="E117" s="356">
        <v>475</v>
      </c>
      <c r="F117" s="564"/>
      <c r="G117" s="980"/>
      <c r="H117" s="356">
        <v>3.7</v>
      </c>
      <c r="I117" s="564"/>
      <c r="J117" s="311">
        <f t="shared" si="29"/>
        <v>146</v>
      </c>
      <c r="K117" s="993"/>
      <c r="L117" s="15">
        <v>7.3</v>
      </c>
      <c r="M117" s="62" t="e">
        <f>(1/$O$141)*((1.015*POWER(L117,-0.52)*(0.05/L117))/100)*(Bericht!$E$49/Berechnungen!$E$14)*Berechnungen!$G$17</f>
        <v>#DIV/0!</v>
      </c>
      <c r="N117" s="57"/>
      <c r="O117" s="58"/>
      <c r="P117" s="59"/>
      <c r="Q117" s="310">
        <f>IF($G$1="Neuerrichtung",$B$1*POWER(($I29/100)*(Berechnungen!I$4),2),0)</f>
        <v>0</v>
      </c>
      <c r="R117" s="309">
        <f>IF($G$54="Neuerrichtung",$B$54*POWER(($I82/100)*(Berechnungen!I$5),2),0)</f>
        <v>0</v>
      </c>
      <c r="S117" s="310">
        <f>IF($G$107="Neuerrichtung",$B$107*POWER(($I135/100)*(Berechnungen!I$6),2),0)</f>
        <v>0</v>
      </c>
      <c r="T117" s="309">
        <f>IF($G$160="Neuerrichtung",$B$160*POWER(($I188/100)*(Berechnungen!I$7),2),0)</f>
        <v>0</v>
      </c>
      <c r="U117" s="309">
        <f>IF($G$213="Neuerrichtung",$B$213*POWER(($I241/100)*(Berechnungen!I$8),2),0)</f>
        <v>0</v>
      </c>
      <c r="V117" s="309">
        <f>IF($G$266="Neuerrichtung",$B$266*POWER(($I294/100)*(Berechnungen!I$9),2),0)</f>
        <v>0</v>
      </c>
      <c r="W117" s="309">
        <f>IF($G$319="Neuerrichtung",$B$319*POWER(($I347/100)*(Berechnungen!I$10),2),0)</f>
        <v>0</v>
      </c>
      <c r="X117" s="309">
        <f>IF($G$372="Neuerrichtung",$B$372*POWER(($I400/100)*(Berechnungen!I$11),2),0)</f>
        <v>0</v>
      </c>
      <c r="Y117" s="309">
        <f>IF($G$425="Neuerrichtung",$B$425*POWER(($I453/100)*(Berechnungen!I$12),2),0)</f>
        <v>0</v>
      </c>
      <c r="Z117" s="309">
        <f>IF($G$478="Neuerrichtung",$B$478*POWER(($I506/100)*(Berechnungen!I$13),2),0)</f>
        <v>0</v>
      </c>
      <c r="AA117" s="332" t="e">
        <f t="shared" si="24"/>
        <v>#DIV/0!</v>
      </c>
      <c r="AB117" s="875">
        <f t="shared" si="25"/>
        <v>0</v>
      </c>
      <c r="AC117" s="333" t="e">
        <f t="shared" si="27"/>
        <v>#DIV/0!</v>
      </c>
      <c r="AD117" s="295" t="e">
        <f t="shared" si="26"/>
        <v>#DIV/0!</v>
      </c>
      <c r="AE117" s="297" t="e">
        <f t="shared" si="28"/>
        <v>#DIV/0!</v>
      </c>
    </row>
    <row r="118" spans="1:31" x14ac:dyDescent="0.25">
      <c r="A118" s="980"/>
      <c r="B118" s="356">
        <v>11</v>
      </c>
      <c r="C118" s="564"/>
      <c r="D118" s="980"/>
      <c r="E118" s="356">
        <v>525</v>
      </c>
      <c r="F118" s="564"/>
      <c r="G118" s="980"/>
      <c r="H118" s="356">
        <v>3.9</v>
      </c>
      <c r="I118" s="564"/>
      <c r="J118" s="311">
        <f t="shared" si="29"/>
        <v>150</v>
      </c>
      <c r="K118" s="993"/>
      <c r="L118" s="15">
        <v>7.5</v>
      </c>
      <c r="M118" s="62" t="e">
        <f>(1/$O$141)*((1.015*POWER(L118,-0.52)*(0.05/L118))/100)*(Bericht!$E$49/Berechnungen!$E$14)*Berechnungen!$G$17</f>
        <v>#DIV/0!</v>
      </c>
      <c r="N118" s="57"/>
      <c r="O118" s="58"/>
      <c r="P118" s="59"/>
      <c r="Q118" s="310">
        <f>IF($G$1="Neuerrichtung",$B$1*POWER(($I30/100)*(Berechnungen!I$4),2),0)</f>
        <v>0</v>
      </c>
      <c r="R118" s="309">
        <f>IF($G$54="Neuerrichtung",$B$54*POWER(($I83/100)*(Berechnungen!I$5),2),0)</f>
        <v>0</v>
      </c>
      <c r="S118" s="310">
        <f>IF($G$107="Neuerrichtung",$B$107*POWER(($I136/100)*(Berechnungen!I$6),2),0)</f>
        <v>0</v>
      </c>
      <c r="T118" s="309">
        <f>IF($G$160="Neuerrichtung",$B$160*POWER(($I189/100)*(Berechnungen!I$7),2),0)</f>
        <v>0</v>
      </c>
      <c r="U118" s="309">
        <f>IF($G$213="Neuerrichtung",$B$213*POWER(($I242/100)*(Berechnungen!I$8),2),0)</f>
        <v>0</v>
      </c>
      <c r="V118" s="309">
        <f>IF($G$266="Neuerrichtung",$B$266*POWER(($I295/100)*(Berechnungen!I$9),2),0)</f>
        <v>0</v>
      </c>
      <c r="W118" s="309">
        <f>IF($G$319="Neuerrichtung",$B$319*POWER(($I348/100)*(Berechnungen!I$10),2),0)</f>
        <v>0</v>
      </c>
      <c r="X118" s="309">
        <f>IF($G$372="Neuerrichtung",$B$372*POWER(($I401/100)*(Berechnungen!I$11),2),0)</f>
        <v>0</v>
      </c>
      <c r="Y118" s="309">
        <f>IF($G$425="Neuerrichtung",$B$425*POWER(($I454/100)*(Berechnungen!I$12),2),0)</f>
        <v>0</v>
      </c>
      <c r="Z118" s="309">
        <f>IF($G$478="Neuerrichtung",$B$478*POWER(($I507/100)*(Berechnungen!I$13),2),0)</f>
        <v>0</v>
      </c>
      <c r="AA118" s="332" t="e">
        <f t="shared" si="24"/>
        <v>#DIV/0!</v>
      </c>
      <c r="AB118" s="875">
        <f t="shared" si="25"/>
        <v>0</v>
      </c>
      <c r="AC118" s="333" t="e">
        <f t="shared" si="27"/>
        <v>#DIV/0!</v>
      </c>
      <c r="AD118" s="295" t="e">
        <f t="shared" si="26"/>
        <v>#DIV/0!</v>
      </c>
      <c r="AE118" s="297" t="e">
        <f t="shared" si="28"/>
        <v>#DIV/0!</v>
      </c>
    </row>
    <row r="119" spans="1:31" x14ac:dyDescent="0.25">
      <c r="A119" s="980"/>
      <c r="B119" s="356">
        <v>12</v>
      </c>
      <c r="C119" s="564"/>
      <c r="D119" s="980"/>
      <c r="E119" s="356">
        <v>575</v>
      </c>
      <c r="F119" s="564"/>
      <c r="G119" s="980"/>
      <c r="H119" s="356">
        <v>4.0999999999999996</v>
      </c>
      <c r="I119" s="564"/>
      <c r="J119" s="311">
        <f t="shared" si="29"/>
        <v>154</v>
      </c>
      <c r="K119" s="993"/>
      <c r="L119" s="15">
        <v>7.7</v>
      </c>
      <c r="M119" s="62" t="e">
        <f>(1/$O$141)*((1.015*POWER(L119,-0.52)*(0.05/L119))/100)*(Bericht!$E$49/Berechnungen!$E$14)*Berechnungen!$G$17</f>
        <v>#DIV/0!</v>
      </c>
      <c r="N119" s="57"/>
      <c r="O119" s="58"/>
      <c r="P119" s="59"/>
      <c r="Q119" s="310">
        <f>IF($G$1="Neuerrichtung",$B$1*POWER(($I31/100)*(Berechnungen!I$4),2),0)</f>
        <v>0</v>
      </c>
      <c r="R119" s="309">
        <f>IF($G$54="Neuerrichtung",$B$54*POWER(($I84/100)*(Berechnungen!I$5),2),0)</f>
        <v>0</v>
      </c>
      <c r="S119" s="310">
        <f>IF($G$107="Neuerrichtung",$B$107*POWER(($I137/100)*(Berechnungen!I$6),2),0)</f>
        <v>0</v>
      </c>
      <c r="T119" s="309">
        <f>IF($G$160="Neuerrichtung",$B$160*POWER(($I190/100)*(Berechnungen!I$7),2),0)</f>
        <v>0</v>
      </c>
      <c r="U119" s="309">
        <f>IF($G$213="Neuerrichtung",$B$213*POWER(($I243/100)*(Berechnungen!I$8),2),0)</f>
        <v>0</v>
      </c>
      <c r="V119" s="309">
        <f>IF($G$266="Neuerrichtung",$B$266*POWER(($I296/100)*(Berechnungen!I$9),2),0)</f>
        <v>0</v>
      </c>
      <c r="W119" s="309">
        <f>IF($G$319="Neuerrichtung",$B$319*POWER(($I349/100)*(Berechnungen!I$10),2),0)</f>
        <v>0</v>
      </c>
      <c r="X119" s="309">
        <f>IF($G$372="Neuerrichtung",$B$372*POWER(($I402/100)*(Berechnungen!I$11),2),0)</f>
        <v>0</v>
      </c>
      <c r="Y119" s="309">
        <f>IF($G$425="Neuerrichtung",$B$425*POWER(($I455/100)*(Berechnungen!I$12),2),0)</f>
        <v>0</v>
      </c>
      <c r="Z119" s="309">
        <f>IF($G$478="Neuerrichtung",$B$478*POWER(($I508/100)*(Berechnungen!I$13),2),0)</f>
        <v>0</v>
      </c>
      <c r="AA119" s="332" t="e">
        <f t="shared" si="24"/>
        <v>#DIV/0!</v>
      </c>
      <c r="AB119" s="875">
        <f t="shared" si="25"/>
        <v>0</v>
      </c>
      <c r="AC119" s="333" t="e">
        <f t="shared" si="27"/>
        <v>#DIV/0!</v>
      </c>
      <c r="AD119" s="295" t="e">
        <f t="shared" si="26"/>
        <v>#DIV/0!</v>
      </c>
      <c r="AE119" s="297" t="e">
        <f t="shared" si="28"/>
        <v>#DIV/0!</v>
      </c>
    </row>
    <row r="120" spans="1:31" x14ac:dyDescent="0.25">
      <c r="A120" s="980"/>
      <c r="B120" s="356">
        <v>13</v>
      </c>
      <c r="C120" s="564"/>
      <c r="D120" s="980"/>
      <c r="E120" s="356">
        <v>625</v>
      </c>
      <c r="F120" s="564"/>
      <c r="G120" s="980"/>
      <c r="H120" s="356">
        <v>4.3</v>
      </c>
      <c r="I120" s="564"/>
      <c r="J120" s="311">
        <f t="shared" si="29"/>
        <v>158</v>
      </c>
      <c r="K120" s="993"/>
      <c r="L120" s="15">
        <v>7.9</v>
      </c>
      <c r="M120" s="62" t="e">
        <f>(1/$O$141)*((1.015*POWER(L120,-0.52)*(0.05/L120))/100)*(Bericht!$E$49/Berechnungen!$E$14)*Berechnungen!$G$17</f>
        <v>#DIV/0!</v>
      </c>
      <c r="N120" s="57"/>
      <c r="O120" s="58"/>
      <c r="P120" s="59"/>
      <c r="Q120" s="310">
        <f>IF($G$1="Neuerrichtung",$B$1*POWER(($I32/100)*(Berechnungen!I$4),2),0)</f>
        <v>0</v>
      </c>
      <c r="R120" s="309">
        <f>IF($G$54="Neuerrichtung",$B$54*POWER(($I85/100)*(Berechnungen!I$5),2),0)</f>
        <v>0</v>
      </c>
      <c r="S120" s="310">
        <f>IF($G$107="Neuerrichtung",$B$107*POWER(($I138/100)*(Berechnungen!I$6),2),0)</f>
        <v>0</v>
      </c>
      <c r="T120" s="309">
        <f>IF($G$160="Neuerrichtung",$B$160*POWER(($I191/100)*(Berechnungen!I$7),2),0)</f>
        <v>0</v>
      </c>
      <c r="U120" s="309">
        <f>IF($G$213="Neuerrichtung",$B$213*POWER(($I244/100)*(Berechnungen!I$8),2),0)</f>
        <v>0</v>
      </c>
      <c r="V120" s="309">
        <f>IF($G$266="Neuerrichtung",$B$266*POWER(($I297/100)*(Berechnungen!I$9),2),0)</f>
        <v>0</v>
      </c>
      <c r="W120" s="309">
        <f>IF($G$319="Neuerrichtung",$B$319*POWER(($I350/100)*(Berechnungen!I$10),2),0)</f>
        <v>0</v>
      </c>
      <c r="X120" s="309">
        <f>IF($G$372="Neuerrichtung",$B$372*POWER(($I403/100)*(Berechnungen!I$11),2),0)</f>
        <v>0</v>
      </c>
      <c r="Y120" s="309">
        <f>IF($G$425="Neuerrichtung",$B$425*POWER(($I456/100)*(Berechnungen!I$12),2),0)</f>
        <v>0</v>
      </c>
      <c r="Z120" s="309">
        <f>IF($G$478="Neuerrichtung",$B$478*POWER(($I509/100)*(Berechnungen!I$13),2),0)</f>
        <v>0</v>
      </c>
      <c r="AA120" s="332" t="e">
        <f t="shared" si="24"/>
        <v>#DIV/0!</v>
      </c>
      <c r="AB120" s="875">
        <f t="shared" si="25"/>
        <v>0</v>
      </c>
      <c r="AC120" s="333" t="e">
        <f t="shared" si="27"/>
        <v>#DIV/0!</v>
      </c>
      <c r="AD120" s="295" t="e">
        <f t="shared" si="26"/>
        <v>#DIV/0!</v>
      </c>
      <c r="AE120" s="297" t="e">
        <f t="shared" si="28"/>
        <v>#DIV/0!</v>
      </c>
    </row>
    <row r="121" spans="1:31" x14ac:dyDescent="0.25">
      <c r="A121" s="980"/>
      <c r="B121" s="356">
        <v>14</v>
      </c>
      <c r="C121" s="564"/>
      <c r="D121" s="980"/>
      <c r="E121" s="356">
        <v>675</v>
      </c>
      <c r="F121" s="564"/>
      <c r="G121" s="980"/>
      <c r="H121" s="356">
        <v>4.5</v>
      </c>
      <c r="I121" s="564"/>
      <c r="J121" s="311">
        <f t="shared" si="29"/>
        <v>162</v>
      </c>
      <c r="K121" s="993"/>
      <c r="L121" s="15">
        <v>8.1</v>
      </c>
      <c r="M121" s="62" t="e">
        <f>(1/$O$141)*((1.015*POWER(L121,-0.52)*(0.05/L121))/100)*(Bericht!$E$49/Berechnungen!$E$14)*Berechnungen!$G$17</f>
        <v>#DIV/0!</v>
      </c>
      <c r="N121" s="57"/>
      <c r="O121" s="58"/>
      <c r="P121" s="59"/>
      <c r="Q121" s="310">
        <f>IF($G$1="Neuerrichtung",$B$1*POWER(($I33/100)*(Berechnungen!I$4),2),0)</f>
        <v>0</v>
      </c>
      <c r="R121" s="309">
        <f>IF($G$54="Neuerrichtung",$B$54*POWER(($I86/100)*(Berechnungen!I$5),2),0)</f>
        <v>0</v>
      </c>
      <c r="S121" s="310">
        <f>IF($G$107="Neuerrichtung",$B$107*POWER(($I139/100)*(Berechnungen!I$6),2),0)</f>
        <v>0</v>
      </c>
      <c r="T121" s="309">
        <f>IF($G$160="Neuerrichtung",$B$160*POWER(($I192/100)*(Berechnungen!I$7),2),0)</f>
        <v>0</v>
      </c>
      <c r="U121" s="309">
        <f>IF($G$213="Neuerrichtung",$B$213*POWER(($I245/100)*(Berechnungen!I$8),2),0)</f>
        <v>0</v>
      </c>
      <c r="V121" s="309">
        <f>IF($G$266="Neuerrichtung",$B$266*POWER(($I298/100)*(Berechnungen!I$9),2),0)</f>
        <v>0</v>
      </c>
      <c r="W121" s="309">
        <f>IF($G$319="Neuerrichtung",$B$319*POWER(($I351/100)*(Berechnungen!I$10),2),0)</f>
        <v>0</v>
      </c>
      <c r="X121" s="309">
        <f>IF($G$372="Neuerrichtung",$B$372*POWER(($I404/100)*(Berechnungen!I$11),2),0)</f>
        <v>0</v>
      </c>
      <c r="Y121" s="309">
        <f>IF($G$425="Neuerrichtung",$B$425*POWER(($I457/100)*(Berechnungen!I$12),2),0)</f>
        <v>0</v>
      </c>
      <c r="Z121" s="309">
        <f>IF($G$478="Neuerrichtung",$B$478*POWER(($I510/100)*(Berechnungen!I$13),2),0)</f>
        <v>0</v>
      </c>
      <c r="AA121" s="332" t="e">
        <f t="shared" si="24"/>
        <v>#DIV/0!</v>
      </c>
      <c r="AB121" s="875">
        <f t="shared" si="25"/>
        <v>0</v>
      </c>
      <c r="AC121" s="333" t="e">
        <f t="shared" si="27"/>
        <v>#DIV/0!</v>
      </c>
      <c r="AD121" s="295" t="e">
        <f t="shared" si="26"/>
        <v>#DIV/0!</v>
      </c>
      <c r="AE121" s="297" t="e">
        <f t="shared" si="28"/>
        <v>#DIV/0!</v>
      </c>
    </row>
    <row r="122" spans="1:31" x14ac:dyDescent="0.25">
      <c r="A122" s="980"/>
      <c r="B122" s="356">
        <v>15</v>
      </c>
      <c r="C122" s="564"/>
      <c r="D122" s="980"/>
      <c r="E122" s="356">
        <v>725</v>
      </c>
      <c r="F122" s="564"/>
      <c r="G122" s="980"/>
      <c r="H122" s="356">
        <v>4.7</v>
      </c>
      <c r="I122" s="564"/>
      <c r="J122" s="311">
        <f t="shared" si="29"/>
        <v>166</v>
      </c>
      <c r="K122" s="993"/>
      <c r="L122" s="15">
        <v>8.3000000000000007</v>
      </c>
      <c r="M122" s="62" t="e">
        <f>(1/$O$141)*((1.015*POWER(L122,-0.52)*(0.05/L122))/100)*(Bericht!$E$49/Berechnungen!$E$14)*Berechnungen!$G$17</f>
        <v>#DIV/0!</v>
      </c>
      <c r="N122" s="57"/>
      <c r="O122" s="58"/>
      <c r="P122" s="59"/>
      <c r="Q122" s="310">
        <f>IF($G$1="Neuerrichtung",$B$1*POWER(($I34/100)*(Berechnungen!I$4),2),0)</f>
        <v>0</v>
      </c>
      <c r="R122" s="309">
        <f>IF($G$54="Neuerrichtung",$B$54*POWER(($I87/100)*(Berechnungen!I$5),2),0)</f>
        <v>0</v>
      </c>
      <c r="S122" s="310">
        <f>IF($G$107="Neuerrichtung",$B$107*POWER(($I140/100)*(Berechnungen!I$6),2),0)</f>
        <v>0</v>
      </c>
      <c r="T122" s="309">
        <f>IF($G$160="Neuerrichtung",$B$160*POWER(($I193/100)*(Berechnungen!I$7),2),0)</f>
        <v>0</v>
      </c>
      <c r="U122" s="309">
        <f>IF($G$213="Neuerrichtung",$B$213*POWER(($I246/100)*(Berechnungen!I$8),2),0)</f>
        <v>0</v>
      </c>
      <c r="V122" s="309">
        <f>IF($G$266="Neuerrichtung",$B$266*POWER(($I299/100)*(Berechnungen!I$9),2),0)</f>
        <v>0</v>
      </c>
      <c r="W122" s="309">
        <f>IF($G$319="Neuerrichtung",$B$319*POWER(($I352/100)*(Berechnungen!I$10),2),0)</f>
        <v>0</v>
      </c>
      <c r="X122" s="309">
        <f>IF($G$372="Neuerrichtung",$B$372*POWER(($I405/100)*(Berechnungen!I$11),2),0)</f>
        <v>0</v>
      </c>
      <c r="Y122" s="309">
        <f>IF($G$425="Neuerrichtung",$B$425*POWER(($I458/100)*(Berechnungen!I$12),2),0)</f>
        <v>0</v>
      </c>
      <c r="Z122" s="309">
        <f>IF($G$478="Neuerrichtung",$B$478*POWER(($I511/100)*(Berechnungen!I$13),2),0)</f>
        <v>0</v>
      </c>
      <c r="AA122" s="332" t="e">
        <f t="shared" si="24"/>
        <v>#DIV/0!</v>
      </c>
      <c r="AB122" s="875">
        <f t="shared" si="25"/>
        <v>0</v>
      </c>
      <c r="AC122" s="333" t="e">
        <f t="shared" si="27"/>
        <v>#DIV/0!</v>
      </c>
      <c r="AD122" s="295" t="e">
        <f t="shared" si="26"/>
        <v>#DIV/0!</v>
      </c>
      <c r="AE122" s="297" t="e">
        <f t="shared" si="28"/>
        <v>#DIV/0!</v>
      </c>
    </row>
    <row r="123" spans="1:31" x14ac:dyDescent="0.25">
      <c r="A123" s="980"/>
      <c r="B123" s="356">
        <v>16</v>
      </c>
      <c r="C123" s="564"/>
      <c r="D123" s="980"/>
      <c r="E123" s="356">
        <v>775</v>
      </c>
      <c r="F123" s="564"/>
      <c r="G123" s="980"/>
      <c r="H123" s="356">
        <v>4.9000000000000004</v>
      </c>
      <c r="I123" s="564"/>
      <c r="J123" s="311">
        <f t="shared" si="29"/>
        <v>170</v>
      </c>
      <c r="K123" s="993"/>
      <c r="L123" s="15">
        <v>8.5</v>
      </c>
      <c r="M123" s="62" t="e">
        <f>(1/$O$141)*((1.015*POWER(L123,-0.52)*(0.05/L123))/100)*(Bericht!$E$49/Berechnungen!$E$14)*Berechnungen!$G$17</f>
        <v>#DIV/0!</v>
      </c>
      <c r="N123" s="57"/>
      <c r="O123" s="58"/>
      <c r="P123" s="59"/>
      <c r="Q123" s="310">
        <f>IF($G$1="Neuerrichtung",$B$1*POWER(($I35/100)*(Berechnungen!I$4),2),0)</f>
        <v>0</v>
      </c>
      <c r="R123" s="309">
        <f>IF($G$54="Neuerrichtung",$B$54*POWER(($I88/100)*(Berechnungen!I$5),2),0)</f>
        <v>0</v>
      </c>
      <c r="S123" s="310">
        <f>IF($G$107="Neuerrichtung",$B$107*POWER(($I141/100)*(Berechnungen!I$6),2),0)</f>
        <v>0</v>
      </c>
      <c r="T123" s="309">
        <f>IF($G$160="Neuerrichtung",$B$160*POWER(($I194/100)*(Berechnungen!I$7),2),0)</f>
        <v>0</v>
      </c>
      <c r="U123" s="309">
        <f>IF($G$213="Neuerrichtung",$B$213*POWER(($I247/100)*(Berechnungen!I$8),2),0)</f>
        <v>0</v>
      </c>
      <c r="V123" s="309">
        <f>IF($G$266="Neuerrichtung",$B$266*POWER(($I300/100)*(Berechnungen!I$9),2),0)</f>
        <v>0</v>
      </c>
      <c r="W123" s="309">
        <f>IF($G$319="Neuerrichtung",$B$319*POWER(($I353/100)*(Berechnungen!I$10),2),0)</f>
        <v>0</v>
      </c>
      <c r="X123" s="309">
        <f>IF($G$372="Neuerrichtung",$B$372*POWER(($I406/100)*(Berechnungen!I$11),2),0)</f>
        <v>0</v>
      </c>
      <c r="Y123" s="309">
        <f>IF($G$425="Neuerrichtung",$B$425*POWER(($I459/100)*(Berechnungen!I$12),2),0)</f>
        <v>0</v>
      </c>
      <c r="Z123" s="309">
        <f>IF($G$478="Neuerrichtung",$B$478*POWER(($I512/100)*(Berechnungen!I$13),2),0)</f>
        <v>0</v>
      </c>
      <c r="AA123" s="332" t="e">
        <f t="shared" si="24"/>
        <v>#DIV/0!</v>
      </c>
      <c r="AB123" s="875">
        <f t="shared" si="25"/>
        <v>0</v>
      </c>
      <c r="AC123" s="333" t="e">
        <f t="shared" si="27"/>
        <v>#DIV/0!</v>
      </c>
      <c r="AD123" s="295" t="e">
        <f t="shared" si="26"/>
        <v>#DIV/0!</v>
      </c>
      <c r="AE123" s="297" t="e">
        <f t="shared" si="28"/>
        <v>#DIV/0!</v>
      </c>
    </row>
    <row r="124" spans="1:31" x14ac:dyDescent="0.25">
      <c r="A124" s="980"/>
      <c r="B124" s="356">
        <v>17</v>
      </c>
      <c r="C124" s="564"/>
      <c r="D124" s="980"/>
      <c r="E124" s="356">
        <v>825</v>
      </c>
      <c r="F124" s="564"/>
      <c r="G124" s="980"/>
      <c r="H124" s="356">
        <v>5.0999999999999996</v>
      </c>
      <c r="I124" s="564"/>
      <c r="J124" s="311">
        <f t="shared" si="29"/>
        <v>174</v>
      </c>
      <c r="K124" s="993"/>
      <c r="L124" s="15">
        <v>8.6999999999999993</v>
      </c>
      <c r="M124" s="62" t="e">
        <f>(1/$O$141)*((1.015*POWER(L124,-0.52)*(0.05/L124))/100)*(Bericht!$E$49/Berechnungen!$E$14)*Berechnungen!$G$17</f>
        <v>#DIV/0!</v>
      </c>
      <c r="N124" s="57"/>
      <c r="O124" s="58"/>
      <c r="P124" s="59"/>
      <c r="Q124" s="310">
        <f>IF($G$1="Neuerrichtung",$B$1*POWER(($I36/100)*(Berechnungen!I$4),2),0)</f>
        <v>0</v>
      </c>
      <c r="R124" s="309">
        <f>IF($G$54="Neuerrichtung",$B$54*POWER(($I89/100)*(Berechnungen!I$5),2),0)</f>
        <v>0</v>
      </c>
      <c r="S124" s="310">
        <f>IF($G$107="Neuerrichtung",$B$107*POWER(($I142/100)*(Berechnungen!I$6),2),0)</f>
        <v>0</v>
      </c>
      <c r="T124" s="309">
        <f>IF($G$160="Neuerrichtung",$B$160*POWER(($I195/100)*(Berechnungen!I$7),2),0)</f>
        <v>0</v>
      </c>
      <c r="U124" s="309">
        <f>IF($G$213="Neuerrichtung",$B$213*POWER(($I248/100)*(Berechnungen!I$8),2),0)</f>
        <v>0</v>
      </c>
      <c r="V124" s="309">
        <f>IF($G$266="Neuerrichtung",$B$266*POWER(($I301/100)*(Berechnungen!I$9),2),0)</f>
        <v>0</v>
      </c>
      <c r="W124" s="309">
        <f>IF($G$319="Neuerrichtung",$B$319*POWER(($I354/100)*(Berechnungen!I$10),2),0)</f>
        <v>0</v>
      </c>
      <c r="X124" s="309">
        <f>IF($G$372="Neuerrichtung",$B$372*POWER(($I407/100)*(Berechnungen!I$11),2),0)</f>
        <v>0</v>
      </c>
      <c r="Y124" s="309">
        <f>IF($G$425="Neuerrichtung",$B$425*POWER(($I460/100)*(Berechnungen!I$12),2),0)</f>
        <v>0</v>
      </c>
      <c r="Z124" s="309">
        <f>IF($G$478="Neuerrichtung",$B$478*POWER(($I513/100)*(Berechnungen!I$13),2),0)</f>
        <v>0</v>
      </c>
      <c r="AA124" s="332" t="e">
        <f t="shared" si="24"/>
        <v>#DIV/0!</v>
      </c>
      <c r="AB124" s="875">
        <f t="shared" si="25"/>
        <v>0</v>
      </c>
      <c r="AC124" s="333" t="e">
        <f t="shared" si="27"/>
        <v>#DIV/0!</v>
      </c>
      <c r="AD124" s="295" t="e">
        <f t="shared" si="26"/>
        <v>#DIV/0!</v>
      </c>
      <c r="AE124" s="297" t="e">
        <f t="shared" si="28"/>
        <v>#DIV/0!</v>
      </c>
    </row>
    <row r="125" spans="1:31" ht="15.75" thickBot="1" x14ac:dyDescent="0.3">
      <c r="A125" s="980"/>
      <c r="B125" s="356">
        <v>18</v>
      </c>
      <c r="C125" s="564"/>
      <c r="D125" s="980"/>
      <c r="E125" s="356">
        <v>875</v>
      </c>
      <c r="F125" s="564"/>
      <c r="G125" s="980"/>
      <c r="H125" s="356">
        <v>5.3</v>
      </c>
      <c r="I125" s="564"/>
      <c r="J125" s="311">
        <f t="shared" si="29"/>
        <v>178</v>
      </c>
      <c r="K125" s="994"/>
      <c r="L125" s="18">
        <v>8.9</v>
      </c>
      <c r="M125" s="62" t="e">
        <f>(1/$O$141)*((1.015*POWER(L125,-0.52)*(0.05/L125))/100)*(Bericht!$E$49/Berechnungen!$E$14)*Berechnungen!$G$17</f>
        <v>#DIV/0!</v>
      </c>
      <c r="N125" s="834"/>
      <c r="O125" s="61"/>
      <c r="P125" s="835"/>
      <c r="Q125" s="310">
        <f>IF($G$1="Neuerrichtung",$B$1*POWER(($I37/100)*(Berechnungen!I$4),2),0)</f>
        <v>0</v>
      </c>
      <c r="R125" s="841">
        <f>IF($G$54="Neuerrichtung",$B$54*POWER(($I90/100)*(Berechnungen!I$5),2),0)</f>
        <v>0</v>
      </c>
      <c r="S125" s="310">
        <f>IF($G$107="Neuerrichtung",$B$107*POWER(($I143/100)*(Berechnungen!I$6),2),0)</f>
        <v>0</v>
      </c>
      <c r="T125" s="841">
        <f>IF($G$160="Neuerrichtung",$B$160*POWER(($I196/100)*(Berechnungen!I$7),2),0)</f>
        <v>0</v>
      </c>
      <c r="U125" s="841">
        <f>IF($G$213="Neuerrichtung",$B$213*POWER(($I249/100)*(Berechnungen!I$8),2),0)</f>
        <v>0</v>
      </c>
      <c r="V125" s="841">
        <f>IF($G$266="Neuerrichtung",$B$266*POWER(($I302/100)*(Berechnungen!I$9),2),0)</f>
        <v>0</v>
      </c>
      <c r="W125" s="841">
        <f>IF($G$319="Neuerrichtung",$B$319*POWER(($I355/100)*(Berechnungen!I$10),2),0)</f>
        <v>0</v>
      </c>
      <c r="X125" s="841">
        <f>IF($G$372="Neuerrichtung",$B$372*POWER(($I408/100)*(Berechnungen!I$11),2),0)</f>
        <v>0</v>
      </c>
      <c r="Y125" s="841">
        <f>IF($G$425="Neuerrichtung",$B$425*POWER(($I461/100)*(Berechnungen!I$12),2),0)</f>
        <v>0</v>
      </c>
      <c r="Z125" s="842">
        <f>IF($G$478="Neuerrichtung",$B$478*POWER(($I514/100)*(Berechnungen!I$13),2),0)</f>
        <v>0</v>
      </c>
      <c r="AA125" s="332" t="e">
        <f t="shared" si="24"/>
        <v>#DIV/0!</v>
      </c>
      <c r="AB125" s="876">
        <f t="shared" si="25"/>
        <v>0</v>
      </c>
      <c r="AC125" s="836" t="e">
        <f t="shared" si="27"/>
        <v>#DIV/0!</v>
      </c>
      <c r="AD125" s="837" t="e">
        <f t="shared" si="26"/>
        <v>#DIV/0!</v>
      </c>
      <c r="AE125" s="838" t="e">
        <f>IF(AC125&lt;-400,1,0)</f>
        <v>#DIV/0!</v>
      </c>
    </row>
    <row r="126" spans="1:31" x14ac:dyDescent="0.25">
      <c r="A126" s="980"/>
      <c r="B126" s="356">
        <v>19</v>
      </c>
      <c r="C126" s="564"/>
      <c r="D126" s="980"/>
      <c r="E126" s="356">
        <v>925</v>
      </c>
      <c r="F126" s="564"/>
      <c r="G126" s="980"/>
      <c r="H126" s="356">
        <v>5.5</v>
      </c>
      <c r="I126" s="564"/>
      <c r="K126" s="10"/>
      <c r="L126" s="10"/>
      <c r="M126" s="10"/>
      <c r="N126" s="10"/>
      <c r="O126" s="10"/>
      <c r="Q126" s="88"/>
      <c r="R126" s="88"/>
      <c r="S126" s="88"/>
    </row>
    <row r="127" spans="1:31" x14ac:dyDescent="0.25">
      <c r="A127" s="980"/>
      <c r="B127" s="356">
        <v>20</v>
      </c>
      <c r="C127" s="564"/>
      <c r="D127" s="980"/>
      <c r="E127" s="356">
        <v>975</v>
      </c>
      <c r="F127" s="564"/>
      <c r="G127" s="980"/>
      <c r="H127" s="356">
        <v>5.7</v>
      </c>
      <c r="I127" s="564"/>
      <c r="K127" s="10"/>
      <c r="L127" s="10"/>
      <c r="M127" s="19" t="s">
        <v>34</v>
      </c>
      <c r="N127" s="19" t="s">
        <v>36</v>
      </c>
      <c r="O127" s="19" t="s">
        <v>35</v>
      </c>
      <c r="P127" s="19"/>
    </row>
    <row r="128" spans="1:31" ht="15.75" thickBot="1" x14ac:dyDescent="0.3">
      <c r="A128" s="980"/>
      <c r="B128" s="356">
        <v>21</v>
      </c>
      <c r="C128" s="564"/>
      <c r="D128" s="980"/>
      <c r="E128" s="356">
        <v>1025</v>
      </c>
      <c r="F128" s="564"/>
      <c r="G128" s="980"/>
      <c r="H128" s="356">
        <v>5.9</v>
      </c>
      <c r="I128" s="564"/>
    </row>
    <row r="129" spans="1:20" ht="16.5" thickTop="1" thickBot="1" x14ac:dyDescent="0.3">
      <c r="A129" s="980"/>
      <c r="B129" s="356">
        <v>22</v>
      </c>
      <c r="C129" s="564"/>
      <c r="D129" s="980"/>
      <c r="E129" s="356">
        <v>1075</v>
      </c>
      <c r="F129" s="564"/>
      <c r="G129" s="980"/>
      <c r="H129" s="356">
        <v>6.1</v>
      </c>
      <c r="I129" s="564"/>
      <c r="Q129" s="985" t="s">
        <v>44</v>
      </c>
      <c r="R129" s="986"/>
      <c r="S129" s="219"/>
      <c r="T129" s="220">
        <f>COUNTIF(AD3:AD125,"&gt;0")</f>
        <v>0</v>
      </c>
    </row>
    <row r="130" spans="1:20" ht="16.5" customHeight="1" thickTop="1" thickBot="1" x14ac:dyDescent="0.3">
      <c r="A130" s="980"/>
      <c r="B130" s="356">
        <v>23</v>
      </c>
      <c r="C130" s="564"/>
      <c r="D130" s="980"/>
      <c r="E130" s="356">
        <v>1125</v>
      </c>
      <c r="F130" s="564"/>
      <c r="G130" s="980"/>
      <c r="H130" s="356">
        <v>6.3</v>
      </c>
      <c r="I130" s="564"/>
      <c r="Q130" s="985" t="s">
        <v>517</v>
      </c>
      <c r="R130" s="986"/>
      <c r="S130" s="219"/>
      <c r="T130" s="220">
        <f>COUNTIF(AE3:AE125,"&gt;0")</f>
        <v>0</v>
      </c>
    </row>
    <row r="131" spans="1:20" ht="15.75" thickTop="1" x14ac:dyDescent="0.25">
      <c r="A131" s="980"/>
      <c r="B131" s="356">
        <v>24</v>
      </c>
      <c r="C131" s="564"/>
      <c r="D131" s="980"/>
      <c r="E131" s="356">
        <v>1175</v>
      </c>
      <c r="F131" s="564"/>
      <c r="G131" s="980"/>
      <c r="H131" s="356">
        <v>6.5</v>
      </c>
      <c r="I131" s="564"/>
    </row>
    <row r="132" spans="1:20" x14ac:dyDescent="0.25">
      <c r="A132" s="980"/>
      <c r="B132" s="356">
        <v>25</v>
      </c>
      <c r="C132" s="564"/>
      <c r="D132" s="980"/>
      <c r="E132" s="356">
        <v>1225</v>
      </c>
      <c r="F132" s="564"/>
      <c r="G132" s="980"/>
      <c r="H132" s="356">
        <v>6.7</v>
      </c>
      <c r="I132" s="564"/>
    </row>
    <row r="133" spans="1:20" x14ac:dyDescent="0.25">
      <c r="A133" s="980"/>
      <c r="B133" s="356">
        <v>26</v>
      </c>
      <c r="C133" s="564"/>
      <c r="D133" s="980"/>
      <c r="E133" s="356">
        <v>1275</v>
      </c>
      <c r="F133" s="564"/>
      <c r="G133" s="980"/>
      <c r="H133" s="356">
        <v>6.9</v>
      </c>
      <c r="I133" s="564"/>
    </row>
    <row r="134" spans="1:20" x14ac:dyDescent="0.25">
      <c r="A134" s="980"/>
      <c r="B134" s="356">
        <v>27</v>
      </c>
      <c r="C134" s="564"/>
      <c r="D134" s="980"/>
      <c r="E134" s="356">
        <v>1325</v>
      </c>
      <c r="F134" s="564"/>
      <c r="G134" s="980"/>
      <c r="H134" s="356">
        <v>7.1</v>
      </c>
      <c r="I134" s="564"/>
    </row>
    <row r="135" spans="1:20" x14ac:dyDescent="0.25">
      <c r="A135" s="980"/>
      <c r="B135" s="356">
        <v>28</v>
      </c>
      <c r="C135" s="564"/>
      <c r="D135" s="980"/>
      <c r="E135" s="356">
        <v>1375</v>
      </c>
      <c r="F135" s="564"/>
      <c r="G135" s="980"/>
      <c r="H135" s="356">
        <v>7.3</v>
      </c>
      <c r="I135" s="564"/>
    </row>
    <row r="136" spans="1:20" x14ac:dyDescent="0.25">
      <c r="A136" s="980"/>
      <c r="B136" s="356">
        <v>29</v>
      </c>
      <c r="C136" s="564"/>
      <c r="D136" s="980"/>
      <c r="E136" s="356">
        <v>1425</v>
      </c>
      <c r="F136" s="564"/>
      <c r="G136" s="980"/>
      <c r="H136" s="356">
        <v>7.5</v>
      </c>
      <c r="I136" s="564"/>
      <c r="K136" s="107"/>
      <c r="L136" s="107"/>
      <c r="M136" s="107"/>
      <c r="N136" s="107"/>
      <c r="O136" s="107"/>
      <c r="P136" s="107"/>
    </row>
    <row r="137" spans="1:20" x14ac:dyDescent="0.25">
      <c r="A137" s="980"/>
      <c r="B137" s="356">
        <v>30</v>
      </c>
      <c r="C137" s="564"/>
      <c r="D137" s="980"/>
      <c r="E137" s="356">
        <v>1475</v>
      </c>
      <c r="F137" s="564"/>
      <c r="G137" s="980"/>
      <c r="H137" s="356">
        <v>7.7</v>
      </c>
      <c r="I137" s="564"/>
      <c r="K137" s="107"/>
      <c r="L137" s="107"/>
      <c r="M137" s="107"/>
      <c r="N137" s="107"/>
      <c r="O137" s="107"/>
      <c r="P137" s="107"/>
    </row>
    <row r="138" spans="1:20" x14ac:dyDescent="0.25">
      <c r="A138" s="980"/>
      <c r="B138" s="356">
        <v>31</v>
      </c>
      <c r="C138" s="564"/>
      <c r="D138" s="980"/>
      <c r="E138" s="356">
        <v>1525</v>
      </c>
      <c r="F138" s="564"/>
      <c r="G138" s="980"/>
      <c r="H138" s="356">
        <v>7.9</v>
      </c>
      <c r="I138" s="564"/>
      <c r="K138" s="107" t="s">
        <v>1121</v>
      </c>
      <c r="L138" s="107"/>
      <c r="M138" s="107" t="s">
        <v>1122</v>
      </c>
      <c r="N138" s="107" t="s">
        <v>1123</v>
      </c>
      <c r="O138" s="107" t="s">
        <v>1124</v>
      </c>
      <c r="P138" s="107"/>
    </row>
    <row r="139" spans="1:20" x14ac:dyDescent="0.25">
      <c r="A139" s="980"/>
      <c r="B139" s="356">
        <v>32</v>
      </c>
      <c r="C139" s="564"/>
      <c r="D139" s="980"/>
      <c r="E139" s="356">
        <v>1575</v>
      </c>
      <c r="F139" s="564"/>
      <c r="G139" s="980"/>
      <c r="H139" s="356">
        <v>8.1</v>
      </c>
      <c r="I139" s="564"/>
      <c r="K139" s="107"/>
      <c r="L139" s="107"/>
      <c r="M139" s="873"/>
      <c r="N139" s="874">
        <v>1</v>
      </c>
      <c r="O139" s="221">
        <f>IF(M139,M139,N139)</f>
        <v>1</v>
      </c>
      <c r="P139" s="107"/>
    </row>
    <row r="140" spans="1:20" x14ac:dyDescent="0.25">
      <c r="A140" s="980"/>
      <c r="B140" s="356">
        <v>33</v>
      </c>
      <c r="C140" s="564"/>
      <c r="D140" s="980"/>
      <c r="E140" s="356">
        <v>1625</v>
      </c>
      <c r="F140" s="564"/>
      <c r="G140" s="980"/>
      <c r="H140" s="356">
        <v>8.3000000000000007</v>
      </c>
      <c r="I140" s="564"/>
      <c r="K140" s="107" t="s">
        <v>1125</v>
      </c>
      <c r="L140" s="107"/>
      <c r="M140" s="107"/>
      <c r="N140" s="107"/>
      <c r="O140" s="107"/>
      <c r="P140" s="107"/>
    </row>
    <row r="141" spans="1:20" x14ac:dyDescent="0.25">
      <c r="A141" s="980"/>
      <c r="B141" s="356">
        <v>34</v>
      </c>
      <c r="C141" s="564"/>
      <c r="D141" s="980"/>
      <c r="E141" s="356">
        <v>1675</v>
      </c>
      <c r="F141" s="564"/>
      <c r="G141" s="980"/>
      <c r="H141" s="356">
        <v>8.5</v>
      </c>
      <c r="I141" s="564"/>
      <c r="K141" s="107" t="s">
        <v>1120</v>
      </c>
      <c r="L141" s="107"/>
      <c r="M141" s="873"/>
      <c r="N141" s="874">
        <v>0.95</v>
      </c>
      <c r="O141" s="221">
        <f>IF(M141,M141,N141)</f>
        <v>0.95</v>
      </c>
      <c r="P141" s="107"/>
    </row>
    <row r="142" spans="1:20" x14ac:dyDescent="0.25">
      <c r="A142" s="980"/>
      <c r="B142" s="356">
        <v>35</v>
      </c>
      <c r="C142" s="564"/>
      <c r="D142" s="980"/>
      <c r="E142" s="356">
        <v>1725</v>
      </c>
      <c r="F142" s="564"/>
      <c r="G142" s="980"/>
      <c r="H142" s="356">
        <v>8.6999999999999993</v>
      </c>
      <c r="I142" s="564"/>
      <c r="K142" s="107"/>
      <c r="L142" s="107"/>
      <c r="M142" s="873"/>
      <c r="N142" s="874"/>
      <c r="O142" s="221"/>
      <c r="P142" s="107"/>
    </row>
    <row r="143" spans="1:20" x14ac:dyDescent="0.25">
      <c r="A143" s="980"/>
      <c r="B143" s="356">
        <v>36</v>
      </c>
      <c r="C143" s="564"/>
      <c r="D143" s="980"/>
      <c r="E143" s="356">
        <v>1775</v>
      </c>
      <c r="F143" s="564"/>
      <c r="G143" s="981"/>
      <c r="H143" s="356">
        <v>8.9</v>
      </c>
      <c r="I143" s="564"/>
      <c r="K143" s="107"/>
      <c r="L143" s="107"/>
      <c r="M143" s="107"/>
      <c r="N143" s="107"/>
      <c r="O143" s="107"/>
      <c r="P143" s="107"/>
    </row>
    <row r="144" spans="1:20" x14ac:dyDescent="0.25">
      <c r="A144" s="980"/>
      <c r="B144" s="356">
        <v>37</v>
      </c>
      <c r="C144" s="564"/>
      <c r="D144" s="980"/>
      <c r="E144" s="356">
        <v>1825</v>
      </c>
      <c r="F144" s="564"/>
      <c r="G144" s="107"/>
      <c r="H144" s="107"/>
      <c r="I144" s="107"/>
      <c r="K144" s="107"/>
      <c r="L144" s="107"/>
      <c r="M144" s="107"/>
      <c r="N144" s="107"/>
      <c r="O144" s="107"/>
      <c r="P144" s="107"/>
    </row>
    <row r="145" spans="1:16" x14ac:dyDescent="0.25">
      <c r="A145" s="980"/>
      <c r="B145" s="356">
        <v>38</v>
      </c>
      <c r="C145" s="564"/>
      <c r="D145" s="980"/>
      <c r="E145" s="356">
        <v>1875</v>
      </c>
      <c r="F145" s="564"/>
      <c r="G145" s="107"/>
      <c r="H145" s="107"/>
      <c r="I145" s="107"/>
      <c r="K145" s="107"/>
      <c r="L145" s="107"/>
      <c r="M145" s="107"/>
      <c r="N145" s="107"/>
      <c r="O145" s="107"/>
      <c r="P145" s="107"/>
    </row>
    <row r="146" spans="1:16" x14ac:dyDescent="0.25">
      <c r="A146" s="980"/>
      <c r="B146" s="356">
        <v>39</v>
      </c>
      <c r="C146" s="564"/>
      <c r="D146" s="980"/>
      <c r="E146" s="356">
        <v>1925</v>
      </c>
      <c r="F146" s="564"/>
      <c r="G146" s="107"/>
      <c r="H146" s="107"/>
      <c r="I146" s="107"/>
    </row>
    <row r="147" spans="1:16" x14ac:dyDescent="0.25">
      <c r="A147" s="980"/>
      <c r="B147" s="356">
        <v>40</v>
      </c>
      <c r="C147" s="564"/>
      <c r="D147" s="981"/>
      <c r="E147" s="356">
        <v>1975</v>
      </c>
      <c r="F147" s="564"/>
      <c r="G147" s="107"/>
      <c r="H147" s="107"/>
      <c r="I147" s="107"/>
    </row>
    <row r="148" spans="1:16" x14ac:dyDescent="0.25">
      <c r="A148" s="980"/>
      <c r="B148" s="356">
        <v>41</v>
      </c>
      <c r="C148" s="564"/>
      <c r="D148" s="107"/>
      <c r="E148" s="107"/>
      <c r="F148" s="107"/>
      <c r="G148" s="107"/>
      <c r="H148" s="107"/>
      <c r="I148" s="107"/>
    </row>
    <row r="149" spans="1:16" x14ac:dyDescent="0.25">
      <c r="A149" s="980"/>
      <c r="B149" s="356">
        <v>42</v>
      </c>
      <c r="C149" s="564"/>
      <c r="D149" s="107"/>
      <c r="E149" s="107"/>
      <c r="F149" s="107"/>
      <c r="G149" s="107"/>
      <c r="H149" s="107"/>
      <c r="I149" s="107"/>
    </row>
    <row r="150" spans="1:16" x14ac:dyDescent="0.25">
      <c r="A150" s="980"/>
      <c r="B150" s="356">
        <v>43</v>
      </c>
      <c r="C150" s="564"/>
      <c r="D150" s="107"/>
      <c r="E150" s="107"/>
      <c r="F150" s="107"/>
      <c r="G150" s="107"/>
      <c r="H150" s="107"/>
      <c r="I150" s="107"/>
    </row>
    <row r="151" spans="1:16" x14ac:dyDescent="0.25">
      <c r="A151" s="980"/>
      <c r="B151" s="356">
        <v>44</v>
      </c>
      <c r="C151" s="564"/>
      <c r="D151" s="107"/>
      <c r="E151" s="107"/>
      <c r="F151" s="107"/>
      <c r="G151" s="107"/>
      <c r="H151" s="107"/>
      <c r="I151" s="107"/>
    </row>
    <row r="152" spans="1:16" x14ac:dyDescent="0.25">
      <c r="A152" s="980"/>
      <c r="B152" s="356">
        <v>45</v>
      </c>
      <c r="C152" s="564"/>
      <c r="D152" s="107"/>
      <c r="E152" s="107"/>
      <c r="F152" s="107"/>
      <c r="G152" s="107"/>
      <c r="H152" s="107"/>
      <c r="I152" s="107"/>
    </row>
    <row r="153" spans="1:16" x14ac:dyDescent="0.25">
      <c r="A153" s="980"/>
      <c r="B153" s="356">
        <v>46</v>
      </c>
      <c r="C153" s="564"/>
      <c r="D153" s="107"/>
      <c r="E153" s="107"/>
      <c r="F153" s="107"/>
      <c r="G153" s="107"/>
      <c r="H153" s="107"/>
      <c r="I153" s="107"/>
    </row>
    <row r="154" spans="1:16" x14ac:dyDescent="0.25">
      <c r="A154" s="980"/>
      <c r="B154" s="356">
        <v>47</v>
      </c>
      <c r="C154" s="564"/>
      <c r="D154" s="107"/>
      <c r="E154" s="107"/>
      <c r="F154" s="107"/>
      <c r="G154" s="107"/>
      <c r="H154" s="107"/>
      <c r="I154" s="107"/>
    </row>
    <row r="155" spans="1:16" x14ac:dyDescent="0.25">
      <c r="A155" s="980"/>
      <c r="B155" s="356">
        <v>48</v>
      </c>
      <c r="C155" s="564"/>
      <c r="D155" s="107"/>
      <c r="E155" s="107"/>
      <c r="F155" s="107"/>
      <c r="G155" s="107"/>
      <c r="H155" s="107"/>
      <c r="I155" s="107"/>
    </row>
    <row r="156" spans="1:16" x14ac:dyDescent="0.25">
      <c r="A156" s="980"/>
      <c r="B156" s="356">
        <v>49</v>
      </c>
      <c r="C156" s="564"/>
      <c r="D156" s="107"/>
      <c r="E156" s="107"/>
      <c r="F156" s="107"/>
      <c r="G156" s="107"/>
      <c r="H156" s="107"/>
      <c r="I156" s="107"/>
    </row>
    <row r="157" spans="1:16" x14ac:dyDescent="0.25">
      <c r="A157" s="981"/>
      <c r="B157" s="356">
        <v>50</v>
      </c>
      <c r="C157" s="564"/>
      <c r="D157" s="107"/>
      <c r="E157" s="107"/>
      <c r="F157" s="107"/>
      <c r="G157" s="107"/>
      <c r="H157" s="107"/>
      <c r="I157" s="107"/>
    </row>
    <row r="158" spans="1:16" ht="15.75" thickBot="1" x14ac:dyDescent="0.3">
      <c r="A158" s="107"/>
      <c r="B158" s="107"/>
      <c r="C158" s="107"/>
      <c r="D158" s="107"/>
      <c r="E158" s="107"/>
      <c r="F158" s="107"/>
      <c r="G158" s="107"/>
      <c r="H158" s="107"/>
      <c r="I158" s="107"/>
    </row>
    <row r="159" spans="1:16" ht="15.75" thickBot="1" x14ac:dyDescent="0.3">
      <c r="A159" s="982" t="s">
        <v>1113</v>
      </c>
      <c r="B159" s="983"/>
      <c r="C159" s="983"/>
      <c r="D159" s="983"/>
      <c r="E159" s="983"/>
      <c r="F159" s="983"/>
      <c r="G159" s="983"/>
      <c r="H159" s="983"/>
      <c r="I159" s="984"/>
    </row>
    <row r="160" spans="1:16" x14ac:dyDescent="0.25">
      <c r="A160" s="107" t="s">
        <v>488</v>
      </c>
      <c r="B160" s="853">
        <f>Berechnungen!D$7</f>
        <v>0</v>
      </c>
      <c r="C160" s="107"/>
      <c r="D160" s="107" t="s">
        <v>489</v>
      </c>
      <c r="E160" s="107"/>
      <c r="F160" s="107"/>
      <c r="G160" s="854">
        <f>IF(Berechnungen!D7&gt;0,"Neuerrichtung",0)</f>
        <v>0</v>
      </c>
      <c r="H160" s="107"/>
      <c r="I160" s="855">
        <f>IF(OR($G160=0,$G160="Bestand"),0,Berechnungen!$F$7)</f>
        <v>0</v>
      </c>
    </row>
    <row r="161" spans="1:9" ht="18" x14ac:dyDescent="0.35">
      <c r="A161" s="346"/>
      <c r="B161" s="31" t="s">
        <v>22</v>
      </c>
      <c r="C161" s="31" t="s">
        <v>25</v>
      </c>
      <c r="D161" s="32"/>
      <c r="E161" s="31" t="s">
        <v>753</v>
      </c>
      <c r="F161" s="31" t="s">
        <v>26</v>
      </c>
      <c r="G161" s="32"/>
      <c r="H161" s="31" t="s">
        <v>754</v>
      </c>
      <c r="I161" s="31" t="s">
        <v>25</v>
      </c>
    </row>
    <row r="162" spans="1:9" x14ac:dyDescent="0.25">
      <c r="A162" s="979" t="s">
        <v>30</v>
      </c>
      <c r="B162" s="108">
        <v>2</v>
      </c>
      <c r="C162" s="565"/>
      <c r="D162" s="979" t="s">
        <v>28</v>
      </c>
      <c r="E162" s="108">
        <v>75</v>
      </c>
      <c r="F162" s="565"/>
      <c r="G162" s="979" t="s">
        <v>29</v>
      </c>
      <c r="H162" s="108">
        <v>2.1</v>
      </c>
      <c r="I162" s="565"/>
    </row>
    <row r="163" spans="1:9" x14ac:dyDescent="0.25">
      <c r="A163" s="980"/>
      <c r="B163" s="356">
        <v>3</v>
      </c>
      <c r="C163" s="565"/>
      <c r="D163" s="980"/>
      <c r="E163" s="356">
        <v>125</v>
      </c>
      <c r="F163" s="565"/>
      <c r="G163" s="980"/>
      <c r="H163" s="356">
        <v>2.2999999999999998</v>
      </c>
      <c r="I163" s="565"/>
    </row>
    <row r="164" spans="1:9" x14ac:dyDescent="0.25">
      <c r="A164" s="980"/>
      <c r="B164" s="356">
        <v>4</v>
      </c>
      <c r="C164" s="565"/>
      <c r="D164" s="980"/>
      <c r="E164" s="356">
        <v>175</v>
      </c>
      <c r="F164" s="565"/>
      <c r="G164" s="980"/>
      <c r="H164" s="356">
        <v>2.5</v>
      </c>
      <c r="I164" s="565"/>
    </row>
    <row r="165" spans="1:9" x14ac:dyDescent="0.25">
      <c r="A165" s="980"/>
      <c r="B165" s="356">
        <v>5</v>
      </c>
      <c r="C165" s="565"/>
      <c r="D165" s="980"/>
      <c r="E165" s="356">
        <v>225</v>
      </c>
      <c r="F165" s="565"/>
      <c r="G165" s="980"/>
      <c r="H165" s="356">
        <v>2.7</v>
      </c>
      <c r="I165" s="565"/>
    </row>
    <row r="166" spans="1:9" x14ac:dyDescent="0.25">
      <c r="A166" s="980"/>
      <c r="B166" s="356">
        <v>6</v>
      </c>
      <c r="C166" s="565"/>
      <c r="D166" s="980"/>
      <c r="E166" s="356">
        <v>275</v>
      </c>
      <c r="F166" s="565"/>
      <c r="G166" s="980"/>
      <c r="H166" s="356">
        <v>2.9</v>
      </c>
      <c r="I166" s="565"/>
    </row>
    <row r="167" spans="1:9" x14ac:dyDescent="0.25">
      <c r="A167" s="980"/>
      <c r="B167" s="356">
        <v>7</v>
      </c>
      <c r="C167" s="565"/>
      <c r="D167" s="980"/>
      <c r="E167" s="356">
        <v>325</v>
      </c>
      <c r="F167" s="565"/>
      <c r="G167" s="980"/>
      <c r="H167" s="356">
        <v>3.1</v>
      </c>
      <c r="I167" s="565"/>
    </row>
    <row r="168" spans="1:9" x14ac:dyDescent="0.25">
      <c r="A168" s="980"/>
      <c r="B168" s="356">
        <v>8</v>
      </c>
      <c r="C168" s="565"/>
      <c r="D168" s="980"/>
      <c r="E168" s="356">
        <v>375</v>
      </c>
      <c r="F168" s="565"/>
      <c r="G168" s="980"/>
      <c r="H168" s="356">
        <v>3.3</v>
      </c>
      <c r="I168" s="565"/>
    </row>
    <row r="169" spans="1:9" x14ac:dyDescent="0.25">
      <c r="A169" s="980"/>
      <c r="B169" s="356">
        <v>9</v>
      </c>
      <c r="C169" s="565"/>
      <c r="D169" s="980"/>
      <c r="E169" s="356">
        <v>425</v>
      </c>
      <c r="F169" s="565"/>
      <c r="G169" s="980"/>
      <c r="H169" s="356">
        <v>3.5</v>
      </c>
      <c r="I169" s="565"/>
    </row>
    <row r="170" spans="1:9" x14ac:dyDescent="0.25">
      <c r="A170" s="980"/>
      <c r="B170" s="356">
        <v>10</v>
      </c>
      <c r="C170" s="565"/>
      <c r="D170" s="980"/>
      <c r="E170" s="356">
        <v>475</v>
      </c>
      <c r="F170" s="565"/>
      <c r="G170" s="980"/>
      <c r="H170" s="356">
        <v>3.7</v>
      </c>
      <c r="I170" s="565"/>
    </row>
    <row r="171" spans="1:9" x14ac:dyDescent="0.25">
      <c r="A171" s="980"/>
      <c r="B171" s="356">
        <v>11</v>
      </c>
      <c r="C171" s="565"/>
      <c r="D171" s="980"/>
      <c r="E171" s="356">
        <v>525</v>
      </c>
      <c r="F171" s="565"/>
      <c r="G171" s="980"/>
      <c r="H171" s="356">
        <v>3.9</v>
      </c>
      <c r="I171" s="565"/>
    </row>
    <row r="172" spans="1:9" x14ac:dyDescent="0.25">
      <c r="A172" s="980"/>
      <c r="B172" s="356">
        <v>12</v>
      </c>
      <c r="C172" s="565"/>
      <c r="D172" s="980"/>
      <c r="E172" s="356">
        <v>575</v>
      </c>
      <c r="F172" s="565"/>
      <c r="G172" s="980"/>
      <c r="H172" s="356">
        <v>4.0999999999999996</v>
      </c>
      <c r="I172" s="565"/>
    </row>
    <row r="173" spans="1:9" x14ac:dyDescent="0.25">
      <c r="A173" s="980"/>
      <c r="B173" s="356">
        <v>13</v>
      </c>
      <c r="C173" s="565"/>
      <c r="D173" s="980"/>
      <c r="E173" s="356">
        <v>625</v>
      </c>
      <c r="F173" s="565"/>
      <c r="G173" s="980"/>
      <c r="H173" s="356">
        <v>4.3</v>
      </c>
      <c r="I173" s="565"/>
    </row>
    <row r="174" spans="1:9" x14ac:dyDescent="0.25">
      <c r="A174" s="980"/>
      <c r="B174" s="356">
        <v>14</v>
      </c>
      <c r="C174" s="565"/>
      <c r="D174" s="980"/>
      <c r="E174" s="356">
        <v>675</v>
      </c>
      <c r="F174" s="565"/>
      <c r="G174" s="980"/>
      <c r="H174" s="356">
        <v>4.5</v>
      </c>
      <c r="I174" s="565"/>
    </row>
    <row r="175" spans="1:9" x14ac:dyDescent="0.25">
      <c r="A175" s="980"/>
      <c r="B175" s="356">
        <v>15</v>
      </c>
      <c r="C175" s="565"/>
      <c r="D175" s="980"/>
      <c r="E175" s="356">
        <v>725</v>
      </c>
      <c r="F175" s="565"/>
      <c r="G175" s="980"/>
      <c r="H175" s="356">
        <v>4.7</v>
      </c>
      <c r="I175" s="565"/>
    </row>
    <row r="176" spans="1:9" x14ac:dyDescent="0.25">
      <c r="A176" s="980"/>
      <c r="B176" s="356">
        <v>16</v>
      </c>
      <c r="C176" s="565"/>
      <c r="D176" s="980"/>
      <c r="E176" s="356">
        <v>775</v>
      </c>
      <c r="F176" s="565"/>
      <c r="G176" s="980"/>
      <c r="H176" s="356">
        <v>4.9000000000000004</v>
      </c>
      <c r="I176" s="565"/>
    </row>
    <row r="177" spans="1:9" x14ac:dyDescent="0.25">
      <c r="A177" s="980"/>
      <c r="B177" s="356">
        <v>17</v>
      </c>
      <c r="C177" s="565"/>
      <c r="D177" s="980"/>
      <c r="E177" s="356">
        <v>825</v>
      </c>
      <c r="F177" s="565"/>
      <c r="G177" s="980"/>
      <c r="H177" s="356">
        <v>5.0999999999999996</v>
      </c>
      <c r="I177" s="565"/>
    </row>
    <row r="178" spans="1:9" x14ac:dyDescent="0.25">
      <c r="A178" s="980"/>
      <c r="B178" s="356">
        <v>18</v>
      </c>
      <c r="C178" s="565"/>
      <c r="D178" s="980"/>
      <c r="E178" s="356">
        <v>875</v>
      </c>
      <c r="F178" s="565"/>
      <c r="G178" s="980"/>
      <c r="H178" s="356">
        <v>5.3</v>
      </c>
      <c r="I178" s="565"/>
    </row>
    <row r="179" spans="1:9" x14ac:dyDescent="0.25">
      <c r="A179" s="980"/>
      <c r="B179" s="356">
        <v>19</v>
      </c>
      <c r="C179" s="565"/>
      <c r="D179" s="980"/>
      <c r="E179" s="356">
        <v>925</v>
      </c>
      <c r="F179" s="565"/>
      <c r="G179" s="980"/>
      <c r="H179" s="356">
        <v>5.5</v>
      </c>
      <c r="I179" s="565"/>
    </row>
    <row r="180" spans="1:9" x14ac:dyDescent="0.25">
      <c r="A180" s="980"/>
      <c r="B180" s="356">
        <v>20</v>
      </c>
      <c r="C180" s="565"/>
      <c r="D180" s="980"/>
      <c r="E180" s="356">
        <v>975</v>
      </c>
      <c r="F180" s="565"/>
      <c r="G180" s="980"/>
      <c r="H180" s="356">
        <v>5.7</v>
      </c>
      <c r="I180" s="565"/>
    </row>
    <row r="181" spans="1:9" x14ac:dyDescent="0.25">
      <c r="A181" s="980"/>
      <c r="B181" s="356">
        <v>21</v>
      </c>
      <c r="C181" s="565"/>
      <c r="D181" s="980"/>
      <c r="E181" s="356">
        <v>1025</v>
      </c>
      <c r="F181" s="565"/>
      <c r="G181" s="980"/>
      <c r="H181" s="356">
        <v>5.9</v>
      </c>
      <c r="I181" s="565"/>
    </row>
    <row r="182" spans="1:9" x14ac:dyDescent="0.25">
      <c r="A182" s="980"/>
      <c r="B182" s="356">
        <v>22</v>
      </c>
      <c r="C182" s="565"/>
      <c r="D182" s="980"/>
      <c r="E182" s="356">
        <v>1075</v>
      </c>
      <c r="F182" s="565"/>
      <c r="G182" s="980"/>
      <c r="H182" s="356">
        <v>6.1</v>
      </c>
      <c r="I182" s="565"/>
    </row>
    <row r="183" spans="1:9" ht="15" customHeight="1" x14ac:dyDescent="0.25">
      <c r="A183" s="980"/>
      <c r="B183" s="356">
        <v>23</v>
      </c>
      <c r="C183" s="565"/>
      <c r="D183" s="980"/>
      <c r="E183" s="356">
        <v>1125</v>
      </c>
      <c r="F183" s="565"/>
      <c r="G183" s="980"/>
      <c r="H183" s="356">
        <v>6.3</v>
      </c>
      <c r="I183" s="565"/>
    </row>
    <row r="184" spans="1:9" x14ac:dyDescent="0.25">
      <c r="A184" s="980"/>
      <c r="B184" s="356">
        <v>24</v>
      </c>
      <c r="C184" s="565"/>
      <c r="D184" s="980"/>
      <c r="E184" s="356">
        <v>1175</v>
      </c>
      <c r="F184" s="565"/>
      <c r="G184" s="980"/>
      <c r="H184" s="356">
        <v>6.5</v>
      </c>
      <c r="I184" s="565"/>
    </row>
    <row r="185" spans="1:9" x14ac:dyDescent="0.25">
      <c r="A185" s="980"/>
      <c r="B185" s="356">
        <v>25</v>
      </c>
      <c r="C185" s="565"/>
      <c r="D185" s="980"/>
      <c r="E185" s="356">
        <v>1225</v>
      </c>
      <c r="F185" s="565"/>
      <c r="G185" s="980"/>
      <c r="H185" s="356">
        <v>6.7</v>
      </c>
      <c r="I185" s="565"/>
    </row>
    <row r="186" spans="1:9" x14ac:dyDescent="0.25">
      <c r="A186" s="980"/>
      <c r="B186" s="356">
        <v>26</v>
      </c>
      <c r="C186" s="565"/>
      <c r="D186" s="980"/>
      <c r="E186" s="356">
        <v>1275</v>
      </c>
      <c r="F186" s="565"/>
      <c r="G186" s="980"/>
      <c r="H186" s="356">
        <v>6.9</v>
      </c>
      <c r="I186" s="565"/>
    </row>
    <row r="187" spans="1:9" x14ac:dyDescent="0.25">
      <c r="A187" s="980"/>
      <c r="B187" s="356">
        <v>27</v>
      </c>
      <c r="C187" s="565"/>
      <c r="D187" s="980"/>
      <c r="E187" s="356">
        <v>1325</v>
      </c>
      <c r="F187" s="565"/>
      <c r="G187" s="980"/>
      <c r="H187" s="356">
        <v>7.1</v>
      </c>
      <c r="I187" s="565"/>
    </row>
    <row r="188" spans="1:9" x14ac:dyDescent="0.25">
      <c r="A188" s="980"/>
      <c r="B188" s="356">
        <v>28</v>
      </c>
      <c r="C188" s="565"/>
      <c r="D188" s="980"/>
      <c r="E188" s="356">
        <v>1375</v>
      </c>
      <c r="F188" s="565"/>
      <c r="G188" s="980"/>
      <c r="H188" s="356">
        <v>7.3</v>
      </c>
      <c r="I188" s="565"/>
    </row>
    <row r="189" spans="1:9" x14ac:dyDescent="0.25">
      <c r="A189" s="980"/>
      <c r="B189" s="356">
        <v>29</v>
      </c>
      <c r="C189" s="565"/>
      <c r="D189" s="980"/>
      <c r="E189" s="356">
        <v>1425</v>
      </c>
      <c r="F189" s="565"/>
      <c r="G189" s="980"/>
      <c r="H189" s="356">
        <v>7.5</v>
      </c>
      <c r="I189" s="565"/>
    </row>
    <row r="190" spans="1:9" x14ac:dyDescent="0.25">
      <c r="A190" s="980"/>
      <c r="B190" s="356">
        <v>30</v>
      </c>
      <c r="C190" s="565"/>
      <c r="D190" s="980"/>
      <c r="E190" s="356">
        <v>1475</v>
      </c>
      <c r="F190" s="565"/>
      <c r="G190" s="980"/>
      <c r="H190" s="356">
        <v>7.7</v>
      </c>
      <c r="I190" s="565"/>
    </row>
    <row r="191" spans="1:9" x14ac:dyDescent="0.25">
      <c r="A191" s="980"/>
      <c r="B191" s="356">
        <v>31</v>
      </c>
      <c r="C191" s="565"/>
      <c r="D191" s="980"/>
      <c r="E191" s="356">
        <v>1525</v>
      </c>
      <c r="F191" s="565"/>
      <c r="G191" s="980"/>
      <c r="H191" s="356">
        <v>7.9</v>
      </c>
      <c r="I191" s="565"/>
    </row>
    <row r="192" spans="1:9" x14ac:dyDescent="0.25">
      <c r="A192" s="980"/>
      <c r="B192" s="356">
        <v>32</v>
      </c>
      <c r="C192" s="565"/>
      <c r="D192" s="980"/>
      <c r="E192" s="356">
        <v>1575</v>
      </c>
      <c r="F192" s="565"/>
      <c r="G192" s="980"/>
      <c r="H192" s="356">
        <v>8.1</v>
      </c>
      <c r="I192" s="565"/>
    </row>
    <row r="193" spans="1:9" x14ac:dyDescent="0.25">
      <c r="A193" s="980"/>
      <c r="B193" s="356">
        <v>33</v>
      </c>
      <c r="C193" s="565"/>
      <c r="D193" s="980"/>
      <c r="E193" s="356">
        <v>1625</v>
      </c>
      <c r="F193" s="565"/>
      <c r="G193" s="980"/>
      <c r="H193" s="356">
        <v>8.3000000000000007</v>
      </c>
      <c r="I193" s="565"/>
    </row>
    <row r="194" spans="1:9" x14ac:dyDescent="0.25">
      <c r="A194" s="980"/>
      <c r="B194" s="356">
        <v>34</v>
      </c>
      <c r="C194" s="565"/>
      <c r="D194" s="980"/>
      <c r="E194" s="356">
        <v>1675</v>
      </c>
      <c r="F194" s="565"/>
      <c r="G194" s="980"/>
      <c r="H194" s="356">
        <v>8.5</v>
      </c>
      <c r="I194" s="565"/>
    </row>
    <row r="195" spans="1:9" x14ac:dyDescent="0.25">
      <c r="A195" s="980"/>
      <c r="B195" s="356">
        <v>35</v>
      </c>
      <c r="C195" s="565"/>
      <c r="D195" s="980"/>
      <c r="E195" s="356">
        <v>1725</v>
      </c>
      <c r="F195" s="565"/>
      <c r="G195" s="980"/>
      <c r="H195" s="356">
        <v>8.6999999999999993</v>
      </c>
      <c r="I195" s="565"/>
    </row>
    <row r="196" spans="1:9" x14ac:dyDescent="0.25">
      <c r="A196" s="980"/>
      <c r="B196" s="356">
        <v>36</v>
      </c>
      <c r="C196" s="565"/>
      <c r="D196" s="980"/>
      <c r="E196" s="356">
        <v>1775</v>
      </c>
      <c r="F196" s="565"/>
      <c r="G196" s="981"/>
      <c r="H196" s="356">
        <v>8.9</v>
      </c>
      <c r="I196" s="565"/>
    </row>
    <row r="197" spans="1:9" x14ac:dyDescent="0.25">
      <c r="A197" s="980"/>
      <c r="B197" s="356">
        <v>37</v>
      </c>
      <c r="C197" s="565"/>
      <c r="D197" s="980"/>
      <c r="E197" s="356">
        <v>1825</v>
      </c>
      <c r="F197" s="565"/>
      <c r="G197" s="107"/>
      <c r="H197" s="107"/>
      <c r="I197" s="107"/>
    </row>
    <row r="198" spans="1:9" x14ac:dyDescent="0.25">
      <c r="A198" s="980"/>
      <c r="B198" s="356">
        <v>38</v>
      </c>
      <c r="C198" s="565"/>
      <c r="D198" s="980"/>
      <c r="E198" s="356">
        <v>1875</v>
      </c>
      <c r="F198" s="565"/>
      <c r="G198" s="107"/>
      <c r="H198" s="107"/>
      <c r="I198" s="107"/>
    </row>
    <row r="199" spans="1:9" x14ac:dyDescent="0.25">
      <c r="A199" s="980"/>
      <c r="B199" s="356">
        <v>39</v>
      </c>
      <c r="C199" s="565"/>
      <c r="D199" s="980"/>
      <c r="E199" s="356">
        <v>1925</v>
      </c>
      <c r="F199" s="565"/>
      <c r="G199" s="107"/>
      <c r="H199" s="107"/>
      <c r="I199" s="107"/>
    </row>
    <row r="200" spans="1:9" x14ac:dyDescent="0.25">
      <c r="A200" s="980"/>
      <c r="B200" s="356">
        <v>40</v>
      </c>
      <c r="C200" s="565"/>
      <c r="D200" s="981"/>
      <c r="E200" s="356">
        <v>1975</v>
      </c>
      <c r="F200" s="565"/>
      <c r="G200" s="107"/>
      <c r="H200" s="107"/>
      <c r="I200" s="107"/>
    </row>
    <row r="201" spans="1:9" x14ac:dyDescent="0.25">
      <c r="A201" s="980"/>
      <c r="B201" s="356">
        <v>41</v>
      </c>
      <c r="C201" s="565"/>
      <c r="D201" s="107"/>
      <c r="E201" s="107"/>
      <c r="F201" s="107"/>
      <c r="G201" s="107"/>
      <c r="H201" s="107"/>
      <c r="I201" s="107"/>
    </row>
    <row r="202" spans="1:9" x14ac:dyDescent="0.25">
      <c r="A202" s="980"/>
      <c r="B202" s="356">
        <v>42</v>
      </c>
      <c r="C202" s="565"/>
      <c r="D202" s="107"/>
      <c r="E202" s="107"/>
      <c r="F202" s="107"/>
      <c r="G202" s="107"/>
      <c r="H202" s="107"/>
      <c r="I202" s="107"/>
    </row>
    <row r="203" spans="1:9" x14ac:dyDescent="0.25">
      <c r="A203" s="980"/>
      <c r="B203" s="356">
        <v>43</v>
      </c>
      <c r="C203" s="565"/>
      <c r="D203" s="107"/>
      <c r="E203" s="107"/>
      <c r="F203" s="107"/>
      <c r="G203" s="107"/>
      <c r="H203" s="107"/>
      <c r="I203" s="107"/>
    </row>
    <row r="204" spans="1:9" x14ac:dyDescent="0.25">
      <c r="A204" s="980"/>
      <c r="B204" s="356">
        <v>44</v>
      </c>
      <c r="C204" s="565"/>
      <c r="D204" s="107"/>
      <c r="E204" s="107"/>
      <c r="F204" s="107"/>
      <c r="G204" s="107"/>
      <c r="H204" s="107"/>
      <c r="I204" s="107"/>
    </row>
    <row r="205" spans="1:9" x14ac:dyDescent="0.25">
      <c r="A205" s="980"/>
      <c r="B205" s="356">
        <v>45</v>
      </c>
      <c r="C205" s="565"/>
      <c r="D205" s="107"/>
      <c r="E205" s="107"/>
      <c r="F205" s="107"/>
      <c r="G205" s="107"/>
      <c r="H205" s="107"/>
      <c r="I205" s="107"/>
    </row>
    <row r="206" spans="1:9" x14ac:dyDescent="0.25">
      <c r="A206" s="980"/>
      <c r="B206" s="356">
        <v>46</v>
      </c>
      <c r="C206" s="565"/>
      <c r="D206" s="107"/>
      <c r="E206" s="107"/>
      <c r="F206" s="107"/>
      <c r="G206" s="107"/>
      <c r="H206" s="107"/>
      <c r="I206" s="107"/>
    </row>
    <row r="207" spans="1:9" x14ac:dyDescent="0.25">
      <c r="A207" s="980"/>
      <c r="B207" s="356">
        <v>47</v>
      </c>
      <c r="C207" s="565"/>
      <c r="D207" s="107"/>
      <c r="E207" s="107"/>
      <c r="F207" s="107"/>
      <c r="G207" s="107"/>
      <c r="H207" s="107"/>
      <c r="I207" s="107"/>
    </row>
    <row r="208" spans="1:9" x14ac:dyDescent="0.25">
      <c r="A208" s="980"/>
      <c r="B208" s="356">
        <v>48</v>
      </c>
      <c r="C208" s="565"/>
      <c r="D208" s="107"/>
      <c r="E208" s="107"/>
      <c r="F208" s="107"/>
      <c r="G208" s="107"/>
      <c r="H208" s="107"/>
      <c r="I208" s="107"/>
    </row>
    <row r="209" spans="1:9" x14ac:dyDescent="0.25">
      <c r="A209" s="980"/>
      <c r="B209" s="356">
        <v>49</v>
      </c>
      <c r="C209" s="565"/>
      <c r="D209" s="107"/>
      <c r="E209" s="107"/>
      <c r="F209" s="107"/>
      <c r="G209" s="107"/>
      <c r="H209" s="107"/>
      <c r="I209" s="107"/>
    </row>
    <row r="210" spans="1:9" x14ac:dyDescent="0.25">
      <c r="A210" s="981"/>
      <c r="B210" s="356">
        <v>50</v>
      </c>
      <c r="C210" s="565"/>
      <c r="D210" s="107"/>
      <c r="E210" s="107"/>
      <c r="F210" s="107"/>
      <c r="G210" s="107"/>
      <c r="H210" s="107"/>
      <c r="I210" s="107"/>
    </row>
    <row r="211" spans="1:9" ht="15.75" thickBot="1" x14ac:dyDescent="0.3">
      <c r="A211" s="107"/>
      <c r="B211" s="107"/>
      <c r="C211" s="107"/>
      <c r="D211" s="107"/>
      <c r="E211" s="107"/>
      <c r="F211" s="107"/>
      <c r="G211" s="107"/>
      <c r="H211" s="107"/>
      <c r="I211" s="107"/>
    </row>
    <row r="212" spans="1:9" ht="15.75" thickBot="1" x14ac:dyDescent="0.3">
      <c r="A212" s="982" t="s">
        <v>1114</v>
      </c>
      <c r="B212" s="983"/>
      <c r="C212" s="983"/>
      <c r="D212" s="983"/>
      <c r="E212" s="983"/>
      <c r="F212" s="983"/>
      <c r="G212" s="983"/>
      <c r="H212" s="983"/>
      <c r="I212" s="984"/>
    </row>
    <row r="213" spans="1:9" x14ac:dyDescent="0.25">
      <c r="A213" s="107" t="s">
        <v>488</v>
      </c>
      <c r="B213" s="853">
        <f>Berechnungen!D$8</f>
        <v>0</v>
      </c>
      <c r="C213" s="107"/>
      <c r="D213" s="107" t="s">
        <v>489</v>
      </c>
      <c r="E213" s="107"/>
      <c r="F213" s="107"/>
      <c r="G213" s="854">
        <f>IF(Berechnungen!D8&gt;0,"Neuerrichtung",0)</f>
        <v>0</v>
      </c>
      <c r="H213" s="107"/>
      <c r="I213" s="855">
        <f>IF(OR($G213=0,$G213="Bestand"),0,Berechnungen!$F$8)</f>
        <v>0</v>
      </c>
    </row>
    <row r="214" spans="1:9" ht="18" x14ac:dyDescent="0.35">
      <c r="A214" s="346"/>
      <c r="B214" s="31" t="s">
        <v>22</v>
      </c>
      <c r="C214" s="31" t="s">
        <v>25</v>
      </c>
      <c r="D214" s="32"/>
      <c r="E214" s="31" t="s">
        <v>753</v>
      </c>
      <c r="F214" s="31" t="s">
        <v>26</v>
      </c>
      <c r="G214" s="32"/>
      <c r="H214" s="31" t="s">
        <v>754</v>
      </c>
      <c r="I214" s="31" t="s">
        <v>25</v>
      </c>
    </row>
    <row r="215" spans="1:9" x14ac:dyDescent="0.25">
      <c r="A215" s="979" t="s">
        <v>30</v>
      </c>
      <c r="B215" s="108">
        <v>2</v>
      </c>
      <c r="C215" s="564"/>
      <c r="D215" s="979" t="s">
        <v>28</v>
      </c>
      <c r="E215" s="108">
        <v>75</v>
      </c>
      <c r="F215" s="564"/>
      <c r="G215" s="979" t="s">
        <v>29</v>
      </c>
      <c r="H215" s="108">
        <v>2.1</v>
      </c>
      <c r="I215" s="564"/>
    </row>
    <row r="216" spans="1:9" x14ac:dyDescent="0.25">
      <c r="A216" s="980"/>
      <c r="B216" s="356">
        <v>3</v>
      </c>
      <c r="C216" s="564"/>
      <c r="D216" s="980"/>
      <c r="E216" s="356">
        <v>125</v>
      </c>
      <c r="F216" s="564"/>
      <c r="G216" s="980"/>
      <c r="H216" s="356">
        <v>2.2999999999999998</v>
      </c>
      <c r="I216" s="564"/>
    </row>
    <row r="217" spans="1:9" x14ac:dyDescent="0.25">
      <c r="A217" s="980"/>
      <c r="B217" s="356">
        <v>4</v>
      </c>
      <c r="C217" s="564"/>
      <c r="D217" s="980"/>
      <c r="E217" s="356">
        <v>175</v>
      </c>
      <c r="F217" s="564"/>
      <c r="G217" s="980"/>
      <c r="H217" s="356">
        <v>2.5</v>
      </c>
      <c r="I217" s="564"/>
    </row>
    <row r="218" spans="1:9" x14ac:dyDescent="0.25">
      <c r="A218" s="980"/>
      <c r="B218" s="356">
        <v>5</v>
      </c>
      <c r="C218" s="564"/>
      <c r="D218" s="980"/>
      <c r="E218" s="356">
        <v>225</v>
      </c>
      <c r="F218" s="564"/>
      <c r="G218" s="980"/>
      <c r="H218" s="356">
        <v>2.7</v>
      </c>
      <c r="I218" s="564"/>
    </row>
    <row r="219" spans="1:9" x14ac:dyDescent="0.25">
      <c r="A219" s="980"/>
      <c r="B219" s="356">
        <v>6</v>
      </c>
      <c r="C219" s="564"/>
      <c r="D219" s="980"/>
      <c r="E219" s="356">
        <v>275</v>
      </c>
      <c r="F219" s="564"/>
      <c r="G219" s="980"/>
      <c r="H219" s="356">
        <v>2.9</v>
      </c>
      <c r="I219" s="564"/>
    </row>
    <row r="220" spans="1:9" x14ac:dyDescent="0.25">
      <c r="A220" s="980"/>
      <c r="B220" s="356">
        <v>7</v>
      </c>
      <c r="C220" s="564"/>
      <c r="D220" s="980"/>
      <c r="E220" s="356">
        <v>325</v>
      </c>
      <c r="F220" s="564"/>
      <c r="G220" s="980"/>
      <c r="H220" s="356">
        <v>3.1</v>
      </c>
      <c r="I220" s="564"/>
    </row>
    <row r="221" spans="1:9" x14ac:dyDescent="0.25">
      <c r="A221" s="980"/>
      <c r="B221" s="356">
        <v>8</v>
      </c>
      <c r="C221" s="564"/>
      <c r="D221" s="980"/>
      <c r="E221" s="356">
        <v>375</v>
      </c>
      <c r="F221" s="564"/>
      <c r="G221" s="980"/>
      <c r="H221" s="356">
        <v>3.3</v>
      </c>
      <c r="I221" s="564"/>
    </row>
    <row r="222" spans="1:9" x14ac:dyDescent="0.25">
      <c r="A222" s="980"/>
      <c r="B222" s="356">
        <v>9</v>
      </c>
      <c r="C222" s="564"/>
      <c r="D222" s="980"/>
      <c r="E222" s="356">
        <v>425</v>
      </c>
      <c r="F222" s="564"/>
      <c r="G222" s="980"/>
      <c r="H222" s="356">
        <v>3.5</v>
      </c>
      <c r="I222" s="564"/>
    </row>
    <row r="223" spans="1:9" x14ac:dyDescent="0.25">
      <c r="A223" s="980"/>
      <c r="B223" s="356">
        <v>10</v>
      </c>
      <c r="C223" s="564"/>
      <c r="D223" s="980"/>
      <c r="E223" s="356">
        <v>475</v>
      </c>
      <c r="F223" s="564"/>
      <c r="G223" s="980"/>
      <c r="H223" s="356">
        <v>3.7</v>
      </c>
      <c r="I223" s="564"/>
    </row>
    <row r="224" spans="1:9" x14ac:dyDescent="0.25">
      <c r="A224" s="980"/>
      <c r="B224" s="356">
        <v>11</v>
      </c>
      <c r="C224" s="564"/>
      <c r="D224" s="980"/>
      <c r="E224" s="356">
        <v>525</v>
      </c>
      <c r="F224" s="564"/>
      <c r="G224" s="980"/>
      <c r="H224" s="356">
        <v>3.9</v>
      </c>
      <c r="I224" s="564"/>
    </row>
    <row r="225" spans="1:9" x14ac:dyDescent="0.25">
      <c r="A225" s="980"/>
      <c r="B225" s="356">
        <v>12</v>
      </c>
      <c r="C225" s="564"/>
      <c r="D225" s="980"/>
      <c r="E225" s="356">
        <v>575</v>
      </c>
      <c r="F225" s="564"/>
      <c r="G225" s="980"/>
      <c r="H225" s="356">
        <v>4.0999999999999996</v>
      </c>
      <c r="I225" s="564"/>
    </row>
    <row r="226" spans="1:9" x14ac:dyDescent="0.25">
      <c r="A226" s="980"/>
      <c r="B226" s="356">
        <v>13</v>
      </c>
      <c r="C226" s="564"/>
      <c r="D226" s="980"/>
      <c r="E226" s="356">
        <v>625</v>
      </c>
      <c r="F226" s="564"/>
      <c r="G226" s="980"/>
      <c r="H226" s="356">
        <v>4.3</v>
      </c>
      <c r="I226" s="564"/>
    </row>
    <row r="227" spans="1:9" x14ac:dyDescent="0.25">
      <c r="A227" s="980"/>
      <c r="B227" s="356">
        <v>14</v>
      </c>
      <c r="C227" s="564"/>
      <c r="D227" s="980"/>
      <c r="E227" s="356">
        <v>675</v>
      </c>
      <c r="F227" s="564"/>
      <c r="G227" s="980"/>
      <c r="H227" s="356">
        <v>4.5</v>
      </c>
      <c r="I227" s="564"/>
    </row>
    <row r="228" spans="1:9" x14ac:dyDescent="0.25">
      <c r="A228" s="980"/>
      <c r="B228" s="356">
        <v>15</v>
      </c>
      <c r="C228" s="564"/>
      <c r="D228" s="980"/>
      <c r="E228" s="356">
        <v>725</v>
      </c>
      <c r="F228" s="564"/>
      <c r="G228" s="980"/>
      <c r="H228" s="356">
        <v>4.7</v>
      </c>
      <c r="I228" s="564"/>
    </row>
    <row r="229" spans="1:9" x14ac:dyDescent="0.25">
      <c r="A229" s="980"/>
      <c r="B229" s="356">
        <v>16</v>
      </c>
      <c r="C229" s="564"/>
      <c r="D229" s="980"/>
      <c r="E229" s="356">
        <v>775</v>
      </c>
      <c r="F229" s="564"/>
      <c r="G229" s="980"/>
      <c r="H229" s="356">
        <v>4.9000000000000004</v>
      </c>
      <c r="I229" s="564"/>
    </row>
    <row r="230" spans="1:9" x14ac:dyDescent="0.25">
      <c r="A230" s="980"/>
      <c r="B230" s="356">
        <v>17</v>
      </c>
      <c r="C230" s="564"/>
      <c r="D230" s="980"/>
      <c r="E230" s="356">
        <v>825</v>
      </c>
      <c r="F230" s="564"/>
      <c r="G230" s="980"/>
      <c r="H230" s="356">
        <v>5.0999999999999996</v>
      </c>
      <c r="I230" s="564"/>
    </row>
    <row r="231" spans="1:9" x14ac:dyDescent="0.25">
      <c r="A231" s="980"/>
      <c r="B231" s="356">
        <v>18</v>
      </c>
      <c r="C231" s="564"/>
      <c r="D231" s="980"/>
      <c r="E231" s="356">
        <v>875</v>
      </c>
      <c r="F231" s="564"/>
      <c r="G231" s="980"/>
      <c r="H231" s="356">
        <v>5.3</v>
      </c>
      <c r="I231" s="564"/>
    </row>
    <row r="232" spans="1:9" x14ac:dyDescent="0.25">
      <c r="A232" s="980"/>
      <c r="B232" s="356">
        <v>19</v>
      </c>
      <c r="C232" s="564"/>
      <c r="D232" s="980"/>
      <c r="E232" s="356">
        <v>925</v>
      </c>
      <c r="F232" s="564"/>
      <c r="G232" s="980"/>
      <c r="H232" s="356">
        <v>5.5</v>
      </c>
      <c r="I232" s="564"/>
    </row>
    <row r="233" spans="1:9" x14ac:dyDescent="0.25">
      <c r="A233" s="980"/>
      <c r="B233" s="356">
        <v>20</v>
      </c>
      <c r="C233" s="564"/>
      <c r="D233" s="980"/>
      <c r="E233" s="356">
        <v>975</v>
      </c>
      <c r="F233" s="564"/>
      <c r="G233" s="980"/>
      <c r="H233" s="356">
        <v>5.7</v>
      </c>
      <c r="I233" s="564"/>
    </row>
    <row r="234" spans="1:9" x14ac:dyDescent="0.25">
      <c r="A234" s="980"/>
      <c r="B234" s="356">
        <v>21</v>
      </c>
      <c r="C234" s="564"/>
      <c r="D234" s="980"/>
      <c r="E234" s="356">
        <v>1025</v>
      </c>
      <c r="F234" s="564"/>
      <c r="G234" s="980"/>
      <c r="H234" s="356">
        <v>5.9</v>
      </c>
      <c r="I234" s="564"/>
    </row>
    <row r="235" spans="1:9" x14ac:dyDescent="0.25">
      <c r="A235" s="980"/>
      <c r="B235" s="356">
        <v>22</v>
      </c>
      <c r="C235" s="564"/>
      <c r="D235" s="980"/>
      <c r="E235" s="356">
        <v>1075</v>
      </c>
      <c r="F235" s="564"/>
      <c r="G235" s="980"/>
      <c r="H235" s="356">
        <v>6.1</v>
      </c>
      <c r="I235" s="564"/>
    </row>
    <row r="236" spans="1:9" ht="15" customHeight="1" x14ac:dyDescent="0.25">
      <c r="A236" s="980"/>
      <c r="B236" s="356">
        <v>23</v>
      </c>
      <c r="C236" s="564"/>
      <c r="D236" s="980"/>
      <c r="E236" s="356">
        <v>1125</v>
      </c>
      <c r="F236" s="564"/>
      <c r="G236" s="980"/>
      <c r="H236" s="356">
        <v>6.3</v>
      </c>
      <c r="I236" s="564"/>
    </row>
    <row r="237" spans="1:9" x14ac:dyDescent="0.25">
      <c r="A237" s="980"/>
      <c r="B237" s="356">
        <v>24</v>
      </c>
      <c r="C237" s="564"/>
      <c r="D237" s="980"/>
      <c r="E237" s="356">
        <v>1175</v>
      </c>
      <c r="F237" s="564"/>
      <c r="G237" s="980"/>
      <c r="H237" s="356">
        <v>6.5</v>
      </c>
      <c r="I237" s="564"/>
    </row>
    <row r="238" spans="1:9" x14ac:dyDescent="0.25">
      <c r="A238" s="980"/>
      <c r="B238" s="356">
        <v>25</v>
      </c>
      <c r="C238" s="564"/>
      <c r="D238" s="980"/>
      <c r="E238" s="356">
        <v>1225</v>
      </c>
      <c r="F238" s="564"/>
      <c r="G238" s="980"/>
      <c r="H238" s="356">
        <v>6.7</v>
      </c>
      <c r="I238" s="564"/>
    </row>
    <row r="239" spans="1:9" x14ac:dyDescent="0.25">
      <c r="A239" s="980"/>
      <c r="B239" s="356">
        <v>26</v>
      </c>
      <c r="C239" s="564"/>
      <c r="D239" s="980"/>
      <c r="E239" s="356">
        <v>1275</v>
      </c>
      <c r="F239" s="564"/>
      <c r="G239" s="980"/>
      <c r="H239" s="356">
        <v>6.9</v>
      </c>
      <c r="I239" s="564"/>
    </row>
    <row r="240" spans="1:9" x14ac:dyDescent="0.25">
      <c r="A240" s="980"/>
      <c r="B240" s="356">
        <v>27</v>
      </c>
      <c r="C240" s="564"/>
      <c r="D240" s="980"/>
      <c r="E240" s="356">
        <v>1325</v>
      </c>
      <c r="F240" s="564"/>
      <c r="G240" s="980"/>
      <c r="H240" s="356">
        <v>7.1</v>
      </c>
      <c r="I240" s="564"/>
    </row>
    <row r="241" spans="1:9" x14ac:dyDescent="0.25">
      <c r="A241" s="980"/>
      <c r="B241" s="356">
        <v>28</v>
      </c>
      <c r="C241" s="564"/>
      <c r="D241" s="980"/>
      <c r="E241" s="356">
        <v>1375</v>
      </c>
      <c r="F241" s="564"/>
      <c r="G241" s="980"/>
      <c r="H241" s="356">
        <v>7.3</v>
      </c>
      <c r="I241" s="564"/>
    </row>
    <row r="242" spans="1:9" x14ac:dyDescent="0.25">
      <c r="A242" s="980"/>
      <c r="B242" s="356">
        <v>29</v>
      </c>
      <c r="C242" s="564"/>
      <c r="D242" s="980"/>
      <c r="E242" s="356">
        <v>1425</v>
      </c>
      <c r="F242" s="564"/>
      <c r="G242" s="980"/>
      <c r="H242" s="356">
        <v>7.5</v>
      </c>
      <c r="I242" s="564"/>
    </row>
    <row r="243" spans="1:9" x14ac:dyDescent="0.25">
      <c r="A243" s="980"/>
      <c r="B243" s="356">
        <v>30</v>
      </c>
      <c r="C243" s="564"/>
      <c r="D243" s="980"/>
      <c r="E243" s="356">
        <v>1475</v>
      </c>
      <c r="F243" s="564"/>
      <c r="G243" s="980"/>
      <c r="H243" s="356">
        <v>7.7</v>
      </c>
      <c r="I243" s="564"/>
    </row>
    <row r="244" spans="1:9" x14ac:dyDescent="0.25">
      <c r="A244" s="980"/>
      <c r="B244" s="356">
        <v>31</v>
      </c>
      <c r="C244" s="564"/>
      <c r="D244" s="980"/>
      <c r="E244" s="356">
        <v>1525</v>
      </c>
      <c r="F244" s="564"/>
      <c r="G244" s="980"/>
      <c r="H244" s="356">
        <v>7.9</v>
      </c>
      <c r="I244" s="564"/>
    </row>
    <row r="245" spans="1:9" x14ac:dyDescent="0.25">
      <c r="A245" s="980"/>
      <c r="B245" s="356">
        <v>32</v>
      </c>
      <c r="C245" s="564"/>
      <c r="D245" s="980"/>
      <c r="E245" s="356">
        <v>1575</v>
      </c>
      <c r="F245" s="564"/>
      <c r="G245" s="980"/>
      <c r="H245" s="356">
        <v>8.1</v>
      </c>
      <c r="I245" s="564"/>
    </row>
    <row r="246" spans="1:9" x14ac:dyDescent="0.25">
      <c r="A246" s="980"/>
      <c r="B246" s="356">
        <v>33</v>
      </c>
      <c r="C246" s="564"/>
      <c r="D246" s="980"/>
      <c r="E246" s="356">
        <v>1625</v>
      </c>
      <c r="F246" s="564"/>
      <c r="G246" s="980"/>
      <c r="H246" s="356">
        <v>8.3000000000000007</v>
      </c>
      <c r="I246" s="564"/>
    </row>
    <row r="247" spans="1:9" x14ac:dyDescent="0.25">
      <c r="A247" s="980"/>
      <c r="B247" s="356">
        <v>34</v>
      </c>
      <c r="C247" s="564"/>
      <c r="D247" s="980"/>
      <c r="E247" s="356">
        <v>1675</v>
      </c>
      <c r="F247" s="564"/>
      <c r="G247" s="980"/>
      <c r="H247" s="356">
        <v>8.5</v>
      </c>
      <c r="I247" s="564"/>
    </row>
    <row r="248" spans="1:9" x14ac:dyDescent="0.25">
      <c r="A248" s="980"/>
      <c r="B248" s="356">
        <v>35</v>
      </c>
      <c r="C248" s="564"/>
      <c r="D248" s="980"/>
      <c r="E248" s="356">
        <v>1725</v>
      </c>
      <c r="F248" s="564"/>
      <c r="G248" s="980"/>
      <c r="H248" s="356">
        <v>8.6999999999999993</v>
      </c>
      <c r="I248" s="564"/>
    </row>
    <row r="249" spans="1:9" x14ac:dyDescent="0.25">
      <c r="A249" s="980"/>
      <c r="B249" s="356">
        <v>36</v>
      </c>
      <c r="C249" s="564"/>
      <c r="D249" s="980"/>
      <c r="E249" s="356">
        <v>1775</v>
      </c>
      <c r="F249" s="564"/>
      <c r="G249" s="981"/>
      <c r="H249" s="356">
        <v>8.9</v>
      </c>
      <c r="I249" s="564"/>
    </row>
    <row r="250" spans="1:9" x14ac:dyDescent="0.25">
      <c r="A250" s="980"/>
      <c r="B250" s="356">
        <v>37</v>
      </c>
      <c r="C250" s="564"/>
      <c r="D250" s="980"/>
      <c r="E250" s="356">
        <v>1825</v>
      </c>
      <c r="F250" s="564"/>
      <c r="G250" s="107"/>
      <c r="H250" s="107"/>
      <c r="I250" s="107"/>
    </row>
    <row r="251" spans="1:9" x14ac:dyDescent="0.25">
      <c r="A251" s="980"/>
      <c r="B251" s="356">
        <v>38</v>
      </c>
      <c r="C251" s="564"/>
      <c r="D251" s="980"/>
      <c r="E251" s="356">
        <v>1875</v>
      </c>
      <c r="F251" s="564"/>
      <c r="G251" s="107"/>
      <c r="H251" s="107"/>
      <c r="I251" s="107"/>
    </row>
    <row r="252" spans="1:9" x14ac:dyDescent="0.25">
      <c r="A252" s="980"/>
      <c r="B252" s="356">
        <v>39</v>
      </c>
      <c r="C252" s="564"/>
      <c r="D252" s="980"/>
      <c r="E252" s="356">
        <v>1925</v>
      </c>
      <c r="F252" s="564"/>
      <c r="G252" s="107"/>
      <c r="H252" s="107"/>
      <c r="I252" s="107"/>
    </row>
    <row r="253" spans="1:9" x14ac:dyDescent="0.25">
      <c r="A253" s="980"/>
      <c r="B253" s="356">
        <v>40</v>
      </c>
      <c r="C253" s="564"/>
      <c r="D253" s="981"/>
      <c r="E253" s="356">
        <v>1975</v>
      </c>
      <c r="F253" s="564"/>
      <c r="G253" s="107"/>
      <c r="H253" s="107"/>
      <c r="I253" s="107"/>
    </row>
    <row r="254" spans="1:9" x14ac:dyDescent="0.25">
      <c r="A254" s="980"/>
      <c r="B254" s="356">
        <v>41</v>
      </c>
      <c r="C254" s="564"/>
      <c r="D254" s="107"/>
      <c r="E254" s="107"/>
      <c r="F254" s="107"/>
      <c r="G254" s="107"/>
      <c r="H254" s="107"/>
      <c r="I254" s="107"/>
    </row>
    <row r="255" spans="1:9" x14ac:dyDescent="0.25">
      <c r="A255" s="980"/>
      <c r="B255" s="356">
        <v>42</v>
      </c>
      <c r="C255" s="564"/>
      <c r="D255" s="107"/>
      <c r="E255" s="107"/>
      <c r="F255" s="107"/>
      <c r="G255" s="107"/>
      <c r="H255" s="107"/>
      <c r="I255" s="107"/>
    </row>
    <row r="256" spans="1:9" x14ac:dyDescent="0.25">
      <c r="A256" s="980"/>
      <c r="B256" s="356">
        <v>43</v>
      </c>
      <c r="C256" s="564"/>
      <c r="D256" s="107"/>
      <c r="E256" s="107"/>
      <c r="F256" s="107"/>
      <c r="G256" s="107"/>
      <c r="H256" s="107"/>
      <c r="I256" s="107"/>
    </row>
    <row r="257" spans="1:9" x14ac:dyDescent="0.25">
      <c r="A257" s="980"/>
      <c r="B257" s="356">
        <v>44</v>
      </c>
      <c r="C257" s="564"/>
      <c r="D257" s="107"/>
      <c r="E257" s="107"/>
      <c r="F257" s="107"/>
      <c r="G257" s="107"/>
      <c r="H257" s="107"/>
      <c r="I257" s="107"/>
    </row>
    <row r="258" spans="1:9" x14ac:dyDescent="0.25">
      <c r="A258" s="980"/>
      <c r="B258" s="356">
        <v>45</v>
      </c>
      <c r="C258" s="564"/>
      <c r="D258" s="107"/>
      <c r="E258" s="107"/>
      <c r="F258" s="107"/>
      <c r="G258" s="107"/>
      <c r="H258" s="107"/>
      <c r="I258" s="107"/>
    </row>
    <row r="259" spans="1:9" x14ac:dyDescent="0.25">
      <c r="A259" s="980"/>
      <c r="B259" s="356">
        <v>46</v>
      </c>
      <c r="C259" s="564"/>
      <c r="D259" s="107"/>
      <c r="E259" s="107"/>
      <c r="F259" s="107"/>
      <c r="G259" s="107"/>
      <c r="H259" s="107"/>
      <c r="I259" s="107"/>
    </row>
    <row r="260" spans="1:9" x14ac:dyDescent="0.25">
      <c r="A260" s="980"/>
      <c r="B260" s="356">
        <v>47</v>
      </c>
      <c r="C260" s="564"/>
      <c r="D260" s="107"/>
      <c r="E260" s="107"/>
      <c r="F260" s="107"/>
      <c r="G260" s="107"/>
      <c r="H260" s="107"/>
      <c r="I260" s="107"/>
    </row>
    <row r="261" spans="1:9" x14ac:dyDescent="0.25">
      <c r="A261" s="980"/>
      <c r="B261" s="356">
        <v>48</v>
      </c>
      <c r="C261" s="564"/>
      <c r="D261" s="107"/>
      <c r="E261" s="107"/>
      <c r="F261" s="107"/>
      <c r="G261" s="107"/>
      <c r="H261" s="107"/>
      <c r="I261" s="107"/>
    </row>
    <row r="262" spans="1:9" x14ac:dyDescent="0.25">
      <c r="A262" s="980"/>
      <c r="B262" s="356">
        <v>49</v>
      </c>
      <c r="C262" s="564"/>
      <c r="D262" s="107"/>
      <c r="E262" s="107"/>
      <c r="F262" s="107"/>
      <c r="G262" s="107"/>
      <c r="H262" s="107"/>
      <c r="I262" s="107"/>
    </row>
    <row r="263" spans="1:9" x14ac:dyDescent="0.25">
      <c r="A263" s="981"/>
      <c r="B263" s="356">
        <v>50</v>
      </c>
      <c r="C263" s="564"/>
      <c r="D263" s="107"/>
      <c r="E263" s="107"/>
      <c r="F263" s="107"/>
      <c r="G263" s="107"/>
      <c r="H263" s="107"/>
      <c r="I263" s="107"/>
    </row>
    <row r="264" spans="1:9" ht="15.75" thickBot="1" x14ac:dyDescent="0.3">
      <c r="A264" s="107"/>
      <c r="B264" s="107"/>
      <c r="C264" s="107"/>
      <c r="D264" s="107"/>
      <c r="E264" s="107"/>
      <c r="F264" s="107"/>
      <c r="G264" s="107"/>
      <c r="H264" s="107"/>
      <c r="I264" s="107"/>
    </row>
    <row r="265" spans="1:9" ht="15.75" thickBot="1" x14ac:dyDescent="0.3">
      <c r="A265" s="982" t="s">
        <v>1115</v>
      </c>
      <c r="B265" s="983"/>
      <c r="C265" s="983"/>
      <c r="D265" s="983"/>
      <c r="E265" s="983"/>
      <c r="F265" s="983"/>
      <c r="G265" s="983"/>
      <c r="H265" s="983"/>
      <c r="I265" s="984"/>
    </row>
    <row r="266" spans="1:9" x14ac:dyDescent="0.25">
      <c r="A266" s="107" t="s">
        <v>488</v>
      </c>
      <c r="B266" s="853">
        <f>Berechnungen!D$9</f>
        <v>0</v>
      </c>
      <c r="C266" s="107"/>
      <c r="D266" s="107" t="s">
        <v>489</v>
      </c>
      <c r="E266" s="107"/>
      <c r="F266" s="107"/>
      <c r="G266" s="854">
        <f>IF(Berechnungen!D9&gt;0,"Neuerrichtung",0)</f>
        <v>0</v>
      </c>
      <c r="H266" s="107"/>
      <c r="I266" s="855">
        <f>IF(OR($G266=0,$G266="Bestand"),0,Berechnungen!$F$9)</f>
        <v>0</v>
      </c>
    </row>
    <row r="267" spans="1:9" ht="18" x14ac:dyDescent="0.35">
      <c r="A267" s="346"/>
      <c r="B267" s="31" t="s">
        <v>22</v>
      </c>
      <c r="C267" s="31" t="s">
        <v>25</v>
      </c>
      <c r="D267" s="32"/>
      <c r="E267" s="31" t="s">
        <v>753</v>
      </c>
      <c r="F267" s="31" t="s">
        <v>26</v>
      </c>
      <c r="G267" s="32"/>
      <c r="H267" s="31" t="s">
        <v>754</v>
      </c>
      <c r="I267" s="31" t="s">
        <v>25</v>
      </c>
    </row>
    <row r="268" spans="1:9" x14ac:dyDescent="0.25">
      <c r="A268" s="979" t="s">
        <v>30</v>
      </c>
      <c r="B268" s="108">
        <v>2</v>
      </c>
      <c r="C268" s="564"/>
      <c r="D268" s="979" t="s">
        <v>28</v>
      </c>
      <c r="E268" s="108">
        <v>75</v>
      </c>
      <c r="F268" s="564"/>
      <c r="G268" s="979" t="s">
        <v>29</v>
      </c>
      <c r="H268" s="108">
        <v>2.1</v>
      </c>
      <c r="I268" s="564"/>
    </row>
    <row r="269" spans="1:9" x14ac:dyDescent="0.25">
      <c r="A269" s="980"/>
      <c r="B269" s="356">
        <v>3</v>
      </c>
      <c r="C269" s="564"/>
      <c r="D269" s="980"/>
      <c r="E269" s="356">
        <v>125</v>
      </c>
      <c r="F269" s="564"/>
      <c r="G269" s="980"/>
      <c r="H269" s="356">
        <v>2.2999999999999998</v>
      </c>
      <c r="I269" s="564"/>
    </row>
    <row r="270" spans="1:9" x14ac:dyDescent="0.25">
      <c r="A270" s="980"/>
      <c r="B270" s="356">
        <v>4</v>
      </c>
      <c r="C270" s="564"/>
      <c r="D270" s="980"/>
      <c r="E270" s="356">
        <v>175</v>
      </c>
      <c r="F270" s="564"/>
      <c r="G270" s="980"/>
      <c r="H270" s="356">
        <v>2.5</v>
      </c>
      <c r="I270" s="564"/>
    </row>
    <row r="271" spans="1:9" x14ac:dyDescent="0.25">
      <c r="A271" s="980"/>
      <c r="B271" s="356">
        <v>5</v>
      </c>
      <c r="C271" s="564"/>
      <c r="D271" s="980"/>
      <c r="E271" s="356">
        <v>225</v>
      </c>
      <c r="F271" s="564"/>
      <c r="G271" s="980"/>
      <c r="H271" s="356">
        <v>2.7</v>
      </c>
      <c r="I271" s="564"/>
    </row>
    <row r="272" spans="1:9" x14ac:dyDescent="0.25">
      <c r="A272" s="980"/>
      <c r="B272" s="356">
        <v>6</v>
      </c>
      <c r="C272" s="564"/>
      <c r="D272" s="980"/>
      <c r="E272" s="356">
        <v>275</v>
      </c>
      <c r="F272" s="564"/>
      <c r="G272" s="980"/>
      <c r="H272" s="356">
        <v>2.9</v>
      </c>
      <c r="I272" s="564"/>
    </row>
    <row r="273" spans="1:9" x14ac:dyDescent="0.25">
      <c r="A273" s="980"/>
      <c r="B273" s="356">
        <v>7</v>
      </c>
      <c r="C273" s="564"/>
      <c r="D273" s="980"/>
      <c r="E273" s="356">
        <v>325</v>
      </c>
      <c r="F273" s="564"/>
      <c r="G273" s="980"/>
      <c r="H273" s="356">
        <v>3.1</v>
      </c>
      <c r="I273" s="564"/>
    </row>
    <row r="274" spans="1:9" x14ac:dyDescent="0.25">
      <c r="A274" s="980"/>
      <c r="B274" s="356">
        <v>8</v>
      </c>
      <c r="C274" s="564"/>
      <c r="D274" s="980"/>
      <c r="E274" s="356">
        <v>375</v>
      </c>
      <c r="F274" s="564"/>
      <c r="G274" s="980"/>
      <c r="H274" s="356">
        <v>3.3</v>
      </c>
      <c r="I274" s="564"/>
    </row>
    <row r="275" spans="1:9" x14ac:dyDescent="0.25">
      <c r="A275" s="980"/>
      <c r="B275" s="356">
        <v>9</v>
      </c>
      <c r="C275" s="564"/>
      <c r="D275" s="980"/>
      <c r="E275" s="356">
        <v>425</v>
      </c>
      <c r="F275" s="564"/>
      <c r="G275" s="980"/>
      <c r="H275" s="356">
        <v>3.5</v>
      </c>
      <c r="I275" s="564"/>
    </row>
    <row r="276" spans="1:9" x14ac:dyDescent="0.25">
      <c r="A276" s="980"/>
      <c r="B276" s="356">
        <v>10</v>
      </c>
      <c r="C276" s="564"/>
      <c r="D276" s="980"/>
      <c r="E276" s="356">
        <v>475</v>
      </c>
      <c r="F276" s="564"/>
      <c r="G276" s="980"/>
      <c r="H276" s="356">
        <v>3.7</v>
      </c>
      <c r="I276" s="564"/>
    </row>
    <row r="277" spans="1:9" x14ac:dyDescent="0.25">
      <c r="A277" s="980"/>
      <c r="B277" s="356">
        <v>11</v>
      </c>
      <c r="C277" s="564"/>
      <c r="D277" s="980"/>
      <c r="E277" s="356">
        <v>525</v>
      </c>
      <c r="F277" s="564"/>
      <c r="G277" s="980"/>
      <c r="H277" s="356">
        <v>3.9</v>
      </c>
      <c r="I277" s="564"/>
    </row>
    <row r="278" spans="1:9" x14ac:dyDescent="0.25">
      <c r="A278" s="980"/>
      <c r="B278" s="356">
        <v>12</v>
      </c>
      <c r="C278" s="564"/>
      <c r="D278" s="980"/>
      <c r="E278" s="356">
        <v>575</v>
      </c>
      <c r="F278" s="564"/>
      <c r="G278" s="980"/>
      <c r="H278" s="356">
        <v>4.0999999999999996</v>
      </c>
      <c r="I278" s="564"/>
    </row>
    <row r="279" spans="1:9" x14ac:dyDescent="0.25">
      <c r="A279" s="980"/>
      <c r="B279" s="356">
        <v>13</v>
      </c>
      <c r="C279" s="564"/>
      <c r="D279" s="980"/>
      <c r="E279" s="356">
        <v>625</v>
      </c>
      <c r="F279" s="564"/>
      <c r="G279" s="980"/>
      <c r="H279" s="356">
        <v>4.3</v>
      </c>
      <c r="I279" s="564"/>
    </row>
    <row r="280" spans="1:9" x14ac:dyDescent="0.25">
      <c r="A280" s="980"/>
      <c r="B280" s="356">
        <v>14</v>
      </c>
      <c r="C280" s="564"/>
      <c r="D280" s="980"/>
      <c r="E280" s="356">
        <v>675</v>
      </c>
      <c r="F280" s="564"/>
      <c r="G280" s="980"/>
      <c r="H280" s="356">
        <v>4.5</v>
      </c>
      <c r="I280" s="564"/>
    </row>
    <row r="281" spans="1:9" x14ac:dyDescent="0.25">
      <c r="A281" s="980"/>
      <c r="B281" s="356">
        <v>15</v>
      </c>
      <c r="C281" s="564"/>
      <c r="D281" s="980"/>
      <c r="E281" s="356">
        <v>725</v>
      </c>
      <c r="F281" s="564"/>
      <c r="G281" s="980"/>
      <c r="H281" s="356">
        <v>4.7</v>
      </c>
      <c r="I281" s="564"/>
    </row>
    <row r="282" spans="1:9" x14ac:dyDescent="0.25">
      <c r="A282" s="980"/>
      <c r="B282" s="356">
        <v>16</v>
      </c>
      <c r="C282" s="564"/>
      <c r="D282" s="980"/>
      <c r="E282" s="356">
        <v>775</v>
      </c>
      <c r="F282" s="564"/>
      <c r="G282" s="980"/>
      <c r="H282" s="356">
        <v>4.9000000000000004</v>
      </c>
      <c r="I282" s="564"/>
    </row>
    <row r="283" spans="1:9" x14ac:dyDescent="0.25">
      <c r="A283" s="980"/>
      <c r="B283" s="356">
        <v>17</v>
      </c>
      <c r="C283" s="564"/>
      <c r="D283" s="980"/>
      <c r="E283" s="356">
        <v>825</v>
      </c>
      <c r="F283" s="564"/>
      <c r="G283" s="980"/>
      <c r="H283" s="356">
        <v>5.0999999999999996</v>
      </c>
      <c r="I283" s="564"/>
    </row>
    <row r="284" spans="1:9" x14ac:dyDescent="0.25">
      <c r="A284" s="980"/>
      <c r="B284" s="356">
        <v>18</v>
      </c>
      <c r="C284" s="564"/>
      <c r="D284" s="980"/>
      <c r="E284" s="356">
        <v>875</v>
      </c>
      <c r="F284" s="564"/>
      <c r="G284" s="980"/>
      <c r="H284" s="356">
        <v>5.3</v>
      </c>
      <c r="I284" s="564"/>
    </row>
    <row r="285" spans="1:9" x14ac:dyDescent="0.25">
      <c r="A285" s="980"/>
      <c r="B285" s="356">
        <v>19</v>
      </c>
      <c r="C285" s="564"/>
      <c r="D285" s="980"/>
      <c r="E285" s="356">
        <v>925</v>
      </c>
      <c r="F285" s="564"/>
      <c r="G285" s="980"/>
      <c r="H285" s="356">
        <v>5.5</v>
      </c>
      <c r="I285" s="564"/>
    </row>
    <row r="286" spans="1:9" x14ac:dyDescent="0.25">
      <c r="A286" s="980"/>
      <c r="B286" s="356">
        <v>20</v>
      </c>
      <c r="C286" s="564"/>
      <c r="D286" s="980"/>
      <c r="E286" s="356">
        <v>975</v>
      </c>
      <c r="F286" s="564"/>
      <c r="G286" s="980"/>
      <c r="H286" s="356">
        <v>5.7</v>
      </c>
      <c r="I286" s="564"/>
    </row>
    <row r="287" spans="1:9" x14ac:dyDescent="0.25">
      <c r="A287" s="980"/>
      <c r="B287" s="356">
        <v>21</v>
      </c>
      <c r="C287" s="564"/>
      <c r="D287" s="980"/>
      <c r="E287" s="356">
        <v>1025</v>
      </c>
      <c r="F287" s="564"/>
      <c r="G287" s="980"/>
      <c r="H287" s="356">
        <v>5.9</v>
      </c>
      <c r="I287" s="564"/>
    </row>
    <row r="288" spans="1:9" x14ac:dyDescent="0.25">
      <c r="A288" s="980"/>
      <c r="B288" s="356">
        <v>22</v>
      </c>
      <c r="C288" s="564"/>
      <c r="D288" s="980"/>
      <c r="E288" s="356">
        <v>1075</v>
      </c>
      <c r="F288" s="564"/>
      <c r="G288" s="980"/>
      <c r="H288" s="356">
        <v>6.1</v>
      </c>
      <c r="I288" s="564"/>
    </row>
    <row r="289" spans="1:9" ht="15" customHeight="1" x14ac:dyDescent="0.25">
      <c r="A289" s="980"/>
      <c r="B289" s="356">
        <v>23</v>
      </c>
      <c r="C289" s="564"/>
      <c r="D289" s="980"/>
      <c r="E289" s="356">
        <v>1125</v>
      </c>
      <c r="F289" s="564"/>
      <c r="G289" s="980"/>
      <c r="H289" s="356">
        <v>6.3</v>
      </c>
      <c r="I289" s="564"/>
    </row>
    <row r="290" spans="1:9" x14ac:dyDescent="0.25">
      <c r="A290" s="980"/>
      <c r="B290" s="356">
        <v>24</v>
      </c>
      <c r="C290" s="564"/>
      <c r="D290" s="980"/>
      <c r="E290" s="356">
        <v>1175</v>
      </c>
      <c r="F290" s="564"/>
      <c r="G290" s="980"/>
      <c r="H290" s="356">
        <v>6.5</v>
      </c>
      <c r="I290" s="564"/>
    </row>
    <row r="291" spans="1:9" x14ac:dyDescent="0.25">
      <c r="A291" s="980"/>
      <c r="B291" s="356">
        <v>25</v>
      </c>
      <c r="C291" s="564"/>
      <c r="D291" s="980"/>
      <c r="E291" s="356">
        <v>1225</v>
      </c>
      <c r="F291" s="564"/>
      <c r="G291" s="980"/>
      <c r="H291" s="356">
        <v>6.7</v>
      </c>
      <c r="I291" s="564"/>
    </row>
    <row r="292" spans="1:9" x14ac:dyDescent="0.25">
      <c r="A292" s="980"/>
      <c r="B292" s="356">
        <v>26</v>
      </c>
      <c r="C292" s="564"/>
      <c r="D292" s="980"/>
      <c r="E292" s="356">
        <v>1275</v>
      </c>
      <c r="F292" s="564"/>
      <c r="G292" s="980"/>
      <c r="H292" s="356">
        <v>6.9</v>
      </c>
      <c r="I292" s="564"/>
    </row>
    <row r="293" spans="1:9" x14ac:dyDescent="0.25">
      <c r="A293" s="980"/>
      <c r="B293" s="356">
        <v>27</v>
      </c>
      <c r="C293" s="564"/>
      <c r="D293" s="980"/>
      <c r="E293" s="356">
        <v>1325</v>
      </c>
      <c r="F293" s="564"/>
      <c r="G293" s="980"/>
      <c r="H293" s="356">
        <v>7.1</v>
      </c>
      <c r="I293" s="564"/>
    </row>
    <row r="294" spans="1:9" x14ac:dyDescent="0.25">
      <c r="A294" s="980"/>
      <c r="B294" s="356">
        <v>28</v>
      </c>
      <c r="C294" s="564"/>
      <c r="D294" s="980"/>
      <c r="E294" s="356">
        <v>1375</v>
      </c>
      <c r="F294" s="564"/>
      <c r="G294" s="980"/>
      <c r="H294" s="356">
        <v>7.3</v>
      </c>
      <c r="I294" s="564"/>
    </row>
    <row r="295" spans="1:9" x14ac:dyDescent="0.25">
      <c r="A295" s="980"/>
      <c r="B295" s="356">
        <v>29</v>
      </c>
      <c r="C295" s="564"/>
      <c r="D295" s="980"/>
      <c r="E295" s="356">
        <v>1425</v>
      </c>
      <c r="F295" s="564"/>
      <c r="G295" s="980"/>
      <c r="H295" s="356">
        <v>7.5</v>
      </c>
      <c r="I295" s="564"/>
    </row>
    <row r="296" spans="1:9" x14ac:dyDescent="0.25">
      <c r="A296" s="980"/>
      <c r="B296" s="356">
        <v>30</v>
      </c>
      <c r="C296" s="564"/>
      <c r="D296" s="980"/>
      <c r="E296" s="356">
        <v>1475</v>
      </c>
      <c r="F296" s="564"/>
      <c r="G296" s="980"/>
      <c r="H296" s="356">
        <v>7.7</v>
      </c>
      <c r="I296" s="564"/>
    </row>
    <row r="297" spans="1:9" x14ac:dyDescent="0.25">
      <c r="A297" s="980"/>
      <c r="B297" s="356">
        <v>31</v>
      </c>
      <c r="C297" s="564"/>
      <c r="D297" s="980"/>
      <c r="E297" s="356">
        <v>1525</v>
      </c>
      <c r="F297" s="564"/>
      <c r="G297" s="980"/>
      <c r="H297" s="356">
        <v>7.9</v>
      </c>
      <c r="I297" s="564"/>
    </row>
    <row r="298" spans="1:9" x14ac:dyDescent="0.25">
      <c r="A298" s="980"/>
      <c r="B298" s="356">
        <v>32</v>
      </c>
      <c r="C298" s="564"/>
      <c r="D298" s="980"/>
      <c r="E298" s="356">
        <v>1575</v>
      </c>
      <c r="F298" s="564"/>
      <c r="G298" s="980"/>
      <c r="H298" s="356">
        <v>8.1</v>
      </c>
      <c r="I298" s="564"/>
    </row>
    <row r="299" spans="1:9" x14ac:dyDescent="0.25">
      <c r="A299" s="980"/>
      <c r="B299" s="356">
        <v>33</v>
      </c>
      <c r="C299" s="564"/>
      <c r="D299" s="980"/>
      <c r="E299" s="356">
        <v>1625</v>
      </c>
      <c r="F299" s="564"/>
      <c r="G299" s="980"/>
      <c r="H299" s="356">
        <v>8.3000000000000007</v>
      </c>
      <c r="I299" s="564"/>
    </row>
    <row r="300" spans="1:9" x14ac:dyDescent="0.25">
      <c r="A300" s="980"/>
      <c r="B300" s="356">
        <v>34</v>
      </c>
      <c r="C300" s="564"/>
      <c r="D300" s="980"/>
      <c r="E300" s="356">
        <v>1675</v>
      </c>
      <c r="F300" s="564"/>
      <c r="G300" s="980"/>
      <c r="H300" s="356">
        <v>8.5</v>
      </c>
      <c r="I300" s="564"/>
    </row>
    <row r="301" spans="1:9" x14ac:dyDescent="0.25">
      <c r="A301" s="980"/>
      <c r="B301" s="356">
        <v>35</v>
      </c>
      <c r="C301" s="564"/>
      <c r="D301" s="980"/>
      <c r="E301" s="356">
        <v>1725</v>
      </c>
      <c r="F301" s="564"/>
      <c r="G301" s="980"/>
      <c r="H301" s="356">
        <v>8.6999999999999993</v>
      </c>
      <c r="I301" s="564"/>
    </row>
    <row r="302" spans="1:9" x14ac:dyDescent="0.25">
      <c r="A302" s="980"/>
      <c r="B302" s="356">
        <v>36</v>
      </c>
      <c r="C302" s="564"/>
      <c r="D302" s="980"/>
      <c r="E302" s="356">
        <v>1775</v>
      </c>
      <c r="F302" s="564"/>
      <c r="G302" s="981"/>
      <c r="H302" s="356">
        <v>8.9</v>
      </c>
      <c r="I302" s="564"/>
    </row>
    <row r="303" spans="1:9" x14ac:dyDescent="0.25">
      <c r="A303" s="980"/>
      <c r="B303" s="356">
        <v>37</v>
      </c>
      <c r="C303" s="564"/>
      <c r="D303" s="980"/>
      <c r="E303" s="356">
        <v>1825</v>
      </c>
      <c r="F303" s="564"/>
      <c r="G303" s="107"/>
      <c r="H303" s="107"/>
      <c r="I303" s="107"/>
    </row>
    <row r="304" spans="1:9" x14ac:dyDescent="0.25">
      <c r="A304" s="980"/>
      <c r="B304" s="356">
        <v>38</v>
      </c>
      <c r="C304" s="564"/>
      <c r="D304" s="980"/>
      <c r="E304" s="356">
        <v>1875</v>
      </c>
      <c r="F304" s="564"/>
      <c r="G304" s="107"/>
      <c r="H304" s="107"/>
      <c r="I304" s="107"/>
    </row>
    <row r="305" spans="1:9" x14ac:dyDescent="0.25">
      <c r="A305" s="980"/>
      <c r="B305" s="356">
        <v>39</v>
      </c>
      <c r="C305" s="564"/>
      <c r="D305" s="980"/>
      <c r="E305" s="356">
        <v>1925</v>
      </c>
      <c r="F305" s="564"/>
      <c r="G305" s="107"/>
      <c r="H305" s="107"/>
      <c r="I305" s="107"/>
    </row>
    <row r="306" spans="1:9" x14ac:dyDescent="0.25">
      <c r="A306" s="980"/>
      <c r="B306" s="356">
        <v>40</v>
      </c>
      <c r="C306" s="564"/>
      <c r="D306" s="981"/>
      <c r="E306" s="356">
        <v>1975</v>
      </c>
      <c r="F306" s="564"/>
      <c r="G306" s="107"/>
      <c r="H306" s="107"/>
      <c r="I306" s="107"/>
    </row>
    <row r="307" spans="1:9" x14ac:dyDescent="0.25">
      <c r="A307" s="980"/>
      <c r="B307" s="356">
        <v>41</v>
      </c>
      <c r="C307" s="564"/>
      <c r="D307" s="107"/>
      <c r="E307" s="107"/>
      <c r="F307" s="107"/>
      <c r="G307" s="107"/>
      <c r="H307" s="107"/>
      <c r="I307" s="107"/>
    </row>
    <row r="308" spans="1:9" x14ac:dyDescent="0.25">
      <c r="A308" s="980"/>
      <c r="B308" s="356">
        <v>42</v>
      </c>
      <c r="C308" s="564"/>
      <c r="D308" s="107"/>
      <c r="E308" s="107"/>
      <c r="F308" s="107"/>
      <c r="G308" s="107"/>
      <c r="H308" s="107"/>
      <c r="I308" s="107"/>
    </row>
    <row r="309" spans="1:9" x14ac:dyDescent="0.25">
      <c r="A309" s="980"/>
      <c r="B309" s="356">
        <v>43</v>
      </c>
      <c r="C309" s="564"/>
      <c r="D309" s="107"/>
      <c r="E309" s="107"/>
      <c r="F309" s="107"/>
      <c r="G309" s="107"/>
      <c r="H309" s="107"/>
      <c r="I309" s="107"/>
    </row>
    <row r="310" spans="1:9" x14ac:dyDescent="0.25">
      <c r="A310" s="980"/>
      <c r="B310" s="356">
        <v>44</v>
      </c>
      <c r="C310" s="564"/>
      <c r="D310" s="107"/>
      <c r="E310" s="107"/>
      <c r="F310" s="107"/>
      <c r="G310" s="107"/>
      <c r="H310" s="107"/>
      <c r="I310" s="107"/>
    </row>
    <row r="311" spans="1:9" x14ac:dyDescent="0.25">
      <c r="A311" s="980"/>
      <c r="B311" s="356">
        <v>45</v>
      </c>
      <c r="C311" s="564"/>
      <c r="D311" s="107"/>
      <c r="E311" s="107"/>
      <c r="F311" s="107"/>
      <c r="G311" s="107"/>
      <c r="H311" s="107"/>
      <c r="I311" s="107"/>
    </row>
    <row r="312" spans="1:9" x14ac:dyDescent="0.25">
      <c r="A312" s="980"/>
      <c r="B312" s="356">
        <v>46</v>
      </c>
      <c r="C312" s="564"/>
      <c r="D312" s="107"/>
      <c r="E312" s="107"/>
      <c r="F312" s="107"/>
      <c r="G312" s="107"/>
      <c r="H312" s="107"/>
      <c r="I312" s="107"/>
    </row>
    <row r="313" spans="1:9" x14ac:dyDescent="0.25">
      <c r="A313" s="980"/>
      <c r="B313" s="356">
        <v>47</v>
      </c>
      <c r="C313" s="564"/>
      <c r="D313" s="107"/>
      <c r="E313" s="107"/>
      <c r="F313" s="107"/>
      <c r="G313" s="107"/>
      <c r="H313" s="107"/>
      <c r="I313" s="107"/>
    </row>
    <row r="314" spans="1:9" x14ac:dyDescent="0.25">
      <c r="A314" s="980"/>
      <c r="B314" s="356">
        <v>48</v>
      </c>
      <c r="C314" s="564"/>
      <c r="D314" s="107"/>
      <c r="E314" s="107"/>
      <c r="F314" s="107"/>
      <c r="G314" s="107"/>
      <c r="H314" s="107"/>
      <c r="I314" s="107"/>
    </row>
    <row r="315" spans="1:9" x14ac:dyDescent="0.25">
      <c r="A315" s="980"/>
      <c r="B315" s="356">
        <v>49</v>
      </c>
      <c r="C315" s="564"/>
      <c r="D315" s="107"/>
      <c r="E315" s="107"/>
      <c r="F315" s="107"/>
      <c r="G315" s="107"/>
      <c r="H315" s="107"/>
      <c r="I315" s="107"/>
    </row>
    <row r="316" spans="1:9" x14ac:dyDescent="0.25">
      <c r="A316" s="981"/>
      <c r="B316" s="356">
        <v>50</v>
      </c>
      <c r="C316" s="564"/>
      <c r="D316" s="107"/>
      <c r="E316" s="107"/>
      <c r="F316" s="107"/>
      <c r="G316" s="107"/>
      <c r="H316" s="107"/>
      <c r="I316" s="107"/>
    </row>
    <row r="317" spans="1:9" ht="15.75" thickBot="1" x14ac:dyDescent="0.3">
      <c r="A317" s="107"/>
      <c r="B317" s="107"/>
      <c r="C317" s="107"/>
      <c r="D317" s="107"/>
      <c r="E317" s="107"/>
      <c r="F317" s="107"/>
      <c r="G317" s="107"/>
      <c r="H317" s="107"/>
      <c r="I317" s="107"/>
    </row>
    <row r="318" spans="1:9" ht="15.75" thickBot="1" x14ac:dyDescent="0.3">
      <c r="A318" s="982" t="s">
        <v>1116</v>
      </c>
      <c r="B318" s="983"/>
      <c r="C318" s="983"/>
      <c r="D318" s="983"/>
      <c r="E318" s="983"/>
      <c r="F318" s="983"/>
      <c r="G318" s="983"/>
      <c r="H318" s="983"/>
      <c r="I318" s="984"/>
    </row>
    <row r="319" spans="1:9" x14ac:dyDescent="0.25">
      <c r="A319" s="107" t="s">
        <v>488</v>
      </c>
      <c r="B319" s="853">
        <f>Berechnungen!D$10</f>
        <v>0</v>
      </c>
      <c r="C319" s="107"/>
      <c r="D319" s="107" t="s">
        <v>489</v>
      </c>
      <c r="E319" s="107"/>
      <c r="F319" s="107"/>
      <c r="G319" s="854">
        <f>IF(Berechnungen!D10&gt;0,"Neuerrichtung",0)</f>
        <v>0</v>
      </c>
      <c r="H319" s="107"/>
      <c r="I319" s="855">
        <f>IF(OR($G319=0,$G319="Bestand"),0,Berechnungen!$F$10)</f>
        <v>0</v>
      </c>
    </row>
    <row r="320" spans="1:9" ht="18" x14ac:dyDescent="0.35">
      <c r="A320" s="346"/>
      <c r="B320" s="31" t="s">
        <v>22</v>
      </c>
      <c r="C320" s="31" t="s">
        <v>25</v>
      </c>
      <c r="D320" s="32"/>
      <c r="E320" s="31" t="s">
        <v>753</v>
      </c>
      <c r="F320" s="31" t="s">
        <v>26</v>
      </c>
      <c r="G320" s="32"/>
      <c r="H320" s="31" t="s">
        <v>754</v>
      </c>
      <c r="I320" s="31" t="s">
        <v>25</v>
      </c>
    </row>
    <row r="321" spans="1:9" x14ac:dyDescent="0.25">
      <c r="A321" s="979" t="s">
        <v>30</v>
      </c>
      <c r="B321" s="108">
        <v>2</v>
      </c>
      <c r="C321" s="564"/>
      <c r="D321" s="979" t="s">
        <v>28</v>
      </c>
      <c r="E321" s="108">
        <v>75</v>
      </c>
      <c r="F321" s="564"/>
      <c r="G321" s="979" t="s">
        <v>29</v>
      </c>
      <c r="H321" s="108">
        <v>2.1</v>
      </c>
      <c r="I321" s="564"/>
    </row>
    <row r="322" spans="1:9" x14ac:dyDescent="0.25">
      <c r="A322" s="980"/>
      <c r="B322" s="356">
        <v>3</v>
      </c>
      <c r="C322" s="564"/>
      <c r="D322" s="980"/>
      <c r="E322" s="356">
        <v>125</v>
      </c>
      <c r="F322" s="564"/>
      <c r="G322" s="980"/>
      <c r="H322" s="356">
        <v>2.2999999999999998</v>
      </c>
      <c r="I322" s="564"/>
    </row>
    <row r="323" spans="1:9" x14ac:dyDescent="0.25">
      <c r="A323" s="980"/>
      <c r="B323" s="356">
        <v>4</v>
      </c>
      <c r="C323" s="564"/>
      <c r="D323" s="980"/>
      <c r="E323" s="356">
        <v>175</v>
      </c>
      <c r="F323" s="564"/>
      <c r="G323" s="980"/>
      <c r="H323" s="356">
        <v>2.5</v>
      </c>
      <c r="I323" s="564"/>
    </row>
    <row r="324" spans="1:9" x14ac:dyDescent="0.25">
      <c r="A324" s="980"/>
      <c r="B324" s="356">
        <v>5</v>
      </c>
      <c r="C324" s="564"/>
      <c r="D324" s="980"/>
      <c r="E324" s="356">
        <v>225</v>
      </c>
      <c r="F324" s="564"/>
      <c r="G324" s="980"/>
      <c r="H324" s="356">
        <v>2.7</v>
      </c>
      <c r="I324" s="564"/>
    </row>
    <row r="325" spans="1:9" x14ac:dyDescent="0.25">
      <c r="A325" s="980"/>
      <c r="B325" s="356">
        <v>6</v>
      </c>
      <c r="C325" s="564"/>
      <c r="D325" s="980"/>
      <c r="E325" s="356">
        <v>275</v>
      </c>
      <c r="F325" s="564"/>
      <c r="G325" s="980"/>
      <c r="H325" s="356">
        <v>2.9</v>
      </c>
      <c r="I325" s="564"/>
    </row>
    <row r="326" spans="1:9" x14ac:dyDescent="0.25">
      <c r="A326" s="980"/>
      <c r="B326" s="356">
        <v>7</v>
      </c>
      <c r="C326" s="564"/>
      <c r="D326" s="980"/>
      <c r="E326" s="356">
        <v>325</v>
      </c>
      <c r="F326" s="564"/>
      <c r="G326" s="980"/>
      <c r="H326" s="356">
        <v>3.1</v>
      </c>
      <c r="I326" s="564"/>
    </row>
    <row r="327" spans="1:9" x14ac:dyDescent="0.25">
      <c r="A327" s="980"/>
      <c r="B327" s="356">
        <v>8</v>
      </c>
      <c r="C327" s="564"/>
      <c r="D327" s="980"/>
      <c r="E327" s="356">
        <v>375</v>
      </c>
      <c r="F327" s="564"/>
      <c r="G327" s="980"/>
      <c r="H327" s="356">
        <v>3.3</v>
      </c>
      <c r="I327" s="564"/>
    </row>
    <row r="328" spans="1:9" x14ac:dyDescent="0.25">
      <c r="A328" s="980"/>
      <c r="B328" s="356">
        <v>9</v>
      </c>
      <c r="C328" s="564"/>
      <c r="D328" s="980"/>
      <c r="E328" s="356">
        <v>425</v>
      </c>
      <c r="F328" s="564"/>
      <c r="G328" s="980"/>
      <c r="H328" s="356">
        <v>3.5</v>
      </c>
      <c r="I328" s="564"/>
    </row>
    <row r="329" spans="1:9" x14ac:dyDescent="0.25">
      <c r="A329" s="980"/>
      <c r="B329" s="356">
        <v>10</v>
      </c>
      <c r="C329" s="564"/>
      <c r="D329" s="980"/>
      <c r="E329" s="356">
        <v>475</v>
      </c>
      <c r="F329" s="564"/>
      <c r="G329" s="980"/>
      <c r="H329" s="356">
        <v>3.7</v>
      </c>
      <c r="I329" s="564"/>
    </row>
    <row r="330" spans="1:9" x14ac:dyDescent="0.25">
      <c r="A330" s="980"/>
      <c r="B330" s="356">
        <v>11</v>
      </c>
      <c r="C330" s="564"/>
      <c r="D330" s="980"/>
      <c r="E330" s="356">
        <v>525</v>
      </c>
      <c r="F330" s="564"/>
      <c r="G330" s="980"/>
      <c r="H330" s="356">
        <v>3.9</v>
      </c>
      <c r="I330" s="564"/>
    </row>
    <row r="331" spans="1:9" x14ac:dyDescent="0.25">
      <c r="A331" s="980"/>
      <c r="B331" s="356">
        <v>12</v>
      </c>
      <c r="C331" s="564"/>
      <c r="D331" s="980"/>
      <c r="E331" s="356">
        <v>575</v>
      </c>
      <c r="F331" s="564"/>
      <c r="G331" s="980"/>
      <c r="H331" s="356">
        <v>4.0999999999999996</v>
      </c>
      <c r="I331" s="564"/>
    </row>
    <row r="332" spans="1:9" x14ac:dyDescent="0.25">
      <c r="A332" s="980"/>
      <c r="B332" s="356">
        <v>13</v>
      </c>
      <c r="C332" s="564"/>
      <c r="D332" s="980"/>
      <c r="E332" s="356">
        <v>625</v>
      </c>
      <c r="F332" s="564"/>
      <c r="G332" s="980"/>
      <c r="H332" s="356">
        <v>4.3</v>
      </c>
      <c r="I332" s="564"/>
    </row>
    <row r="333" spans="1:9" x14ac:dyDescent="0.25">
      <c r="A333" s="980"/>
      <c r="B333" s="356">
        <v>14</v>
      </c>
      <c r="C333" s="564"/>
      <c r="D333" s="980"/>
      <c r="E333" s="356">
        <v>675</v>
      </c>
      <c r="F333" s="564"/>
      <c r="G333" s="980"/>
      <c r="H333" s="356">
        <v>4.5</v>
      </c>
      <c r="I333" s="564"/>
    </row>
    <row r="334" spans="1:9" x14ac:dyDescent="0.25">
      <c r="A334" s="980"/>
      <c r="B334" s="356">
        <v>15</v>
      </c>
      <c r="C334" s="564"/>
      <c r="D334" s="980"/>
      <c r="E334" s="356">
        <v>725</v>
      </c>
      <c r="F334" s="564"/>
      <c r="G334" s="980"/>
      <c r="H334" s="356">
        <v>4.7</v>
      </c>
      <c r="I334" s="564"/>
    </row>
    <row r="335" spans="1:9" x14ac:dyDescent="0.25">
      <c r="A335" s="980"/>
      <c r="B335" s="356">
        <v>16</v>
      </c>
      <c r="C335" s="564"/>
      <c r="D335" s="980"/>
      <c r="E335" s="356">
        <v>775</v>
      </c>
      <c r="F335" s="564"/>
      <c r="G335" s="980"/>
      <c r="H335" s="356">
        <v>4.9000000000000004</v>
      </c>
      <c r="I335" s="564"/>
    </row>
    <row r="336" spans="1:9" x14ac:dyDescent="0.25">
      <c r="A336" s="980"/>
      <c r="B336" s="356">
        <v>17</v>
      </c>
      <c r="C336" s="564"/>
      <c r="D336" s="980"/>
      <c r="E336" s="356">
        <v>825</v>
      </c>
      <c r="F336" s="564"/>
      <c r="G336" s="980"/>
      <c r="H336" s="356">
        <v>5.0999999999999996</v>
      </c>
      <c r="I336" s="564"/>
    </row>
    <row r="337" spans="1:9" x14ac:dyDescent="0.25">
      <c r="A337" s="980"/>
      <c r="B337" s="356">
        <v>18</v>
      </c>
      <c r="C337" s="564"/>
      <c r="D337" s="980"/>
      <c r="E337" s="356">
        <v>875</v>
      </c>
      <c r="F337" s="564"/>
      <c r="G337" s="980"/>
      <c r="H337" s="356">
        <v>5.3</v>
      </c>
      <c r="I337" s="564"/>
    </row>
    <row r="338" spans="1:9" x14ac:dyDescent="0.25">
      <c r="A338" s="980"/>
      <c r="B338" s="356">
        <v>19</v>
      </c>
      <c r="C338" s="564"/>
      <c r="D338" s="980"/>
      <c r="E338" s="356">
        <v>925</v>
      </c>
      <c r="F338" s="564"/>
      <c r="G338" s="980"/>
      <c r="H338" s="356">
        <v>5.5</v>
      </c>
      <c r="I338" s="564"/>
    </row>
    <row r="339" spans="1:9" x14ac:dyDescent="0.25">
      <c r="A339" s="980"/>
      <c r="B339" s="356">
        <v>20</v>
      </c>
      <c r="C339" s="564"/>
      <c r="D339" s="980"/>
      <c r="E339" s="356">
        <v>975</v>
      </c>
      <c r="F339" s="564"/>
      <c r="G339" s="980"/>
      <c r="H339" s="356">
        <v>5.7</v>
      </c>
      <c r="I339" s="564"/>
    </row>
    <row r="340" spans="1:9" x14ac:dyDescent="0.25">
      <c r="A340" s="980"/>
      <c r="B340" s="356">
        <v>21</v>
      </c>
      <c r="C340" s="564"/>
      <c r="D340" s="980"/>
      <c r="E340" s="356">
        <v>1025</v>
      </c>
      <c r="F340" s="564"/>
      <c r="G340" s="980"/>
      <c r="H340" s="356">
        <v>5.9</v>
      </c>
      <c r="I340" s="564"/>
    </row>
    <row r="341" spans="1:9" x14ac:dyDescent="0.25">
      <c r="A341" s="980"/>
      <c r="B341" s="356">
        <v>22</v>
      </c>
      <c r="C341" s="564"/>
      <c r="D341" s="980"/>
      <c r="E341" s="356">
        <v>1075</v>
      </c>
      <c r="F341" s="564"/>
      <c r="G341" s="980"/>
      <c r="H341" s="356">
        <v>6.1</v>
      </c>
      <c r="I341" s="564"/>
    </row>
    <row r="342" spans="1:9" ht="15" customHeight="1" x14ac:dyDescent="0.25">
      <c r="A342" s="980"/>
      <c r="B342" s="356">
        <v>23</v>
      </c>
      <c r="C342" s="564"/>
      <c r="D342" s="980"/>
      <c r="E342" s="356">
        <v>1125</v>
      </c>
      <c r="F342" s="564"/>
      <c r="G342" s="980"/>
      <c r="H342" s="356">
        <v>6.3</v>
      </c>
      <c r="I342" s="564"/>
    </row>
    <row r="343" spans="1:9" x14ac:dyDescent="0.25">
      <c r="A343" s="980"/>
      <c r="B343" s="356">
        <v>24</v>
      </c>
      <c r="C343" s="564"/>
      <c r="D343" s="980"/>
      <c r="E343" s="356">
        <v>1175</v>
      </c>
      <c r="F343" s="564"/>
      <c r="G343" s="980"/>
      <c r="H343" s="356">
        <v>6.5</v>
      </c>
      <c r="I343" s="564"/>
    </row>
    <row r="344" spans="1:9" x14ac:dyDescent="0.25">
      <c r="A344" s="980"/>
      <c r="B344" s="356">
        <v>25</v>
      </c>
      <c r="C344" s="564"/>
      <c r="D344" s="980"/>
      <c r="E344" s="356">
        <v>1225</v>
      </c>
      <c r="F344" s="564"/>
      <c r="G344" s="980"/>
      <c r="H344" s="356">
        <v>6.7</v>
      </c>
      <c r="I344" s="564"/>
    </row>
    <row r="345" spans="1:9" x14ac:dyDescent="0.25">
      <c r="A345" s="980"/>
      <c r="B345" s="356">
        <v>26</v>
      </c>
      <c r="C345" s="564"/>
      <c r="D345" s="980"/>
      <c r="E345" s="356">
        <v>1275</v>
      </c>
      <c r="F345" s="564"/>
      <c r="G345" s="980"/>
      <c r="H345" s="356">
        <v>6.9</v>
      </c>
      <c r="I345" s="564"/>
    </row>
    <row r="346" spans="1:9" x14ac:dyDescent="0.25">
      <c r="A346" s="980"/>
      <c r="B346" s="356">
        <v>27</v>
      </c>
      <c r="C346" s="564"/>
      <c r="D346" s="980"/>
      <c r="E346" s="356">
        <v>1325</v>
      </c>
      <c r="F346" s="564"/>
      <c r="G346" s="980"/>
      <c r="H346" s="356">
        <v>7.1</v>
      </c>
      <c r="I346" s="564"/>
    </row>
    <row r="347" spans="1:9" x14ac:dyDescent="0.25">
      <c r="A347" s="980"/>
      <c r="B347" s="356">
        <v>28</v>
      </c>
      <c r="C347" s="564"/>
      <c r="D347" s="980"/>
      <c r="E347" s="356">
        <v>1375</v>
      </c>
      <c r="F347" s="564"/>
      <c r="G347" s="980"/>
      <c r="H347" s="356">
        <v>7.3</v>
      </c>
      <c r="I347" s="564"/>
    </row>
    <row r="348" spans="1:9" x14ac:dyDescent="0.25">
      <c r="A348" s="980"/>
      <c r="B348" s="356">
        <v>29</v>
      </c>
      <c r="C348" s="564"/>
      <c r="D348" s="980"/>
      <c r="E348" s="356">
        <v>1425</v>
      </c>
      <c r="F348" s="564"/>
      <c r="G348" s="980"/>
      <c r="H348" s="356">
        <v>7.5</v>
      </c>
      <c r="I348" s="564"/>
    </row>
    <row r="349" spans="1:9" x14ac:dyDescent="0.25">
      <c r="A349" s="980"/>
      <c r="B349" s="356">
        <v>30</v>
      </c>
      <c r="C349" s="564"/>
      <c r="D349" s="980"/>
      <c r="E349" s="356">
        <v>1475</v>
      </c>
      <c r="F349" s="564"/>
      <c r="G349" s="980"/>
      <c r="H349" s="356">
        <v>7.7</v>
      </c>
      <c r="I349" s="564"/>
    </row>
    <row r="350" spans="1:9" x14ac:dyDescent="0.25">
      <c r="A350" s="980"/>
      <c r="B350" s="356">
        <v>31</v>
      </c>
      <c r="C350" s="564"/>
      <c r="D350" s="980"/>
      <c r="E350" s="356">
        <v>1525</v>
      </c>
      <c r="F350" s="564"/>
      <c r="G350" s="980"/>
      <c r="H350" s="356">
        <v>7.9</v>
      </c>
      <c r="I350" s="564"/>
    </row>
    <row r="351" spans="1:9" x14ac:dyDescent="0.25">
      <c r="A351" s="980"/>
      <c r="B351" s="356">
        <v>32</v>
      </c>
      <c r="C351" s="564"/>
      <c r="D351" s="980"/>
      <c r="E351" s="356">
        <v>1575</v>
      </c>
      <c r="F351" s="564"/>
      <c r="G351" s="980"/>
      <c r="H351" s="356">
        <v>8.1</v>
      </c>
      <c r="I351" s="564"/>
    </row>
    <row r="352" spans="1:9" x14ac:dyDescent="0.25">
      <c r="A352" s="980"/>
      <c r="B352" s="356">
        <v>33</v>
      </c>
      <c r="C352" s="564"/>
      <c r="D352" s="980"/>
      <c r="E352" s="356">
        <v>1625</v>
      </c>
      <c r="F352" s="564"/>
      <c r="G352" s="980"/>
      <c r="H352" s="356">
        <v>8.3000000000000007</v>
      </c>
      <c r="I352" s="564"/>
    </row>
    <row r="353" spans="1:9" x14ac:dyDescent="0.25">
      <c r="A353" s="980"/>
      <c r="B353" s="356">
        <v>34</v>
      </c>
      <c r="C353" s="564"/>
      <c r="D353" s="980"/>
      <c r="E353" s="356">
        <v>1675</v>
      </c>
      <c r="F353" s="564"/>
      <c r="G353" s="980"/>
      <c r="H353" s="356">
        <v>8.5</v>
      </c>
      <c r="I353" s="564"/>
    </row>
    <row r="354" spans="1:9" x14ac:dyDescent="0.25">
      <c r="A354" s="980"/>
      <c r="B354" s="356">
        <v>35</v>
      </c>
      <c r="C354" s="564"/>
      <c r="D354" s="980"/>
      <c r="E354" s="356">
        <v>1725</v>
      </c>
      <c r="F354" s="564"/>
      <c r="G354" s="980"/>
      <c r="H354" s="356">
        <v>8.6999999999999993</v>
      </c>
      <c r="I354" s="564"/>
    </row>
    <row r="355" spans="1:9" x14ac:dyDescent="0.25">
      <c r="A355" s="980"/>
      <c r="B355" s="356">
        <v>36</v>
      </c>
      <c r="C355" s="564"/>
      <c r="D355" s="980"/>
      <c r="E355" s="356">
        <v>1775</v>
      </c>
      <c r="F355" s="564"/>
      <c r="G355" s="981"/>
      <c r="H355" s="356">
        <v>8.9</v>
      </c>
      <c r="I355" s="564"/>
    </row>
    <row r="356" spans="1:9" x14ac:dyDescent="0.25">
      <c r="A356" s="980"/>
      <c r="B356" s="356">
        <v>37</v>
      </c>
      <c r="C356" s="564"/>
      <c r="D356" s="980"/>
      <c r="E356" s="356">
        <v>1825</v>
      </c>
      <c r="F356" s="564"/>
      <c r="G356" s="107"/>
      <c r="H356" s="107"/>
      <c r="I356" s="130"/>
    </row>
    <row r="357" spans="1:9" x14ac:dyDescent="0.25">
      <c r="A357" s="980"/>
      <c r="B357" s="356">
        <v>38</v>
      </c>
      <c r="C357" s="564"/>
      <c r="D357" s="980"/>
      <c r="E357" s="356">
        <v>1875</v>
      </c>
      <c r="F357" s="564"/>
      <c r="G357" s="107"/>
      <c r="H357" s="107"/>
      <c r="I357" s="107"/>
    </row>
    <row r="358" spans="1:9" x14ac:dyDescent="0.25">
      <c r="A358" s="980"/>
      <c r="B358" s="356">
        <v>39</v>
      </c>
      <c r="C358" s="564"/>
      <c r="D358" s="980"/>
      <c r="E358" s="356">
        <v>1925</v>
      </c>
      <c r="F358" s="564"/>
      <c r="G358" s="107"/>
      <c r="H358" s="107"/>
      <c r="I358" s="107"/>
    </row>
    <row r="359" spans="1:9" x14ac:dyDescent="0.25">
      <c r="A359" s="980"/>
      <c r="B359" s="356">
        <v>40</v>
      </c>
      <c r="C359" s="564"/>
      <c r="D359" s="981"/>
      <c r="E359" s="356">
        <v>1975</v>
      </c>
      <c r="F359" s="564"/>
      <c r="G359" s="107"/>
      <c r="H359" s="107"/>
      <c r="I359" s="107"/>
    </row>
    <row r="360" spans="1:9" x14ac:dyDescent="0.25">
      <c r="A360" s="980"/>
      <c r="B360" s="356">
        <v>41</v>
      </c>
      <c r="C360" s="564"/>
      <c r="D360" s="107"/>
      <c r="E360" s="107"/>
      <c r="F360" s="107"/>
      <c r="G360" s="107"/>
      <c r="H360" s="107"/>
      <c r="I360" s="107"/>
    </row>
    <row r="361" spans="1:9" x14ac:dyDescent="0.25">
      <c r="A361" s="980"/>
      <c r="B361" s="356">
        <v>42</v>
      </c>
      <c r="C361" s="564"/>
      <c r="D361" s="107"/>
      <c r="E361" s="107"/>
      <c r="F361" s="107"/>
      <c r="G361" s="107"/>
      <c r="H361" s="107"/>
      <c r="I361" s="107"/>
    </row>
    <row r="362" spans="1:9" x14ac:dyDescent="0.25">
      <c r="A362" s="980"/>
      <c r="B362" s="356">
        <v>43</v>
      </c>
      <c r="C362" s="564"/>
      <c r="D362" s="107"/>
      <c r="E362" s="107"/>
      <c r="F362" s="107"/>
      <c r="G362" s="107"/>
      <c r="H362" s="107"/>
      <c r="I362" s="107"/>
    </row>
    <row r="363" spans="1:9" x14ac:dyDescent="0.25">
      <c r="A363" s="980"/>
      <c r="B363" s="356">
        <v>44</v>
      </c>
      <c r="C363" s="564"/>
      <c r="D363" s="107"/>
      <c r="E363" s="107"/>
      <c r="F363" s="107"/>
      <c r="G363" s="107"/>
      <c r="H363" s="107"/>
      <c r="I363" s="107"/>
    </row>
    <row r="364" spans="1:9" x14ac:dyDescent="0.25">
      <c r="A364" s="980"/>
      <c r="B364" s="356">
        <v>45</v>
      </c>
      <c r="C364" s="564"/>
      <c r="D364" s="107"/>
      <c r="E364" s="107"/>
      <c r="F364" s="107"/>
      <c r="G364" s="107"/>
      <c r="H364" s="107"/>
      <c r="I364" s="107"/>
    </row>
    <row r="365" spans="1:9" x14ac:dyDescent="0.25">
      <c r="A365" s="980"/>
      <c r="B365" s="356">
        <v>46</v>
      </c>
      <c r="C365" s="564"/>
      <c r="D365" s="107"/>
      <c r="E365" s="107"/>
      <c r="F365" s="107"/>
      <c r="G365" s="107"/>
      <c r="H365" s="107"/>
      <c r="I365" s="107"/>
    </row>
    <row r="366" spans="1:9" x14ac:dyDescent="0.25">
      <c r="A366" s="980"/>
      <c r="B366" s="356">
        <v>47</v>
      </c>
      <c r="C366" s="564"/>
      <c r="D366" s="107"/>
      <c r="E366" s="107"/>
      <c r="F366" s="107"/>
      <c r="G366" s="107"/>
      <c r="H366" s="107"/>
      <c r="I366" s="107"/>
    </row>
    <row r="367" spans="1:9" x14ac:dyDescent="0.25">
      <c r="A367" s="980"/>
      <c r="B367" s="356">
        <v>48</v>
      </c>
      <c r="C367" s="564"/>
      <c r="D367" s="107"/>
      <c r="E367" s="107"/>
      <c r="F367" s="107"/>
      <c r="G367" s="107"/>
      <c r="H367" s="107"/>
      <c r="I367" s="107"/>
    </row>
    <row r="368" spans="1:9" x14ac:dyDescent="0.25">
      <c r="A368" s="980"/>
      <c r="B368" s="356">
        <v>49</v>
      </c>
      <c r="C368" s="564"/>
      <c r="D368" s="107"/>
      <c r="E368" s="107"/>
      <c r="F368" s="107"/>
      <c r="G368" s="107"/>
      <c r="H368" s="107"/>
      <c r="I368" s="107"/>
    </row>
    <row r="369" spans="1:9" x14ac:dyDescent="0.25">
      <c r="A369" s="981"/>
      <c r="B369" s="356">
        <v>50</v>
      </c>
      <c r="C369" s="564"/>
      <c r="D369" s="107"/>
      <c r="E369" s="107"/>
      <c r="F369" s="107"/>
      <c r="G369" s="107"/>
      <c r="H369" s="107"/>
      <c r="I369" s="107"/>
    </row>
    <row r="370" spans="1:9" ht="15.75" thickBot="1" x14ac:dyDescent="0.3">
      <c r="A370" s="107"/>
      <c r="B370" s="107"/>
      <c r="C370" s="107"/>
      <c r="D370" s="107"/>
      <c r="E370" s="107"/>
      <c r="F370" s="107"/>
      <c r="G370" s="107"/>
      <c r="H370" s="107"/>
      <c r="I370" s="107"/>
    </row>
    <row r="371" spans="1:9" ht="15.75" thickBot="1" x14ac:dyDescent="0.3">
      <c r="A371" s="982" t="s">
        <v>1117</v>
      </c>
      <c r="B371" s="983"/>
      <c r="C371" s="983"/>
      <c r="D371" s="983"/>
      <c r="E371" s="983"/>
      <c r="F371" s="983"/>
      <c r="G371" s="983"/>
      <c r="H371" s="983"/>
      <c r="I371" s="984"/>
    </row>
    <row r="372" spans="1:9" x14ac:dyDescent="0.25">
      <c r="A372" s="107" t="s">
        <v>488</v>
      </c>
      <c r="B372" s="853">
        <f>Berechnungen!D$11</f>
        <v>0</v>
      </c>
      <c r="C372" s="107"/>
      <c r="D372" s="107" t="s">
        <v>489</v>
      </c>
      <c r="E372" s="107"/>
      <c r="F372" s="107"/>
      <c r="G372" s="854">
        <f>IF(Berechnungen!D11&gt;0,"Neuerrichtung",0)</f>
        <v>0</v>
      </c>
      <c r="H372" s="107"/>
      <c r="I372" s="855">
        <f>IF(OR($G372=0,$G372="Bestand"),0,Berechnungen!$F$11)</f>
        <v>0</v>
      </c>
    </row>
    <row r="373" spans="1:9" ht="18" x14ac:dyDescent="0.35">
      <c r="A373" s="346"/>
      <c r="B373" s="31" t="s">
        <v>22</v>
      </c>
      <c r="C373" s="31" t="s">
        <v>25</v>
      </c>
      <c r="D373" s="32"/>
      <c r="E373" s="31" t="s">
        <v>753</v>
      </c>
      <c r="F373" s="31" t="s">
        <v>26</v>
      </c>
      <c r="G373" s="32"/>
      <c r="H373" s="31" t="s">
        <v>754</v>
      </c>
      <c r="I373" s="31" t="s">
        <v>25</v>
      </c>
    </row>
    <row r="374" spans="1:9" x14ac:dyDescent="0.25">
      <c r="A374" s="979" t="s">
        <v>30</v>
      </c>
      <c r="B374" s="108">
        <v>2</v>
      </c>
      <c r="C374" s="563"/>
      <c r="D374" s="979" t="s">
        <v>28</v>
      </c>
      <c r="E374" s="108">
        <v>75</v>
      </c>
      <c r="F374" s="563"/>
      <c r="G374" s="979" t="s">
        <v>29</v>
      </c>
      <c r="H374" s="108">
        <v>2.1</v>
      </c>
      <c r="I374" s="563"/>
    </row>
    <row r="375" spans="1:9" x14ac:dyDescent="0.25">
      <c r="A375" s="980"/>
      <c r="B375" s="356">
        <v>3</v>
      </c>
      <c r="C375" s="564"/>
      <c r="D375" s="980"/>
      <c r="E375" s="356">
        <v>125</v>
      </c>
      <c r="F375" s="564"/>
      <c r="G375" s="980"/>
      <c r="H375" s="356">
        <v>2.2999999999999998</v>
      </c>
      <c r="I375" s="563"/>
    </row>
    <row r="376" spans="1:9" x14ac:dyDescent="0.25">
      <c r="A376" s="980"/>
      <c r="B376" s="356">
        <v>4</v>
      </c>
      <c r="C376" s="564"/>
      <c r="D376" s="980"/>
      <c r="E376" s="356">
        <v>175</v>
      </c>
      <c r="F376" s="564"/>
      <c r="G376" s="980"/>
      <c r="H376" s="356">
        <v>2.5</v>
      </c>
      <c r="I376" s="564"/>
    </row>
    <row r="377" spans="1:9" x14ac:dyDescent="0.25">
      <c r="A377" s="980"/>
      <c r="B377" s="356">
        <v>5</v>
      </c>
      <c r="C377" s="564"/>
      <c r="D377" s="980"/>
      <c r="E377" s="356">
        <v>225</v>
      </c>
      <c r="F377" s="564"/>
      <c r="G377" s="980"/>
      <c r="H377" s="356">
        <v>2.7</v>
      </c>
      <c r="I377" s="564"/>
    </row>
    <row r="378" spans="1:9" x14ac:dyDescent="0.25">
      <c r="A378" s="980"/>
      <c r="B378" s="356">
        <v>6</v>
      </c>
      <c r="C378" s="564"/>
      <c r="D378" s="980"/>
      <c r="E378" s="356">
        <v>275</v>
      </c>
      <c r="F378" s="564"/>
      <c r="G378" s="980"/>
      <c r="H378" s="356">
        <v>2.9</v>
      </c>
      <c r="I378" s="564"/>
    </row>
    <row r="379" spans="1:9" x14ac:dyDescent="0.25">
      <c r="A379" s="980"/>
      <c r="B379" s="356">
        <v>7</v>
      </c>
      <c r="C379" s="564"/>
      <c r="D379" s="980"/>
      <c r="E379" s="356">
        <v>325</v>
      </c>
      <c r="F379" s="564"/>
      <c r="G379" s="980"/>
      <c r="H379" s="356">
        <v>3.1</v>
      </c>
      <c r="I379" s="564"/>
    </row>
    <row r="380" spans="1:9" x14ac:dyDescent="0.25">
      <c r="A380" s="980"/>
      <c r="B380" s="356">
        <v>8</v>
      </c>
      <c r="C380" s="564"/>
      <c r="D380" s="980"/>
      <c r="E380" s="356">
        <v>375</v>
      </c>
      <c r="F380" s="564"/>
      <c r="G380" s="980"/>
      <c r="H380" s="356">
        <v>3.3</v>
      </c>
      <c r="I380" s="564"/>
    </row>
    <row r="381" spans="1:9" x14ac:dyDescent="0.25">
      <c r="A381" s="980"/>
      <c r="B381" s="356">
        <v>9</v>
      </c>
      <c r="C381" s="564"/>
      <c r="D381" s="980"/>
      <c r="E381" s="356">
        <v>425</v>
      </c>
      <c r="F381" s="564"/>
      <c r="G381" s="980"/>
      <c r="H381" s="356">
        <v>3.5</v>
      </c>
      <c r="I381" s="564"/>
    </row>
    <row r="382" spans="1:9" x14ac:dyDescent="0.25">
      <c r="A382" s="980"/>
      <c r="B382" s="356">
        <v>10</v>
      </c>
      <c r="C382" s="564"/>
      <c r="D382" s="980"/>
      <c r="E382" s="356">
        <v>475</v>
      </c>
      <c r="F382" s="564"/>
      <c r="G382" s="980"/>
      <c r="H382" s="356">
        <v>3.7</v>
      </c>
      <c r="I382" s="564"/>
    </row>
    <row r="383" spans="1:9" x14ac:dyDescent="0.25">
      <c r="A383" s="980"/>
      <c r="B383" s="356">
        <v>11</v>
      </c>
      <c r="C383" s="564"/>
      <c r="D383" s="980"/>
      <c r="E383" s="356">
        <v>525</v>
      </c>
      <c r="F383" s="564"/>
      <c r="G383" s="980"/>
      <c r="H383" s="356">
        <v>3.9</v>
      </c>
      <c r="I383" s="564"/>
    </row>
    <row r="384" spans="1:9" x14ac:dyDescent="0.25">
      <c r="A384" s="980"/>
      <c r="B384" s="356">
        <v>12</v>
      </c>
      <c r="C384" s="564"/>
      <c r="D384" s="980"/>
      <c r="E384" s="356">
        <v>575</v>
      </c>
      <c r="F384" s="564"/>
      <c r="G384" s="980"/>
      <c r="H384" s="356">
        <v>4.0999999999999996</v>
      </c>
      <c r="I384" s="564"/>
    </row>
    <row r="385" spans="1:9" x14ac:dyDescent="0.25">
      <c r="A385" s="980"/>
      <c r="B385" s="356">
        <v>13</v>
      </c>
      <c r="C385" s="564"/>
      <c r="D385" s="980"/>
      <c r="E385" s="356">
        <v>625</v>
      </c>
      <c r="F385" s="564"/>
      <c r="G385" s="980"/>
      <c r="H385" s="356">
        <v>4.3</v>
      </c>
      <c r="I385" s="564"/>
    </row>
    <row r="386" spans="1:9" x14ac:dyDescent="0.25">
      <c r="A386" s="980"/>
      <c r="B386" s="356">
        <v>14</v>
      </c>
      <c r="C386" s="564"/>
      <c r="D386" s="980"/>
      <c r="E386" s="356">
        <v>675</v>
      </c>
      <c r="F386" s="564"/>
      <c r="G386" s="980"/>
      <c r="H386" s="356">
        <v>4.5</v>
      </c>
      <c r="I386" s="564"/>
    </row>
    <row r="387" spans="1:9" x14ac:dyDescent="0.25">
      <c r="A387" s="980"/>
      <c r="B387" s="356">
        <v>15</v>
      </c>
      <c r="C387" s="564"/>
      <c r="D387" s="980"/>
      <c r="E387" s="356">
        <v>725</v>
      </c>
      <c r="F387" s="564"/>
      <c r="G387" s="980"/>
      <c r="H387" s="356">
        <v>4.7</v>
      </c>
      <c r="I387" s="564"/>
    </row>
    <row r="388" spans="1:9" x14ac:dyDescent="0.25">
      <c r="A388" s="980"/>
      <c r="B388" s="356">
        <v>16</v>
      </c>
      <c r="C388" s="564"/>
      <c r="D388" s="980"/>
      <c r="E388" s="356">
        <v>775</v>
      </c>
      <c r="F388" s="564"/>
      <c r="G388" s="980"/>
      <c r="H388" s="356">
        <v>4.9000000000000004</v>
      </c>
      <c r="I388" s="564"/>
    </row>
    <row r="389" spans="1:9" x14ac:dyDescent="0.25">
      <c r="A389" s="980"/>
      <c r="B389" s="356">
        <v>17</v>
      </c>
      <c r="C389" s="564"/>
      <c r="D389" s="980"/>
      <c r="E389" s="356">
        <v>825</v>
      </c>
      <c r="F389" s="564"/>
      <c r="G389" s="980"/>
      <c r="H389" s="356">
        <v>5.0999999999999996</v>
      </c>
      <c r="I389" s="564"/>
    </row>
    <row r="390" spans="1:9" x14ac:dyDescent="0.25">
      <c r="A390" s="980"/>
      <c r="B390" s="356">
        <v>18</v>
      </c>
      <c r="C390" s="564"/>
      <c r="D390" s="980"/>
      <c r="E390" s="356">
        <v>875</v>
      </c>
      <c r="F390" s="564"/>
      <c r="G390" s="980"/>
      <c r="H390" s="356">
        <v>5.3</v>
      </c>
      <c r="I390" s="564"/>
    </row>
    <row r="391" spans="1:9" x14ac:dyDescent="0.25">
      <c r="A391" s="980"/>
      <c r="B391" s="356">
        <v>19</v>
      </c>
      <c r="C391" s="564"/>
      <c r="D391" s="980"/>
      <c r="E391" s="356">
        <v>925</v>
      </c>
      <c r="F391" s="564"/>
      <c r="G391" s="980"/>
      <c r="H391" s="356">
        <v>5.5</v>
      </c>
      <c r="I391" s="564"/>
    </row>
    <row r="392" spans="1:9" x14ac:dyDescent="0.25">
      <c r="A392" s="980"/>
      <c r="B392" s="356">
        <v>20</v>
      </c>
      <c r="C392" s="564"/>
      <c r="D392" s="980"/>
      <c r="E392" s="356">
        <v>975</v>
      </c>
      <c r="F392" s="564"/>
      <c r="G392" s="980"/>
      <c r="H392" s="356">
        <v>5.7</v>
      </c>
      <c r="I392" s="564"/>
    </row>
    <row r="393" spans="1:9" x14ac:dyDescent="0.25">
      <c r="A393" s="980"/>
      <c r="B393" s="356">
        <v>21</v>
      </c>
      <c r="C393" s="564"/>
      <c r="D393" s="980"/>
      <c r="E393" s="356">
        <v>1025</v>
      </c>
      <c r="F393" s="564"/>
      <c r="G393" s="980"/>
      <c r="H393" s="356">
        <v>5.9</v>
      </c>
      <c r="I393" s="564"/>
    </row>
    <row r="394" spans="1:9" x14ac:dyDescent="0.25">
      <c r="A394" s="980"/>
      <c r="B394" s="356">
        <v>22</v>
      </c>
      <c r="C394" s="564"/>
      <c r="D394" s="980"/>
      <c r="E394" s="356">
        <v>1075</v>
      </c>
      <c r="F394" s="564"/>
      <c r="G394" s="980"/>
      <c r="H394" s="356">
        <v>6.1</v>
      </c>
      <c r="I394" s="564"/>
    </row>
    <row r="395" spans="1:9" ht="15" customHeight="1" x14ac:dyDescent="0.25">
      <c r="A395" s="980"/>
      <c r="B395" s="356">
        <v>23</v>
      </c>
      <c r="C395" s="564"/>
      <c r="D395" s="980"/>
      <c r="E395" s="356">
        <v>1125</v>
      </c>
      <c r="F395" s="564"/>
      <c r="G395" s="980"/>
      <c r="H395" s="356">
        <v>6.3</v>
      </c>
      <c r="I395" s="564"/>
    </row>
    <row r="396" spans="1:9" x14ac:dyDescent="0.25">
      <c r="A396" s="980"/>
      <c r="B396" s="356">
        <v>24</v>
      </c>
      <c r="C396" s="564"/>
      <c r="D396" s="980"/>
      <c r="E396" s="356">
        <v>1175</v>
      </c>
      <c r="F396" s="564"/>
      <c r="G396" s="980"/>
      <c r="H396" s="356">
        <v>6.5</v>
      </c>
      <c r="I396" s="564"/>
    </row>
    <row r="397" spans="1:9" x14ac:dyDescent="0.25">
      <c r="A397" s="980"/>
      <c r="B397" s="356">
        <v>25</v>
      </c>
      <c r="C397" s="564"/>
      <c r="D397" s="980"/>
      <c r="E397" s="356">
        <v>1225</v>
      </c>
      <c r="F397" s="564"/>
      <c r="G397" s="980"/>
      <c r="H397" s="356">
        <v>6.7</v>
      </c>
      <c r="I397" s="564"/>
    </row>
    <row r="398" spans="1:9" x14ac:dyDescent="0.25">
      <c r="A398" s="980"/>
      <c r="B398" s="356">
        <v>26</v>
      </c>
      <c r="C398" s="564"/>
      <c r="D398" s="980"/>
      <c r="E398" s="356">
        <v>1275</v>
      </c>
      <c r="F398" s="564"/>
      <c r="G398" s="980"/>
      <c r="H398" s="356">
        <v>6.9</v>
      </c>
      <c r="I398" s="564"/>
    </row>
    <row r="399" spans="1:9" x14ac:dyDescent="0.25">
      <c r="A399" s="980"/>
      <c r="B399" s="356">
        <v>27</v>
      </c>
      <c r="C399" s="564"/>
      <c r="D399" s="980"/>
      <c r="E399" s="356">
        <v>1325</v>
      </c>
      <c r="F399" s="564"/>
      <c r="G399" s="980"/>
      <c r="H399" s="356">
        <v>7.1</v>
      </c>
      <c r="I399" s="564"/>
    </row>
    <row r="400" spans="1:9" x14ac:dyDescent="0.25">
      <c r="A400" s="980"/>
      <c r="B400" s="356">
        <v>28</v>
      </c>
      <c r="C400" s="564"/>
      <c r="D400" s="980"/>
      <c r="E400" s="356">
        <v>1375</v>
      </c>
      <c r="F400" s="564"/>
      <c r="G400" s="980"/>
      <c r="H400" s="356">
        <v>7.3</v>
      </c>
      <c r="I400" s="564"/>
    </row>
    <row r="401" spans="1:9" x14ac:dyDescent="0.25">
      <c r="A401" s="980"/>
      <c r="B401" s="356">
        <v>29</v>
      </c>
      <c r="C401" s="564"/>
      <c r="D401" s="980"/>
      <c r="E401" s="356">
        <v>1425</v>
      </c>
      <c r="F401" s="564"/>
      <c r="G401" s="980"/>
      <c r="H401" s="356">
        <v>7.5</v>
      </c>
      <c r="I401" s="564"/>
    </row>
    <row r="402" spans="1:9" x14ac:dyDescent="0.25">
      <c r="A402" s="980"/>
      <c r="B402" s="356">
        <v>30</v>
      </c>
      <c r="C402" s="564"/>
      <c r="D402" s="980"/>
      <c r="E402" s="356">
        <v>1475</v>
      </c>
      <c r="F402" s="564"/>
      <c r="G402" s="980"/>
      <c r="H402" s="356">
        <v>7.7</v>
      </c>
      <c r="I402" s="564"/>
    </row>
    <row r="403" spans="1:9" x14ac:dyDescent="0.25">
      <c r="A403" s="980"/>
      <c r="B403" s="356">
        <v>31</v>
      </c>
      <c r="C403" s="564"/>
      <c r="D403" s="980"/>
      <c r="E403" s="356">
        <v>1525</v>
      </c>
      <c r="F403" s="564"/>
      <c r="G403" s="980"/>
      <c r="H403" s="356">
        <v>7.9</v>
      </c>
      <c r="I403" s="564"/>
    </row>
    <row r="404" spans="1:9" x14ac:dyDescent="0.25">
      <c r="A404" s="980"/>
      <c r="B404" s="356">
        <v>32</v>
      </c>
      <c r="C404" s="564"/>
      <c r="D404" s="980"/>
      <c r="E404" s="356">
        <v>1575</v>
      </c>
      <c r="F404" s="564"/>
      <c r="G404" s="980"/>
      <c r="H404" s="356">
        <v>8.1</v>
      </c>
      <c r="I404" s="564"/>
    </row>
    <row r="405" spans="1:9" x14ac:dyDescent="0.25">
      <c r="A405" s="980"/>
      <c r="B405" s="356">
        <v>33</v>
      </c>
      <c r="C405" s="564"/>
      <c r="D405" s="980"/>
      <c r="E405" s="356">
        <v>1625</v>
      </c>
      <c r="F405" s="564"/>
      <c r="G405" s="980"/>
      <c r="H405" s="356">
        <v>8.3000000000000007</v>
      </c>
      <c r="I405" s="564"/>
    </row>
    <row r="406" spans="1:9" x14ac:dyDescent="0.25">
      <c r="A406" s="980"/>
      <c r="B406" s="356">
        <v>34</v>
      </c>
      <c r="C406" s="564"/>
      <c r="D406" s="980"/>
      <c r="E406" s="356">
        <v>1675</v>
      </c>
      <c r="F406" s="564"/>
      <c r="G406" s="980"/>
      <c r="H406" s="356">
        <v>8.5</v>
      </c>
      <c r="I406" s="564"/>
    </row>
    <row r="407" spans="1:9" x14ac:dyDescent="0.25">
      <c r="A407" s="980"/>
      <c r="B407" s="356">
        <v>35</v>
      </c>
      <c r="C407" s="564"/>
      <c r="D407" s="980"/>
      <c r="E407" s="356">
        <v>1725</v>
      </c>
      <c r="F407" s="564"/>
      <c r="G407" s="980"/>
      <c r="H407" s="356">
        <v>8.6999999999999993</v>
      </c>
      <c r="I407" s="564"/>
    </row>
    <row r="408" spans="1:9" x14ac:dyDescent="0.25">
      <c r="A408" s="980"/>
      <c r="B408" s="356">
        <v>36</v>
      </c>
      <c r="C408" s="564"/>
      <c r="D408" s="980"/>
      <c r="E408" s="356">
        <v>1775</v>
      </c>
      <c r="F408" s="564"/>
      <c r="G408" s="981"/>
      <c r="H408" s="356">
        <v>8.9</v>
      </c>
      <c r="I408" s="564"/>
    </row>
    <row r="409" spans="1:9" x14ac:dyDescent="0.25">
      <c r="A409" s="980"/>
      <c r="B409" s="356">
        <v>37</v>
      </c>
      <c r="C409" s="564"/>
      <c r="D409" s="980"/>
      <c r="E409" s="356">
        <v>1825</v>
      </c>
      <c r="F409" s="564"/>
      <c r="G409" s="107"/>
      <c r="H409" s="107"/>
      <c r="I409" s="107"/>
    </row>
    <row r="410" spans="1:9" x14ac:dyDescent="0.25">
      <c r="A410" s="980"/>
      <c r="B410" s="356">
        <v>38</v>
      </c>
      <c r="C410" s="564"/>
      <c r="D410" s="980"/>
      <c r="E410" s="356">
        <v>1875</v>
      </c>
      <c r="F410" s="564"/>
      <c r="G410" s="107"/>
      <c r="H410" s="107"/>
      <c r="I410" s="107"/>
    </row>
    <row r="411" spans="1:9" x14ac:dyDescent="0.25">
      <c r="A411" s="980"/>
      <c r="B411" s="356">
        <v>39</v>
      </c>
      <c r="C411" s="564"/>
      <c r="D411" s="980"/>
      <c r="E411" s="356">
        <v>1925</v>
      </c>
      <c r="F411" s="564"/>
      <c r="G411" s="107"/>
      <c r="H411" s="107"/>
      <c r="I411" s="107"/>
    </row>
    <row r="412" spans="1:9" x14ac:dyDescent="0.25">
      <c r="A412" s="980"/>
      <c r="B412" s="356">
        <v>40</v>
      </c>
      <c r="C412" s="564"/>
      <c r="D412" s="981"/>
      <c r="E412" s="356">
        <v>1975</v>
      </c>
      <c r="F412" s="564"/>
      <c r="G412" s="107"/>
      <c r="H412" s="107"/>
      <c r="I412" s="107"/>
    </row>
    <row r="413" spans="1:9" x14ac:dyDescent="0.25">
      <c r="A413" s="980"/>
      <c r="B413" s="356">
        <v>41</v>
      </c>
      <c r="C413" s="564"/>
      <c r="D413" s="107"/>
      <c r="E413" s="107"/>
      <c r="F413" s="107"/>
      <c r="G413" s="107"/>
      <c r="H413" s="107"/>
      <c r="I413" s="107"/>
    </row>
    <row r="414" spans="1:9" x14ac:dyDescent="0.25">
      <c r="A414" s="980"/>
      <c r="B414" s="356">
        <v>42</v>
      </c>
      <c r="C414" s="564"/>
      <c r="D414" s="107"/>
      <c r="E414" s="107"/>
      <c r="F414" s="107"/>
      <c r="G414" s="107"/>
      <c r="H414" s="107"/>
      <c r="I414" s="107"/>
    </row>
    <row r="415" spans="1:9" x14ac:dyDescent="0.25">
      <c r="A415" s="980"/>
      <c r="B415" s="356">
        <v>43</v>
      </c>
      <c r="C415" s="564"/>
      <c r="D415" s="107"/>
      <c r="E415" s="107"/>
      <c r="F415" s="107"/>
      <c r="G415" s="107"/>
      <c r="H415" s="107"/>
      <c r="I415" s="107"/>
    </row>
    <row r="416" spans="1:9" x14ac:dyDescent="0.25">
      <c r="A416" s="980"/>
      <c r="B416" s="356">
        <v>44</v>
      </c>
      <c r="C416" s="564"/>
      <c r="D416" s="107"/>
      <c r="E416" s="107"/>
      <c r="F416" s="107"/>
      <c r="G416" s="107"/>
      <c r="H416" s="107"/>
      <c r="I416" s="107"/>
    </row>
    <row r="417" spans="1:9" x14ac:dyDescent="0.25">
      <c r="A417" s="980"/>
      <c r="B417" s="356">
        <v>45</v>
      </c>
      <c r="C417" s="564"/>
      <c r="D417" s="107"/>
      <c r="E417" s="107"/>
      <c r="F417" s="107"/>
      <c r="G417" s="107"/>
      <c r="H417" s="107"/>
      <c r="I417" s="107"/>
    </row>
    <row r="418" spans="1:9" x14ac:dyDescent="0.25">
      <c r="A418" s="980"/>
      <c r="B418" s="356">
        <v>46</v>
      </c>
      <c r="C418" s="564"/>
      <c r="D418" s="107"/>
      <c r="E418" s="107"/>
      <c r="F418" s="107"/>
      <c r="G418" s="107"/>
      <c r="H418" s="107"/>
      <c r="I418" s="107"/>
    </row>
    <row r="419" spans="1:9" x14ac:dyDescent="0.25">
      <c r="A419" s="980"/>
      <c r="B419" s="356">
        <v>47</v>
      </c>
      <c r="C419" s="564"/>
      <c r="D419" s="107"/>
      <c r="E419" s="107"/>
      <c r="F419" s="107"/>
      <c r="G419" s="107"/>
      <c r="H419" s="107"/>
      <c r="I419" s="107"/>
    </row>
    <row r="420" spans="1:9" x14ac:dyDescent="0.25">
      <c r="A420" s="980"/>
      <c r="B420" s="356">
        <v>48</v>
      </c>
      <c r="C420" s="564"/>
      <c r="D420" s="107"/>
      <c r="E420" s="107"/>
      <c r="F420" s="107"/>
      <c r="G420" s="107"/>
      <c r="H420" s="107"/>
      <c r="I420" s="107"/>
    </row>
    <row r="421" spans="1:9" x14ac:dyDescent="0.25">
      <c r="A421" s="980"/>
      <c r="B421" s="356">
        <v>49</v>
      </c>
      <c r="C421" s="564"/>
      <c r="D421" s="107"/>
      <c r="E421" s="107"/>
      <c r="F421" s="107"/>
      <c r="G421" s="107"/>
      <c r="H421" s="107"/>
      <c r="I421" s="107"/>
    </row>
    <row r="422" spans="1:9" x14ac:dyDescent="0.25">
      <c r="A422" s="981"/>
      <c r="B422" s="356">
        <v>50</v>
      </c>
      <c r="C422" s="564"/>
      <c r="D422" s="107"/>
      <c r="E422" s="107"/>
      <c r="F422" s="107"/>
      <c r="G422" s="107"/>
      <c r="H422" s="107"/>
      <c r="I422" s="107"/>
    </row>
    <row r="423" spans="1:9" ht="15.75" thickBot="1" x14ac:dyDescent="0.3">
      <c r="A423" s="107"/>
      <c r="B423" s="107"/>
      <c r="C423" s="107"/>
      <c r="D423" s="107"/>
      <c r="E423" s="107"/>
      <c r="F423" s="107"/>
      <c r="G423" s="107"/>
      <c r="H423" s="107"/>
      <c r="I423" s="107"/>
    </row>
    <row r="424" spans="1:9" ht="15.75" thickBot="1" x14ac:dyDescent="0.3">
      <c r="A424" s="982" t="s">
        <v>1118</v>
      </c>
      <c r="B424" s="983"/>
      <c r="C424" s="983"/>
      <c r="D424" s="983"/>
      <c r="E424" s="983"/>
      <c r="F424" s="983"/>
      <c r="G424" s="983"/>
      <c r="H424" s="983"/>
      <c r="I424" s="984"/>
    </row>
    <row r="425" spans="1:9" x14ac:dyDescent="0.25">
      <c r="A425" s="107" t="s">
        <v>488</v>
      </c>
      <c r="B425" s="853">
        <f>Berechnungen!D$12</f>
        <v>0</v>
      </c>
      <c r="C425" s="107"/>
      <c r="D425" s="107" t="s">
        <v>489</v>
      </c>
      <c r="E425" s="107"/>
      <c r="F425" s="107"/>
      <c r="G425" s="854">
        <f>IF(Berechnungen!D12&gt;0,"Neuerrichtung",0)</f>
        <v>0</v>
      </c>
      <c r="H425" s="107"/>
      <c r="I425" s="855">
        <f>IF(OR($G425=0,$G425="Bestand"),0,Berechnungen!$F$12)</f>
        <v>0</v>
      </c>
    </row>
    <row r="426" spans="1:9" ht="18" x14ac:dyDescent="0.35">
      <c r="A426" s="346"/>
      <c r="B426" s="31" t="s">
        <v>22</v>
      </c>
      <c r="C426" s="31" t="s">
        <v>25</v>
      </c>
      <c r="D426" s="32"/>
      <c r="E426" s="31" t="s">
        <v>753</v>
      </c>
      <c r="F426" s="31" t="s">
        <v>26</v>
      </c>
      <c r="G426" s="32"/>
      <c r="H426" s="31" t="s">
        <v>754</v>
      </c>
      <c r="I426" s="31" t="s">
        <v>25</v>
      </c>
    </row>
    <row r="427" spans="1:9" x14ac:dyDescent="0.25">
      <c r="A427" s="979" t="s">
        <v>30</v>
      </c>
      <c r="B427" s="108">
        <v>2</v>
      </c>
      <c r="C427" s="563"/>
      <c r="D427" s="979" t="s">
        <v>28</v>
      </c>
      <c r="E427" s="108">
        <v>75</v>
      </c>
      <c r="F427" s="563"/>
      <c r="G427" s="979" t="s">
        <v>29</v>
      </c>
      <c r="H427" s="108">
        <v>2.1</v>
      </c>
      <c r="I427" s="563"/>
    </row>
    <row r="428" spans="1:9" x14ac:dyDescent="0.25">
      <c r="A428" s="980"/>
      <c r="B428" s="356">
        <v>3</v>
      </c>
      <c r="C428" s="564"/>
      <c r="D428" s="980"/>
      <c r="E428" s="356">
        <v>125</v>
      </c>
      <c r="F428" s="564"/>
      <c r="G428" s="980"/>
      <c r="H428" s="356">
        <v>2.2999999999999998</v>
      </c>
      <c r="I428" s="563"/>
    </row>
    <row r="429" spans="1:9" x14ac:dyDescent="0.25">
      <c r="A429" s="980"/>
      <c r="B429" s="356">
        <v>4</v>
      </c>
      <c r="C429" s="564"/>
      <c r="D429" s="980"/>
      <c r="E429" s="356">
        <v>175</v>
      </c>
      <c r="F429" s="564"/>
      <c r="G429" s="980"/>
      <c r="H429" s="356">
        <v>2.5</v>
      </c>
      <c r="I429" s="564"/>
    </row>
    <row r="430" spans="1:9" x14ac:dyDescent="0.25">
      <c r="A430" s="980"/>
      <c r="B430" s="356">
        <v>5</v>
      </c>
      <c r="C430" s="564"/>
      <c r="D430" s="980"/>
      <c r="E430" s="356">
        <v>225</v>
      </c>
      <c r="F430" s="564"/>
      <c r="G430" s="980"/>
      <c r="H430" s="356">
        <v>2.7</v>
      </c>
      <c r="I430" s="564"/>
    </row>
    <row r="431" spans="1:9" x14ac:dyDescent="0.25">
      <c r="A431" s="980"/>
      <c r="B431" s="356">
        <v>6</v>
      </c>
      <c r="C431" s="564"/>
      <c r="D431" s="980"/>
      <c r="E431" s="356">
        <v>275</v>
      </c>
      <c r="F431" s="564"/>
      <c r="G431" s="980"/>
      <c r="H431" s="356">
        <v>2.9</v>
      </c>
      <c r="I431" s="564"/>
    </row>
    <row r="432" spans="1:9" x14ac:dyDescent="0.25">
      <c r="A432" s="980"/>
      <c r="B432" s="356">
        <v>7</v>
      </c>
      <c r="C432" s="564"/>
      <c r="D432" s="980"/>
      <c r="E432" s="356">
        <v>325</v>
      </c>
      <c r="F432" s="564"/>
      <c r="G432" s="980"/>
      <c r="H432" s="356">
        <v>3.1</v>
      </c>
      <c r="I432" s="564"/>
    </row>
    <row r="433" spans="1:9" x14ac:dyDescent="0.25">
      <c r="A433" s="980"/>
      <c r="B433" s="356">
        <v>8</v>
      </c>
      <c r="C433" s="564"/>
      <c r="D433" s="980"/>
      <c r="E433" s="356">
        <v>375</v>
      </c>
      <c r="F433" s="564"/>
      <c r="G433" s="980"/>
      <c r="H433" s="356">
        <v>3.3</v>
      </c>
      <c r="I433" s="564"/>
    </row>
    <row r="434" spans="1:9" x14ac:dyDescent="0.25">
      <c r="A434" s="980"/>
      <c r="B434" s="356">
        <v>9</v>
      </c>
      <c r="C434" s="564"/>
      <c r="D434" s="980"/>
      <c r="E434" s="356">
        <v>425</v>
      </c>
      <c r="F434" s="564"/>
      <c r="G434" s="980"/>
      <c r="H434" s="356">
        <v>3.5</v>
      </c>
      <c r="I434" s="564"/>
    </row>
    <row r="435" spans="1:9" x14ac:dyDescent="0.25">
      <c r="A435" s="980"/>
      <c r="B435" s="356">
        <v>10</v>
      </c>
      <c r="C435" s="564"/>
      <c r="D435" s="980"/>
      <c r="E435" s="356">
        <v>475</v>
      </c>
      <c r="F435" s="564"/>
      <c r="G435" s="980"/>
      <c r="H435" s="356">
        <v>3.7</v>
      </c>
      <c r="I435" s="564"/>
    </row>
    <row r="436" spans="1:9" x14ac:dyDescent="0.25">
      <c r="A436" s="980"/>
      <c r="B436" s="356">
        <v>11</v>
      </c>
      <c r="C436" s="564"/>
      <c r="D436" s="980"/>
      <c r="E436" s="356">
        <v>525</v>
      </c>
      <c r="F436" s="564"/>
      <c r="G436" s="980"/>
      <c r="H436" s="356">
        <v>3.9</v>
      </c>
      <c r="I436" s="564"/>
    </row>
    <row r="437" spans="1:9" x14ac:dyDescent="0.25">
      <c r="A437" s="980"/>
      <c r="B437" s="356">
        <v>12</v>
      </c>
      <c r="C437" s="564"/>
      <c r="D437" s="980"/>
      <c r="E437" s="356">
        <v>575</v>
      </c>
      <c r="F437" s="564"/>
      <c r="G437" s="980"/>
      <c r="H437" s="356">
        <v>4.0999999999999996</v>
      </c>
      <c r="I437" s="564"/>
    </row>
    <row r="438" spans="1:9" x14ac:dyDescent="0.25">
      <c r="A438" s="980"/>
      <c r="B438" s="356">
        <v>13</v>
      </c>
      <c r="C438" s="564"/>
      <c r="D438" s="980"/>
      <c r="E438" s="356">
        <v>625</v>
      </c>
      <c r="F438" s="564"/>
      <c r="G438" s="980"/>
      <c r="H438" s="356">
        <v>4.3</v>
      </c>
      <c r="I438" s="564"/>
    </row>
    <row r="439" spans="1:9" x14ac:dyDescent="0.25">
      <c r="A439" s="980"/>
      <c r="B439" s="356">
        <v>14</v>
      </c>
      <c r="C439" s="564"/>
      <c r="D439" s="980"/>
      <c r="E439" s="356">
        <v>675</v>
      </c>
      <c r="F439" s="564"/>
      <c r="G439" s="980"/>
      <c r="H439" s="356">
        <v>4.5</v>
      </c>
      <c r="I439" s="564"/>
    </row>
    <row r="440" spans="1:9" x14ac:dyDescent="0.25">
      <c r="A440" s="980"/>
      <c r="B440" s="356">
        <v>15</v>
      </c>
      <c r="C440" s="564"/>
      <c r="D440" s="980"/>
      <c r="E440" s="356">
        <v>725</v>
      </c>
      <c r="F440" s="564"/>
      <c r="G440" s="980"/>
      <c r="H440" s="356">
        <v>4.7</v>
      </c>
      <c r="I440" s="564"/>
    </row>
    <row r="441" spans="1:9" x14ac:dyDescent="0.25">
      <c r="A441" s="980"/>
      <c r="B441" s="356">
        <v>16</v>
      </c>
      <c r="C441" s="564"/>
      <c r="D441" s="980"/>
      <c r="E441" s="356">
        <v>775</v>
      </c>
      <c r="F441" s="564"/>
      <c r="G441" s="980"/>
      <c r="H441" s="356">
        <v>4.9000000000000004</v>
      </c>
      <c r="I441" s="564"/>
    </row>
    <row r="442" spans="1:9" x14ac:dyDescent="0.25">
      <c r="A442" s="980"/>
      <c r="B442" s="356">
        <v>17</v>
      </c>
      <c r="C442" s="564"/>
      <c r="D442" s="980"/>
      <c r="E442" s="356">
        <v>825</v>
      </c>
      <c r="F442" s="564"/>
      <c r="G442" s="980"/>
      <c r="H442" s="356">
        <v>5.0999999999999996</v>
      </c>
      <c r="I442" s="564"/>
    </row>
    <row r="443" spans="1:9" x14ac:dyDescent="0.25">
      <c r="A443" s="980"/>
      <c r="B443" s="356">
        <v>18</v>
      </c>
      <c r="C443" s="564"/>
      <c r="D443" s="980"/>
      <c r="E443" s="356">
        <v>875</v>
      </c>
      <c r="F443" s="564"/>
      <c r="G443" s="980"/>
      <c r="H443" s="356">
        <v>5.3</v>
      </c>
      <c r="I443" s="564"/>
    </row>
    <row r="444" spans="1:9" x14ac:dyDescent="0.25">
      <c r="A444" s="980"/>
      <c r="B444" s="356">
        <v>19</v>
      </c>
      <c r="C444" s="564"/>
      <c r="D444" s="980"/>
      <c r="E444" s="356">
        <v>925</v>
      </c>
      <c r="F444" s="564"/>
      <c r="G444" s="980"/>
      <c r="H444" s="356">
        <v>5.5</v>
      </c>
      <c r="I444" s="564"/>
    </row>
    <row r="445" spans="1:9" x14ac:dyDescent="0.25">
      <c r="A445" s="980"/>
      <c r="B445" s="356">
        <v>20</v>
      </c>
      <c r="C445" s="564"/>
      <c r="D445" s="980"/>
      <c r="E445" s="356">
        <v>975</v>
      </c>
      <c r="F445" s="564"/>
      <c r="G445" s="980"/>
      <c r="H445" s="356">
        <v>5.7</v>
      </c>
      <c r="I445" s="564"/>
    </row>
    <row r="446" spans="1:9" x14ac:dyDescent="0.25">
      <c r="A446" s="980"/>
      <c r="B446" s="356">
        <v>21</v>
      </c>
      <c r="C446" s="564"/>
      <c r="D446" s="980"/>
      <c r="E446" s="356">
        <v>1025</v>
      </c>
      <c r="F446" s="564"/>
      <c r="G446" s="980"/>
      <c r="H446" s="356">
        <v>5.9</v>
      </c>
      <c r="I446" s="564"/>
    </row>
    <row r="447" spans="1:9" x14ac:dyDescent="0.25">
      <c r="A447" s="980"/>
      <c r="B447" s="356">
        <v>22</v>
      </c>
      <c r="C447" s="564"/>
      <c r="D447" s="980"/>
      <c r="E447" s="356">
        <v>1075</v>
      </c>
      <c r="F447" s="564"/>
      <c r="G447" s="980"/>
      <c r="H447" s="356">
        <v>6.1</v>
      </c>
      <c r="I447" s="564"/>
    </row>
    <row r="448" spans="1:9" ht="15" customHeight="1" x14ac:dyDescent="0.25">
      <c r="A448" s="980"/>
      <c r="B448" s="356">
        <v>23</v>
      </c>
      <c r="C448" s="564"/>
      <c r="D448" s="980"/>
      <c r="E448" s="356">
        <v>1125</v>
      </c>
      <c r="F448" s="564"/>
      <c r="G448" s="980"/>
      <c r="H448" s="356">
        <v>6.3</v>
      </c>
      <c r="I448" s="564"/>
    </row>
    <row r="449" spans="1:9" x14ac:dyDescent="0.25">
      <c r="A449" s="980"/>
      <c r="B449" s="356">
        <v>24</v>
      </c>
      <c r="C449" s="564"/>
      <c r="D449" s="980"/>
      <c r="E449" s="356">
        <v>1175</v>
      </c>
      <c r="F449" s="564"/>
      <c r="G449" s="980"/>
      <c r="H449" s="356">
        <v>6.5</v>
      </c>
      <c r="I449" s="564"/>
    </row>
    <row r="450" spans="1:9" x14ac:dyDescent="0.25">
      <c r="A450" s="980"/>
      <c r="B450" s="356">
        <v>25</v>
      </c>
      <c r="C450" s="564"/>
      <c r="D450" s="980"/>
      <c r="E450" s="356">
        <v>1225</v>
      </c>
      <c r="F450" s="564"/>
      <c r="G450" s="980"/>
      <c r="H450" s="356">
        <v>6.7</v>
      </c>
      <c r="I450" s="564"/>
    </row>
    <row r="451" spans="1:9" x14ac:dyDescent="0.25">
      <c r="A451" s="980"/>
      <c r="B451" s="356">
        <v>26</v>
      </c>
      <c r="C451" s="564"/>
      <c r="D451" s="980"/>
      <c r="E451" s="356">
        <v>1275</v>
      </c>
      <c r="F451" s="564"/>
      <c r="G451" s="980"/>
      <c r="H451" s="356">
        <v>6.9</v>
      </c>
      <c r="I451" s="564"/>
    </row>
    <row r="452" spans="1:9" x14ac:dyDescent="0.25">
      <c r="A452" s="980"/>
      <c r="B452" s="356">
        <v>27</v>
      </c>
      <c r="C452" s="564"/>
      <c r="D452" s="980"/>
      <c r="E452" s="356">
        <v>1325</v>
      </c>
      <c r="F452" s="564"/>
      <c r="G452" s="980"/>
      <c r="H452" s="356">
        <v>7.1</v>
      </c>
      <c r="I452" s="564"/>
    </row>
    <row r="453" spans="1:9" x14ac:dyDescent="0.25">
      <c r="A453" s="980"/>
      <c r="B453" s="356">
        <v>28</v>
      </c>
      <c r="C453" s="564"/>
      <c r="D453" s="980"/>
      <c r="E453" s="356">
        <v>1375</v>
      </c>
      <c r="F453" s="564"/>
      <c r="G453" s="980"/>
      <c r="H453" s="356">
        <v>7.3</v>
      </c>
      <c r="I453" s="564"/>
    </row>
    <row r="454" spans="1:9" x14ac:dyDescent="0.25">
      <c r="A454" s="980"/>
      <c r="B454" s="356">
        <v>29</v>
      </c>
      <c r="C454" s="564"/>
      <c r="D454" s="980"/>
      <c r="E454" s="356">
        <v>1425</v>
      </c>
      <c r="F454" s="564"/>
      <c r="G454" s="980"/>
      <c r="H454" s="356">
        <v>7.5</v>
      </c>
      <c r="I454" s="564"/>
    </row>
    <row r="455" spans="1:9" x14ac:dyDescent="0.25">
      <c r="A455" s="980"/>
      <c r="B455" s="356">
        <v>30</v>
      </c>
      <c r="C455" s="564"/>
      <c r="D455" s="980"/>
      <c r="E455" s="356">
        <v>1475</v>
      </c>
      <c r="F455" s="564"/>
      <c r="G455" s="980"/>
      <c r="H455" s="356">
        <v>7.7</v>
      </c>
      <c r="I455" s="564"/>
    </row>
    <row r="456" spans="1:9" x14ac:dyDescent="0.25">
      <c r="A456" s="980"/>
      <c r="B456" s="356">
        <v>31</v>
      </c>
      <c r="C456" s="564"/>
      <c r="D456" s="980"/>
      <c r="E456" s="356">
        <v>1525</v>
      </c>
      <c r="F456" s="564"/>
      <c r="G456" s="980"/>
      <c r="H456" s="356">
        <v>7.9</v>
      </c>
      <c r="I456" s="564"/>
    </row>
    <row r="457" spans="1:9" x14ac:dyDescent="0.25">
      <c r="A457" s="980"/>
      <c r="B457" s="356">
        <v>32</v>
      </c>
      <c r="C457" s="564"/>
      <c r="D457" s="980"/>
      <c r="E457" s="356">
        <v>1575</v>
      </c>
      <c r="F457" s="564"/>
      <c r="G457" s="980"/>
      <c r="H457" s="356">
        <v>8.1</v>
      </c>
      <c r="I457" s="564"/>
    </row>
    <row r="458" spans="1:9" x14ac:dyDescent="0.25">
      <c r="A458" s="980"/>
      <c r="B458" s="356">
        <v>33</v>
      </c>
      <c r="C458" s="564"/>
      <c r="D458" s="980"/>
      <c r="E458" s="356">
        <v>1625</v>
      </c>
      <c r="F458" s="564"/>
      <c r="G458" s="980"/>
      <c r="H458" s="356">
        <v>8.3000000000000007</v>
      </c>
      <c r="I458" s="564"/>
    </row>
    <row r="459" spans="1:9" x14ac:dyDescent="0.25">
      <c r="A459" s="980"/>
      <c r="B459" s="356">
        <v>34</v>
      </c>
      <c r="C459" s="564"/>
      <c r="D459" s="980"/>
      <c r="E459" s="356">
        <v>1675</v>
      </c>
      <c r="F459" s="564"/>
      <c r="G459" s="980"/>
      <c r="H459" s="356">
        <v>8.5</v>
      </c>
      <c r="I459" s="564"/>
    </row>
    <row r="460" spans="1:9" x14ac:dyDescent="0.25">
      <c r="A460" s="980"/>
      <c r="B460" s="356">
        <v>35</v>
      </c>
      <c r="C460" s="564"/>
      <c r="D460" s="980"/>
      <c r="E460" s="356">
        <v>1725</v>
      </c>
      <c r="F460" s="564"/>
      <c r="G460" s="980"/>
      <c r="H460" s="356">
        <v>8.6999999999999993</v>
      </c>
      <c r="I460" s="564"/>
    </row>
    <row r="461" spans="1:9" x14ac:dyDescent="0.25">
      <c r="A461" s="980"/>
      <c r="B461" s="356">
        <v>36</v>
      </c>
      <c r="C461" s="564"/>
      <c r="D461" s="980"/>
      <c r="E461" s="356">
        <v>1775</v>
      </c>
      <c r="F461" s="564"/>
      <c r="G461" s="981"/>
      <c r="H461" s="356">
        <v>8.9</v>
      </c>
      <c r="I461" s="564"/>
    </row>
    <row r="462" spans="1:9" x14ac:dyDescent="0.25">
      <c r="A462" s="980"/>
      <c r="B462" s="356">
        <v>37</v>
      </c>
      <c r="C462" s="564"/>
      <c r="D462" s="980"/>
      <c r="E462" s="356">
        <v>1825</v>
      </c>
      <c r="F462" s="564"/>
      <c r="G462" s="107"/>
      <c r="H462" s="107"/>
      <c r="I462" s="107"/>
    </row>
    <row r="463" spans="1:9" x14ac:dyDescent="0.25">
      <c r="A463" s="980"/>
      <c r="B463" s="356">
        <v>38</v>
      </c>
      <c r="C463" s="564"/>
      <c r="D463" s="980"/>
      <c r="E463" s="356">
        <v>1875</v>
      </c>
      <c r="F463" s="564"/>
      <c r="G463" s="107"/>
      <c r="H463" s="107"/>
      <c r="I463" s="107"/>
    </row>
    <row r="464" spans="1:9" x14ac:dyDescent="0.25">
      <c r="A464" s="980"/>
      <c r="B464" s="356">
        <v>39</v>
      </c>
      <c r="C464" s="564"/>
      <c r="D464" s="980"/>
      <c r="E464" s="356">
        <v>1925</v>
      </c>
      <c r="F464" s="564"/>
      <c r="G464" s="107"/>
      <c r="H464" s="107"/>
      <c r="I464" s="107"/>
    </row>
    <row r="465" spans="1:9" x14ac:dyDescent="0.25">
      <c r="A465" s="980"/>
      <c r="B465" s="356">
        <v>40</v>
      </c>
      <c r="C465" s="564"/>
      <c r="D465" s="981"/>
      <c r="E465" s="356">
        <v>1975</v>
      </c>
      <c r="F465" s="564"/>
      <c r="G465" s="107"/>
      <c r="H465" s="107"/>
      <c r="I465" s="107"/>
    </row>
    <row r="466" spans="1:9" x14ac:dyDescent="0.25">
      <c r="A466" s="980"/>
      <c r="B466" s="356">
        <v>41</v>
      </c>
      <c r="C466" s="564"/>
      <c r="D466" s="107"/>
      <c r="E466" s="107"/>
      <c r="F466" s="107"/>
      <c r="G466" s="107"/>
      <c r="H466" s="107"/>
      <c r="I466" s="107"/>
    </row>
    <row r="467" spans="1:9" x14ac:dyDescent="0.25">
      <c r="A467" s="980"/>
      <c r="B467" s="356">
        <v>42</v>
      </c>
      <c r="C467" s="564"/>
      <c r="D467" s="107"/>
      <c r="E467" s="107"/>
      <c r="F467" s="107"/>
      <c r="G467" s="107"/>
      <c r="H467" s="107"/>
      <c r="I467" s="107"/>
    </row>
    <row r="468" spans="1:9" x14ac:dyDescent="0.25">
      <c r="A468" s="980"/>
      <c r="B468" s="356">
        <v>43</v>
      </c>
      <c r="C468" s="564"/>
      <c r="D468" s="107"/>
      <c r="E468" s="107"/>
      <c r="F468" s="107"/>
      <c r="G468" s="107"/>
      <c r="H468" s="107"/>
      <c r="I468" s="107"/>
    </row>
    <row r="469" spans="1:9" x14ac:dyDescent="0.25">
      <c r="A469" s="980"/>
      <c r="B469" s="356">
        <v>44</v>
      </c>
      <c r="C469" s="564"/>
      <c r="D469" s="107"/>
      <c r="E469" s="107"/>
      <c r="F469" s="107"/>
      <c r="G469" s="107"/>
      <c r="H469" s="107"/>
      <c r="I469" s="107"/>
    </row>
    <row r="470" spans="1:9" x14ac:dyDescent="0.25">
      <c r="A470" s="980"/>
      <c r="B470" s="356">
        <v>45</v>
      </c>
      <c r="C470" s="564"/>
      <c r="D470" s="107"/>
      <c r="E470" s="107"/>
      <c r="F470" s="107"/>
      <c r="G470" s="107"/>
      <c r="H470" s="107"/>
      <c r="I470" s="107"/>
    </row>
    <row r="471" spans="1:9" x14ac:dyDescent="0.25">
      <c r="A471" s="980"/>
      <c r="B471" s="356">
        <v>46</v>
      </c>
      <c r="C471" s="564"/>
      <c r="D471" s="107"/>
      <c r="E471" s="107"/>
      <c r="F471" s="107"/>
      <c r="G471" s="107"/>
      <c r="H471" s="107"/>
      <c r="I471" s="107"/>
    </row>
    <row r="472" spans="1:9" x14ac:dyDescent="0.25">
      <c r="A472" s="980"/>
      <c r="B472" s="356">
        <v>47</v>
      </c>
      <c r="C472" s="564"/>
      <c r="D472" s="107"/>
      <c r="E472" s="107"/>
      <c r="F472" s="107"/>
      <c r="G472" s="107"/>
      <c r="H472" s="107"/>
      <c r="I472" s="107"/>
    </row>
    <row r="473" spans="1:9" x14ac:dyDescent="0.25">
      <c r="A473" s="980"/>
      <c r="B473" s="356">
        <v>48</v>
      </c>
      <c r="C473" s="564"/>
      <c r="D473" s="107"/>
      <c r="E473" s="107"/>
      <c r="F473" s="107"/>
      <c r="G473" s="107"/>
      <c r="H473" s="107"/>
      <c r="I473" s="107"/>
    </row>
    <row r="474" spans="1:9" x14ac:dyDescent="0.25">
      <c r="A474" s="980"/>
      <c r="B474" s="356">
        <v>49</v>
      </c>
      <c r="C474" s="564"/>
      <c r="D474" s="107"/>
      <c r="E474" s="107"/>
      <c r="F474" s="107"/>
      <c r="G474" s="107"/>
      <c r="H474" s="107"/>
      <c r="I474" s="107"/>
    </row>
    <row r="475" spans="1:9" x14ac:dyDescent="0.25">
      <c r="A475" s="981"/>
      <c r="B475" s="356">
        <v>50</v>
      </c>
      <c r="C475" s="564"/>
      <c r="D475" s="107"/>
      <c r="E475" s="107"/>
      <c r="F475" s="107"/>
      <c r="G475" s="107"/>
      <c r="H475" s="107"/>
      <c r="I475" s="107"/>
    </row>
    <row r="476" spans="1:9" ht="15.75" thickBot="1" x14ac:dyDescent="0.3">
      <c r="A476" s="107"/>
      <c r="B476" s="107"/>
      <c r="C476" s="107"/>
      <c r="D476" s="107"/>
      <c r="E476" s="107"/>
      <c r="F476" s="107"/>
      <c r="G476" s="107"/>
      <c r="H476" s="107"/>
      <c r="I476" s="107"/>
    </row>
    <row r="477" spans="1:9" ht="15.75" thickBot="1" x14ac:dyDescent="0.3">
      <c r="A477" s="982" t="s">
        <v>1119</v>
      </c>
      <c r="B477" s="983"/>
      <c r="C477" s="983"/>
      <c r="D477" s="983"/>
      <c r="E477" s="983"/>
      <c r="F477" s="983"/>
      <c r="G477" s="983"/>
      <c r="H477" s="983"/>
      <c r="I477" s="984"/>
    </row>
    <row r="478" spans="1:9" x14ac:dyDescent="0.25">
      <c r="A478" s="107" t="s">
        <v>488</v>
      </c>
      <c r="B478" s="853">
        <f>Berechnungen!D$13</f>
        <v>0</v>
      </c>
      <c r="C478" s="107"/>
      <c r="D478" s="107" t="s">
        <v>489</v>
      </c>
      <c r="E478" s="107"/>
      <c r="F478" s="107"/>
      <c r="G478" s="854">
        <f>IF(Berechnungen!D13&gt;0,"Neuerrichtung",0)</f>
        <v>0</v>
      </c>
      <c r="H478" s="107"/>
      <c r="I478" s="855">
        <f>IF(OR($G478=0,$G478="Bestand"),0,Berechnungen!$F$13)</f>
        <v>0</v>
      </c>
    </row>
    <row r="479" spans="1:9" ht="18" x14ac:dyDescent="0.35">
      <c r="A479" s="346"/>
      <c r="B479" s="31" t="s">
        <v>22</v>
      </c>
      <c r="C479" s="31" t="s">
        <v>25</v>
      </c>
      <c r="D479" s="32"/>
      <c r="E479" s="31" t="s">
        <v>753</v>
      </c>
      <c r="F479" s="31" t="s">
        <v>26</v>
      </c>
      <c r="G479" s="32"/>
      <c r="H479" s="31" t="s">
        <v>754</v>
      </c>
      <c r="I479" s="31" t="s">
        <v>25</v>
      </c>
    </row>
    <row r="480" spans="1:9" x14ac:dyDescent="0.25">
      <c r="A480" s="979" t="s">
        <v>30</v>
      </c>
      <c r="B480" s="108">
        <v>2</v>
      </c>
      <c r="C480" s="563"/>
      <c r="D480" s="979" t="s">
        <v>28</v>
      </c>
      <c r="E480" s="108">
        <v>75</v>
      </c>
      <c r="F480" s="563"/>
      <c r="G480" s="979" t="s">
        <v>29</v>
      </c>
      <c r="H480" s="108">
        <v>2.1</v>
      </c>
      <c r="I480" s="563"/>
    </row>
    <row r="481" spans="1:9" x14ac:dyDescent="0.25">
      <c r="A481" s="980"/>
      <c r="B481" s="356">
        <v>3</v>
      </c>
      <c r="C481" s="564"/>
      <c r="D481" s="980"/>
      <c r="E481" s="356">
        <v>125</v>
      </c>
      <c r="F481" s="564"/>
      <c r="G481" s="980"/>
      <c r="H481" s="356">
        <v>2.2999999999999998</v>
      </c>
      <c r="I481" s="564"/>
    </row>
    <row r="482" spans="1:9" x14ac:dyDescent="0.25">
      <c r="A482" s="980"/>
      <c r="B482" s="356">
        <v>4</v>
      </c>
      <c r="C482" s="564"/>
      <c r="D482" s="980"/>
      <c r="E482" s="356">
        <v>175</v>
      </c>
      <c r="F482" s="564"/>
      <c r="G482" s="980"/>
      <c r="H482" s="356">
        <v>2.5</v>
      </c>
      <c r="I482" s="564"/>
    </row>
    <row r="483" spans="1:9" x14ac:dyDescent="0.25">
      <c r="A483" s="980"/>
      <c r="B483" s="356">
        <v>5</v>
      </c>
      <c r="C483" s="564"/>
      <c r="D483" s="980"/>
      <c r="E483" s="356">
        <v>225</v>
      </c>
      <c r="F483" s="564"/>
      <c r="G483" s="980"/>
      <c r="H483" s="356">
        <v>2.7</v>
      </c>
      <c r="I483" s="564"/>
    </row>
    <row r="484" spans="1:9" x14ac:dyDescent="0.25">
      <c r="A484" s="980"/>
      <c r="B484" s="356">
        <v>6</v>
      </c>
      <c r="C484" s="564"/>
      <c r="D484" s="980"/>
      <c r="E484" s="356">
        <v>275</v>
      </c>
      <c r="F484" s="564"/>
      <c r="G484" s="980"/>
      <c r="H484" s="356">
        <v>2.9</v>
      </c>
      <c r="I484" s="564"/>
    </row>
    <row r="485" spans="1:9" x14ac:dyDescent="0.25">
      <c r="A485" s="980"/>
      <c r="B485" s="356">
        <v>7</v>
      </c>
      <c r="C485" s="564"/>
      <c r="D485" s="980"/>
      <c r="E485" s="356">
        <v>325</v>
      </c>
      <c r="F485" s="564"/>
      <c r="G485" s="980"/>
      <c r="H485" s="356">
        <v>3.1</v>
      </c>
      <c r="I485" s="564"/>
    </row>
    <row r="486" spans="1:9" x14ac:dyDescent="0.25">
      <c r="A486" s="980"/>
      <c r="B486" s="356">
        <v>8</v>
      </c>
      <c r="C486" s="564"/>
      <c r="D486" s="980"/>
      <c r="E486" s="356">
        <v>375</v>
      </c>
      <c r="F486" s="564"/>
      <c r="G486" s="980"/>
      <c r="H486" s="356">
        <v>3.3</v>
      </c>
      <c r="I486" s="564"/>
    </row>
    <row r="487" spans="1:9" x14ac:dyDescent="0.25">
      <c r="A487" s="980"/>
      <c r="B487" s="356">
        <v>9</v>
      </c>
      <c r="C487" s="564"/>
      <c r="D487" s="980"/>
      <c r="E487" s="356">
        <v>425</v>
      </c>
      <c r="F487" s="564"/>
      <c r="G487" s="980"/>
      <c r="H487" s="356">
        <v>3.5</v>
      </c>
      <c r="I487" s="564"/>
    </row>
    <row r="488" spans="1:9" x14ac:dyDescent="0.25">
      <c r="A488" s="980"/>
      <c r="B488" s="356">
        <v>10</v>
      </c>
      <c r="C488" s="564"/>
      <c r="D488" s="980"/>
      <c r="E488" s="356">
        <v>475</v>
      </c>
      <c r="F488" s="564"/>
      <c r="G488" s="980"/>
      <c r="H488" s="356">
        <v>3.7</v>
      </c>
      <c r="I488" s="564"/>
    </row>
    <row r="489" spans="1:9" x14ac:dyDescent="0.25">
      <c r="A489" s="980"/>
      <c r="B489" s="356">
        <v>11</v>
      </c>
      <c r="C489" s="564"/>
      <c r="D489" s="980"/>
      <c r="E489" s="356">
        <v>525</v>
      </c>
      <c r="F489" s="564"/>
      <c r="G489" s="980"/>
      <c r="H489" s="356">
        <v>3.9</v>
      </c>
      <c r="I489" s="564"/>
    </row>
    <row r="490" spans="1:9" x14ac:dyDescent="0.25">
      <c r="A490" s="980"/>
      <c r="B490" s="356">
        <v>12</v>
      </c>
      <c r="C490" s="564"/>
      <c r="D490" s="980"/>
      <c r="E490" s="356">
        <v>575</v>
      </c>
      <c r="F490" s="564"/>
      <c r="G490" s="980"/>
      <c r="H490" s="356">
        <v>4.0999999999999996</v>
      </c>
      <c r="I490" s="564"/>
    </row>
    <row r="491" spans="1:9" x14ac:dyDescent="0.25">
      <c r="A491" s="980"/>
      <c r="B491" s="356">
        <v>13</v>
      </c>
      <c r="C491" s="564"/>
      <c r="D491" s="980"/>
      <c r="E491" s="356">
        <v>625</v>
      </c>
      <c r="F491" s="564"/>
      <c r="G491" s="980"/>
      <c r="H491" s="356">
        <v>4.3</v>
      </c>
      <c r="I491" s="564"/>
    </row>
    <row r="492" spans="1:9" x14ac:dyDescent="0.25">
      <c r="A492" s="980"/>
      <c r="B492" s="356">
        <v>14</v>
      </c>
      <c r="C492" s="564"/>
      <c r="D492" s="980"/>
      <c r="E492" s="356">
        <v>675</v>
      </c>
      <c r="F492" s="564"/>
      <c r="G492" s="980"/>
      <c r="H492" s="356">
        <v>4.5</v>
      </c>
      <c r="I492" s="564"/>
    </row>
    <row r="493" spans="1:9" x14ac:dyDescent="0.25">
      <c r="A493" s="980"/>
      <c r="B493" s="356">
        <v>15</v>
      </c>
      <c r="C493" s="564"/>
      <c r="D493" s="980"/>
      <c r="E493" s="356">
        <v>725</v>
      </c>
      <c r="F493" s="564"/>
      <c r="G493" s="980"/>
      <c r="H493" s="356">
        <v>4.7</v>
      </c>
      <c r="I493" s="564"/>
    </row>
    <row r="494" spans="1:9" x14ac:dyDescent="0.25">
      <c r="A494" s="980"/>
      <c r="B494" s="356">
        <v>16</v>
      </c>
      <c r="C494" s="564"/>
      <c r="D494" s="980"/>
      <c r="E494" s="356">
        <v>775</v>
      </c>
      <c r="F494" s="564"/>
      <c r="G494" s="980"/>
      <c r="H494" s="356">
        <v>4.9000000000000004</v>
      </c>
      <c r="I494" s="564"/>
    </row>
    <row r="495" spans="1:9" x14ac:dyDescent="0.25">
      <c r="A495" s="980"/>
      <c r="B495" s="356">
        <v>17</v>
      </c>
      <c r="C495" s="564"/>
      <c r="D495" s="980"/>
      <c r="E495" s="356">
        <v>825</v>
      </c>
      <c r="F495" s="564"/>
      <c r="G495" s="980"/>
      <c r="H495" s="356">
        <v>5.0999999999999996</v>
      </c>
      <c r="I495" s="564"/>
    </row>
    <row r="496" spans="1:9" x14ac:dyDescent="0.25">
      <c r="A496" s="980"/>
      <c r="B496" s="356">
        <v>18</v>
      </c>
      <c r="C496" s="564"/>
      <c r="D496" s="980"/>
      <c r="E496" s="356">
        <v>875</v>
      </c>
      <c r="F496" s="564"/>
      <c r="G496" s="980"/>
      <c r="H496" s="356">
        <v>5.3</v>
      </c>
      <c r="I496" s="564"/>
    </row>
    <row r="497" spans="1:9" x14ac:dyDescent="0.25">
      <c r="A497" s="980"/>
      <c r="B497" s="356">
        <v>19</v>
      </c>
      <c r="C497" s="564"/>
      <c r="D497" s="980"/>
      <c r="E497" s="356">
        <v>925</v>
      </c>
      <c r="F497" s="564"/>
      <c r="G497" s="980"/>
      <c r="H497" s="356">
        <v>5.5</v>
      </c>
      <c r="I497" s="564"/>
    </row>
    <row r="498" spans="1:9" x14ac:dyDescent="0.25">
      <c r="A498" s="980"/>
      <c r="B498" s="356">
        <v>20</v>
      </c>
      <c r="C498" s="564"/>
      <c r="D498" s="980"/>
      <c r="E498" s="356">
        <v>975</v>
      </c>
      <c r="F498" s="564"/>
      <c r="G498" s="980"/>
      <c r="H498" s="356">
        <v>5.7</v>
      </c>
      <c r="I498" s="564"/>
    </row>
    <row r="499" spans="1:9" x14ac:dyDescent="0.25">
      <c r="A499" s="980"/>
      <c r="B499" s="356">
        <v>21</v>
      </c>
      <c r="C499" s="564"/>
      <c r="D499" s="980"/>
      <c r="E499" s="356">
        <v>1025</v>
      </c>
      <c r="F499" s="564"/>
      <c r="G499" s="980"/>
      <c r="H499" s="356">
        <v>5.9</v>
      </c>
      <c r="I499" s="564"/>
    </row>
    <row r="500" spans="1:9" x14ac:dyDescent="0.25">
      <c r="A500" s="980"/>
      <c r="B500" s="356">
        <v>22</v>
      </c>
      <c r="C500" s="564"/>
      <c r="D500" s="980"/>
      <c r="E500" s="356">
        <v>1075</v>
      </c>
      <c r="F500" s="564"/>
      <c r="G500" s="980"/>
      <c r="H500" s="356">
        <v>6.1</v>
      </c>
      <c r="I500" s="564"/>
    </row>
    <row r="501" spans="1:9" ht="15" customHeight="1" x14ac:dyDescent="0.25">
      <c r="A501" s="980"/>
      <c r="B501" s="356">
        <v>23</v>
      </c>
      <c r="C501" s="564"/>
      <c r="D501" s="980"/>
      <c r="E501" s="356">
        <v>1125</v>
      </c>
      <c r="F501" s="564"/>
      <c r="G501" s="980"/>
      <c r="H501" s="356">
        <v>6.3</v>
      </c>
      <c r="I501" s="564"/>
    </row>
    <row r="502" spans="1:9" x14ac:dyDescent="0.25">
      <c r="A502" s="980"/>
      <c r="B502" s="356">
        <v>24</v>
      </c>
      <c r="C502" s="564"/>
      <c r="D502" s="980"/>
      <c r="E502" s="356">
        <v>1175</v>
      </c>
      <c r="F502" s="564"/>
      <c r="G502" s="980"/>
      <c r="H502" s="356">
        <v>6.5</v>
      </c>
      <c r="I502" s="564"/>
    </row>
    <row r="503" spans="1:9" x14ac:dyDescent="0.25">
      <c r="A503" s="980"/>
      <c r="B503" s="356">
        <v>25</v>
      </c>
      <c r="C503" s="564"/>
      <c r="D503" s="980"/>
      <c r="E503" s="356">
        <v>1225</v>
      </c>
      <c r="F503" s="564"/>
      <c r="G503" s="980"/>
      <c r="H503" s="356">
        <v>6.7</v>
      </c>
      <c r="I503" s="564"/>
    </row>
    <row r="504" spans="1:9" x14ac:dyDescent="0.25">
      <c r="A504" s="980"/>
      <c r="B504" s="356">
        <v>26</v>
      </c>
      <c r="C504" s="564"/>
      <c r="D504" s="980"/>
      <c r="E504" s="356">
        <v>1275</v>
      </c>
      <c r="F504" s="564"/>
      <c r="G504" s="980"/>
      <c r="H504" s="356">
        <v>6.9</v>
      </c>
      <c r="I504" s="564"/>
    </row>
    <row r="505" spans="1:9" x14ac:dyDescent="0.25">
      <c r="A505" s="980"/>
      <c r="B505" s="356">
        <v>27</v>
      </c>
      <c r="C505" s="564"/>
      <c r="D505" s="980"/>
      <c r="E505" s="356">
        <v>1325</v>
      </c>
      <c r="F505" s="564"/>
      <c r="G505" s="980"/>
      <c r="H505" s="356">
        <v>7.1</v>
      </c>
      <c r="I505" s="564"/>
    </row>
    <row r="506" spans="1:9" x14ac:dyDescent="0.25">
      <c r="A506" s="980"/>
      <c r="B506" s="356">
        <v>28</v>
      </c>
      <c r="C506" s="564"/>
      <c r="D506" s="980"/>
      <c r="E506" s="356">
        <v>1375</v>
      </c>
      <c r="F506" s="564"/>
      <c r="G506" s="980"/>
      <c r="H506" s="356">
        <v>7.3</v>
      </c>
      <c r="I506" s="564"/>
    </row>
    <row r="507" spans="1:9" x14ac:dyDescent="0.25">
      <c r="A507" s="980"/>
      <c r="B507" s="356">
        <v>29</v>
      </c>
      <c r="C507" s="564"/>
      <c r="D507" s="980"/>
      <c r="E507" s="356">
        <v>1425</v>
      </c>
      <c r="F507" s="564"/>
      <c r="G507" s="980"/>
      <c r="H507" s="356">
        <v>7.5</v>
      </c>
      <c r="I507" s="564"/>
    </row>
    <row r="508" spans="1:9" x14ac:dyDescent="0.25">
      <c r="A508" s="980"/>
      <c r="B508" s="356">
        <v>30</v>
      </c>
      <c r="C508" s="564"/>
      <c r="D508" s="980"/>
      <c r="E508" s="356">
        <v>1475</v>
      </c>
      <c r="F508" s="564"/>
      <c r="G508" s="980"/>
      <c r="H508" s="356">
        <v>7.7</v>
      </c>
      <c r="I508" s="564"/>
    </row>
    <row r="509" spans="1:9" x14ac:dyDescent="0.25">
      <c r="A509" s="980"/>
      <c r="B509" s="356">
        <v>31</v>
      </c>
      <c r="C509" s="564"/>
      <c r="D509" s="980"/>
      <c r="E509" s="356">
        <v>1525</v>
      </c>
      <c r="F509" s="564"/>
      <c r="G509" s="980"/>
      <c r="H509" s="356">
        <v>7.9</v>
      </c>
      <c r="I509" s="564"/>
    </row>
    <row r="510" spans="1:9" x14ac:dyDescent="0.25">
      <c r="A510" s="980"/>
      <c r="B510" s="356">
        <v>32</v>
      </c>
      <c r="C510" s="564"/>
      <c r="D510" s="980"/>
      <c r="E510" s="356">
        <v>1575</v>
      </c>
      <c r="F510" s="564"/>
      <c r="G510" s="980"/>
      <c r="H510" s="356">
        <v>8.1</v>
      </c>
      <c r="I510" s="564"/>
    </row>
    <row r="511" spans="1:9" x14ac:dyDescent="0.25">
      <c r="A511" s="980"/>
      <c r="B511" s="356">
        <v>33</v>
      </c>
      <c r="C511" s="564"/>
      <c r="D511" s="980"/>
      <c r="E511" s="356">
        <v>1625</v>
      </c>
      <c r="F511" s="564"/>
      <c r="G511" s="980"/>
      <c r="H511" s="356">
        <v>8.3000000000000007</v>
      </c>
      <c r="I511" s="564"/>
    </row>
    <row r="512" spans="1:9" x14ac:dyDescent="0.25">
      <c r="A512" s="980"/>
      <c r="B512" s="356">
        <v>34</v>
      </c>
      <c r="C512" s="564"/>
      <c r="D512" s="980"/>
      <c r="E512" s="356">
        <v>1675</v>
      </c>
      <c r="F512" s="564"/>
      <c r="G512" s="980"/>
      <c r="H512" s="356">
        <v>8.5</v>
      </c>
      <c r="I512" s="564"/>
    </row>
    <row r="513" spans="1:9" x14ac:dyDescent="0.25">
      <c r="A513" s="980"/>
      <c r="B513" s="356">
        <v>35</v>
      </c>
      <c r="C513" s="564"/>
      <c r="D513" s="980"/>
      <c r="E513" s="356">
        <v>1725</v>
      </c>
      <c r="F513" s="564"/>
      <c r="G513" s="980"/>
      <c r="H513" s="356">
        <v>8.6999999999999993</v>
      </c>
      <c r="I513" s="564"/>
    </row>
    <row r="514" spans="1:9" x14ac:dyDescent="0.25">
      <c r="A514" s="980"/>
      <c r="B514" s="356">
        <v>36</v>
      </c>
      <c r="C514" s="564"/>
      <c r="D514" s="980"/>
      <c r="E514" s="356">
        <v>1775</v>
      </c>
      <c r="F514" s="564"/>
      <c r="G514" s="981"/>
      <c r="H514" s="356">
        <v>8.9</v>
      </c>
      <c r="I514" s="564"/>
    </row>
    <row r="515" spans="1:9" x14ac:dyDescent="0.25">
      <c r="A515" s="980"/>
      <c r="B515" s="356">
        <v>37</v>
      </c>
      <c r="C515" s="564"/>
      <c r="D515" s="980"/>
      <c r="E515" s="356">
        <v>1825</v>
      </c>
      <c r="F515" s="564"/>
      <c r="G515" s="107"/>
      <c r="H515" s="107"/>
      <c r="I515" s="107"/>
    </row>
    <row r="516" spans="1:9" x14ac:dyDescent="0.25">
      <c r="A516" s="980"/>
      <c r="B516" s="356">
        <v>38</v>
      </c>
      <c r="C516" s="564"/>
      <c r="D516" s="980"/>
      <c r="E516" s="356">
        <v>1875</v>
      </c>
      <c r="F516" s="564"/>
      <c r="G516" s="107"/>
      <c r="H516" s="107"/>
      <c r="I516" s="107"/>
    </row>
    <row r="517" spans="1:9" x14ac:dyDescent="0.25">
      <c r="A517" s="980"/>
      <c r="B517" s="356">
        <v>39</v>
      </c>
      <c r="C517" s="564"/>
      <c r="D517" s="980"/>
      <c r="E517" s="356">
        <v>1925</v>
      </c>
      <c r="F517" s="564"/>
      <c r="G517" s="107"/>
      <c r="H517" s="107"/>
      <c r="I517" s="107"/>
    </row>
    <row r="518" spans="1:9" x14ac:dyDescent="0.25">
      <c r="A518" s="980"/>
      <c r="B518" s="356">
        <v>40</v>
      </c>
      <c r="C518" s="564"/>
      <c r="D518" s="981"/>
      <c r="E518" s="356">
        <v>1975</v>
      </c>
      <c r="F518" s="564"/>
      <c r="G518" s="107"/>
      <c r="H518" s="107"/>
      <c r="I518" s="107"/>
    </row>
    <row r="519" spans="1:9" x14ac:dyDescent="0.25">
      <c r="A519" s="980"/>
      <c r="B519" s="356">
        <v>41</v>
      </c>
      <c r="C519" s="564"/>
      <c r="D519" s="107"/>
      <c r="E519" s="107"/>
      <c r="F519" s="107"/>
      <c r="G519" s="107"/>
      <c r="H519" s="107"/>
      <c r="I519" s="107"/>
    </row>
    <row r="520" spans="1:9" x14ac:dyDescent="0.25">
      <c r="A520" s="980"/>
      <c r="B520" s="356">
        <v>42</v>
      </c>
      <c r="C520" s="564"/>
      <c r="D520" s="107"/>
      <c r="E520" s="107"/>
      <c r="F520" s="107"/>
      <c r="G520" s="107"/>
      <c r="H520" s="107"/>
      <c r="I520" s="107"/>
    </row>
    <row r="521" spans="1:9" x14ac:dyDescent="0.25">
      <c r="A521" s="980"/>
      <c r="B521" s="356">
        <v>43</v>
      </c>
      <c r="C521" s="564"/>
      <c r="D521" s="107"/>
      <c r="E521" s="107"/>
      <c r="F521" s="107"/>
      <c r="G521" s="107"/>
      <c r="H521" s="107"/>
      <c r="I521" s="107"/>
    </row>
    <row r="522" spans="1:9" x14ac:dyDescent="0.25">
      <c r="A522" s="980"/>
      <c r="B522" s="356">
        <v>44</v>
      </c>
      <c r="C522" s="564"/>
      <c r="D522" s="107"/>
      <c r="E522" s="107"/>
      <c r="F522" s="107"/>
      <c r="G522" s="107"/>
      <c r="H522" s="107"/>
      <c r="I522" s="107"/>
    </row>
    <row r="523" spans="1:9" x14ac:dyDescent="0.25">
      <c r="A523" s="980"/>
      <c r="B523" s="356">
        <v>45</v>
      </c>
      <c r="C523" s="564"/>
      <c r="D523" s="107"/>
      <c r="E523" s="107"/>
      <c r="F523" s="107"/>
      <c r="G523" s="107"/>
      <c r="H523" s="107"/>
      <c r="I523" s="107"/>
    </row>
    <row r="524" spans="1:9" x14ac:dyDescent="0.25">
      <c r="A524" s="980"/>
      <c r="B524" s="356">
        <v>46</v>
      </c>
      <c r="C524" s="564"/>
      <c r="D524" s="107"/>
      <c r="E524" s="107"/>
      <c r="F524" s="107"/>
      <c r="G524" s="107"/>
      <c r="H524" s="107"/>
      <c r="I524" s="107"/>
    </row>
    <row r="525" spans="1:9" x14ac:dyDescent="0.25">
      <c r="A525" s="980"/>
      <c r="B525" s="356">
        <v>47</v>
      </c>
      <c r="C525" s="564"/>
      <c r="D525" s="107"/>
      <c r="E525" s="107"/>
      <c r="F525" s="107"/>
      <c r="G525" s="107"/>
      <c r="H525" s="107"/>
      <c r="I525" s="107"/>
    </row>
    <row r="526" spans="1:9" x14ac:dyDescent="0.25">
      <c r="A526" s="980"/>
      <c r="B526" s="356">
        <v>48</v>
      </c>
      <c r="C526" s="564"/>
      <c r="D526" s="107"/>
      <c r="E526" s="107"/>
      <c r="F526" s="107"/>
      <c r="G526" s="107"/>
      <c r="H526" s="107"/>
      <c r="I526" s="107"/>
    </row>
    <row r="527" spans="1:9" x14ac:dyDescent="0.25">
      <c r="A527" s="980"/>
      <c r="B527" s="356">
        <v>49</v>
      </c>
      <c r="C527" s="564"/>
      <c r="D527" s="107"/>
      <c r="E527" s="107"/>
      <c r="F527" s="107"/>
      <c r="G527" s="107"/>
      <c r="H527" s="107"/>
      <c r="I527" s="107"/>
    </row>
    <row r="528" spans="1:9" x14ac:dyDescent="0.25">
      <c r="A528" s="981"/>
      <c r="B528" s="356">
        <v>50</v>
      </c>
      <c r="C528" s="564"/>
      <c r="D528" s="107"/>
      <c r="E528" s="107"/>
      <c r="F528" s="107"/>
      <c r="G528" s="107"/>
      <c r="H528" s="107"/>
      <c r="I528" s="107"/>
    </row>
  </sheetData>
  <protectedRanges>
    <protectedRange password="CFE9" sqref="N2" name="OS Eingabe 1" securityDescriptor="O:WDG:WDD:(A;;CC;;;WD)"/>
  </protectedRanges>
  <mergeCells count="46">
    <mergeCell ref="A159:I159"/>
    <mergeCell ref="A212:I212"/>
    <mergeCell ref="A265:I265"/>
    <mergeCell ref="A318:I318"/>
    <mergeCell ref="A371:I371"/>
    <mergeCell ref="G162:G196"/>
    <mergeCell ref="A56:A104"/>
    <mergeCell ref="D56:D94"/>
    <mergeCell ref="G56:G90"/>
    <mergeCell ref="G109:G143"/>
    <mergeCell ref="A3:A51"/>
    <mergeCell ref="D3:D41"/>
    <mergeCell ref="G3:G37"/>
    <mergeCell ref="G46:I48"/>
    <mergeCell ref="G49:I49"/>
    <mergeCell ref="D109:D147"/>
    <mergeCell ref="A109:A157"/>
    <mergeCell ref="A53:I53"/>
    <mergeCell ref="A106:I106"/>
    <mergeCell ref="Q130:R130"/>
    <mergeCell ref="Q129:R129"/>
    <mergeCell ref="K52:K90"/>
    <mergeCell ref="K3:K51"/>
    <mergeCell ref="K91:K125"/>
    <mergeCell ref="G480:G514"/>
    <mergeCell ref="G268:G302"/>
    <mergeCell ref="D268:D306"/>
    <mergeCell ref="A268:A316"/>
    <mergeCell ref="A321:A369"/>
    <mergeCell ref="D321:D359"/>
    <mergeCell ref="G321:G355"/>
    <mergeCell ref="D480:D518"/>
    <mergeCell ref="A480:A528"/>
    <mergeCell ref="A424:I424"/>
    <mergeCell ref="A477:I477"/>
    <mergeCell ref="G374:G408"/>
    <mergeCell ref="D374:D412"/>
    <mergeCell ref="A374:A422"/>
    <mergeCell ref="G427:G461"/>
    <mergeCell ref="D427:D465"/>
    <mergeCell ref="A427:A475"/>
    <mergeCell ref="G215:G249"/>
    <mergeCell ref="D215:D253"/>
    <mergeCell ref="A215:A263"/>
    <mergeCell ref="A162:A210"/>
    <mergeCell ref="D162:D200"/>
  </mergeCells>
  <conditionalFormatting sqref="T129:T130">
    <cfRule type="cellIs" dxfId="74" priority="10" operator="greaterThan">
      <formula>6</formula>
    </cfRule>
    <cfRule type="cellIs" dxfId="73" priority="11" operator="between">
      <formula>1</formula>
      <formula>6</formula>
    </cfRule>
    <cfRule type="cellIs" dxfId="72" priority="12" operator="lessThan">
      <formula>1</formula>
    </cfRule>
  </conditionalFormatting>
  <conditionalFormatting sqref="AE3:AE51">
    <cfRule type="cellIs" dxfId="71" priority="6" operator="equal">
      <formula>1</formula>
    </cfRule>
  </conditionalFormatting>
  <conditionalFormatting sqref="AE52:AE90">
    <cfRule type="cellIs" dxfId="70" priority="5" operator="equal">
      <formula>1</formula>
    </cfRule>
  </conditionalFormatting>
  <conditionalFormatting sqref="AE91:AE125">
    <cfRule type="cellIs" dxfId="69" priority="4" operator="equal">
      <formula>1</formula>
    </cfRule>
  </conditionalFormatting>
  <conditionalFormatting sqref="AD3:AE125">
    <cfRule type="cellIs" dxfId="68" priority="3" operator="equal">
      <formula>1</formula>
    </cfRule>
  </conditionalFormatting>
  <conditionalFormatting sqref="AC3:AC125">
    <cfRule type="cellIs" dxfId="67" priority="1" operator="equal">
      <formula>"-"</formula>
    </cfRule>
    <cfRule type="cellIs" dxfId="66" priority="2" operator="notBetween">
      <formula>0</formula>
      <formula>100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AE161"/>
  <sheetViews>
    <sheetView tabSelected="1" zoomScale="85" zoomScaleNormal="85" workbookViewId="0">
      <selection activeCell="W135" sqref="W135"/>
    </sheetView>
  </sheetViews>
  <sheetFormatPr baseColWidth="10" defaultColWidth="11.42578125" defaultRowHeight="15" customHeight="1" x14ac:dyDescent="0.25"/>
  <cols>
    <col min="1" max="1" width="11.42578125" style="29"/>
    <col min="2" max="4" width="16.7109375" style="29" customWidth="1"/>
    <col min="5" max="5" width="3" style="29" customWidth="1"/>
    <col min="6" max="11" width="11.42578125" style="29"/>
    <col min="12" max="12" width="13.5703125" style="29" customWidth="1"/>
    <col min="13" max="16384" width="11.42578125" style="29"/>
  </cols>
  <sheetData>
    <row r="1" spans="1:31" ht="15" customHeight="1" x14ac:dyDescent="0.25">
      <c r="A1" s="1010" t="s">
        <v>48</v>
      </c>
      <c r="B1" s="1010"/>
      <c r="C1" s="1010"/>
      <c r="D1" s="1010"/>
      <c r="E1" s="1010"/>
      <c r="F1" s="1010"/>
      <c r="G1" s="1010"/>
      <c r="H1" s="1010"/>
      <c r="I1" s="1010"/>
      <c r="J1" s="1010"/>
      <c r="K1" s="1010"/>
      <c r="L1" s="1010"/>
    </row>
    <row r="2" spans="1:31" ht="15" customHeight="1" x14ac:dyDescent="0.25">
      <c r="C2" s="29" t="s">
        <v>46</v>
      </c>
      <c r="D2" s="29" t="s">
        <v>47</v>
      </c>
      <c r="E2" s="34"/>
      <c r="G2" s="29" t="s">
        <v>46</v>
      </c>
      <c r="H2" s="29" t="s">
        <v>47</v>
      </c>
      <c r="J2" s="30"/>
      <c r="K2" s="30"/>
    </row>
    <row r="3" spans="1:31" ht="15" customHeight="1" x14ac:dyDescent="0.25">
      <c r="A3" s="34"/>
      <c r="B3" s="34"/>
      <c r="C3" s="34"/>
      <c r="D3" s="34"/>
      <c r="E3" s="34"/>
      <c r="F3" s="34"/>
      <c r="G3" s="34"/>
      <c r="H3" s="34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88"/>
      <c r="X3" s="107"/>
      <c r="Y3" s="107"/>
      <c r="Z3" s="107"/>
      <c r="AA3" s="107"/>
      <c r="AB3" s="107"/>
      <c r="AC3" s="107"/>
      <c r="AD3" s="107"/>
      <c r="AE3" s="107"/>
    </row>
    <row r="4" spans="1:31" ht="15" customHeight="1" x14ac:dyDescent="0.25">
      <c r="B4" s="29">
        <v>2</v>
      </c>
      <c r="C4" s="341" t="e">
        <f>IF(D4&lt;&gt;"-",Schwingungen!AB3,"-")</f>
        <v>#DIV/0!</v>
      </c>
      <c r="D4" s="38" t="e">
        <f>Schwingungen!$AA3</f>
        <v>#DIV/0!</v>
      </c>
      <c r="E4" s="34"/>
      <c r="F4" s="38">
        <v>2</v>
      </c>
      <c r="G4" s="38" t="e">
        <f>IF(H4&lt;&gt;"-",Schwingungen!AB3,"-")</f>
        <v>#DIV/0!</v>
      </c>
      <c r="H4" s="38" t="e">
        <f>Schwingungen!$AA3</f>
        <v>#DIV/0!</v>
      </c>
      <c r="J4" s="602"/>
      <c r="K4" s="602"/>
      <c r="L4" s="602"/>
      <c r="M4" s="602"/>
      <c r="N4" s="602"/>
      <c r="O4" s="602"/>
      <c r="P4" s="602"/>
      <c r="Q4" s="602"/>
      <c r="R4" s="602"/>
      <c r="S4" s="602"/>
      <c r="T4" s="602"/>
      <c r="U4" s="602"/>
      <c r="V4" s="602"/>
      <c r="W4" s="88"/>
      <c r="X4" s="107"/>
      <c r="Y4" s="107"/>
      <c r="Z4" s="107"/>
      <c r="AA4" s="107"/>
      <c r="AB4" s="107"/>
      <c r="AC4" s="107"/>
      <c r="AD4" s="107"/>
      <c r="AE4" s="107"/>
    </row>
    <row r="5" spans="1:31" ht="15" customHeight="1" x14ac:dyDescent="0.25">
      <c r="A5" s="29">
        <v>150</v>
      </c>
      <c r="B5" s="29">
        <v>3</v>
      </c>
      <c r="C5" s="341" t="e">
        <f>IF(D5&lt;&gt;"-",Schwingungen!AB4,"-")</f>
        <v>#DIV/0!</v>
      </c>
      <c r="D5" s="29" t="e">
        <f>Schwingungen!$AA4</f>
        <v>#DIV/0!</v>
      </c>
      <c r="E5" s="34"/>
      <c r="F5" s="38">
        <v>4</v>
      </c>
      <c r="G5" s="107" t="e">
        <f>IF(H5&lt;&gt;"-",Schwingungen!AB5,"-")</f>
        <v>#DIV/0!</v>
      </c>
      <c r="H5" s="38" t="e">
        <f>Schwingungen!$AA5</f>
        <v>#DIV/0!</v>
      </c>
      <c r="J5" s="602"/>
      <c r="K5" s="602"/>
      <c r="L5" s="602"/>
      <c r="M5" s="602"/>
      <c r="N5" s="602"/>
      <c r="O5" s="602"/>
      <c r="P5" s="602"/>
      <c r="Q5" s="602"/>
      <c r="R5" s="602"/>
      <c r="S5" s="602"/>
      <c r="T5" s="602"/>
      <c r="U5" s="602"/>
      <c r="V5" s="602"/>
      <c r="W5" s="88"/>
      <c r="X5" s="107"/>
      <c r="Y5" s="107"/>
      <c r="Z5" s="107"/>
      <c r="AA5" s="107"/>
      <c r="AB5" s="107"/>
      <c r="AC5" s="685" t="s">
        <v>1076</v>
      </c>
      <c r="AD5" s="685" t="s">
        <v>1077</v>
      </c>
      <c r="AE5" s="685" t="s">
        <v>1078</v>
      </c>
    </row>
    <row r="6" spans="1:31" ht="15" customHeight="1" x14ac:dyDescent="0.25">
      <c r="B6" s="29">
        <v>4</v>
      </c>
      <c r="C6" s="341" t="e">
        <f>IF(D6&lt;&gt;"-",Schwingungen!AB5,"-")</f>
        <v>#DIV/0!</v>
      </c>
      <c r="D6" s="38" t="e">
        <f>Schwingungen!$AA5</f>
        <v>#DIV/0!</v>
      </c>
      <c r="E6" s="34"/>
      <c r="F6" s="38">
        <v>6</v>
      </c>
      <c r="G6" s="107" t="e">
        <f>IF(H6&lt;&gt;"-",Schwingungen!AB7,"-")</f>
        <v>#DIV/0!</v>
      </c>
      <c r="H6" s="38" t="e">
        <f>Schwingungen!$AA7</f>
        <v>#DIV/0!</v>
      </c>
      <c r="J6" s="602"/>
      <c r="K6" s="602"/>
      <c r="L6" s="602"/>
      <c r="M6" s="602"/>
      <c r="N6" s="602"/>
      <c r="O6" s="602"/>
      <c r="P6" s="602"/>
      <c r="Q6" s="602"/>
      <c r="R6" s="602"/>
      <c r="S6" s="602"/>
      <c r="T6" s="602"/>
      <c r="U6" s="602"/>
      <c r="V6" s="602"/>
      <c r="W6" s="88"/>
      <c r="X6" s="107"/>
      <c r="Y6" s="107"/>
      <c r="Z6" s="107"/>
      <c r="AA6" s="107"/>
      <c r="AB6" s="107"/>
      <c r="AC6" s="107" t="s">
        <v>1079</v>
      </c>
      <c r="AD6" s="107" t="s">
        <v>1080</v>
      </c>
      <c r="AE6" s="107" t="s">
        <v>1081</v>
      </c>
    </row>
    <row r="7" spans="1:31" ht="15" customHeight="1" x14ac:dyDescent="0.25">
      <c r="A7" s="29">
        <v>250</v>
      </c>
      <c r="B7" s="38">
        <v>5</v>
      </c>
      <c r="C7" s="341" t="e">
        <f>IF(D7&lt;&gt;"-",Schwingungen!AB6,"-")</f>
        <v>#DIV/0!</v>
      </c>
      <c r="D7" s="38" t="e">
        <f>Schwingungen!$AA6</f>
        <v>#DIV/0!</v>
      </c>
      <c r="E7" s="34"/>
      <c r="F7" s="38">
        <v>8</v>
      </c>
      <c r="G7" s="107" t="e">
        <f>IF(H7&lt;&gt;"-",Schwingungen!AB9,"-")</f>
        <v>#DIV/0!</v>
      </c>
      <c r="H7" s="38" t="e">
        <f>Schwingungen!$AA9</f>
        <v>#DIV/0!</v>
      </c>
      <c r="J7" s="602"/>
      <c r="K7" s="602"/>
      <c r="L7" s="602"/>
      <c r="M7" s="602"/>
      <c r="N7" s="602"/>
      <c r="O7" s="602"/>
      <c r="P7" s="602"/>
      <c r="Q7" s="602"/>
      <c r="R7" s="602"/>
      <c r="S7" s="602"/>
      <c r="T7" s="602"/>
      <c r="U7" s="602"/>
      <c r="V7" s="602"/>
      <c r="W7" s="88"/>
      <c r="X7" s="107"/>
      <c r="Y7" s="107"/>
      <c r="Z7" s="107"/>
      <c r="AA7" s="107"/>
      <c r="AB7" s="107"/>
      <c r="AC7" s="685">
        <v>50</v>
      </c>
      <c r="AD7" s="107" t="s">
        <v>1082</v>
      </c>
      <c r="AE7" s="107">
        <v>13</v>
      </c>
    </row>
    <row r="8" spans="1:31" ht="15" customHeight="1" x14ac:dyDescent="0.25">
      <c r="B8" s="38">
        <v>6</v>
      </c>
      <c r="C8" s="341" t="e">
        <f>IF(D8&lt;&gt;"-",Schwingungen!AB7,"-")</f>
        <v>#DIV/0!</v>
      </c>
      <c r="D8" s="38" t="e">
        <f>Schwingungen!$AA7</f>
        <v>#DIV/0!</v>
      </c>
      <c r="E8" s="34"/>
      <c r="F8" s="38">
        <v>10</v>
      </c>
      <c r="G8" s="107" t="e">
        <f>IF(H8&lt;&gt;"-",Schwingungen!AB11,"-")</f>
        <v>#DIV/0!</v>
      </c>
      <c r="H8" s="38" t="e">
        <f>Schwingungen!$AA11</f>
        <v>#DIV/0!</v>
      </c>
      <c r="J8" s="602"/>
      <c r="K8" s="602"/>
      <c r="L8" s="602"/>
      <c r="M8" s="602"/>
      <c r="N8" s="602"/>
      <c r="O8" s="602"/>
      <c r="P8" s="602"/>
      <c r="Q8" s="602"/>
      <c r="R8" s="602"/>
      <c r="S8" s="602"/>
      <c r="T8" s="602"/>
      <c r="U8" s="602"/>
      <c r="V8" s="602"/>
      <c r="W8" s="88"/>
      <c r="X8" s="107"/>
      <c r="Y8" s="107"/>
      <c r="Z8" s="107"/>
      <c r="AA8" s="107"/>
      <c r="AB8" s="107"/>
      <c r="AC8" s="685">
        <v>100</v>
      </c>
      <c r="AD8" s="107" t="s">
        <v>1083</v>
      </c>
      <c r="AE8" s="107">
        <v>36</v>
      </c>
    </row>
    <row r="9" spans="1:31" ht="15" customHeight="1" x14ac:dyDescent="0.25">
      <c r="A9" s="29">
        <v>350</v>
      </c>
      <c r="B9" s="38">
        <v>7</v>
      </c>
      <c r="C9" s="341" t="e">
        <f>IF(D9&lt;&gt;"-",Schwingungen!AB8,"-")</f>
        <v>#DIV/0!</v>
      </c>
      <c r="D9" s="38" t="e">
        <f>Schwingungen!$AA8</f>
        <v>#DIV/0!</v>
      </c>
      <c r="E9" s="34"/>
      <c r="F9" s="38">
        <v>12</v>
      </c>
      <c r="G9" s="107" t="e">
        <f>IF(H9&lt;&gt;"-",Schwingungen!AB13,"-")</f>
        <v>#DIV/0!</v>
      </c>
      <c r="H9" s="38" t="e">
        <f>Schwingungen!$AA13</f>
        <v>#DIV/0!</v>
      </c>
      <c r="J9" s="602"/>
      <c r="K9" s="602"/>
      <c r="L9" s="602"/>
      <c r="M9" s="602"/>
      <c r="N9" s="602"/>
      <c r="O9" s="602"/>
      <c r="P9" s="602"/>
      <c r="Q9" s="602"/>
      <c r="R9" s="602"/>
      <c r="S9" s="602"/>
      <c r="T9" s="602"/>
      <c r="U9" s="602"/>
      <c r="V9" s="602"/>
      <c r="W9" s="88"/>
      <c r="X9" s="107"/>
      <c r="Y9" s="685" t="s">
        <v>1076</v>
      </c>
      <c r="Z9" s="814">
        <v>150</v>
      </c>
      <c r="AA9" s="107"/>
      <c r="AB9" s="107"/>
      <c r="AC9" s="685">
        <v>150</v>
      </c>
      <c r="AD9" s="107" t="s">
        <v>1084</v>
      </c>
      <c r="AE9" s="107">
        <v>63</v>
      </c>
    </row>
    <row r="10" spans="1:31" ht="15" customHeight="1" x14ac:dyDescent="0.25">
      <c r="B10" s="38">
        <v>8</v>
      </c>
      <c r="C10" s="341" t="e">
        <f>IF(D10&lt;&gt;"-",Schwingungen!AB9,"-")</f>
        <v>#DIV/0!</v>
      </c>
      <c r="D10" s="38" t="e">
        <f>Schwingungen!$AA9</f>
        <v>#DIV/0!</v>
      </c>
      <c r="E10" s="34"/>
      <c r="F10" s="38">
        <v>14</v>
      </c>
      <c r="G10" s="107" t="e">
        <f>IF(H10&lt;&gt;"-",Schwingungen!AB15,"-")</f>
        <v>#DIV/0!</v>
      </c>
      <c r="H10" s="38" t="e">
        <f>Schwingungen!$AA15</f>
        <v>#DIV/0!</v>
      </c>
      <c r="J10" s="602"/>
      <c r="K10" s="602"/>
      <c r="L10" s="602"/>
      <c r="M10" s="602"/>
      <c r="N10" s="602"/>
      <c r="O10" s="602"/>
      <c r="P10" s="602"/>
      <c r="Q10" s="602"/>
      <c r="R10" s="602"/>
      <c r="S10" s="602"/>
      <c r="T10" s="602"/>
      <c r="U10" s="602"/>
      <c r="V10" s="602"/>
      <c r="W10" s="88"/>
      <c r="X10" s="107"/>
      <c r="Y10" s="107"/>
      <c r="Z10" s="107"/>
      <c r="AA10" s="107"/>
      <c r="AB10" s="107"/>
      <c r="AC10" s="685">
        <v>200</v>
      </c>
      <c r="AD10" s="107" t="s">
        <v>1085</v>
      </c>
      <c r="AE10" s="107">
        <v>102</v>
      </c>
    </row>
    <row r="11" spans="1:31" ht="15" customHeight="1" x14ac:dyDescent="0.25">
      <c r="A11" s="29">
        <v>450</v>
      </c>
      <c r="B11" s="38">
        <v>9</v>
      </c>
      <c r="C11" s="341" t="e">
        <f>IF(D11&lt;&gt;"-",Schwingungen!AB10,"-")</f>
        <v>#DIV/0!</v>
      </c>
      <c r="D11" s="38" t="e">
        <f>Schwingungen!$AA10</f>
        <v>#DIV/0!</v>
      </c>
      <c r="E11" s="34"/>
      <c r="F11" s="38">
        <v>16</v>
      </c>
      <c r="G11" s="107" t="e">
        <f>IF(H11&lt;&gt;"-",Schwingungen!AB17,"-")</f>
        <v>#DIV/0!</v>
      </c>
      <c r="H11" s="38" t="e">
        <f>Schwingungen!$AA17</f>
        <v>#DIV/0!</v>
      </c>
      <c r="J11" s="602"/>
      <c r="K11" s="602"/>
      <c r="L11" s="602"/>
      <c r="M11" s="602"/>
      <c r="N11" s="602"/>
      <c r="O11" s="602"/>
      <c r="P11" s="602"/>
      <c r="Q11" s="602"/>
      <c r="R11" s="602"/>
      <c r="S11" s="602"/>
      <c r="T11" s="602"/>
      <c r="U11" s="602"/>
      <c r="V11" s="602"/>
      <c r="W11" s="88"/>
      <c r="X11" s="107"/>
      <c r="Y11" s="107"/>
      <c r="Z11" s="107"/>
      <c r="AA11" s="107"/>
      <c r="AB11" s="107"/>
      <c r="AC11" s="685">
        <v>250</v>
      </c>
      <c r="AD11" s="107" t="s">
        <v>1086</v>
      </c>
      <c r="AE11" s="107">
        <v>148</v>
      </c>
    </row>
    <row r="12" spans="1:31" ht="15" customHeight="1" x14ac:dyDescent="0.25">
      <c r="B12" s="38">
        <v>10</v>
      </c>
      <c r="C12" s="341" t="e">
        <f>IF(D12&lt;&gt;"-",Schwingungen!AB11,"-")</f>
        <v>#DIV/0!</v>
      </c>
      <c r="D12" s="38" t="e">
        <f>Schwingungen!$AA11</f>
        <v>#DIV/0!</v>
      </c>
      <c r="E12" s="34"/>
      <c r="F12" s="38">
        <v>18</v>
      </c>
      <c r="G12" s="107" t="e">
        <f>IF(H12&lt;&gt;"-",Schwingungen!AB19,"-")</f>
        <v>#DIV/0!</v>
      </c>
      <c r="H12" s="38" t="e">
        <f>Schwingungen!$AA19</f>
        <v>#DIV/0!</v>
      </c>
      <c r="J12" s="602"/>
      <c r="K12" s="602"/>
      <c r="L12" s="602"/>
      <c r="M12" s="602"/>
      <c r="N12" s="602"/>
      <c r="O12" s="602"/>
      <c r="P12" s="602"/>
      <c r="Q12" s="602"/>
      <c r="R12" s="602"/>
      <c r="S12" s="602"/>
      <c r="T12" s="602"/>
      <c r="U12" s="602"/>
      <c r="V12" s="602"/>
      <c r="W12" s="88"/>
      <c r="X12" s="107"/>
      <c r="Y12" s="107"/>
      <c r="Z12" s="107"/>
      <c r="AA12" s="107"/>
      <c r="AB12" s="107"/>
      <c r="AC12" s="107"/>
      <c r="AD12" s="107"/>
      <c r="AE12" s="107"/>
    </row>
    <row r="13" spans="1:31" ht="15" customHeight="1" x14ac:dyDescent="0.25">
      <c r="A13" s="29">
        <v>550</v>
      </c>
      <c r="B13" s="38">
        <v>11</v>
      </c>
      <c r="C13" s="341" t="e">
        <f>IF(D13&lt;&gt;"-",Schwingungen!AB12,"-")</f>
        <v>#DIV/0!</v>
      </c>
      <c r="D13" s="38" t="e">
        <f>Schwingungen!$AA12</f>
        <v>#DIV/0!</v>
      </c>
      <c r="E13" s="34"/>
      <c r="F13" s="38">
        <v>20</v>
      </c>
      <c r="G13" s="107" t="e">
        <f>IF(H13&lt;&gt;"-",Schwingungen!AB21,"-")</f>
        <v>#DIV/0!</v>
      </c>
      <c r="H13" s="38" t="e">
        <f>Schwingungen!$AA21</f>
        <v>#DIV/0!</v>
      </c>
      <c r="J13" s="602"/>
      <c r="K13" s="602"/>
      <c r="L13" s="602"/>
      <c r="M13" s="602"/>
      <c r="N13" s="602"/>
      <c r="O13" s="602"/>
      <c r="P13" s="602"/>
      <c r="Q13" s="602"/>
      <c r="R13" s="602"/>
      <c r="S13" s="602"/>
      <c r="T13" s="602"/>
      <c r="U13" s="602"/>
      <c r="V13" s="602"/>
      <c r="W13" s="88"/>
      <c r="X13" s="88"/>
      <c r="Y13" s="88"/>
      <c r="Z13" s="88"/>
      <c r="AA13" s="88"/>
      <c r="AB13" s="88"/>
      <c r="AC13" s="107"/>
      <c r="AD13" s="107"/>
      <c r="AE13" s="107"/>
    </row>
    <row r="14" spans="1:31" ht="15" customHeight="1" x14ac:dyDescent="0.25">
      <c r="B14" s="38">
        <v>12</v>
      </c>
      <c r="C14" s="341" t="e">
        <f>IF(D14&lt;&gt;"-",Schwingungen!AB13,"-")</f>
        <v>#DIV/0!</v>
      </c>
      <c r="D14" s="38" t="e">
        <f>Schwingungen!$AA13</f>
        <v>#DIV/0!</v>
      </c>
      <c r="E14" s="34"/>
      <c r="F14" s="38">
        <v>22</v>
      </c>
      <c r="G14" s="107" t="e">
        <f>IF(H14&lt;&gt;"-",Schwingungen!AB23,"-")</f>
        <v>#DIV/0!</v>
      </c>
      <c r="H14" s="38" t="e">
        <f>Schwingungen!$AA23</f>
        <v>#DIV/0!</v>
      </c>
      <c r="J14" s="602"/>
      <c r="K14" s="602"/>
      <c r="L14" s="602"/>
      <c r="M14" s="602"/>
      <c r="N14" s="602"/>
      <c r="O14" s="602"/>
      <c r="P14" s="602"/>
      <c r="Q14" s="602"/>
      <c r="R14" s="602"/>
      <c r="S14" s="602"/>
      <c r="T14" s="602"/>
      <c r="U14" s="602"/>
      <c r="V14" s="602"/>
      <c r="W14" s="88"/>
      <c r="X14" s="88"/>
    </row>
    <row r="15" spans="1:31" ht="15" customHeight="1" x14ac:dyDescent="0.25">
      <c r="A15" s="29">
        <v>650</v>
      </c>
      <c r="B15" s="38">
        <v>13</v>
      </c>
      <c r="C15" s="341" t="e">
        <f>IF(D15&lt;&gt;"-",Schwingungen!AB14,"-")</f>
        <v>#DIV/0!</v>
      </c>
      <c r="D15" s="38" t="e">
        <f>Schwingungen!$AA14</f>
        <v>#DIV/0!</v>
      </c>
      <c r="E15" s="34"/>
      <c r="F15" s="38">
        <v>24</v>
      </c>
      <c r="G15" s="107" t="e">
        <f>IF(H15&lt;&gt;"-",Schwingungen!AB25,"-")</f>
        <v>#DIV/0!</v>
      </c>
      <c r="H15" s="38" t="e">
        <f>Schwingungen!$AA25</f>
        <v>#DIV/0!</v>
      </c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  <c r="U15" s="602"/>
      <c r="V15" s="602"/>
      <c r="W15" s="88"/>
      <c r="X15" s="88"/>
    </row>
    <row r="16" spans="1:31" ht="15" customHeight="1" x14ac:dyDescent="0.25">
      <c r="B16" s="38">
        <v>14</v>
      </c>
      <c r="C16" s="341" t="e">
        <f>IF(D16&lt;&gt;"-",Schwingungen!AB15,"-")</f>
        <v>#DIV/0!</v>
      </c>
      <c r="D16" s="38" t="e">
        <f>Schwingungen!$AA15</f>
        <v>#DIV/0!</v>
      </c>
      <c r="E16" s="34"/>
      <c r="F16" s="38">
        <v>26</v>
      </c>
      <c r="G16" s="107" t="e">
        <f>IF(H16&lt;&gt;"-",Schwingungen!AB27,"-")</f>
        <v>#DIV/0!</v>
      </c>
      <c r="H16" s="38" t="e">
        <f>Schwingungen!$AA27</f>
        <v>#DIV/0!</v>
      </c>
      <c r="J16" s="602"/>
      <c r="K16" s="602"/>
      <c r="L16" s="602"/>
      <c r="M16" s="602"/>
      <c r="N16" s="602"/>
      <c r="O16" s="602"/>
      <c r="P16" s="602"/>
      <c r="Q16" s="602"/>
      <c r="R16" s="602"/>
      <c r="S16" s="602"/>
      <c r="T16" s="602"/>
      <c r="U16" s="602"/>
      <c r="V16" s="602"/>
      <c r="W16" s="88"/>
      <c r="X16" s="88"/>
    </row>
    <row r="17" spans="1:24" ht="15" customHeight="1" x14ac:dyDescent="0.25">
      <c r="A17" s="29">
        <v>750</v>
      </c>
      <c r="B17" s="38">
        <v>15</v>
      </c>
      <c r="C17" s="341" t="e">
        <f>IF(D17&lt;&gt;"-",Schwingungen!AB16,"-")</f>
        <v>#DIV/0!</v>
      </c>
      <c r="D17" s="38" t="e">
        <f>Schwingungen!$AA16</f>
        <v>#DIV/0!</v>
      </c>
      <c r="E17" s="34"/>
      <c r="F17" s="38">
        <v>28</v>
      </c>
      <c r="G17" s="107" t="e">
        <f>IF(H17&lt;&gt;"-",Schwingungen!AB29,"-")</f>
        <v>#DIV/0!</v>
      </c>
      <c r="H17" s="38" t="e">
        <f>Schwingungen!$AA29</f>
        <v>#DIV/0!</v>
      </c>
      <c r="J17" s="602"/>
      <c r="K17" s="602"/>
      <c r="L17" s="602"/>
      <c r="M17" s="602"/>
      <c r="N17" s="602"/>
      <c r="O17" s="602"/>
      <c r="P17" s="602"/>
      <c r="Q17" s="602"/>
      <c r="R17" s="602"/>
      <c r="S17" s="602"/>
      <c r="T17" s="602"/>
      <c r="U17" s="602"/>
      <c r="V17" s="602"/>
      <c r="W17" s="88"/>
      <c r="X17" s="88"/>
    </row>
    <row r="18" spans="1:24" ht="15" customHeight="1" x14ac:dyDescent="0.25">
      <c r="B18" s="38">
        <v>16</v>
      </c>
      <c r="C18" s="341" t="e">
        <f>IF(D18&lt;&gt;"-",Schwingungen!AB17,"-")</f>
        <v>#DIV/0!</v>
      </c>
      <c r="D18" s="38" t="e">
        <f>Schwingungen!$AA17</f>
        <v>#DIV/0!</v>
      </c>
      <c r="E18" s="34"/>
      <c r="F18" s="38">
        <v>30</v>
      </c>
      <c r="G18" s="107" t="e">
        <f>IF(H18&lt;&gt;"-",Schwingungen!AB31,"-")</f>
        <v>#DIV/0!</v>
      </c>
      <c r="H18" s="38" t="e">
        <f>Schwingungen!$AA31</f>
        <v>#DIV/0!</v>
      </c>
      <c r="J18" s="602"/>
      <c r="K18" s="602"/>
      <c r="L18" s="602"/>
      <c r="M18" s="602"/>
      <c r="N18" s="602"/>
      <c r="O18" s="602"/>
      <c r="P18" s="602"/>
      <c r="Q18" s="602"/>
      <c r="R18" s="602"/>
      <c r="S18" s="602"/>
      <c r="T18" s="602"/>
      <c r="U18" s="602"/>
      <c r="V18" s="602"/>
      <c r="W18" s="88"/>
      <c r="X18" s="88"/>
    </row>
    <row r="19" spans="1:24" ht="15" customHeight="1" x14ac:dyDescent="0.25">
      <c r="A19" s="29">
        <v>850</v>
      </c>
      <c r="B19" s="38">
        <v>17</v>
      </c>
      <c r="C19" s="341" t="e">
        <f>IF(D19&lt;&gt;"-",Schwingungen!AB18,"-")</f>
        <v>#DIV/0!</v>
      </c>
      <c r="D19" s="38" t="e">
        <f>Schwingungen!$AA18</f>
        <v>#DIV/0!</v>
      </c>
      <c r="E19" s="34"/>
      <c r="F19" s="38">
        <v>32</v>
      </c>
      <c r="G19" s="107" t="e">
        <f>IF(H19&lt;&gt;"-",Schwingungen!AB33,"-")</f>
        <v>#DIV/0!</v>
      </c>
      <c r="H19" s="38" t="e">
        <f>Schwingungen!$AA33</f>
        <v>#DIV/0!</v>
      </c>
      <c r="J19" s="602"/>
      <c r="K19" s="602"/>
      <c r="L19" s="602"/>
      <c r="M19" s="602"/>
      <c r="N19" s="602"/>
      <c r="O19" s="602"/>
      <c r="P19" s="602"/>
      <c r="Q19" s="602"/>
      <c r="R19" s="602"/>
      <c r="S19" s="602"/>
      <c r="T19" s="602"/>
      <c r="U19" s="602"/>
      <c r="V19" s="602"/>
      <c r="W19" s="88"/>
      <c r="X19" s="88"/>
    </row>
    <row r="20" spans="1:24" ht="15" customHeight="1" x14ac:dyDescent="0.25">
      <c r="B20" s="38">
        <v>18</v>
      </c>
      <c r="C20" s="341" t="e">
        <f>IF(D20&lt;&gt;"-",Schwingungen!AB19,"-")</f>
        <v>#DIV/0!</v>
      </c>
      <c r="D20" s="38" t="e">
        <f>Schwingungen!$AA19</f>
        <v>#DIV/0!</v>
      </c>
      <c r="E20" s="34"/>
      <c r="F20" s="38">
        <v>34</v>
      </c>
      <c r="G20" s="107" t="e">
        <f>IF(H20&lt;&gt;"-",Schwingungen!AB35,"-")</f>
        <v>#DIV/0!</v>
      </c>
      <c r="H20" s="38" t="e">
        <f>Schwingungen!$AA35</f>
        <v>#DIV/0!</v>
      </c>
      <c r="J20" s="602"/>
      <c r="K20" s="602"/>
      <c r="L20" s="602"/>
      <c r="M20" s="602"/>
      <c r="N20" s="602"/>
      <c r="O20" s="602"/>
      <c r="P20" s="602"/>
      <c r="Q20" s="602"/>
      <c r="R20" s="602"/>
      <c r="S20" s="602"/>
      <c r="T20" s="602"/>
      <c r="U20" s="602"/>
      <c r="V20" s="602"/>
      <c r="W20" s="88"/>
      <c r="X20" s="88"/>
    </row>
    <row r="21" spans="1:24" ht="15" customHeight="1" x14ac:dyDescent="0.25">
      <c r="A21" s="29">
        <v>950</v>
      </c>
      <c r="B21" s="38">
        <v>19</v>
      </c>
      <c r="C21" s="341" t="e">
        <f>IF(D21&lt;&gt;"-",Schwingungen!AB20,"-")</f>
        <v>#DIV/0!</v>
      </c>
      <c r="D21" s="38" t="e">
        <f>Schwingungen!$AA20</f>
        <v>#DIV/0!</v>
      </c>
      <c r="E21" s="34"/>
      <c r="F21" s="38">
        <v>36</v>
      </c>
      <c r="G21" s="107" t="e">
        <f>IF(H21&lt;&gt;"-",Schwingungen!AB37,"-")</f>
        <v>#DIV/0!</v>
      </c>
      <c r="H21" s="38" t="e">
        <f>Schwingungen!$AA37</f>
        <v>#DIV/0!</v>
      </c>
      <c r="J21" s="602"/>
      <c r="K21" s="602"/>
      <c r="L21" s="602"/>
      <c r="M21" s="602"/>
      <c r="N21" s="602"/>
      <c r="O21" s="602"/>
      <c r="P21" s="602"/>
      <c r="Q21" s="602"/>
      <c r="R21" s="602"/>
      <c r="S21" s="602"/>
      <c r="T21" s="602"/>
      <c r="U21" s="602"/>
      <c r="V21" s="602"/>
      <c r="W21" s="88"/>
      <c r="X21" s="88"/>
    </row>
    <row r="22" spans="1:24" ht="15" customHeight="1" x14ac:dyDescent="0.25">
      <c r="B22" s="38">
        <v>20</v>
      </c>
      <c r="C22" s="341" t="e">
        <f>IF(D22&lt;&gt;"-",Schwingungen!AB21,"-")</f>
        <v>#DIV/0!</v>
      </c>
      <c r="D22" s="38" t="e">
        <f>Schwingungen!$AA21</f>
        <v>#DIV/0!</v>
      </c>
      <c r="E22" s="34"/>
      <c r="F22" s="38">
        <v>38</v>
      </c>
      <c r="G22" s="107" t="e">
        <f>IF(H22&lt;&gt;"-",Schwingungen!AB39,"-")</f>
        <v>#DIV/0!</v>
      </c>
      <c r="H22" s="38" t="e">
        <f>Schwingungen!$AA39</f>
        <v>#DIV/0!</v>
      </c>
      <c r="J22" s="602"/>
      <c r="K22" s="602"/>
      <c r="L22" s="602"/>
      <c r="M22" s="602"/>
      <c r="N22" s="602"/>
      <c r="O22" s="602"/>
      <c r="P22" s="602"/>
      <c r="Q22" s="602"/>
      <c r="R22" s="602"/>
      <c r="S22" s="602"/>
      <c r="T22" s="602"/>
      <c r="U22" s="602"/>
      <c r="V22" s="602"/>
      <c r="W22" s="88"/>
      <c r="X22" s="88"/>
    </row>
    <row r="23" spans="1:24" ht="15" customHeight="1" x14ac:dyDescent="0.25">
      <c r="A23" s="29">
        <v>1050</v>
      </c>
      <c r="B23" s="38">
        <v>21</v>
      </c>
      <c r="C23" s="341" t="e">
        <f>IF(D23&lt;&gt;"-",Schwingungen!AB22,"-")</f>
        <v>#DIV/0!</v>
      </c>
      <c r="D23" s="38" t="e">
        <f>Schwingungen!$AA22</f>
        <v>#DIV/0!</v>
      </c>
      <c r="E23" s="34"/>
      <c r="F23" s="38">
        <v>40</v>
      </c>
      <c r="G23" s="107" t="e">
        <f>IF(H23&lt;&gt;"-",Schwingungen!AB41,"-")</f>
        <v>#DIV/0!</v>
      </c>
      <c r="H23" s="38" t="e">
        <f>Schwingungen!$AA41</f>
        <v>#DIV/0!</v>
      </c>
      <c r="J23" s="602"/>
      <c r="K23" s="602"/>
      <c r="L23" s="602"/>
      <c r="M23" s="602"/>
      <c r="N23" s="602"/>
      <c r="O23" s="602"/>
      <c r="P23" s="602"/>
      <c r="Q23" s="602"/>
      <c r="R23" s="602"/>
      <c r="S23" s="602"/>
      <c r="T23" s="602"/>
      <c r="U23" s="602"/>
      <c r="V23" s="602"/>
      <c r="W23" s="88"/>
      <c r="X23" s="88"/>
    </row>
    <row r="24" spans="1:24" ht="15" customHeight="1" x14ac:dyDescent="0.25">
      <c r="B24" s="38">
        <v>22</v>
      </c>
      <c r="C24" s="341" t="e">
        <f>IF(D24&lt;&gt;"-",Schwingungen!AB23,"-")</f>
        <v>#DIV/0!</v>
      </c>
      <c r="D24" s="38" t="e">
        <f>Schwingungen!$AA23</f>
        <v>#DIV/0!</v>
      </c>
      <c r="E24" s="34"/>
      <c r="F24" s="38">
        <v>42</v>
      </c>
      <c r="G24" s="107">
        <f>IF(H24&lt;&gt;"-",Schwingungen!AB43,"-")</f>
        <v>0</v>
      </c>
      <c r="H24" s="38">
        <f>Schwingungen!$AA43</f>
        <v>0</v>
      </c>
      <c r="J24" s="602"/>
      <c r="K24" s="602"/>
      <c r="L24" s="602"/>
      <c r="M24" s="602"/>
      <c r="N24" s="602"/>
      <c r="O24" s="602"/>
      <c r="P24" s="602"/>
      <c r="Q24" s="602"/>
      <c r="R24" s="602"/>
      <c r="S24" s="602"/>
      <c r="T24" s="602"/>
      <c r="U24" s="602"/>
      <c r="V24" s="602"/>
      <c r="W24" s="88"/>
      <c r="X24" s="88"/>
    </row>
    <row r="25" spans="1:24" ht="15" customHeight="1" x14ac:dyDescent="0.25">
      <c r="A25" s="29">
        <v>1150</v>
      </c>
      <c r="B25" s="38">
        <v>23</v>
      </c>
      <c r="C25" s="341" t="e">
        <f>IF(D25&lt;&gt;"-",Schwingungen!AB24,"-")</f>
        <v>#DIV/0!</v>
      </c>
      <c r="D25" s="38" t="e">
        <f>Schwingungen!$AA24</f>
        <v>#DIV/0!</v>
      </c>
      <c r="E25" s="34"/>
      <c r="F25" s="38">
        <v>44</v>
      </c>
      <c r="G25" s="107">
        <f>IF(H25&lt;&gt;"-",Schwingungen!AB45,"-")</f>
        <v>0</v>
      </c>
      <c r="H25" s="38">
        <f>Schwingungen!$AA45</f>
        <v>0</v>
      </c>
      <c r="J25" s="602"/>
      <c r="K25" s="602"/>
      <c r="L25" s="602"/>
      <c r="M25" s="602"/>
      <c r="N25" s="602"/>
      <c r="O25" s="602"/>
      <c r="P25" s="602"/>
      <c r="Q25" s="602"/>
      <c r="R25" s="602"/>
      <c r="S25" s="602"/>
      <c r="T25" s="602"/>
      <c r="U25" s="602"/>
      <c r="V25" s="602"/>
      <c r="W25" s="88"/>
      <c r="X25" s="88"/>
    </row>
    <row r="26" spans="1:24" ht="15" customHeight="1" x14ac:dyDescent="0.25">
      <c r="B26" s="38">
        <v>24</v>
      </c>
      <c r="C26" s="341" t="e">
        <f>IF(D26&lt;&gt;"-",Schwingungen!AB25,"-")</f>
        <v>#DIV/0!</v>
      </c>
      <c r="D26" s="38" t="e">
        <f>Schwingungen!$AA25</f>
        <v>#DIV/0!</v>
      </c>
      <c r="E26" s="34"/>
      <c r="F26" s="38">
        <v>46</v>
      </c>
      <c r="G26" s="107">
        <f>IF(H26&lt;&gt;"-",Schwingungen!AB47,"-")</f>
        <v>0</v>
      </c>
      <c r="H26" s="38">
        <f>Schwingungen!$AA47</f>
        <v>0</v>
      </c>
      <c r="J26" s="602"/>
      <c r="K26" s="602"/>
      <c r="L26" s="602"/>
      <c r="M26" s="602"/>
      <c r="N26" s="602"/>
      <c r="O26" s="602"/>
      <c r="P26" s="602"/>
      <c r="Q26" s="602"/>
      <c r="R26" s="602"/>
      <c r="S26" s="602"/>
      <c r="T26" s="602"/>
      <c r="U26" s="602"/>
      <c r="V26" s="602"/>
      <c r="W26" s="88"/>
      <c r="X26" s="88"/>
    </row>
    <row r="27" spans="1:24" ht="15" customHeight="1" x14ac:dyDescent="0.25">
      <c r="A27" s="29">
        <v>1250</v>
      </c>
      <c r="B27" s="38">
        <v>25</v>
      </c>
      <c r="C27" s="341" t="e">
        <f>IF(D27&lt;&gt;"-",Schwingungen!AB26,"-")</f>
        <v>#DIV/0!</v>
      </c>
      <c r="D27" s="38" t="e">
        <f>Schwingungen!$AA26</f>
        <v>#DIV/0!</v>
      </c>
      <c r="E27" s="34"/>
      <c r="F27" s="38">
        <v>48</v>
      </c>
      <c r="G27" s="107">
        <f>IF(H27&lt;&gt;"-",Schwingungen!AB49,"-")</f>
        <v>0</v>
      </c>
      <c r="H27" s="38">
        <f>Schwingungen!$AA49</f>
        <v>0</v>
      </c>
      <c r="J27" s="602"/>
      <c r="K27" s="602"/>
      <c r="L27" s="602"/>
      <c r="M27" s="602"/>
      <c r="N27" s="602"/>
      <c r="O27" s="602"/>
      <c r="P27" s="602"/>
      <c r="Q27" s="602"/>
      <c r="R27" s="602"/>
      <c r="S27" s="602"/>
      <c r="T27" s="602"/>
      <c r="U27" s="602"/>
      <c r="V27" s="602"/>
      <c r="W27" s="88"/>
      <c r="X27" s="88"/>
    </row>
    <row r="28" spans="1:24" ht="15" customHeight="1" x14ac:dyDescent="0.25">
      <c r="B28" s="38">
        <v>26</v>
      </c>
      <c r="C28" s="341" t="e">
        <f>IF(D28&lt;&gt;"-",Schwingungen!AB27,"-")</f>
        <v>#DIV/0!</v>
      </c>
      <c r="D28" s="38" t="e">
        <f>Schwingungen!$AA27</f>
        <v>#DIV/0!</v>
      </c>
      <c r="E28" s="34"/>
      <c r="F28" s="38">
        <v>50</v>
      </c>
      <c r="G28" s="107">
        <f>IF(H28&lt;&gt;"-",Schwingungen!AB51,"-")</f>
        <v>0</v>
      </c>
      <c r="H28" s="38">
        <f>Schwingungen!$AA51</f>
        <v>0</v>
      </c>
      <c r="J28" s="602"/>
      <c r="K28" s="602"/>
      <c r="L28" s="602"/>
      <c r="M28" s="602"/>
      <c r="N28" s="602"/>
      <c r="O28" s="602"/>
      <c r="P28" s="602"/>
      <c r="Q28" s="602"/>
      <c r="R28" s="602"/>
      <c r="S28" s="602"/>
      <c r="T28" s="602"/>
      <c r="U28" s="602"/>
      <c r="V28" s="602"/>
      <c r="W28" s="88"/>
      <c r="X28" s="88"/>
    </row>
    <row r="29" spans="1:24" ht="15" customHeight="1" x14ac:dyDescent="0.25">
      <c r="A29" s="29">
        <v>1350</v>
      </c>
      <c r="B29" s="38">
        <v>27</v>
      </c>
      <c r="C29" s="341" t="e">
        <f>IF(D29&lt;&gt;"-",Schwingungen!AB28,"-")</f>
        <v>#DIV/0!</v>
      </c>
      <c r="D29" s="38" t="e">
        <f>Schwingungen!$AA28</f>
        <v>#DIV/0!</v>
      </c>
      <c r="E29" s="34"/>
      <c r="F29" s="38"/>
      <c r="G29" s="38"/>
      <c r="H29" s="38"/>
      <c r="J29" s="602"/>
      <c r="K29" s="602"/>
      <c r="L29" s="602"/>
      <c r="M29" s="602"/>
      <c r="N29" s="602"/>
      <c r="O29" s="602"/>
      <c r="P29" s="602"/>
      <c r="Q29" s="602"/>
      <c r="R29" s="602"/>
      <c r="S29" s="602"/>
      <c r="T29" s="602"/>
      <c r="U29" s="602"/>
      <c r="V29" s="602"/>
      <c r="W29" s="88"/>
      <c r="X29" s="88"/>
    </row>
    <row r="30" spans="1:24" ht="15" customHeight="1" x14ac:dyDescent="0.25">
      <c r="B30" s="38">
        <v>28</v>
      </c>
      <c r="C30" s="341" t="e">
        <f>IF(D30&lt;&gt;"-",Schwingungen!AB29,"-")</f>
        <v>#DIV/0!</v>
      </c>
      <c r="D30" s="38" t="e">
        <f>Schwingungen!$AA29</f>
        <v>#DIV/0!</v>
      </c>
      <c r="E30" s="34"/>
      <c r="F30" s="38"/>
      <c r="G30" s="38"/>
      <c r="H30" s="38"/>
      <c r="J30" s="602"/>
      <c r="K30" s="602"/>
      <c r="L30" s="602"/>
      <c r="M30" s="602"/>
      <c r="N30" s="602"/>
      <c r="O30" s="602"/>
      <c r="P30" s="602"/>
      <c r="Q30" s="602"/>
      <c r="R30" s="602"/>
      <c r="S30" s="602"/>
      <c r="T30" s="602"/>
      <c r="U30" s="602"/>
      <c r="V30" s="602"/>
      <c r="W30" s="88"/>
      <c r="X30" s="88"/>
    </row>
    <row r="31" spans="1:24" ht="15" customHeight="1" x14ac:dyDescent="0.25">
      <c r="A31" s="29">
        <v>1450</v>
      </c>
      <c r="B31" s="38">
        <v>29</v>
      </c>
      <c r="C31" s="341" t="e">
        <f>IF(D31&lt;&gt;"-",Schwingungen!AB30,"-")</f>
        <v>#DIV/0!</v>
      </c>
      <c r="D31" s="38" t="e">
        <f>Schwingungen!$AA30</f>
        <v>#DIV/0!</v>
      </c>
      <c r="E31" s="34"/>
      <c r="F31" s="38"/>
      <c r="G31" s="38"/>
      <c r="H31" s="38"/>
      <c r="J31" s="602"/>
      <c r="K31" s="602"/>
      <c r="L31" s="602"/>
      <c r="M31" s="602"/>
      <c r="N31" s="602"/>
      <c r="O31" s="602"/>
      <c r="P31" s="602"/>
      <c r="Q31" s="602"/>
      <c r="R31" s="602"/>
      <c r="S31" s="602"/>
      <c r="T31" s="602"/>
      <c r="U31" s="602"/>
      <c r="V31" s="602"/>
      <c r="W31" s="88"/>
      <c r="X31" s="88"/>
    </row>
    <row r="32" spans="1:24" ht="15" customHeight="1" x14ac:dyDescent="0.25">
      <c r="B32" s="38">
        <v>30</v>
      </c>
      <c r="C32" s="341" t="e">
        <f>IF(D32&lt;&gt;"-",Schwingungen!AB31,"-")</f>
        <v>#DIV/0!</v>
      </c>
      <c r="D32" s="38" t="e">
        <f>Schwingungen!$AA31</f>
        <v>#DIV/0!</v>
      </c>
      <c r="E32" s="34"/>
      <c r="F32" s="38"/>
      <c r="G32" s="38"/>
      <c r="H32" s="38"/>
      <c r="J32" s="602"/>
      <c r="K32" s="602"/>
      <c r="L32" s="602"/>
      <c r="M32" s="602"/>
      <c r="N32" s="602"/>
      <c r="O32" s="602"/>
      <c r="P32" s="602"/>
      <c r="Q32" s="602"/>
      <c r="R32" s="602"/>
      <c r="S32" s="602"/>
      <c r="T32" s="602"/>
      <c r="U32" s="602"/>
      <c r="V32" s="602"/>
      <c r="W32" s="88"/>
      <c r="X32" s="88"/>
    </row>
    <row r="33" spans="1:24" ht="15" customHeight="1" x14ac:dyDescent="0.25">
      <c r="A33" s="29">
        <v>1550</v>
      </c>
      <c r="B33" s="38">
        <v>31</v>
      </c>
      <c r="C33" s="341" t="e">
        <f>IF(D33&lt;&gt;"-",Schwingungen!AB32,"-")</f>
        <v>#DIV/0!</v>
      </c>
      <c r="D33" s="38" t="e">
        <f>Schwingungen!$AA32</f>
        <v>#DIV/0!</v>
      </c>
      <c r="E33" s="34"/>
      <c r="F33" s="38"/>
      <c r="G33" s="38"/>
      <c r="H33" s="38"/>
      <c r="J33" s="602"/>
      <c r="K33" s="602"/>
      <c r="L33" s="602"/>
      <c r="M33" s="602"/>
      <c r="N33" s="602"/>
      <c r="O33" s="602"/>
      <c r="P33" s="602"/>
      <c r="Q33" s="602"/>
      <c r="R33" s="602"/>
      <c r="S33" s="602"/>
      <c r="T33" s="602"/>
      <c r="U33" s="602"/>
      <c r="V33" s="602"/>
      <c r="W33" s="88"/>
      <c r="X33" s="88"/>
    </row>
    <row r="34" spans="1:24" ht="15" customHeight="1" x14ac:dyDescent="0.25">
      <c r="B34" s="38">
        <v>32</v>
      </c>
      <c r="C34" s="341" t="e">
        <f>IF(D34&lt;&gt;"-",Schwingungen!AB33,"-")</f>
        <v>#DIV/0!</v>
      </c>
      <c r="D34" s="38" t="e">
        <f>Schwingungen!$AA33</f>
        <v>#DIV/0!</v>
      </c>
      <c r="E34" s="34"/>
      <c r="F34" s="38"/>
      <c r="G34" s="38"/>
      <c r="H34" s="38"/>
      <c r="J34" s="602"/>
      <c r="K34" s="602"/>
      <c r="L34" s="602"/>
      <c r="M34" s="602"/>
      <c r="N34" s="602"/>
      <c r="O34" s="602"/>
      <c r="P34" s="602"/>
      <c r="Q34" s="602"/>
      <c r="R34" s="602"/>
      <c r="S34" s="602"/>
      <c r="T34" s="602"/>
      <c r="U34" s="602"/>
      <c r="V34" s="602"/>
      <c r="W34" s="88"/>
      <c r="X34" s="88"/>
    </row>
    <row r="35" spans="1:24" ht="15" customHeight="1" x14ac:dyDescent="0.25">
      <c r="A35" s="29">
        <v>1650</v>
      </c>
      <c r="B35" s="38">
        <v>33</v>
      </c>
      <c r="C35" s="341" t="e">
        <f>IF(D35&lt;&gt;"-",Schwingungen!AB34,"-")</f>
        <v>#DIV/0!</v>
      </c>
      <c r="D35" s="38" t="e">
        <f>Schwingungen!$AA34</f>
        <v>#DIV/0!</v>
      </c>
      <c r="E35" s="34"/>
      <c r="F35" s="38"/>
      <c r="G35" s="38"/>
      <c r="H35" s="38"/>
      <c r="J35" s="602"/>
      <c r="K35" s="602"/>
      <c r="L35" s="602"/>
      <c r="M35" s="602"/>
      <c r="N35" s="602"/>
      <c r="O35" s="602"/>
      <c r="P35" s="602"/>
      <c r="Q35" s="602"/>
      <c r="R35" s="602"/>
      <c r="S35" s="602"/>
      <c r="T35" s="602"/>
      <c r="U35" s="602"/>
      <c r="V35" s="602"/>
      <c r="W35" s="88"/>
      <c r="X35" s="88"/>
    </row>
    <row r="36" spans="1:24" ht="15" customHeight="1" x14ac:dyDescent="0.25">
      <c r="B36" s="38">
        <v>34</v>
      </c>
      <c r="C36" s="341" t="e">
        <f>IF(D36&lt;&gt;"-",Schwingungen!AB35,"-")</f>
        <v>#DIV/0!</v>
      </c>
      <c r="D36" s="38" t="e">
        <f>Schwingungen!$AA35</f>
        <v>#DIV/0!</v>
      </c>
      <c r="E36" s="34"/>
      <c r="F36" s="38"/>
      <c r="G36" s="38"/>
      <c r="H36" s="38"/>
      <c r="J36" s="602"/>
      <c r="K36" s="602"/>
      <c r="L36" s="602"/>
      <c r="M36" s="602"/>
      <c r="N36" s="602"/>
      <c r="O36" s="602"/>
      <c r="P36" s="602"/>
      <c r="Q36" s="602"/>
      <c r="R36" s="602"/>
      <c r="S36" s="602"/>
      <c r="T36" s="602"/>
      <c r="U36" s="602"/>
      <c r="V36" s="602"/>
      <c r="W36" s="88"/>
      <c r="X36" s="88"/>
    </row>
    <row r="37" spans="1:24" ht="15" customHeight="1" x14ac:dyDescent="0.25">
      <c r="A37" s="29">
        <v>1750</v>
      </c>
      <c r="B37" s="38">
        <v>35</v>
      </c>
      <c r="C37" s="341" t="e">
        <f>IF(D37&lt;&gt;"-",Schwingungen!AB36,"-")</f>
        <v>#DIV/0!</v>
      </c>
      <c r="D37" s="38" t="e">
        <f>Schwingungen!$AA36</f>
        <v>#DIV/0!</v>
      </c>
      <c r="E37" s="34"/>
      <c r="F37" s="38"/>
      <c r="G37" s="38"/>
      <c r="H37" s="38"/>
      <c r="J37" s="602"/>
      <c r="K37" s="602"/>
      <c r="L37" s="602"/>
      <c r="M37" s="602"/>
      <c r="N37" s="602"/>
      <c r="O37" s="602"/>
      <c r="P37" s="602"/>
      <c r="Q37" s="602"/>
      <c r="R37" s="602"/>
      <c r="S37" s="602"/>
      <c r="T37" s="602"/>
      <c r="U37" s="602"/>
      <c r="V37" s="602"/>
      <c r="W37" s="88"/>
      <c r="X37" s="88"/>
    </row>
    <row r="38" spans="1:24" ht="15" customHeight="1" x14ac:dyDescent="0.25">
      <c r="B38" s="38">
        <v>36</v>
      </c>
      <c r="C38" s="341" t="e">
        <f>IF(D38&lt;&gt;"-",Schwingungen!AB37,"-")</f>
        <v>#DIV/0!</v>
      </c>
      <c r="D38" s="38" t="e">
        <f>Schwingungen!$AA37</f>
        <v>#DIV/0!</v>
      </c>
      <c r="E38" s="34"/>
      <c r="F38" s="38"/>
      <c r="G38" s="38"/>
      <c r="H38" s="38"/>
      <c r="J38" s="602"/>
      <c r="K38" s="602"/>
      <c r="L38" s="602"/>
      <c r="M38" s="602"/>
      <c r="N38" s="602"/>
      <c r="O38" s="602"/>
      <c r="P38" s="602"/>
      <c r="Q38" s="602"/>
      <c r="R38" s="602"/>
      <c r="S38" s="602"/>
      <c r="T38" s="602"/>
      <c r="U38" s="602"/>
      <c r="V38" s="602"/>
      <c r="W38" s="88"/>
      <c r="X38" s="88"/>
    </row>
    <row r="39" spans="1:24" ht="15" customHeight="1" x14ac:dyDescent="0.25">
      <c r="A39" s="29">
        <v>1850</v>
      </c>
      <c r="B39" s="38">
        <v>37</v>
      </c>
      <c r="C39" s="341" t="e">
        <f>IF(D39&lt;&gt;"-",Schwingungen!AB38,"-")</f>
        <v>#DIV/0!</v>
      </c>
      <c r="D39" s="38" t="e">
        <f>Schwingungen!$AA38</f>
        <v>#DIV/0!</v>
      </c>
      <c r="E39" s="34"/>
      <c r="F39" s="38"/>
      <c r="G39" s="38"/>
      <c r="H39" s="38"/>
      <c r="J39" s="602"/>
      <c r="K39" s="602"/>
      <c r="L39" s="602"/>
      <c r="M39" s="602"/>
      <c r="N39" s="602"/>
      <c r="O39" s="602"/>
      <c r="P39" s="602"/>
      <c r="Q39" s="602"/>
      <c r="R39" s="602"/>
      <c r="S39" s="602"/>
      <c r="T39" s="602"/>
      <c r="U39" s="602"/>
      <c r="V39" s="602"/>
      <c r="W39" s="88"/>
      <c r="X39" s="88"/>
    </row>
    <row r="40" spans="1:24" ht="15" customHeight="1" x14ac:dyDescent="0.25">
      <c r="B40" s="38">
        <v>38</v>
      </c>
      <c r="C40" s="341" t="e">
        <f>IF(D40&lt;&gt;"-",Schwingungen!AB39,"-")</f>
        <v>#DIV/0!</v>
      </c>
      <c r="D40" s="38" t="e">
        <f>Schwingungen!$AA39</f>
        <v>#DIV/0!</v>
      </c>
      <c r="E40" s="34"/>
      <c r="F40" s="38"/>
      <c r="G40" s="38"/>
      <c r="H40" s="38"/>
      <c r="J40" s="602"/>
      <c r="K40" s="602"/>
      <c r="L40" s="602"/>
      <c r="M40" s="602"/>
      <c r="N40" s="602"/>
      <c r="O40" s="602"/>
      <c r="P40" s="602"/>
      <c r="Q40" s="602"/>
      <c r="R40" s="602"/>
      <c r="S40" s="602"/>
      <c r="T40" s="602"/>
      <c r="U40" s="602"/>
      <c r="V40" s="602"/>
      <c r="W40" s="88"/>
      <c r="X40" s="88"/>
    </row>
    <row r="41" spans="1:24" ht="15" customHeight="1" x14ac:dyDescent="0.25">
      <c r="A41" s="29">
        <v>1950</v>
      </c>
      <c r="B41" s="38">
        <v>39</v>
      </c>
      <c r="C41" s="341" t="e">
        <f>IF(D41&lt;&gt;"-",Schwingungen!AB40,"-")</f>
        <v>#DIV/0!</v>
      </c>
      <c r="D41" s="38" t="e">
        <f>Schwingungen!$AA40</f>
        <v>#DIV/0!</v>
      </c>
      <c r="E41" s="34"/>
      <c r="F41" s="38"/>
      <c r="G41" s="38"/>
      <c r="H41" s="38"/>
      <c r="J41" s="602"/>
      <c r="K41" s="602"/>
      <c r="L41" s="602"/>
      <c r="M41" s="602"/>
      <c r="N41" s="602"/>
      <c r="O41" s="602"/>
      <c r="P41" s="602"/>
      <c r="Q41" s="602"/>
      <c r="R41" s="602"/>
      <c r="S41" s="602"/>
      <c r="T41" s="602"/>
      <c r="U41" s="602"/>
      <c r="V41" s="602"/>
      <c r="W41" s="88"/>
      <c r="X41" s="88"/>
    </row>
    <row r="42" spans="1:24" ht="15" customHeight="1" x14ac:dyDescent="0.25">
      <c r="B42" s="38">
        <v>40</v>
      </c>
      <c r="C42" s="341" t="e">
        <f>IF(D42&lt;&gt;"-",Schwingungen!AB41,"-")</f>
        <v>#DIV/0!</v>
      </c>
      <c r="D42" s="38" t="e">
        <f>Schwingungen!$AA41</f>
        <v>#DIV/0!</v>
      </c>
      <c r="E42" s="34"/>
      <c r="F42" s="38"/>
      <c r="G42" s="38"/>
      <c r="H42" s="38"/>
      <c r="J42" s="602"/>
      <c r="K42" s="602"/>
      <c r="L42" s="602"/>
      <c r="M42" s="602"/>
      <c r="N42" s="602"/>
      <c r="O42" s="602"/>
      <c r="P42" s="602"/>
      <c r="Q42" s="602"/>
      <c r="R42" s="602"/>
      <c r="S42" s="602"/>
      <c r="T42" s="602"/>
      <c r="U42" s="602"/>
      <c r="V42" s="602"/>
      <c r="W42" s="88"/>
      <c r="X42" s="88"/>
    </row>
    <row r="43" spans="1:24" ht="15" customHeight="1" x14ac:dyDescent="0.25">
      <c r="A43" s="29">
        <v>2050</v>
      </c>
      <c r="B43" s="38">
        <v>41</v>
      </c>
      <c r="C43" s="341">
        <f>IF(D43&lt;&gt;"-",Schwingungen!AB42,"-")</f>
        <v>0</v>
      </c>
      <c r="D43" s="38">
        <f>Schwingungen!$AA42</f>
        <v>0</v>
      </c>
      <c r="E43" s="34"/>
      <c r="F43" s="38"/>
      <c r="G43" s="38"/>
      <c r="H43" s="38"/>
      <c r="J43" s="602"/>
      <c r="K43" s="602"/>
      <c r="L43" s="602"/>
      <c r="M43" s="602"/>
      <c r="N43" s="602"/>
      <c r="O43" s="602"/>
      <c r="P43" s="602"/>
      <c r="Q43" s="602"/>
      <c r="R43" s="602"/>
      <c r="S43" s="602"/>
      <c r="T43" s="602"/>
      <c r="U43" s="602"/>
      <c r="V43" s="602"/>
      <c r="W43" s="88"/>
      <c r="X43" s="88"/>
    </row>
    <row r="44" spans="1:24" ht="15" customHeight="1" x14ac:dyDescent="0.25">
      <c r="B44" s="38">
        <v>42</v>
      </c>
      <c r="C44" s="341">
        <f>IF(D44&lt;&gt;"-",Schwingungen!AB43,"-")</f>
        <v>0</v>
      </c>
      <c r="D44" s="38">
        <f>Schwingungen!$AA43</f>
        <v>0</v>
      </c>
      <c r="E44" s="34"/>
      <c r="F44" s="38"/>
      <c r="G44" s="38"/>
      <c r="H44" s="38"/>
      <c r="J44" s="602"/>
      <c r="K44" s="602"/>
      <c r="L44" s="602"/>
      <c r="M44" s="602"/>
      <c r="N44" s="602"/>
      <c r="O44" s="602"/>
      <c r="P44" s="602"/>
      <c r="Q44" s="602"/>
      <c r="R44" s="602"/>
      <c r="S44" s="602"/>
      <c r="T44" s="602"/>
      <c r="U44" s="602"/>
      <c r="V44" s="602"/>
      <c r="W44" s="88"/>
      <c r="X44" s="88"/>
    </row>
    <row r="45" spans="1:24" ht="15" customHeight="1" x14ac:dyDescent="0.25">
      <c r="A45" s="29">
        <v>2150</v>
      </c>
      <c r="B45" s="38">
        <v>43</v>
      </c>
      <c r="C45" s="341">
        <f>IF(D45&lt;&gt;"-",Schwingungen!AB44,"-")</f>
        <v>0</v>
      </c>
      <c r="D45" s="38">
        <f>Schwingungen!$AA44</f>
        <v>0</v>
      </c>
      <c r="E45" s="34"/>
      <c r="F45" s="38"/>
      <c r="G45" s="38"/>
      <c r="H45" s="38"/>
      <c r="J45" s="602"/>
      <c r="K45" s="602"/>
      <c r="L45" s="602"/>
      <c r="M45" s="602"/>
      <c r="N45" s="602"/>
      <c r="O45" s="602"/>
      <c r="P45" s="602"/>
      <c r="Q45" s="602"/>
      <c r="R45" s="602"/>
      <c r="S45" s="602"/>
      <c r="T45" s="602"/>
      <c r="U45" s="602"/>
      <c r="V45" s="602"/>
      <c r="W45" s="88"/>
      <c r="X45" s="88"/>
    </row>
    <row r="46" spans="1:24" ht="15" customHeight="1" x14ac:dyDescent="0.25">
      <c r="B46" s="38">
        <v>44</v>
      </c>
      <c r="C46" s="341">
        <f>IF(D46&lt;&gt;"-",Schwingungen!AB45,"-")</f>
        <v>0</v>
      </c>
      <c r="D46" s="38">
        <f>Schwingungen!$AA45</f>
        <v>0</v>
      </c>
      <c r="E46" s="34"/>
      <c r="F46" s="38"/>
      <c r="G46" s="38"/>
      <c r="H46" s="38"/>
      <c r="J46" s="602"/>
      <c r="K46" s="602"/>
      <c r="L46" s="602"/>
      <c r="M46" s="602"/>
      <c r="N46" s="602"/>
      <c r="O46" s="602"/>
      <c r="P46" s="602"/>
      <c r="Q46" s="602"/>
      <c r="R46" s="602"/>
      <c r="S46" s="602"/>
      <c r="T46" s="602"/>
      <c r="U46" s="602"/>
      <c r="V46" s="602"/>
      <c r="W46" s="88"/>
      <c r="X46" s="88"/>
    </row>
    <row r="47" spans="1:24" ht="15" customHeight="1" x14ac:dyDescent="0.25">
      <c r="A47" s="29">
        <v>2250</v>
      </c>
      <c r="B47" s="38">
        <v>45</v>
      </c>
      <c r="C47" s="341">
        <f>IF(D47&lt;&gt;"-",Schwingungen!AB46,"-")</f>
        <v>0</v>
      </c>
      <c r="D47" s="38">
        <f>Schwingungen!$AA46</f>
        <v>0</v>
      </c>
      <c r="E47" s="34"/>
      <c r="F47" s="38"/>
      <c r="G47" s="38"/>
      <c r="H47" s="38"/>
      <c r="J47" s="602"/>
      <c r="K47" s="602"/>
      <c r="L47" s="602"/>
      <c r="M47" s="602"/>
      <c r="N47" s="602"/>
      <c r="O47" s="602"/>
      <c r="P47" s="602"/>
      <c r="Q47" s="602"/>
      <c r="R47" s="602"/>
      <c r="S47" s="602"/>
      <c r="T47" s="602"/>
      <c r="U47" s="602"/>
      <c r="V47" s="602"/>
      <c r="W47" s="88"/>
      <c r="X47" s="88"/>
    </row>
    <row r="48" spans="1:24" ht="15" customHeight="1" x14ac:dyDescent="0.25">
      <c r="B48" s="38">
        <v>46</v>
      </c>
      <c r="C48" s="341">
        <f>IF(D48&lt;&gt;"-",Schwingungen!AB47,"-")</f>
        <v>0</v>
      </c>
      <c r="D48" s="38">
        <f>Schwingungen!$AA47</f>
        <v>0</v>
      </c>
      <c r="E48" s="34"/>
      <c r="F48" s="38"/>
      <c r="G48" s="38"/>
      <c r="H48" s="38"/>
      <c r="J48" s="602"/>
      <c r="K48" s="602"/>
      <c r="L48" s="602"/>
      <c r="M48" s="602"/>
      <c r="N48" s="602"/>
      <c r="O48" s="602"/>
      <c r="P48" s="602"/>
      <c r="Q48" s="602"/>
      <c r="R48" s="602"/>
      <c r="S48" s="602"/>
      <c r="T48" s="602"/>
      <c r="U48" s="602"/>
      <c r="V48" s="602"/>
      <c r="W48" s="88"/>
      <c r="X48" s="88"/>
    </row>
    <row r="49" spans="1:24" ht="15" customHeight="1" x14ac:dyDescent="0.25">
      <c r="A49" s="29">
        <v>2350</v>
      </c>
      <c r="B49" s="38">
        <v>47</v>
      </c>
      <c r="C49" s="341">
        <f>IF(D49&lt;&gt;"-",Schwingungen!AB48,"-")</f>
        <v>0</v>
      </c>
      <c r="D49" s="38">
        <f>Schwingungen!$AA48</f>
        <v>0</v>
      </c>
      <c r="E49" s="34"/>
      <c r="F49" s="38"/>
      <c r="G49" s="38"/>
      <c r="H49" s="38"/>
      <c r="J49" s="602"/>
      <c r="K49" s="602"/>
      <c r="L49" s="602"/>
      <c r="M49" s="602"/>
      <c r="N49" s="602"/>
      <c r="O49" s="602"/>
      <c r="P49" s="602"/>
      <c r="Q49" s="602"/>
      <c r="R49" s="602"/>
      <c r="S49" s="602"/>
      <c r="T49" s="602"/>
      <c r="U49" s="602"/>
      <c r="V49" s="602"/>
      <c r="W49" s="88"/>
      <c r="X49" s="88"/>
    </row>
    <row r="50" spans="1:24" ht="15" customHeight="1" x14ac:dyDescent="0.25">
      <c r="B50" s="38">
        <v>48</v>
      </c>
      <c r="C50" s="341">
        <f>IF(D50&lt;&gt;"-",Schwingungen!AB49,"-")</f>
        <v>0</v>
      </c>
      <c r="D50" s="38">
        <f>Schwingungen!$AA49</f>
        <v>0</v>
      </c>
      <c r="E50" s="34"/>
      <c r="F50" s="38"/>
      <c r="G50" s="38"/>
      <c r="H50" s="38"/>
      <c r="J50" s="602"/>
      <c r="K50" s="602"/>
      <c r="L50" s="602"/>
      <c r="M50" s="602"/>
      <c r="N50" s="602"/>
      <c r="O50" s="602"/>
      <c r="P50" s="602"/>
      <c r="Q50" s="602"/>
      <c r="R50" s="602"/>
      <c r="S50" s="602"/>
      <c r="T50" s="602"/>
      <c r="U50" s="602"/>
      <c r="V50" s="602"/>
      <c r="W50" s="88"/>
      <c r="X50" s="88"/>
    </row>
    <row r="51" spans="1:24" ht="15" customHeight="1" x14ac:dyDescent="0.25">
      <c r="A51" s="29">
        <v>2450</v>
      </c>
      <c r="B51" s="38">
        <v>49</v>
      </c>
      <c r="C51" s="341">
        <f>IF(D51&lt;&gt;"-",Schwingungen!AB50,"-")</f>
        <v>0</v>
      </c>
      <c r="D51" s="38">
        <f>Schwingungen!$AA50</f>
        <v>0</v>
      </c>
      <c r="E51" s="34"/>
      <c r="F51" s="38"/>
      <c r="G51" s="38"/>
      <c r="H51" s="38"/>
      <c r="J51" s="602"/>
      <c r="K51" s="602"/>
      <c r="L51" s="602"/>
      <c r="M51" s="602"/>
      <c r="N51" s="602"/>
      <c r="O51" s="602"/>
      <c r="P51" s="602"/>
      <c r="Q51" s="602"/>
      <c r="R51" s="602"/>
      <c r="S51" s="602"/>
      <c r="T51" s="602"/>
      <c r="U51" s="602"/>
      <c r="V51" s="602"/>
      <c r="W51" s="88"/>
      <c r="X51" s="88"/>
    </row>
    <row r="52" spans="1:24" ht="15" customHeight="1" x14ac:dyDescent="0.25">
      <c r="A52" s="35"/>
      <c r="B52" s="38">
        <v>50</v>
      </c>
      <c r="C52" s="341">
        <f>IF(D52&lt;&gt;"-",Schwingungen!AB51,"-")</f>
        <v>0</v>
      </c>
      <c r="D52" s="38">
        <f>Schwingungen!$AA51</f>
        <v>0</v>
      </c>
      <c r="E52" s="34"/>
      <c r="F52" s="38"/>
      <c r="G52" s="38"/>
      <c r="H52" s="38"/>
      <c r="J52" s="602"/>
      <c r="K52" s="602"/>
      <c r="L52" s="602"/>
      <c r="M52" s="602"/>
      <c r="N52" s="602"/>
      <c r="O52" s="602"/>
      <c r="P52" s="602"/>
      <c r="Q52" s="602"/>
      <c r="R52" s="602"/>
      <c r="S52" s="602"/>
      <c r="T52" s="602"/>
      <c r="U52" s="602"/>
      <c r="V52" s="602"/>
      <c r="W52" s="88"/>
      <c r="X52" s="88"/>
    </row>
    <row r="53" spans="1:24" ht="15" customHeight="1" x14ac:dyDescent="0.25">
      <c r="A53" s="29">
        <v>75</v>
      </c>
      <c r="B53" s="29">
        <v>1.5</v>
      </c>
      <c r="C53" s="341">
        <f>Schwingungen!AB52</f>
        <v>0</v>
      </c>
      <c r="D53" s="107" t="e">
        <f>Schwingungen!$AA52</f>
        <v>#DIV/0!</v>
      </c>
      <c r="E53" s="34"/>
      <c r="F53" s="38"/>
      <c r="G53" s="38"/>
      <c r="H53" s="38"/>
      <c r="J53" s="602"/>
      <c r="K53" s="602"/>
      <c r="L53" s="602"/>
      <c r="M53" s="602"/>
      <c r="N53" s="602"/>
      <c r="O53" s="602"/>
      <c r="P53" s="602"/>
      <c r="Q53" s="602"/>
      <c r="R53" s="602"/>
      <c r="S53" s="602"/>
      <c r="T53" s="602"/>
      <c r="U53" s="602"/>
      <c r="V53" s="602"/>
      <c r="W53" s="88"/>
      <c r="X53" s="88"/>
    </row>
    <row r="54" spans="1:24" ht="15" customHeight="1" x14ac:dyDescent="0.25">
      <c r="A54" s="29">
        <v>125</v>
      </c>
      <c r="B54" s="29">
        <v>2.5</v>
      </c>
      <c r="C54" s="341">
        <f>Schwingungen!AB53</f>
        <v>0</v>
      </c>
      <c r="D54" s="107" t="e">
        <f>Schwingungen!$AA53</f>
        <v>#DIV/0!</v>
      </c>
      <c r="E54" s="34"/>
      <c r="F54" s="38"/>
      <c r="G54" s="38"/>
      <c r="H54" s="38"/>
      <c r="J54" s="602"/>
      <c r="K54" s="602"/>
      <c r="L54" s="602"/>
      <c r="M54" s="602"/>
      <c r="N54" s="602"/>
      <c r="O54" s="602"/>
      <c r="P54" s="602"/>
      <c r="Q54" s="602"/>
      <c r="R54" s="602"/>
      <c r="S54" s="602"/>
      <c r="T54" s="602"/>
      <c r="U54" s="602"/>
      <c r="V54" s="602"/>
      <c r="W54" s="88"/>
      <c r="X54" s="88"/>
    </row>
    <row r="55" spans="1:24" ht="15" customHeight="1" x14ac:dyDescent="0.25">
      <c r="A55" s="29">
        <v>175</v>
      </c>
      <c r="B55" s="29">
        <v>3.5</v>
      </c>
      <c r="C55" s="341">
        <f>Schwingungen!AB54</f>
        <v>0</v>
      </c>
      <c r="D55" s="107" t="e">
        <f>Schwingungen!$AA54</f>
        <v>#DIV/0!</v>
      </c>
      <c r="E55" s="34"/>
      <c r="F55" s="38"/>
      <c r="G55" s="38"/>
      <c r="H55" s="38"/>
      <c r="J55" s="602"/>
      <c r="K55" s="602"/>
      <c r="L55" s="602"/>
      <c r="M55" s="602"/>
      <c r="N55" s="602"/>
      <c r="O55" s="602"/>
      <c r="P55" s="602"/>
      <c r="Q55" s="602"/>
      <c r="R55" s="602"/>
      <c r="S55" s="602"/>
      <c r="T55" s="602"/>
      <c r="U55" s="602"/>
      <c r="V55" s="602"/>
      <c r="W55" s="88"/>
      <c r="X55" s="88"/>
    </row>
    <row r="56" spans="1:24" ht="15" customHeight="1" x14ac:dyDescent="0.25">
      <c r="A56" s="29">
        <v>225</v>
      </c>
      <c r="B56" s="29">
        <v>4.5</v>
      </c>
      <c r="C56" s="341">
        <f>Schwingungen!AB55</f>
        <v>0</v>
      </c>
      <c r="D56" s="107" t="e">
        <f>Schwingungen!$AA55</f>
        <v>#DIV/0!</v>
      </c>
      <c r="E56" s="34"/>
      <c r="F56" s="38"/>
      <c r="G56" s="38"/>
      <c r="H56" s="38"/>
      <c r="J56" s="602"/>
      <c r="K56" s="602"/>
      <c r="L56" s="602"/>
      <c r="M56" s="602"/>
      <c r="N56" s="602"/>
      <c r="O56" s="602"/>
      <c r="P56" s="602"/>
      <c r="Q56" s="602"/>
      <c r="R56" s="602"/>
      <c r="S56" s="602"/>
      <c r="T56" s="602"/>
      <c r="U56" s="602"/>
      <c r="V56" s="602"/>
      <c r="W56" s="88"/>
      <c r="X56" s="88"/>
    </row>
    <row r="57" spans="1:24" ht="15" customHeight="1" x14ac:dyDescent="0.25">
      <c r="A57" s="29">
        <v>275</v>
      </c>
      <c r="B57" s="29">
        <v>5.5</v>
      </c>
      <c r="C57" s="341">
        <f>Schwingungen!AB56</f>
        <v>0</v>
      </c>
      <c r="D57" s="107" t="e">
        <f>Schwingungen!$AA56</f>
        <v>#DIV/0!</v>
      </c>
      <c r="E57" s="34"/>
      <c r="F57" s="38"/>
      <c r="G57" s="38"/>
      <c r="H57" s="38"/>
      <c r="J57" s="602"/>
      <c r="K57" s="602"/>
      <c r="L57" s="602"/>
      <c r="M57" s="602"/>
      <c r="N57" s="602"/>
      <c r="O57" s="602"/>
      <c r="P57" s="602"/>
      <c r="Q57" s="602"/>
      <c r="R57" s="602"/>
      <c r="S57" s="602"/>
      <c r="T57" s="602"/>
      <c r="U57" s="602"/>
      <c r="V57" s="602"/>
      <c r="W57" s="88"/>
      <c r="X57" s="88"/>
    </row>
    <row r="58" spans="1:24" ht="15" customHeight="1" x14ac:dyDescent="0.25">
      <c r="A58" s="29">
        <v>325</v>
      </c>
      <c r="B58" s="29">
        <v>6.5</v>
      </c>
      <c r="C58" s="341">
        <f>Schwingungen!AB57</f>
        <v>0</v>
      </c>
      <c r="D58" s="107" t="e">
        <f>Schwingungen!$AA57</f>
        <v>#DIV/0!</v>
      </c>
      <c r="E58" s="34"/>
      <c r="F58" s="38"/>
      <c r="G58" s="38"/>
      <c r="H58" s="38"/>
      <c r="J58" s="602"/>
      <c r="K58" s="602"/>
      <c r="L58" s="602"/>
      <c r="M58" s="602"/>
      <c r="N58" s="602"/>
      <c r="O58" s="602"/>
      <c r="P58" s="602"/>
      <c r="Q58" s="602"/>
      <c r="R58" s="602"/>
      <c r="S58" s="602"/>
      <c r="T58" s="602"/>
      <c r="U58" s="602"/>
      <c r="V58" s="602"/>
      <c r="W58" s="88"/>
      <c r="X58" s="88"/>
    </row>
    <row r="59" spans="1:24" ht="15" customHeight="1" x14ac:dyDescent="0.25">
      <c r="A59" s="29">
        <v>375</v>
      </c>
      <c r="B59" s="29">
        <v>7.5</v>
      </c>
      <c r="C59" s="341">
        <f>Schwingungen!AB58</f>
        <v>0</v>
      </c>
      <c r="D59" s="107" t="e">
        <f>Schwingungen!$AA58</f>
        <v>#DIV/0!</v>
      </c>
      <c r="E59" s="34"/>
      <c r="F59" s="38"/>
      <c r="G59" s="38"/>
      <c r="H59" s="38"/>
      <c r="J59" s="602"/>
      <c r="K59" s="602"/>
      <c r="L59" s="602"/>
      <c r="M59" s="602"/>
      <c r="N59" s="602"/>
      <c r="O59" s="602"/>
      <c r="P59" s="602"/>
      <c r="Q59" s="602"/>
      <c r="R59" s="602"/>
      <c r="S59" s="602"/>
      <c r="T59" s="602"/>
      <c r="U59" s="602"/>
      <c r="V59" s="602"/>
      <c r="W59" s="88"/>
      <c r="X59" s="88"/>
    </row>
    <row r="60" spans="1:24" ht="15" customHeight="1" x14ac:dyDescent="0.25">
      <c r="A60" s="29">
        <v>425</v>
      </c>
      <c r="B60" s="29">
        <v>8.5</v>
      </c>
      <c r="C60" s="341">
        <f>Schwingungen!AB59</f>
        <v>0</v>
      </c>
      <c r="D60" s="107" t="e">
        <f>Schwingungen!$AA59</f>
        <v>#DIV/0!</v>
      </c>
      <c r="E60" s="34"/>
      <c r="F60" s="38"/>
      <c r="G60" s="38"/>
      <c r="H60" s="38"/>
      <c r="J60" s="602"/>
      <c r="K60" s="602"/>
      <c r="L60" s="602"/>
      <c r="M60" s="602"/>
      <c r="N60" s="602"/>
      <c r="O60" s="602"/>
      <c r="P60" s="602"/>
      <c r="Q60" s="602"/>
      <c r="R60" s="602"/>
      <c r="S60" s="602"/>
      <c r="T60" s="602"/>
      <c r="U60" s="602"/>
      <c r="V60" s="602"/>
      <c r="W60" s="88"/>
      <c r="X60" s="88"/>
    </row>
    <row r="61" spans="1:24" ht="15" customHeight="1" x14ac:dyDescent="0.25">
      <c r="A61" s="29">
        <v>475</v>
      </c>
      <c r="B61" s="29">
        <v>9.5</v>
      </c>
      <c r="C61" s="341">
        <f>Schwingungen!AB60</f>
        <v>0</v>
      </c>
      <c r="D61" s="107" t="e">
        <f>Schwingungen!$AA60</f>
        <v>#DIV/0!</v>
      </c>
      <c r="E61" s="34"/>
      <c r="F61" s="38"/>
      <c r="G61" s="38"/>
      <c r="H61" s="38"/>
      <c r="J61" s="602"/>
      <c r="K61" s="602"/>
      <c r="L61" s="602"/>
      <c r="M61" s="602"/>
      <c r="N61" s="602"/>
      <c r="O61" s="602"/>
      <c r="P61" s="602"/>
      <c r="Q61" s="602"/>
      <c r="R61" s="602"/>
      <c r="S61" s="602"/>
      <c r="T61" s="602"/>
      <c r="U61" s="602"/>
      <c r="V61" s="602"/>
      <c r="W61" s="88"/>
      <c r="X61" s="88"/>
    </row>
    <row r="62" spans="1:24" ht="15" customHeight="1" x14ac:dyDescent="0.25">
      <c r="A62" s="29">
        <v>525</v>
      </c>
      <c r="B62" s="29">
        <v>10.5</v>
      </c>
      <c r="C62" s="341">
        <f>Schwingungen!AB61</f>
        <v>0</v>
      </c>
      <c r="D62" s="107" t="e">
        <f>Schwingungen!$AA61</f>
        <v>#DIV/0!</v>
      </c>
      <c r="E62" s="34"/>
      <c r="F62" s="38"/>
      <c r="G62" s="38"/>
      <c r="H62" s="38"/>
      <c r="J62" s="602"/>
      <c r="K62" s="602"/>
      <c r="L62" s="602"/>
      <c r="M62" s="602"/>
      <c r="N62" s="602"/>
      <c r="O62" s="602"/>
      <c r="P62" s="602"/>
      <c r="Q62" s="602"/>
      <c r="R62" s="602"/>
      <c r="S62" s="602"/>
      <c r="T62" s="602"/>
      <c r="U62" s="602"/>
      <c r="V62" s="602"/>
      <c r="W62" s="88"/>
      <c r="X62" s="88"/>
    </row>
    <row r="63" spans="1:24" ht="15" customHeight="1" x14ac:dyDescent="0.25">
      <c r="A63" s="29">
        <v>575</v>
      </c>
      <c r="B63" s="29">
        <v>11.5</v>
      </c>
      <c r="C63" s="341">
        <f>Schwingungen!AB62</f>
        <v>0</v>
      </c>
      <c r="D63" s="107" t="e">
        <f>Schwingungen!$AA62</f>
        <v>#DIV/0!</v>
      </c>
      <c r="E63" s="34"/>
      <c r="F63" s="38"/>
      <c r="G63" s="38"/>
      <c r="H63" s="38"/>
      <c r="J63" s="602"/>
      <c r="K63" s="602"/>
      <c r="L63" s="602"/>
      <c r="M63" s="602"/>
      <c r="N63" s="602"/>
      <c r="O63" s="602"/>
      <c r="P63" s="602"/>
      <c r="Q63" s="602"/>
      <c r="R63" s="602"/>
      <c r="S63" s="602"/>
      <c r="T63" s="602"/>
      <c r="U63" s="602"/>
      <c r="V63" s="602"/>
      <c r="W63" s="88"/>
      <c r="X63" s="88"/>
    </row>
    <row r="64" spans="1:24" ht="15" customHeight="1" x14ac:dyDescent="0.25">
      <c r="A64" s="29">
        <v>625</v>
      </c>
      <c r="B64" s="29">
        <v>12.5</v>
      </c>
      <c r="C64" s="341">
        <f>Schwingungen!AB63</f>
        <v>0</v>
      </c>
      <c r="D64" s="107" t="e">
        <f>Schwingungen!$AA63</f>
        <v>#DIV/0!</v>
      </c>
      <c r="E64" s="34"/>
      <c r="F64" s="38"/>
      <c r="G64" s="38"/>
      <c r="H64" s="38"/>
      <c r="J64" s="602"/>
      <c r="K64" s="602"/>
      <c r="L64" s="602"/>
      <c r="M64" s="602"/>
      <c r="N64" s="602"/>
      <c r="O64" s="602"/>
      <c r="P64" s="602"/>
      <c r="Q64" s="602"/>
      <c r="R64" s="602"/>
      <c r="S64" s="602"/>
      <c r="T64" s="602"/>
      <c r="U64" s="602"/>
      <c r="V64" s="602"/>
      <c r="W64" s="88"/>
      <c r="X64" s="88"/>
    </row>
    <row r="65" spans="1:24" ht="15" customHeight="1" x14ac:dyDescent="0.25">
      <c r="A65" s="29">
        <v>675</v>
      </c>
      <c r="B65" s="29">
        <v>13.5</v>
      </c>
      <c r="C65" s="341">
        <f>Schwingungen!AB64</f>
        <v>0</v>
      </c>
      <c r="D65" s="107" t="e">
        <f>Schwingungen!$AA64</f>
        <v>#DIV/0!</v>
      </c>
      <c r="E65" s="34"/>
      <c r="F65" s="38"/>
      <c r="G65" s="38"/>
      <c r="H65" s="38"/>
      <c r="J65" s="602"/>
      <c r="K65" s="602"/>
      <c r="L65" s="602"/>
      <c r="M65" s="602"/>
      <c r="N65" s="602"/>
      <c r="O65" s="602"/>
      <c r="P65" s="602"/>
      <c r="Q65" s="602"/>
      <c r="R65" s="602"/>
      <c r="S65" s="602"/>
      <c r="T65" s="602"/>
      <c r="U65" s="602"/>
      <c r="V65" s="602"/>
      <c r="W65" s="88"/>
      <c r="X65" s="88"/>
    </row>
    <row r="66" spans="1:24" ht="15" customHeight="1" x14ac:dyDescent="0.25">
      <c r="A66" s="29">
        <v>725</v>
      </c>
      <c r="B66" s="29">
        <v>14.5</v>
      </c>
      <c r="C66" s="341">
        <f>Schwingungen!AB65</f>
        <v>0</v>
      </c>
      <c r="D66" s="107" t="e">
        <f>Schwingungen!$AA65</f>
        <v>#DIV/0!</v>
      </c>
      <c r="E66" s="34"/>
      <c r="F66" s="38"/>
      <c r="G66" s="38"/>
      <c r="H66" s="38"/>
      <c r="J66" s="602"/>
      <c r="K66" s="602"/>
      <c r="L66" s="602"/>
      <c r="M66" s="602"/>
      <c r="N66" s="602"/>
      <c r="O66" s="602"/>
      <c r="P66" s="602"/>
      <c r="Q66" s="602"/>
      <c r="R66" s="602"/>
      <c r="S66" s="602"/>
      <c r="T66" s="602"/>
      <c r="U66" s="602"/>
      <c r="V66" s="602"/>
      <c r="W66" s="88"/>
      <c r="X66" s="88"/>
    </row>
    <row r="67" spans="1:24" ht="15" customHeight="1" x14ac:dyDescent="0.25">
      <c r="A67" s="29">
        <v>775</v>
      </c>
      <c r="B67" s="29">
        <v>15.5</v>
      </c>
      <c r="C67" s="341">
        <f>Schwingungen!AB66</f>
        <v>0</v>
      </c>
      <c r="D67" s="107" t="e">
        <f>Schwingungen!$AA66</f>
        <v>#DIV/0!</v>
      </c>
      <c r="E67" s="34"/>
      <c r="F67" s="38"/>
      <c r="G67" s="38"/>
      <c r="H67" s="38"/>
      <c r="J67" s="602"/>
      <c r="K67" s="602"/>
      <c r="L67" s="602"/>
      <c r="M67" s="602"/>
      <c r="N67" s="602"/>
      <c r="O67" s="602"/>
      <c r="P67" s="602"/>
      <c r="Q67" s="602"/>
      <c r="R67" s="602"/>
      <c r="S67" s="602"/>
      <c r="T67" s="602"/>
      <c r="U67" s="602"/>
      <c r="V67" s="602"/>
      <c r="W67" s="88"/>
      <c r="X67" s="88"/>
    </row>
    <row r="68" spans="1:24" ht="15" customHeight="1" x14ac:dyDescent="0.25">
      <c r="A68" s="29">
        <v>825</v>
      </c>
      <c r="B68" s="29">
        <v>16.5</v>
      </c>
      <c r="C68" s="341">
        <f>Schwingungen!AB67</f>
        <v>0</v>
      </c>
      <c r="D68" s="107" t="e">
        <f>Schwingungen!$AA67</f>
        <v>#DIV/0!</v>
      </c>
      <c r="E68" s="34"/>
      <c r="F68" s="38"/>
      <c r="G68" s="38"/>
      <c r="H68" s="38"/>
      <c r="J68" s="602"/>
      <c r="K68" s="602"/>
      <c r="L68" s="602"/>
      <c r="M68" s="602"/>
      <c r="N68" s="602"/>
      <c r="O68" s="602"/>
      <c r="P68" s="602"/>
      <c r="Q68" s="602"/>
      <c r="R68" s="602"/>
      <c r="S68" s="602"/>
      <c r="T68" s="602"/>
      <c r="U68" s="602"/>
      <c r="V68" s="602"/>
      <c r="W68" s="88"/>
      <c r="X68" s="88"/>
    </row>
    <row r="69" spans="1:24" ht="15" customHeight="1" x14ac:dyDescent="0.25">
      <c r="A69" s="29">
        <v>875</v>
      </c>
      <c r="B69" s="29">
        <v>17.5</v>
      </c>
      <c r="C69" s="341">
        <f>Schwingungen!AB68</f>
        <v>0</v>
      </c>
      <c r="D69" s="107" t="e">
        <f>Schwingungen!$AA68</f>
        <v>#DIV/0!</v>
      </c>
      <c r="E69" s="34"/>
      <c r="F69" s="38"/>
      <c r="G69" s="38"/>
      <c r="H69" s="38"/>
      <c r="J69" s="602"/>
      <c r="K69" s="602"/>
      <c r="L69" s="602"/>
      <c r="M69" s="602"/>
      <c r="N69" s="602"/>
      <c r="O69" s="602"/>
      <c r="P69" s="602"/>
      <c r="Q69" s="602"/>
      <c r="R69" s="602"/>
      <c r="S69" s="602"/>
      <c r="T69" s="602"/>
      <c r="U69" s="602"/>
      <c r="V69" s="602"/>
      <c r="W69" s="88"/>
      <c r="X69" s="88"/>
    </row>
    <row r="70" spans="1:24" ht="15" customHeight="1" x14ac:dyDescent="0.25">
      <c r="A70" s="29">
        <v>925</v>
      </c>
      <c r="B70" s="29">
        <v>18.5</v>
      </c>
      <c r="C70" s="341">
        <f>Schwingungen!AB69</f>
        <v>0</v>
      </c>
      <c r="D70" s="107" t="e">
        <f>Schwingungen!$AA69</f>
        <v>#DIV/0!</v>
      </c>
      <c r="E70" s="34"/>
      <c r="F70" s="38"/>
      <c r="G70" s="38"/>
      <c r="H70" s="38"/>
      <c r="J70" s="602"/>
      <c r="K70" s="602"/>
      <c r="L70" s="602"/>
      <c r="M70" s="602"/>
      <c r="N70" s="602"/>
      <c r="O70" s="602"/>
      <c r="P70" s="602"/>
      <c r="Q70" s="602"/>
      <c r="R70" s="602"/>
      <c r="S70" s="602"/>
      <c r="T70" s="602"/>
      <c r="U70" s="602"/>
      <c r="V70" s="602"/>
      <c r="W70" s="88"/>
      <c r="X70" s="88"/>
    </row>
    <row r="71" spans="1:24" ht="15" customHeight="1" x14ac:dyDescent="0.25">
      <c r="A71" s="29">
        <v>975</v>
      </c>
      <c r="B71" s="29">
        <v>19.5</v>
      </c>
      <c r="C71" s="341">
        <f>Schwingungen!AB70</f>
        <v>0</v>
      </c>
      <c r="D71" s="107" t="e">
        <f>Schwingungen!$AA70</f>
        <v>#DIV/0!</v>
      </c>
      <c r="E71" s="34"/>
      <c r="F71" s="38"/>
      <c r="G71" s="38"/>
      <c r="H71" s="38"/>
      <c r="J71" s="602"/>
      <c r="K71" s="602"/>
      <c r="L71" s="602"/>
      <c r="M71" s="602"/>
      <c r="N71" s="602"/>
      <c r="O71" s="602"/>
      <c r="P71" s="602"/>
      <c r="Q71" s="602"/>
      <c r="R71" s="602"/>
      <c r="S71" s="602"/>
      <c r="T71" s="602"/>
      <c r="U71" s="602"/>
      <c r="V71" s="602"/>
      <c r="W71" s="88"/>
      <c r="X71" s="88"/>
    </row>
    <row r="72" spans="1:24" ht="15" customHeight="1" x14ac:dyDescent="0.25">
      <c r="A72" s="29">
        <v>1025</v>
      </c>
      <c r="B72" s="29">
        <v>20.5</v>
      </c>
      <c r="C72" s="341">
        <f>Schwingungen!AB71</f>
        <v>0</v>
      </c>
      <c r="D72" s="107" t="e">
        <f>Schwingungen!$AA71</f>
        <v>#DIV/0!</v>
      </c>
      <c r="E72" s="34"/>
      <c r="F72" s="38"/>
      <c r="G72" s="38"/>
      <c r="H72" s="38"/>
      <c r="J72" s="602"/>
      <c r="K72" s="602"/>
      <c r="L72" s="602"/>
      <c r="M72" s="602"/>
      <c r="N72" s="602"/>
      <c r="O72" s="602"/>
      <c r="P72" s="602"/>
      <c r="Q72" s="602"/>
      <c r="R72" s="602"/>
      <c r="S72" s="602"/>
      <c r="T72" s="602"/>
      <c r="U72" s="602"/>
      <c r="V72" s="602"/>
      <c r="W72" s="88"/>
      <c r="X72" s="88"/>
    </row>
    <row r="73" spans="1:24" ht="15" customHeight="1" x14ac:dyDescent="0.25">
      <c r="A73" s="29">
        <v>1075</v>
      </c>
      <c r="B73" s="29">
        <v>21.5</v>
      </c>
      <c r="C73" s="341">
        <f>Schwingungen!AB72</f>
        <v>0</v>
      </c>
      <c r="D73" s="107" t="e">
        <f>Schwingungen!$AA72</f>
        <v>#DIV/0!</v>
      </c>
      <c r="E73" s="34"/>
      <c r="F73" s="38"/>
      <c r="G73" s="38"/>
      <c r="H73" s="38"/>
      <c r="J73" s="602"/>
      <c r="K73" s="602"/>
      <c r="L73" s="602"/>
      <c r="M73" s="602"/>
      <c r="N73" s="602"/>
      <c r="O73" s="602"/>
      <c r="P73" s="602"/>
      <c r="Q73" s="602"/>
      <c r="R73" s="602"/>
      <c r="S73" s="602"/>
      <c r="T73" s="602"/>
      <c r="U73" s="602"/>
      <c r="V73" s="602"/>
      <c r="W73" s="88"/>
      <c r="X73" s="88"/>
    </row>
    <row r="74" spans="1:24" ht="15" customHeight="1" x14ac:dyDescent="0.25">
      <c r="A74" s="29">
        <v>1125</v>
      </c>
      <c r="B74" s="29">
        <v>22.5</v>
      </c>
      <c r="C74" s="341">
        <f>Schwingungen!AB73</f>
        <v>0</v>
      </c>
      <c r="D74" s="107" t="e">
        <f>Schwingungen!$AA73</f>
        <v>#DIV/0!</v>
      </c>
      <c r="E74" s="34"/>
      <c r="F74" s="38"/>
      <c r="G74" s="38"/>
      <c r="H74" s="38"/>
      <c r="J74" s="602"/>
      <c r="K74" s="602"/>
      <c r="L74" s="602"/>
      <c r="M74" s="602"/>
      <c r="N74" s="602"/>
      <c r="O74" s="602"/>
      <c r="P74" s="602"/>
      <c r="Q74" s="602"/>
      <c r="R74" s="602"/>
      <c r="S74" s="602"/>
      <c r="T74" s="602"/>
      <c r="U74" s="602"/>
      <c r="V74" s="602"/>
      <c r="W74" s="88"/>
      <c r="X74" s="88"/>
    </row>
    <row r="75" spans="1:24" ht="15" customHeight="1" x14ac:dyDescent="0.25">
      <c r="A75" s="29">
        <v>1175</v>
      </c>
      <c r="B75" s="29">
        <v>23.5</v>
      </c>
      <c r="C75" s="341">
        <f>Schwingungen!AB74</f>
        <v>0</v>
      </c>
      <c r="D75" s="107" t="e">
        <f>Schwingungen!$AA74</f>
        <v>#DIV/0!</v>
      </c>
      <c r="E75" s="34"/>
      <c r="F75" s="38"/>
      <c r="G75" s="38"/>
      <c r="H75" s="38"/>
      <c r="J75" s="602"/>
      <c r="K75" s="602"/>
      <c r="L75" s="602"/>
      <c r="M75" s="602"/>
      <c r="N75" s="602"/>
      <c r="O75" s="602"/>
      <c r="P75" s="602"/>
      <c r="Q75" s="602"/>
      <c r="R75" s="602"/>
      <c r="S75" s="602"/>
      <c r="T75" s="602"/>
      <c r="U75" s="602"/>
      <c r="V75" s="602"/>
      <c r="W75" s="88"/>
      <c r="X75" s="88"/>
    </row>
    <row r="76" spans="1:24" ht="15" customHeight="1" x14ac:dyDescent="0.25">
      <c r="A76" s="29">
        <v>1225</v>
      </c>
      <c r="B76" s="29">
        <v>24.5</v>
      </c>
      <c r="C76" s="341">
        <f>Schwingungen!AB75</f>
        <v>0</v>
      </c>
      <c r="D76" s="107" t="e">
        <f>Schwingungen!$AA75</f>
        <v>#DIV/0!</v>
      </c>
      <c r="E76" s="34"/>
      <c r="F76" s="38"/>
      <c r="G76" s="38"/>
      <c r="H76" s="38"/>
      <c r="J76" s="602"/>
      <c r="K76" s="602"/>
      <c r="L76" s="602"/>
      <c r="M76" s="602"/>
      <c r="N76" s="602"/>
      <c r="O76" s="602"/>
      <c r="P76" s="602"/>
      <c r="Q76" s="602"/>
      <c r="R76" s="602"/>
      <c r="S76" s="602"/>
      <c r="T76" s="602"/>
      <c r="U76" s="602"/>
      <c r="V76" s="602"/>
      <c r="W76" s="88"/>
      <c r="X76" s="88"/>
    </row>
    <row r="77" spans="1:24" ht="15" customHeight="1" x14ac:dyDescent="0.25">
      <c r="A77" s="29">
        <v>1275</v>
      </c>
      <c r="B77" s="29">
        <v>25.5</v>
      </c>
      <c r="C77" s="341">
        <f>Schwingungen!AB76</f>
        <v>0</v>
      </c>
      <c r="D77" s="107" t="e">
        <f>Schwingungen!$AA76</f>
        <v>#DIV/0!</v>
      </c>
      <c r="E77" s="34"/>
      <c r="F77" s="38"/>
      <c r="G77" s="38"/>
      <c r="H77" s="38"/>
      <c r="J77" s="602"/>
      <c r="K77" s="602"/>
      <c r="L77" s="602"/>
      <c r="M77" s="602"/>
      <c r="N77" s="602"/>
      <c r="O77" s="602"/>
      <c r="P77" s="602"/>
      <c r="Q77" s="602"/>
      <c r="R77" s="602"/>
      <c r="S77" s="602"/>
      <c r="T77" s="602"/>
      <c r="U77" s="602"/>
      <c r="V77" s="602"/>
      <c r="W77" s="88"/>
      <c r="X77" s="88"/>
    </row>
    <row r="78" spans="1:24" ht="15" customHeight="1" x14ac:dyDescent="0.25">
      <c r="A78" s="29">
        <v>1325</v>
      </c>
      <c r="B78" s="29">
        <v>26.5</v>
      </c>
      <c r="C78" s="341">
        <f>Schwingungen!AB77</f>
        <v>0</v>
      </c>
      <c r="D78" s="107" t="e">
        <f>Schwingungen!$AA77</f>
        <v>#DIV/0!</v>
      </c>
      <c r="E78" s="34"/>
      <c r="F78" s="38"/>
      <c r="G78" s="38"/>
      <c r="H78" s="38"/>
      <c r="J78" s="602"/>
      <c r="K78" s="602"/>
      <c r="L78" s="602"/>
      <c r="M78" s="602"/>
      <c r="N78" s="602"/>
      <c r="O78" s="602"/>
      <c r="P78" s="602"/>
      <c r="Q78" s="602"/>
      <c r="R78" s="602"/>
      <c r="S78" s="602"/>
      <c r="T78" s="602"/>
      <c r="U78" s="602"/>
      <c r="V78" s="602"/>
      <c r="W78" s="88"/>
      <c r="X78" s="88"/>
    </row>
    <row r="79" spans="1:24" ht="15" customHeight="1" x14ac:dyDescent="0.25">
      <c r="A79" s="29">
        <v>1375</v>
      </c>
      <c r="B79" s="29">
        <v>27.5</v>
      </c>
      <c r="C79" s="341">
        <f>Schwingungen!AB78</f>
        <v>0</v>
      </c>
      <c r="D79" s="107" t="e">
        <f>Schwingungen!$AA78</f>
        <v>#DIV/0!</v>
      </c>
      <c r="E79" s="34"/>
      <c r="F79" s="38"/>
      <c r="G79" s="38"/>
      <c r="H79" s="38"/>
      <c r="J79" s="602"/>
      <c r="K79" s="602"/>
      <c r="L79" s="602"/>
      <c r="M79" s="602"/>
      <c r="N79" s="602"/>
      <c r="O79" s="602"/>
      <c r="P79" s="602"/>
      <c r="Q79" s="602"/>
      <c r="R79" s="602"/>
      <c r="S79" s="602"/>
      <c r="T79" s="602"/>
      <c r="U79" s="602"/>
      <c r="V79" s="602"/>
      <c r="W79" s="88"/>
      <c r="X79" s="88"/>
    </row>
    <row r="80" spans="1:24" ht="15" customHeight="1" x14ac:dyDescent="0.25">
      <c r="A80" s="29">
        <v>1425</v>
      </c>
      <c r="B80" s="29">
        <v>28.5</v>
      </c>
      <c r="C80" s="341">
        <f>Schwingungen!AB79</f>
        <v>0</v>
      </c>
      <c r="D80" s="107" t="e">
        <f>Schwingungen!$AA79</f>
        <v>#DIV/0!</v>
      </c>
      <c r="E80" s="34"/>
      <c r="F80" s="38"/>
      <c r="G80" s="38"/>
      <c r="H80" s="38"/>
      <c r="J80" s="602"/>
      <c r="K80" s="602"/>
      <c r="L80" s="602"/>
      <c r="M80" s="602"/>
      <c r="N80" s="602"/>
      <c r="O80" s="602"/>
      <c r="P80" s="602"/>
      <c r="Q80" s="602"/>
      <c r="R80" s="602"/>
      <c r="S80" s="602"/>
      <c r="T80" s="602"/>
      <c r="U80" s="602"/>
      <c r="V80" s="602"/>
      <c r="W80" s="88"/>
      <c r="X80" s="88"/>
    </row>
    <row r="81" spans="1:24" ht="15" customHeight="1" x14ac:dyDescent="0.25">
      <c r="A81" s="29">
        <v>1475</v>
      </c>
      <c r="B81" s="29">
        <v>29.5</v>
      </c>
      <c r="C81" s="341">
        <f>Schwingungen!AB80</f>
        <v>0</v>
      </c>
      <c r="D81" s="107" t="e">
        <f>Schwingungen!$AA80</f>
        <v>#DIV/0!</v>
      </c>
      <c r="E81" s="34"/>
      <c r="F81" s="38"/>
      <c r="G81" s="38"/>
      <c r="H81" s="38"/>
      <c r="J81" s="602"/>
      <c r="K81" s="602"/>
      <c r="L81" s="602"/>
      <c r="M81" s="602"/>
      <c r="N81" s="602"/>
      <c r="O81" s="602"/>
      <c r="P81" s="602"/>
      <c r="Q81" s="602"/>
      <c r="R81" s="602"/>
      <c r="S81" s="602"/>
      <c r="T81" s="602"/>
      <c r="U81" s="602"/>
      <c r="V81" s="602"/>
      <c r="W81" s="88"/>
      <c r="X81" s="88"/>
    </row>
    <row r="82" spans="1:24" ht="15" customHeight="1" x14ac:dyDescent="0.25">
      <c r="A82" s="29">
        <v>1525</v>
      </c>
      <c r="B82" s="29">
        <v>30.5</v>
      </c>
      <c r="C82" s="341">
        <f>Schwingungen!AB81</f>
        <v>0</v>
      </c>
      <c r="D82" s="107" t="e">
        <f>Schwingungen!$AA81</f>
        <v>#DIV/0!</v>
      </c>
      <c r="E82" s="34"/>
      <c r="F82" s="38"/>
      <c r="G82" s="38"/>
      <c r="H82" s="38"/>
      <c r="J82" s="602"/>
      <c r="K82" s="602"/>
      <c r="L82" s="602"/>
      <c r="M82" s="602"/>
      <c r="N82" s="602"/>
      <c r="O82" s="602"/>
      <c r="P82" s="602"/>
      <c r="Q82" s="602"/>
      <c r="R82" s="602"/>
      <c r="S82" s="602"/>
      <c r="T82" s="602"/>
      <c r="U82" s="602"/>
      <c r="V82" s="602"/>
      <c r="W82" s="88"/>
      <c r="X82" s="88"/>
    </row>
    <row r="83" spans="1:24" ht="15" customHeight="1" x14ac:dyDescent="0.25">
      <c r="A83" s="29">
        <v>1575</v>
      </c>
      <c r="B83" s="29">
        <v>31.5</v>
      </c>
      <c r="C83" s="341">
        <f>Schwingungen!AB82</f>
        <v>0</v>
      </c>
      <c r="D83" s="107" t="e">
        <f>Schwingungen!$AA82</f>
        <v>#DIV/0!</v>
      </c>
      <c r="E83" s="34"/>
      <c r="F83" s="38"/>
      <c r="G83" s="38"/>
      <c r="H83" s="38"/>
      <c r="J83" s="602"/>
      <c r="K83" s="602"/>
      <c r="L83" s="602"/>
      <c r="M83" s="602"/>
      <c r="N83" s="602"/>
      <c r="O83" s="602"/>
      <c r="P83" s="602"/>
      <c r="Q83" s="602"/>
      <c r="R83" s="602"/>
      <c r="S83" s="602"/>
      <c r="T83" s="602"/>
      <c r="U83" s="602"/>
      <c r="V83" s="602"/>
      <c r="W83" s="88"/>
      <c r="X83" s="88"/>
    </row>
    <row r="84" spans="1:24" ht="15" customHeight="1" x14ac:dyDescent="0.25">
      <c r="A84" s="29">
        <v>1625</v>
      </c>
      <c r="B84" s="29">
        <v>32.5</v>
      </c>
      <c r="C84" s="341">
        <f>Schwingungen!AB83</f>
        <v>0</v>
      </c>
      <c r="D84" s="107" t="e">
        <f>Schwingungen!$AA83</f>
        <v>#DIV/0!</v>
      </c>
      <c r="E84" s="34"/>
      <c r="F84" s="38"/>
      <c r="G84" s="38"/>
      <c r="H84" s="38"/>
      <c r="J84" s="602"/>
      <c r="K84" s="602"/>
      <c r="L84" s="602"/>
      <c r="M84" s="602"/>
      <c r="N84" s="602"/>
      <c r="O84" s="602"/>
      <c r="P84" s="602"/>
      <c r="Q84" s="602"/>
      <c r="R84" s="602"/>
      <c r="S84" s="602"/>
      <c r="T84" s="602"/>
      <c r="U84" s="602"/>
      <c r="V84" s="602"/>
      <c r="W84" s="88"/>
      <c r="X84" s="88"/>
    </row>
    <row r="85" spans="1:24" ht="15" customHeight="1" x14ac:dyDescent="0.25">
      <c r="A85" s="29">
        <v>1675</v>
      </c>
      <c r="B85" s="29">
        <v>33.5</v>
      </c>
      <c r="C85" s="341">
        <f>Schwingungen!AB84</f>
        <v>0</v>
      </c>
      <c r="D85" s="107" t="e">
        <f>Schwingungen!$AA84</f>
        <v>#DIV/0!</v>
      </c>
      <c r="E85" s="34"/>
      <c r="F85" s="38"/>
      <c r="G85" s="38"/>
      <c r="H85" s="38"/>
      <c r="J85" s="602"/>
      <c r="K85" s="602"/>
      <c r="L85" s="602"/>
      <c r="M85" s="602"/>
      <c r="N85" s="602"/>
      <c r="O85" s="602"/>
      <c r="P85" s="602"/>
      <c r="Q85" s="602"/>
      <c r="R85" s="602"/>
      <c r="S85" s="602"/>
      <c r="T85" s="602"/>
      <c r="U85" s="602"/>
      <c r="V85" s="602"/>
      <c r="W85" s="88"/>
      <c r="X85" s="88"/>
    </row>
    <row r="86" spans="1:24" ht="15" customHeight="1" x14ac:dyDescent="0.25">
      <c r="A86" s="29">
        <v>1725</v>
      </c>
      <c r="B86" s="29">
        <v>34.5</v>
      </c>
      <c r="C86" s="341">
        <f>Schwingungen!AB85</f>
        <v>0</v>
      </c>
      <c r="D86" s="107" t="e">
        <f>Schwingungen!$AA85</f>
        <v>#DIV/0!</v>
      </c>
      <c r="E86" s="34"/>
      <c r="F86" s="38"/>
      <c r="G86" s="38"/>
      <c r="H86" s="38"/>
      <c r="J86" s="602"/>
      <c r="K86" s="602"/>
      <c r="L86" s="602"/>
      <c r="M86" s="602"/>
      <c r="N86" s="602"/>
      <c r="O86" s="602"/>
      <c r="P86" s="602"/>
      <c r="Q86" s="602"/>
      <c r="R86" s="602"/>
      <c r="S86" s="602"/>
      <c r="T86" s="602"/>
      <c r="U86" s="602"/>
      <c r="V86" s="602"/>
      <c r="W86" s="88"/>
      <c r="X86" s="88"/>
    </row>
    <row r="87" spans="1:24" ht="15" customHeight="1" x14ac:dyDescent="0.25">
      <c r="A87" s="29">
        <v>1775</v>
      </c>
      <c r="B87" s="29">
        <v>35.5</v>
      </c>
      <c r="C87" s="341">
        <f>Schwingungen!AB86</f>
        <v>0</v>
      </c>
      <c r="D87" s="107" t="e">
        <f>Schwingungen!$AA86</f>
        <v>#DIV/0!</v>
      </c>
      <c r="E87" s="34"/>
      <c r="F87" s="38"/>
      <c r="G87" s="38"/>
      <c r="H87" s="38"/>
      <c r="J87" s="602"/>
      <c r="K87" s="602"/>
      <c r="L87" s="602"/>
      <c r="M87" s="602"/>
      <c r="N87" s="602"/>
      <c r="O87" s="602"/>
      <c r="P87" s="602"/>
      <c r="Q87" s="602"/>
      <c r="R87" s="602"/>
      <c r="S87" s="602"/>
      <c r="T87" s="602"/>
      <c r="U87" s="602"/>
      <c r="V87" s="602"/>
      <c r="W87" s="88"/>
      <c r="X87" s="88"/>
    </row>
    <row r="88" spans="1:24" ht="15" customHeight="1" x14ac:dyDescent="0.25">
      <c r="A88" s="29">
        <v>1825</v>
      </c>
      <c r="B88" s="29">
        <v>36.5</v>
      </c>
      <c r="C88" s="341">
        <f>Schwingungen!AB87</f>
        <v>0</v>
      </c>
      <c r="D88" s="107" t="e">
        <f>Schwingungen!$AA87</f>
        <v>#DIV/0!</v>
      </c>
      <c r="E88" s="34"/>
      <c r="F88" s="38"/>
      <c r="G88" s="38"/>
      <c r="H88" s="38"/>
      <c r="J88" s="602"/>
      <c r="K88" s="602"/>
      <c r="L88" s="602"/>
      <c r="M88" s="602"/>
      <c r="N88" s="602"/>
      <c r="O88" s="602"/>
      <c r="P88" s="602"/>
      <c r="Q88" s="602"/>
      <c r="R88" s="602"/>
      <c r="S88" s="602"/>
      <c r="T88" s="602"/>
      <c r="U88" s="602"/>
      <c r="V88" s="602"/>
      <c r="W88" s="88"/>
      <c r="X88" s="88"/>
    </row>
    <row r="89" spans="1:24" ht="15" customHeight="1" x14ac:dyDescent="0.25">
      <c r="A89" s="29">
        <v>1875</v>
      </c>
      <c r="B89" s="29">
        <v>37.5</v>
      </c>
      <c r="C89" s="341">
        <f>Schwingungen!AB88</f>
        <v>0</v>
      </c>
      <c r="D89" s="107" t="e">
        <f>Schwingungen!$AA88</f>
        <v>#DIV/0!</v>
      </c>
      <c r="E89" s="34"/>
      <c r="F89" s="38"/>
      <c r="G89" s="38"/>
      <c r="H89" s="38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88"/>
      <c r="X89" s="88"/>
    </row>
    <row r="90" spans="1:24" ht="15" customHeight="1" x14ac:dyDescent="0.25">
      <c r="A90" s="29">
        <v>1925</v>
      </c>
      <c r="B90" s="29">
        <v>38.5</v>
      </c>
      <c r="C90" s="341">
        <f>Schwingungen!AB89</f>
        <v>0</v>
      </c>
      <c r="D90" s="107" t="e">
        <f>Schwingungen!$AA89</f>
        <v>#DIV/0!</v>
      </c>
      <c r="E90" s="34"/>
      <c r="F90" s="38"/>
      <c r="G90" s="38"/>
      <c r="H90" s="38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88"/>
      <c r="X90" s="88"/>
    </row>
    <row r="91" spans="1:24" ht="15" customHeight="1" x14ac:dyDescent="0.25">
      <c r="A91" s="35">
        <v>1975</v>
      </c>
      <c r="B91" s="29">
        <v>39.5</v>
      </c>
      <c r="C91" s="341">
        <f>Schwingungen!AB90</f>
        <v>0</v>
      </c>
      <c r="D91" s="107" t="e">
        <f>Schwingungen!$AA90</f>
        <v>#DIV/0!</v>
      </c>
      <c r="E91" s="34"/>
      <c r="F91" s="38"/>
      <c r="G91" s="38"/>
      <c r="H91" s="38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88"/>
      <c r="X91" s="88"/>
    </row>
    <row r="92" spans="1:24" ht="15" customHeight="1" x14ac:dyDescent="0.25">
      <c r="A92" s="29">
        <v>2.1</v>
      </c>
      <c r="B92" s="29">
        <v>42</v>
      </c>
      <c r="C92" s="341" t="e">
        <f>IF(D92&lt;&gt;"-",Schwingungen!AB91,"-")</f>
        <v>#DIV/0!</v>
      </c>
      <c r="D92" s="29" t="e">
        <f>Schwingungen!$AA91</f>
        <v>#DIV/0!</v>
      </c>
      <c r="E92" s="34"/>
      <c r="F92" s="38"/>
      <c r="G92" s="38"/>
      <c r="H92" s="38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88"/>
      <c r="X92" s="88"/>
    </row>
    <row r="93" spans="1:24" ht="15" customHeight="1" x14ac:dyDescent="0.25">
      <c r="A93" s="29">
        <v>2.2999999999999998</v>
      </c>
      <c r="B93" s="29">
        <v>46</v>
      </c>
      <c r="C93" s="341" t="e">
        <f>IF(D93&lt;&gt;"-",Schwingungen!AB92,"-")</f>
        <v>#DIV/0!</v>
      </c>
      <c r="D93" s="29" t="e">
        <f>Schwingungen!$AA92</f>
        <v>#DIV/0!</v>
      </c>
      <c r="E93" s="34"/>
      <c r="F93" s="38"/>
      <c r="G93" s="38"/>
      <c r="H93" s="38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88"/>
      <c r="X93" s="88"/>
    </row>
    <row r="94" spans="1:24" ht="15" customHeight="1" x14ac:dyDescent="0.25">
      <c r="A94" s="29">
        <v>2.5</v>
      </c>
      <c r="B94" s="29">
        <v>50</v>
      </c>
      <c r="C94" s="341" t="e">
        <f>IF(D94&lt;&gt;"-",Schwingungen!AB93,"-")</f>
        <v>#DIV/0!</v>
      </c>
      <c r="D94" s="29" t="e">
        <f>Schwingungen!$AA93</f>
        <v>#DIV/0!</v>
      </c>
      <c r="E94" s="34"/>
      <c r="F94" s="38"/>
      <c r="G94" s="38"/>
      <c r="H94" s="38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88"/>
      <c r="X94" s="88"/>
    </row>
    <row r="95" spans="1:24" ht="15" customHeight="1" x14ac:dyDescent="0.25">
      <c r="A95" s="29">
        <v>2.7</v>
      </c>
      <c r="B95" s="29">
        <v>54</v>
      </c>
      <c r="C95" s="341" t="e">
        <f>IF(D95&lt;&gt;"-",Schwingungen!AB94,"-")</f>
        <v>#DIV/0!</v>
      </c>
      <c r="D95" s="29" t="e">
        <f>Schwingungen!$AA94</f>
        <v>#DIV/0!</v>
      </c>
      <c r="E95" s="34"/>
      <c r="F95" s="38"/>
      <c r="G95" s="38"/>
      <c r="H95" s="38"/>
      <c r="J95" s="602"/>
      <c r="K95" s="602"/>
      <c r="L95" s="602"/>
      <c r="M95" s="602"/>
      <c r="N95" s="602"/>
      <c r="O95" s="602"/>
      <c r="P95" s="602"/>
      <c r="Q95" s="602"/>
      <c r="R95" s="602"/>
      <c r="S95" s="602"/>
      <c r="T95" s="602"/>
      <c r="U95" s="602"/>
      <c r="V95" s="602"/>
      <c r="W95" s="88"/>
      <c r="X95" s="88"/>
    </row>
    <row r="96" spans="1:24" ht="15" customHeight="1" x14ac:dyDescent="0.25">
      <c r="A96" s="29">
        <v>2.9</v>
      </c>
      <c r="B96" s="29">
        <v>58</v>
      </c>
      <c r="C96" s="341" t="e">
        <f>IF(D96&lt;&gt;"-",Schwingungen!AB95,"-")</f>
        <v>#DIV/0!</v>
      </c>
      <c r="D96" s="29" t="e">
        <f>Schwingungen!$AA95</f>
        <v>#DIV/0!</v>
      </c>
      <c r="E96" s="34"/>
      <c r="F96" s="38"/>
      <c r="G96" s="38"/>
      <c r="H96" s="38"/>
      <c r="J96" s="602"/>
      <c r="K96" s="602"/>
      <c r="L96" s="602"/>
      <c r="M96" s="602"/>
      <c r="N96" s="602"/>
      <c r="O96" s="602"/>
      <c r="P96" s="602"/>
      <c r="Q96" s="602"/>
      <c r="R96" s="602"/>
      <c r="S96" s="602"/>
      <c r="T96" s="602"/>
      <c r="U96" s="602"/>
      <c r="V96" s="602"/>
      <c r="W96" s="88"/>
      <c r="X96" s="88"/>
    </row>
    <row r="97" spans="1:24" ht="15" customHeight="1" x14ac:dyDescent="0.25">
      <c r="A97" s="29">
        <v>3.1</v>
      </c>
      <c r="B97" s="29">
        <v>62</v>
      </c>
      <c r="C97" s="341" t="e">
        <f>IF(D97&lt;&gt;"-",Schwingungen!AB96,"-")</f>
        <v>#DIV/0!</v>
      </c>
      <c r="D97" s="29" t="e">
        <f>Schwingungen!$AA96</f>
        <v>#DIV/0!</v>
      </c>
      <c r="E97" s="34"/>
      <c r="F97" s="38"/>
      <c r="G97" s="38"/>
      <c r="H97" s="38"/>
      <c r="J97" s="602"/>
      <c r="K97" s="602"/>
      <c r="L97" s="602"/>
      <c r="M97" s="602"/>
      <c r="N97" s="602"/>
      <c r="O97" s="602"/>
      <c r="P97" s="602"/>
      <c r="Q97" s="602"/>
      <c r="R97" s="602"/>
      <c r="S97" s="602"/>
      <c r="T97" s="602"/>
      <c r="U97" s="602"/>
      <c r="V97" s="602"/>
      <c r="W97" s="88"/>
      <c r="X97" s="88"/>
    </row>
    <row r="98" spans="1:24" ht="15" customHeight="1" x14ac:dyDescent="0.25">
      <c r="A98" s="29">
        <v>3.3</v>
      </c>
      <c r="B98" s="29">
        <v>66</v>
      </c>
      <c r="C98" s="341" t="e">
        <f>IF(D98&lt;&gt;"-",Schwingungen!AB97,"-")</f>
        <v>#DIV/0!</v>
      </c>
      <c r="D98" s="29" t="e">
        <f>Schwingungen!$AA97</f>
        <v>#DIV/0!</v>
      </c>
      <c r="E98" s="34"/>
      <c r="F98" s="38"/>
      <c r="G98" s="38"/>
      <c r="H98" s="38"/>
      <c r="J98" s="602"/>
      <c r="K98" s="602"/>
      <c r="L98" s="602"/>
      <c r="M98" s="602"/>
      <c r="N98" s="602"/>
      <c r="O98" s="602"/>
      <c r="P98" s="602"/>
      <c r="Q98" s="602"/>
      <c r="R98" s="602"/>
      <c r="S98" s="602"/>
      <c r="T98" s="602"/>
      <c r="U98" s="602"/>
      <c r="V98" s="602"/>
      <c r="W98" s="88"/>
      <c r="X98" s="88"/>
    </row>
    <row r="99" spans="1:24" ht="15" customHeight="1" x14ac:dyDescent="0.25">
      <c r="A99" s="29">
        <v>3.5</v>
      </c>
      <c r="B99" s="29">
        <v>70</v>
      </c>
      <c r="C99" s="341" t="e">
        <f>IF(D99&lt;&gt;"-",Schwingungen!AB98,"-")</f>
        <v>#DIV/0!</v>
      </c>
      <c r="D99" s="29" t="e">
        <f>Schwingungen!$AA98</f>
        <v>#DIV/0!</v>
      </c>
      <c r="E99" s="34"/>
      <c r="F99" s="38"/>
      <c r="G99" s="38"/>
      <c r="H99" s="38"/>
      <c r="J99" s="602"/>
      <c r="K99" s="602"/>
      <c r="L99" s="602"/>
      <c r="M99" s="602"/>
      <c r="N99" s="602"/>
      <c r="O99" s="602"/>
      <c r="P99" s="602"/>
      <c r="Q99" s="602"/>
      <c r="R99" s="602"/>
      <c r="S99" s="602"/>
      <c r="T99" s="602"/>
      <c r="U99" s="602"/>
      <c r="V99" s="602"/>
      <c r="W99" s="88"/>
      <c r="X99" s="88"/>
    </row>
    <row r="100" spans="1:24" ht="15" customHeight="1" x14ac:dyDescent="0.25">
      <c r="A100" s="29">
        <v>3.7</v>
      </c>
      <c r="B100" s="29">
        <v>74</v>
      </c>
      <c r="C100" s="341" t="e">
        <f>IF(D100&lt;&gt;"-",Schwingungen!AB99,"-")</f>
        <v>#DIV/0!</v>
      </c>
      <c r="D100" s="29" t="e">
        <f>Schwingungen!$AA99</f>
        <v>#DIV/0!</v>
      </c>
      <c r="E100" s="34"/>
      <c r="F100" s="38"/>
      <c r="G100" s="38"/>
      <c r="H100" s="38"/>
      <c r="J100" s="602"/>
      <c r="K100" s="602"/>
      <c r="L100" s="602"/>
      <c r="M100" s="602"/>
      <c r="N100" s="602"/>
      <c r="O100" s="602"/>
      <c r="P100" s="602"/>
      <c r="Q100" s="602"/>
      <c r="R100" s="602"/>
      <c r="S100" s="602"/>
      <c r="T100" s="602"/>
      <c r="U100" s="602"/>
      <c r="V100" s="602"/>
      <c r="W100" s="88"/>
      <c r="X100" s="88"/>
    </row>
    <row r="101" spans="1:24" ht="15" customHeight="1" x14ac:dyDescent="0.25">
      <c r="A101" s="29">
        <v>3.9</v>
      </c>
      <c r="B101" s="29">
        <v>78</v>
      </c>
      <c r="C101" s="341" t="e">
        <f>IF(D101&lt;&gt;"-",Schwingungen!AB100,"-")</f>
        <v>#DIV/0!</v>
      </c>
      <c r="D101" s="29" t="e">
        <f>Schwingungen!$AA100</f>
        <v>#DIV/0!</v>
      </c>
      <c r="E101" s="34"/>
      <c r="F101" s="38"/>
      <c r="G101" s="38"/>
      <c r="H101" s="38"/>
      <c r="J101" s="602"/>
      <c r="K101" s="602"/>
      <c r="L101" s="602"/>
      <c r="M101" s="602"/>
      <c r="N101" s="602"/>
      <c r="O101" s="602"/>
      <c r="P101" s="602"/>
      <c r="Q101" s="602"/>
      <c r="R101" s="602"/>
      <c r="S101" s="602"/>
      <c r="T101" s="602"/>
      <c r="U101" s="602"/>
      <c r="V101" s="602"/>
      <c r="W101" s="88"/>
      <c r="X101" s="88"/>
    </row>
    <row r="102" spans="1:24" ht="15" customHeight="1" x14ac:dyDescent="0.25">
      <c r="A102" s="29">
        <v>4.0999999999999996</v>
      </c>
      <c r="B102" s="29">
        <v>82</v>
      </c>
      <c r="C102" s="341" t="e">
        <f>IF(D102&lt;&gt;"-",Schwingungen!AB101,"-")</f>
        <v>#DIV/0!</v>
      </c>
      <c r="D102" s="29" t="e">
        <f>Schwingungen!$AA101</f>
        <v>#DIV/0!</v>
      </c>
      <c r="E102" s="34"/>
      <c r="F102" s="38"/>
      <c r="G102" s="38"/>
      <c r="H102" s="38"/>
      <c r="J102" s="602"/>
      <c r="K102" s="602"/>
      <c r="L102" s="602"/>
      <c r="M102" s="602"/>
      <c r="N102" s="602"/>
      <c r="O102" s="602"/>
      <c r="P102" s="602"/>
      <c r="Q102" s="602"/>
      <c r="R102" s="602"/>
      <c r="S102" s="602"/>
      <c r="T102" s="602"/>
      <c r="U102" s="602"/>
      <c r="V102" s="602"/>
      <c r="W102" s="88"/>
      <c r="X102" s="88"/>
    </row>
    <row r="103" spans="1:24" ht="15" customHeight="1" x14ac:dyDescent="0.25">
      <c r="A103" s="29">
        <v>4.3</v>
      </c>
      <c r="B103" s="29">
        <v>86</v>
      </c>
      <c r="C103" s="341" t="e">
        <f>IF(D103&lt;&gt;"-",Schwingungen!AB102,"-")</f>
        <v>#DIV/0!</v>
      </c>
      <c r="D103" s="29" t="e">
        <f>Schwingungen!$AA102</f>
        <v>#DIV/0!</v>
      </c>
      <c r="E103" s="34"/>
      <c r="F103" s="38"/>
      <c r="G103" s="38"/>
      <c r="H103" s="38"/>
      <c r="J103" s="602"/>
      <c r="K103" s="602"/>
      <c r="L103" s="602"/>
      <c r="M103" s="602"/>
      <c r="N103" s="602"/>
      <c r="O103" s="602"/>
      <c r="P103" s="602"/>
      <c r="Q103" s="602"/>
      <c r="R103" s="602"/>
      <c r="S103" s="602"/>
      <c r="T103" s="602"/>
      <c r="U103" s="602"/>
      <c r="V103" s="602"/>
      <c r="W103" s="88"/>
      <c r="X103" s="88"/>
    </row>
    <row r="104" spans="1:24" ht="15" customHeight="1" x14ac:dyDescent="0.25">
      <c r="A104" s="29">
        <v>4.5</v>
      </c>
      <c r="B104" s="29">
        <v>90</v>
      </c>
      <c r="C104" s="341" t="e">
        <f>IF(D104&lt;&gt;"-",Schwingungen!AB103,"-")</f>
        <v>#DIV/0!</v>
      </c>
      <c r="D104" s="29" t="e">
        <f>Schwingungen!$AA103</f>
        <v>#DIV/0!</v>
      </c>
      <c r="E104" s="34"/>
      <c r="F104" s="38"/>
      <c r="G104" s="38"/>
      <c r="H104" s="38"/>
      <c r="J104" s="602"/>
      <c r="K104" s="602"/>
      <c r="L104" s="602"/>
      <c r="M104" s="602"/>
      <c r="N104" s="602"/>
      <c r="O104" s="602"/>
      <c r="P104" s="602"/>
      <c r="Q104" s="602"/>
      <c r="R104" s="602"/>
      <c r="S104" s="602"/>
      <c r="T104" s="602"/>
      <c r="U104" s="602"/>
      <c r="V104" s="602"/>
      <c r="W104" s="88"/>
      <c r="X104" s="88"/>
    </row>
    <row r="105" spans="1:24" ht="15" customHeight="1" x14ac:dyDescent="0.25">
      <c r="A105" s="29">
        <v>4.7</v>
      </c>
      <c r="B105" s="29">
        <v>94</v>
      </c>
      <c r="C105" s="341" t="e">
        <f>IF(D105&lt;&gt;"-",Schwingungen!AB104,"-")</f>
        <v>#DIV/0!</v>
      </c>
      <c r="D105" s="29" t="e">
        <f>Schwingungen!$AA104</f>
        <v>#DIV/0!</v>
      </c>
      <c r="E105" s="34"/>
      <c r="F105" s="38"/>
      <c r="G105" s="38"/>
      <c r="H105" s="38"/>
      <c r="J105" s="602"/>
      <c r="K105" s="602"/>
      <c r="L105" s="602"/>
      <c r="M105" s="602"/>
      <c r="N105" s="602"/>
      <c r="O105" s="602"/>
      <c r="P105" s="602"/>
      <c r="Q105" s="602"/>
      <c r="R105" s="602"/>
      <c r="S105" s="602"/>
      <c r="T105" s="602"/>
      <c r="U105" s="602"/>
      <c r="V105" s="602"/>
      <c r="W105" s="88"/>
      <c r="X105" s="88"/>
    </row>
    <row r="106" spans="1:24" ht="15" customHeight="1" x14ac:dyDescent="0.25">
      <c r="A106" s="29">
        <v>4.9000000000000004</v>
      </c>
      <c r="B106" s="29">
        <v>98</v>
      </c>
      <c r="C106" s="341" t="e">
        <f>IF(D106&lt;&gt;"-",Schwingungen!AB105,"-")</f>
        <v>#DIV/0!</v>
      </c>
      <c r="D106" s="29" t="e">
        <f>Schwingungen!$AA105</f>
        <v>#DIV/0!</v>
      </c>
      <c r="E106" s="34"/>
      <c r="F106" s="38"/>
      <c r="G106" s="38"/>
      <c r="H106" s="38"/>
      <c r="J106" s="602"/>
      <c r="K106" s="602"/>
      <c r="L106" s="602"/>
      <c r="M106" s="602"/>
      <c r="N106" s="602"/>
      <c r="O106" s="602"/>
      <c r="P106" s="602"/>
      <c r="Q106" s="602"/>
      <c r="R106" s="602"/>
      <c r="S106" s="602"/>
      <c r="T106" s="602"/>
      <c r="U106" s="602"/>
      <c r="V106" s="602"/>
      <c r="W106" s="88"/>
      <c r="X106" s="88"/>
    </row>
    <row r="107" spans="1:24" ht="15" customHeight="1" x14ac:dyDescent="0.25">
      <c r="A107" s="29">
        <v>5.0999999999999996</v>
      </c>
      <c r="B107" s="29">
        <v>102</v>
      </c>
      <c r="C107" s="341" t="e">
        <f>IF(D107&lt;&gt;"-",Schwingungen!AB106,"-")</f>
        <v>#DIV/0!</v>
      </c>
      <c r="D107" s="29" t="e">
        <f>Schwingungen!$AA106</f>
        <v>#DIV/0!</v>
      </c>
      <c r="E107" s="34"/>
      <c r="F107" s="38"/>
      <c r="G107" s="38"/>
      <c r="H107" s="38"/>
      <c r="J107" s="602"/>
      <c r="K107" s="602"/>
      <c r="L107" s="602"/>
      <c r="M107" s="602"/>
      <c r="N107" s="602"/>
      <c r="O107" s="602"/>
      <c r="P107" s="602"/>
      <c r="Q107" s="602"/>
      <c r="R107" s="602"/>
      <c r="S107" s="602"/>
      <c r="T107" s="602"/>
      <c r="U107" s="602"/>
      <c r="V107" s="602"/>
      <c r="W107" s="88"/>
      <c r="X107" s="88"/>
    </row>
    <row r="108" spans="1:24" ht="15" customHeight="1" x14ac:dyDescent="0.25">
      <c r="A108" s="29">
        <v>5.3</v>
      </c>
      <c r="B108" s="29">
        <v>106</v>
      </c>
      <c r="C108" s="341" t="e">
        <f>IF(D108&lt;&gt;"-",Schwingungen!AB107,"-")</f>
        <v>#DIV/0!</v>
      </c>
      <c r="D108" s="29" t="e">
        <f>Schwingungen!$AA107</f>
        <v>#DIV/0!</v>
      </c>
      <c r="E108" s="34"/>
      <c r="F108" s="38"/>
      <c r="G108" s="38"/>
      <c r="H108" s="38"/>
      <c r="J108" s="602"/>
      <c r="K108" s="602"/>
      <c r="L108" s="602"/>
      <c r="M108" s="602"/>
      <c r="N108" s="602"/>
      <c r="O108" s="602"/>
      <c r="P108" s="602"/>
      <c r="Q108" s="602"/>
      <c r="R108" s="602"/>
      <c r="S108" s="602"/>
      <c r="T108" s="602"/>
      <c r="U108" s="602"/>
      <c r="V108" s="602"/>
      <c r="W108" s="88"/>
      <c r="X108" s="88"/>
    </row>
    <row r="109" spans="1:24" ht="15" customHeight="1" x14ac:dyDescent="0.25">
      <c r="A109" s="29">
        <v>5.5</v>
      </c>
      <c r="B109" s="29">
        <v>110</v>
      </c>
      <c r="C109" s="341" t="e">
        <f>IF(D109&lt;&gt;"-",Schwingungen!AB108,"-")</f>
        <v>#DIV/0!</v>
      </c>
      <c r="D109" s="29" t="e">
        <f>Schwingungen!$AA108</f>
        <v>#DIV/0!</v>
      </c>
      <c r="E109" s="34"/>
      <c r="F109" s="38"/>
      <c r="G109" s="38"/>
      <c r="H109" s="38"/>
      <c r="J109" s="602"/>
      <c r="K109" s="602"/>
      <c r="L109" s="602"/>
      <c r="M109" s="602"/>
      <c r="N109" s="602"/>
      <c r="O109" s="602"/>
      <c r="P109" s="602"/>
      <c r="Q109" s="602"/>
      <c r="R109" s="602"/>
      <c r="S109" s="602"/>
      <c r="T109" s="602"/>
      <c r="U109" s="602"/>
      <c r="V109" s="602"/>
      <c r="W109" s="88"/>
      <c r="X109" s="88"/>
    </row>
    <row r="110" spans="1:24" ht="15" customHeight="1" x14ac:dyDescent="0.25">
      <c r="A110" s="29">
        <v>5.7</v>
      </c>
      <c r="B110" s="29">
        <v>114</v>
      </c>
      <c r="C110" s="341" t="e">
        <f>IF(D110&lt;&gt;"-",Schwingungen!AB109,"-")</f>
        <v>#DIV/0!</v>
      </c>
      <c r="D110" s="29" t="e">
        <f>Schwingungen!$AA109</f>
        <v>#DIV/0!</v>
      </c>
      <c r="E110" s="34"/>
      <c r="F110" s="38"/>
      <c r="G110" s="38"/>
      <c r="H110" s="38"/>
      <c r="J110" s="602"/>
      <c r="K110" s="602"/>
      <c r="L110" s="602"/>
      <c r="M110" s="602"/>
      <c r="N110" s="602"/>
      <c r="O110" s="602"/>
      <c r="P110" s="602"/>
      <c r="Q110" s="602"/>
      <c r="R110" s="602"/>
      <c r="S110" s="602"/>
      <c r="T110" s="602"/>
      <c r="U110" s="602"/>
      <c r="V110" s="602"/>
      <c r="W110" s="88"/>
      <c r="X110" s="88"/>
    </row>
    <row r="111" spans="1:24" ht="15" customHeight="1" x14ac:dyDescent="0.25">
      <c r="A111" s="29">
        <v>5.9</v>
      </c>
      <c r="B111" s="29">
        <v>118</v>
      </c>
      <c r="C111" s="341" t="e">
        <f>IF(D111&lt;&gt;"-",Schwingungen!AB110,"-")</f>
        <v>#DIV/0!</v>
      </c>
      <c r="D111" s="29" t="e">
        <f>Schwingungen!$AA110</f>
        <v>#DIV/0!</v>
      </c>
      <c r="E111" s="34"/>
      <c r="F111" s="38"/>
      <c r="G111" s="38"/>
      <c r="H111" s="38"/>
      <c r="J111" s="602"/>
      <c r="K111" s="602"/>
      <c r="L111" s="602"/>
      <c r="M111" s="602"/>
      <c r="N111" s="602"/>
      <c r="O111" s="602"/>
      <c r="P111" s="602"/>
      <c r="Q111" s="602"/>
      <c r="R111" s="602"/>
      <c r="S111" s="602"/>
      <c r="T111" s="602"/>
      <c r="U111" s="602"/>
      <c r="V111" s="602"/>
      <c r="W111" s="88"/>
      <c r="X111" s="88"/>
    </row>
    <row r="112" spans="1:24" ht="15" customHeight="1" x14ac:dyDescent="0.25">
      <c r="A112" s="29">
        <v>6.1</v>
      </c>
      <c r="B112" s="29">
        <v>122</v>
      </c>
      <c r="C112" s="341" t="e">
        <f>IF(D112&lt;&gt;"-",Schwingungen!AB111,"-")</f>
        <v>#DIV/0!</v>
      </c>
      <c r="D112" s="29" t="e">
        <f>Schwingungen!$AA111</f>
        <v>#DIV/0!</v>
      </c>
      <c r="E112" s="34"/>
      <c r="F112" s="38"/>
      <c r="G112" s="38"/>
      <c r="H112" s="38"/>
      <c r="J112" s="602"/>
      <c r="K112" s="602"/>
      <c r="L112" s="602"/>
      <c r="M112" s="602"/>
      <c r="N112" s="602"/>
      <c r="O112" s="602"/>
      <c r="P112" s="602"/>
      <c r="Q112" s="602"/>
      <c r="R112" s="602"/>
      <c r="S112" s="602"/>
      <c r="T112" s="602"/>
      <c r="U112" s="602"/>
      <c r="V112" s="602"/>
      <c r="W112" s="88"/>
      <c r="X112" s="88"/>
    </row>
    <row r="113" spans="1:24" ht="15" customHeight="1" x14ac:dyDescent="0.25">
      <c r="A113" s="29">
        <v>6.3</v>
      </c>
      <c r="B113" s="29">
        <v>126</v>
      </c>
      <c r="C113" s="341" t="e">
        <f>IF(D113&lt;&gt;"-",Schwingungen!AB112,"-")</f>
        <v>#DIV/0!</v>
      </c>
      <c r="D113" s="29" t="e">
        <f>Schwingungen!$AA112</f>
        <v>#DIV/0!</v>
      </c>
      <c r="E113" s="34"/>
      <c r="F113" s="38"/>
      <c r="G113" s="38"/>
      <c r="H113" s="38"/>
      <c r="J113" s="602"/>
      <c r="K113" s="602"/>
      <c r="L113" s="602"/>
      <c r="M113" s="602"/>
      <c r="N113" s="602"/>
      <c r="O113" s="602"/>
      <c r="P113" s="602"/>
      <c r="Q113" s="602"/>
      <c r="R113" s="602"/>
      <c r="S113" s="602"/>
      <c r="T113" s="602"/>
      <c r="U113" s="602"/>
      <c r="V113" s="602"/>
      <c r="W113" s="88"/>
      <c r="X113" s="88"/>
    </row>
    <row r="114" spans="1:24" ht="15" customHeight="1" x14ac:dyDescent="0.25">
      <c r="A114" s="29">
        <v>6.5</v>
      </c>
      <c r="B114" s="29">
        <v>130</v>
      </c>
      <c r="C114" s="341" t="e">
        <f>IF(D114&lt;&gt;"-",Schwingungen!AB113,"-")</f>
        <v>#DIV/0!</v>
      </c>
      <c r="D114" s="29" t="e">
        <f>Schwingungen!$AA113</f>
        <v>#DIV/0!</v>
      </c>
      <c r="E114" s="34"/>
      <c r="F114" s="38"/>
      <c r="G114" s="38"/>
      <c r="H114" s="38"/>
      <c r="J114" s="602"/>
      <c r="K114" s="602"/>
      <c r="L114" s="602"/>
      <c r="M114" s="602"/>
      <c r="N114" s="602"/>
      <c r="O114" s="602"/>
      <c r="P114" s="602"/>
      <c r="Q114" s="602"/>
      <c r="R114" s="602"/>
      <c r="S114" s="602"/>
      <c r="T114" s="602"/>
      <c r="U114" s="602"/>
      <c r="V114" s="602"/>
      <c r="W114" s="88"/>
      <c r="X114" s="88"/>
    </row>
    <row r="115" spans="1:24" ht="15" customHeight="1" x14ac:dyDescent="0.25">
      <c r="A115" s="29">
        <v>6.7</v>
      </c>
      <c r="B115" s="29">
        <v>134</v>
      </c>
      <c r="C115" s="341" t="e">
        <f>IF(D115&lt;&gt;"-",Schwingungen!AB114,"-")</f>
        <v>#DIV/0!</v>
      </c>
      <c r="D115" s="29" t="e">
        <f>Schwingungen!$AA114</f>
        <v>#DIV/0!</v>
      </c>
      <c r="E115" s="34"/>
      <c r="F115" s="38"/>
      <c r="G115" s="38"/>
      <c r="H115" s="38"/>
      <c r="J115" s="602"/>
      <c r="K115" s="602"/>
      <c r="L115" s="602"/>
      <c r="M115" s="602"/>
      <c r="N115" s="602"/>
      <c r="O115" s="602"/>
      <c r="P115" s="602"/>
      <c r="Q115" s="602"/>
      <c r="R115" s="602"/>
      <c r="S115" s="602"/>
      <c r="T115" s="602"/>
      <c r="U115" s="602"/>
      <c r="V115" s="602"/>
      <c r="W115" s="88"/>
      <c r="X115" s="88"/>
    </row>
    <row r="116" spans="1:24" ht="15" customHeight="1" x14ac:dyDescent="0.25">
      <c r="A116" s="29">
        <v>6.9</v>
      </c>
      <c r="B116" s="29">
        <v>138</v>
      </c>
      <c r="C116" s="341" t="e">
        <f>IF(D116&lt;&gt;"-",Schwingungen!AB115,"-")</f>
        <v>#DIV/0!</v>
      </c>
      <c r="D116" s="29" t="e">
        <f>Schwingungen!$AA115</f>
        <v>#DIV/0!</v>
      </c>
      <c r="E116" s="34"/>
      <c r="F116" s="38"/>
      <c r="G116" s="38"/>
      <c r="H116" s="38"/>
      <c r="J116" s="602"/>
      <c r="K116" s="602"/>
      <c r="L116" s="602"/>
      <c r="M116" s="602"/>
      <c r="N116" s="602"/>
      <c r="O116" s="602"/>
      <c r="P116" s="602"/>
      <c r="Q116" s="602"/>
      <c r="R116" s="602"/>
      <c r="S116" s="602"/>
      <c r="T116" s="602"/>
      <c r="U116" s="602"/>
      <c r="V116" s="602"/>
      <c r="W116" s="88"/>
      <c r="X116" s="88"/>
    </row>
    <row r="117" spans="1:24" ht="15" customHeight="1" x14ac:dyDescent="0.25">
      <c r="A117" s="29">
        <v>7.1</v>
      </c>
      <c r="B117" s="29">
        <v>142</v>
      </c>
      <c r="C117" s="341" t="e">
        <f>IF(D117&lt;&gt;"-",Schwingungen!AB116,"-")</f>
        <v>#DIV/0!</v>
      </c>
      <c r="D117" s="29" t="e">
        <f>Schwingungen!$AA116</f>
        <v>#DIV/0!</v>
      </c>
      <c r="E117" s="34"/>
      <c r="F117" s="38"/>
      <c r="G117" s="38"/>
      <c r="H117" s="38"/>
      <c r="J117" s="602"/>
      <c r="K117" s="602"/>
      <c r="L117" s="602"/>
      <c r="M117" s="602"/>
      <c r="N117" s="602"/>
      <c r="O117" s="602"/>
      <c r="P117" s="602"/>
      <c r="Q117" s="602"/>
      <c r="R117" s="602"/>
      <c r="S117" s="602"/>
      <c r="T117" s="602"/>
      <c r="U117" s="602"/>
      <c r="V117" s="602"/>
      <c r="W117" s="88"/>
      <c r="X117" s="88"/>
    </row>
    <row r="118" spans="1:24" ht="15" customHeight="1" x14ac:dyDescent="0.25">
      <c r="A118" s="29">
        <v>7.3</v>
      </c>
      <c r="B118" s="29">
        <v>146</v>
      </c>
      <c r="C118" s="341" t="e">
        <f>IF(D118&lt;&gt;"-",Schwingungen!AB117,"-")</f>
        <v>#DIV/0!</v>
      </c>
      <c r="D118" s="29" t="e">
        <f>Schwingungen!$AA117</f>
        <v>#DIV/0!</v>
      </c>
      <c r="E118" s="34"/>
      <c r="F118" s="38"/>
      <c r="G118" s="38"/>
      <c r="H118" s="38"/>
      <c r="J118" s="602"/>
      <c r="K118" s="602"/>
      <c r="L118" s="602"/>
      <c r="M118" s="602"/>
      <c r="N118" s="602"/>
      <c r="O118" s="602"/>
      <c r="P118" s="602"/>
      <c r="Q118" s="602"/>
      <c r="R118" s="602"/>
      <c r="S118" s="602"/>
      <c r="T118" s="602"/>
      <c r="U118" s="602"/>
      <c r="V118" s="602"/>
      <c r="W118" s="88"/>
      <c r="X118" s="88"/>
    </row>
    <row r="119" spans="1:24" ht="15" customHeight="1" x14ac:dyDescent="0.25">
      <c r="A119" s="29">
        <v>7.5</v>
      </c>
      <c r="B119" s="29">
        <v>150</v>
      </c>
      <c r="C119" s="341" t="e">
        <f>IF(D119&lt;&gt;"-",Schwingungen!AB118,"-")</f>
        <v>#DIV/0!</v>
      </c>
      <c r="D119" s="29" t="e">
        <f>Schwingungen!$AA118</f>
        <v>#DIV/0!</v>
      </c>
      <c r="E119" s="34"/>
      <c r="F119" s="38"/>
      <c r="G119" s="38"/>
      <c r="H119" s="38"/>
      <c r="J119" s="602"/>
      <c r="K119" s="602"/>
      <c r="L119" s="602"/>
      <c r="M119" s="602"/>
      <c r="N119" s="602"/>
      <c r="O119" s="602"/>
      <c r="P119" s="602"/>
      <c r="Q119" s="602"/>
      <c r="R119" s="602"/>
      <c r="S119" s="602"/>
      <c r="T119" s="602"/>
      <c r="U119" s="602"/>
      <c r="V119" s="602"/>
      <c r="W119" s="88"/>
      <c r="X119" s="88"/>
    </row>
    <row r="120" spans="1:24" ht="15" customHeight="1" x14ac:dyDescent="0.25">
      <c r="A120" s="29">
        <v>7.7</v>
      </c>
      <c r="B120" s="29">
        <v>154</v>
      </c>
      <c r="C120" s="341" t="e">
        <f>IF(D120&lt;&gt;"-",Schwingungen!AB119,"-")</f>
        <v>#DIV/0!</v>
      </c>
      <c r="D120" s="29" t="e">
        <f>Schwingungen!$AA119</f>
        <v>#DIV/0!</v>
      </c>
      <c r="E120" s="34"/>
      <c r="F120" s="38"/>
      <c r="G120" s="38"/>
      <c r="H120" s="38"/>
      <c r="J120" s="602"/>
      <c r="K120" s="602"/>
      <c r="L120" s="602"/>
      <c r="M120" s="602"/>
      <c r="N120" s="602"/>
      <c r="O120" s="602"/>
      <c r="P120" s="602"/>
      <c r="Q120" s="602"/>
      <c r="R120" s="602"/>
      <c r="S120" s="602"/>
      <c r="T120" s="602"/>
      <c r="U120" s="602"/>
      <c r="V120" s="602"/>
      <c r="W120" s="88"/>
      <c r="X120" s="88"/>
    </row>
    <row r="121" spans="1:24" ht="15" customHeight="1" x14ac:dyDescent="0.25">
      <c r="A121" s="29">
        <v>7.9</v>
      </c>
      <c r="B121" s="29">
        <v>158</v>
      </c>
      <c r="C121" s="341" t="e">
        <f>IF(D121&lt;&gt;"-",Schwingungen!AB120,"-")</f>
        <v>#DIV/0!</v>
      </c>
      <c r="D121" s="29" t="e">
        <f>Schwingungen!$AA120</f>
        <v>#DIV/0!</v>
      </c>
      <c r="E121" s="34"/>
      <c r="F121" s="38"/>
      <c r="G121" s="38"/>
      <c r="H121" s="38"/>
      <c r="J121" s="602"/>
      <c r="K121" s="602"/>
      <c r="L121" s="602"/>
      <c r="M121" s="602"/>
      <c r="N121" s="602"/>
      <c r="O121" s="602"/>
      <c r="P121" s="602"/>
      <c r="Q121" s="602"/>
      <c r="R121" s="602"/>
      <c r="S121" s="602"/>
      <c r="T121" s="602"/>
      <c r="U121" s="602"/>
      <c r="V121" s="602"/>
      <c r="W121" s="88"/>
      <c r="X121" s="88"/>
    </row>
    <row r="122" spans="1:24" ht="15" customHeight="1" x14ac:dyDescent="0.25">
      <c r="A122" s="29">
        <v>8.1</v>
      </c>
      <c r="B122" s="29">
        <v>162</v>
      </c>
      <c r="C122" s="341" t="e">
        <f>IF(D122&lt;&gt;"-",Schwingungen!AB121,"-")</f>
        <v>#DIV/0!</v>
      </c>
      <c r="D122" s="29" t="e">
        <f>Schwingungen!$AA121</f>
        <v>#DIV/0!</v>
      </c>
      <c r="E122" s="34"/>
      <c r="F122" s="38"/>
      <c r="G122" s="38"/>
      <c r="H122" s="38"/>
      <c r="J122" s="602"/>
      <c r="K122" s="602"/>
      <c r="L122" s="602"/>
      <c r="M122" s="602"/>
      <c r="N122" s="602"/>
      <c r="O122" s="602"/>
      <c r="P122" s="602"/>
      <c r="Q122" s="602"/>
      <c r="R122" s="602"/>
      <c r="S122" s="602"/>
      <c r="T122" s="602"/>
      <c r="U122" s="602"/>
      <c r="V122" s="602"/>
      <c r="W122" s="88"/>
      <c r="X122" s="88"/>
    </row>
    <row r="123" spans="1:24" ht="15" customHeight="1" x14ac:dyDescent="0.25">
      <c r="A123" s="29">
        <v>8.3000000000000007</v>
      </c>
      <c r="B123" s="29">
        <v>166</v>
      </c>
      <c r="C123" s="341" t="e">
        <f>IF(D123&lt;&gt;"-",Schwingungen!AB122,"-")</f>
        <v>#DIV/0!</v>
      </c>
      <c r="D123" s="29" t="e">
        <f>Schwingungen!$AA122</f>
        <v>#DIV/0!</v>
      </c>
      <c r="E123" s="34"/>
      <c r="F123" s="38"/>
      <c r="G123" s="38"/>
      <c r="H123" s="38"/>
      <c r="J123" s="602"/>
      <c r="K123" s="602"/>
      <c r="L123" s="602"/>
      <c r="M123" s="602"/>
      <c r="N123" s="602"/>
      <c r="O123" s="602"/>
      <c r="P123" s="602"/>
      <c r="Q123" s="602"/>
      <c r="R123" s="602"/>
      <c r="S123" s="602"/>
      <c r="T123" s="602"/>
      <c r="U123" s="602"/>
      <c r="V123" s="602"/>
      <c r="W123" s="88"/>
      <c r="X123" s="88"/>
    </row>
    <row r="124" spans="1:24" ht="15" customHeight="1" x14ac:dyDescent="0.25">
      <c r="A124" s="29">
        <v>8.5</v>
      </c>
      <c r="B124" s="29">
        <v>170</v>
      </c>
      <c r="C124" s="341" t="e">
        <f>IF(D124&lt;&gt;"-",Schwingungen!AB123,"-")</f>
        <v>#DIV/0!</v>
      </c>
      <c r="D124" s="29" t="e">
        <f>Schwingungen!$AA123</f>
        <v>#DIV/0!</v>
      </c>
      <c r="E124" s="34"/>
      <c r="F124" s="38"/>
      <c r="G124" s="38"/>
      <c r="H124" s="38"/>
      <c r="J124" s="602"/>
      <c r="K124" s="602"/>
      <c r="L124" s="602"/>
      <c r="M124" s="602"/>
      <c r="N124" s="602"/>
      <c r="O124" s="602"/>
      <c r="P124" s="602"/>
      <c r="Q124" s="602"/>
      <c r="R124" s="602"/>
      <c r="S124" s="602"/>
      <c r="T124" s="602"/>
      <c r="U124" s="602"/>
      <c r="V124" s="602"/>
      <c r="W124" s="88"/>
      <c r="X124" s="88"/>
    </row>
    <row r="125" spans="1:24" ht="15" customHeight="1" x14ac:dyDescent="0.25">
      <c r="A125" s="29">
        <v>8.6999999999999993</v>
      </c>
      <c r="B125" s="29">
        <v>174</v>
      </c>
      <c r="C125" s="341" t="e">
        <f>IF(D125&lt;&gt;"-",Schwingungen!AB124,"-")</f>
        <v>#DIV/0!</v>
      </c>
      <c r="D125" s="29" t="e">
        <f>Schwingungen!$AA124</f>
        <v>#DIV/0!</v>
      </c>
      <c r="E125" s="34"/>
      <c r="F125" s="38"/>
      <c r="G125" s="38"/>
      <c r="H125" s="38"/>
      <c r="J125" s="602"/>
      <c r="K125" s="602"/>
      <c r="L125" s="602"/>
      <c r="M125" s="602"/>
      <c r="N125" s="602"/>
      <c r="O125" s="602"/>
      <c r="P125" s="602"/>
      <c r="Q125" s="602"/>
      <c r="R125" s="602"/>
      <c r="S125" s="602"/>
      <c r="T125" s="602"/>
      <c r="U125" s="602"/>
      <c r="V125" s="602"/>
      <c r="W125" s="88"/>
      <c r="X125" s="88"/>
    </row>
    <row r="126" spans="1:24" ht="15" customHeight="1" x14ac:dyDescent="0.25">
      <c r="A126" s="29">
        <v>8.9</v>
      </c>
      <c r="B126" s="29">
        <v>178</v>
      </c>
      <c r="C126" s="341" t="e">
        <f>IF(D126&lt;&gt;"-",Schwingungen!AB125,"-")</f>
        <v>#DIV/0!</v>
      </c>
      <c r="D126" s="29" t="e">
        <f>Schwingungen!$AA125</f>
        <v>#DIV/0!</v>
      </c>
      <c r="E126" s="34"/>
      <c r="F126" s="38"/>
      <c r="G126" s="38"/>
      <c r="H126" s="38"/>
      <c r="J126" s="602"/>
      <c r="K126" s="602"/>
      <c r="L126" s="602"/>
      <c r="M126" s="602"/>
      <c r="N126" s="602"/>
      <c r="O126" s="602"/>
      <c r="P126" s="602"/>
      <c r="Q126" s="602"/>
      <c r="R126" s="602"/>
      <c r="S126" s="602"/>
      <c r="T126" s="602"/>
      <c r="U126" s="602"/>
      <c r="V126" s="602"/>
      <c r="W126" s="88"/>
      <c r="X126" s="88"/>
    </row>
    <row r="127" spans="1:24" ht="15" customHeight="1" x14ac:dyDescent="0.25">
      <c r="J127" s="602"/>
      <c r="K127" s="602"/>
      <c r="L127" s="602"/>
      <c r="M127" s="602"/>
      <c r="N127" s="602"/>
      <c r="O127" s="602"/>
      <c r="P127" s="602"/>
      <c r="Q127" s="602"/>
      <c r="R127" s="602"/>
      <c r="S127" s="602"/>
      <c r="T127" s="602"/>
      <c r="U127" s="602"/>
      <c r="V127" s="602"/>
      <c r="W127" s="88"/>
      <c r="X127" s="88"/>
    </row>
    <row r="128" spans="1:24" ht="15" customHeight="1" x14ac:dyDescent="0.25">
      <c r="B128" s="29">
        <v>1</v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88"/>
      <c r="X128" s="88"/>
    </row>
    <row r="129" spans="2:24" ht="15" customHeight="1" x14ac:dyDescent="0.25">
      <c r="B129" s="29">
        <v>2</v>
      </c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88"/>
      <c r="X129" s="88"/>
    </row>
    <row r="130" spans="2:24" ht="15" customHeight="1" x14ac:dyDescent="0.25">
      <c r="B130" s="38">
        <v>3</v>
      </c>
      <c r="G130" s="88"/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</row>
    <row r="131" spans="2:24" ht="15" customHeight="1" x14ac:dyDescent="0.25">
      <c r="B131" s="38">
        <v>4</v>
      </c>
      <c r="G131" s="88"/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8"/>
      <c r="S131" s="88"/>
      <c r="T131" s="88"/>
      <c r="U131" s="88"/>
      <c r="V131" s="88"/>
      <c r="W131" s="88"/>
      <c r="X131" s="88"/>
    </row>
    <row r="132" spans="2:24" ht="15" customHeight="1" x14ac:dyDescent="0.25">
      <c r="B132" s="38">
        <v>5</v>
      </c>
      <c r="G132" s="88"/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/>
      <c r="S132" s="88"/>
      <c r="T132" s="88"/>
      <c r="U132" s="88"/>
      <c r="V132" s="88"/>
      <c r="W132" s="88"/>
      <c r="X132" s="88"/>
    </row>
    <row r="133" spans="2:24" ht="15" customHeight="1" x14ac:dyDescent="0.25">
      <c r="B133" s="38">
        <v>6</v>
      </c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</row>
    <row r="134" spans="2:24" ht="15" customHeight="1" x14ac:dyDescent="0.25">
      <c r="B134" s="38">
        <v>7</v>
      </c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</row>
    <row r="135" spans="2:24" ht="15" customHeight="1" x14ac:dyDescent="0.25">
      <c r="B135" s="38">
        <v>8</v>
      </c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  <c r="X135" s="88"/>
    </row>
    <row r="136" spans="2:24" ht="15" customHeight="1" x14ac:dyDescent="0.25">
      <c r="B136" s="38">
        <v>9</v>
      </c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</row>
    <row r="137" spans="2:24" ht="15" customHeight="1" x14ac:dyDescent="0.25">
      <c r="B137" s="38">
        <v>10</v>
      </c>
      <c r="G137" s="88"/>
      <c r="H137" s="88"/>
      <c r="I137" s="88"/>
      <c r="J137" s="88"/>
      <c r="K137" s="88"/>
      <c r="L137" s="88"/>
      <c r="M137" s="88"/>
      <c r="N137" s="88"/>
      <c r="O137" s="88"/>
      <c r="P137" s="88"/>
      <c r="Q137" s="88"/>
      <c r="R137" s="88"/>
      <c r="S137" s="88"/>
      <c r="T137" s="88"/>
      <c r="U137" s="88"/>
      <c r="V137" s="88"/>
      <c r="W137" s="88"/>
      <c r="X137" s="88"/>
    </row>
    <row r="138" spans="2:24" ht="15" customHeight="1" x14ac:dyDescent="0.25">
      <c r="B138" s="38">
        <v>11</v>
      </c>
      <c r="G138" s="88"/>
      <c r="H138" s="88"/>
      <c r="I138" s="88"/>
      <c r="J138" s="88"/>
      <c r="K138" s="88"/>
      <c r="L138" s="88"/>
      <c r="M138" s="88"/>
      <c r="N138" s="88"/>
      <c r="O138" s="88"/>
      <c r="P138" s="88"/>
      <c r="Q138" s="88"/>
      <c r="R138" s="88"/>
      <c r="S138" s="88"/>
      <c r="T138" s="88"/>
      <c r="U138" s="88"/>
      <c r="V138" s="88"/>
      <c r="W138" s="88"/>
      <c r="X138" s="88"/>
    </row>
    <row r="139" spans="2:24" ht="15" customHeight="1" x14ac:dyDescent="0.25">
      <c r="B139" s="38">
        <v>12</v>
      </c>
      <c r="G139" s="88"/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</row>
    <row r="140" spans="2:24" ht="15" customHeight="1" x14ac:dyDescent="0.25">
      <c r="B140" s="38">
        <v>13</v>
      </c>
      <c r="G140" s="88"/>
      <c r="H140" s="88"/>
      <c r="I140" s="88"/>
      <c r="J140" s="88"/>
      <c r="K140" s="88"/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</row>
    <row r="141" spans="2:24" ht="15" customHeight="1" x14ac:dyDescent="0.25">
      <c r="B141" s="38">
        <v>14</v>
      </c>
      <c r="G141" s="88"/>
      <c r="H141" s="88"/>
      <c r="I141" s="88"/>
      <c r="J141" s="88"/>
      <c r="K141" s="88"/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</row>
    <row r="142" spans="2:24" ht="15" customHeight="1" x14ac:dyDescent="0.25">
      <c r="B142" s="38">
        <v>15</v>
      </c>
      <c r="G142" s="88"/>
      <c r="H142" s="88"/>
      <c r="I142" s="88"/>
      <c r="J142" s="88"/>
      <c r="K142" s="88"/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</row>
    <row r="143" spans="2:24" ht="15" customHeight="1" x14ac:dyDescent="0.25">
      <c r="B143" s="38">
        <v>16</v>
      </c>
      <c r="G143" s="88"/>
      <c r="H143" s="88"/>
      <c r="I143" s="88"/>
      <c r="J143" s="88"/>
      <c r="K143" s="88"/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</row>
    <row r="144" spans="2:24" ht="15" customHeight="1" x14ac:dyDescent="0.25">
      <c r="B144" s="38">
        <v>17</v>
      </c>
      <c r="G144" s="88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</row>
    <row r="145" spans="2:24" ht="15" customHeight="1" x14ac:dyDescent="0.25">
      <c r="B145" s="38">
        <v>18</v>
      </c>
      <c r="G145" s="88"/>
      <c r="H145" s="88"/>
      <c r="I145" s="88"/>
      <c r="J145" s="88"/>
      <c r="K145" s="88"/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</row>
    <row r="146" spans="2:24" ht="15" customHeight="1" x14ac:dyDescent="0.25">
      <c r="B146" s="38">
        <v>19</v>
      </c>
      <c r="G146" s="88"/>
      <c r="H146" s="88"/>
      <c r="I146" s="88"/>
      <c r="J146" s="88"/>
      <c r="K146" s="88"/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</row>
    <row r="147" spans="2:24" ht="15" customHeight="1" x14ac:dyDescent="0.25">
      <c r="B147" s="38">
        <v>20</v>
      </c>
      <c r="G147" s="88"/>
      <c r="H147" s="88"/>
      <c r="I147" s="88"/>
      <c r="J147" s="88"/>
      <c r="K147" s="88"/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</row>
    <row r="148" spans="2:24" ht="15" customHeight="1" x14ac:dyDescent="0.25">
      <c r="B148" s="38">
        <v>21</v>
      </c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</row>
    <row r="149" spans="2:24" ht="15" customHeight="1" x14ac:dyDescent="0.25">
      <c r="B149" s="38">
        <v>22</v>
      </c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</row>
    <row r="150" spans="2:24" ht="15" customHeight="1" x14ac:dyDescent="0.25">
      <c r="B150" s="38">
        <v>23</v>
      </c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</row>
    <row r="151" spans="2:24" ht="15" customHeight="1" x14ac:dyDescent="0.25">
      <c r="B151" s="38">
        <v>24</v>
      </c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</row>
    <row r="152" spans="2:24" ht="15" customHeight="1" x14ac:dyDescent="0.25">
      <c r="G152" s="88"/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</row>
    <row r="153" spans="2:24" ht="15" customHeight="1" x14ac:dyDescent="0.25"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</row>
    <row r="154" spans="2:24" ht="15" customHeight="1" x14ac:dyDescent="0.25">
      <c r="G154" s="88"/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</row>
    <row r="155" spans="2:24" ht="15" customHeight="1" x14ac:dyDescent="0.25">
      <c r="G155" s="88"/>
      <c r="H155" s="88"/>
      <c r="I155" s="88"/>
      <c r="J155" s="88"/>
      <c r="K155" s="88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8"/>
      <c r="X155" s="88"/>
    </row>
    <row r="156" spans="2:24" ht="15" customHeight="1" x14ac:dyDescent="0.25"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</row>
    <row r="157" spans="2:24" ht="15" customHeight="1" x14ac:dyDescent="0.25"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</row>
    <row r="158" spans="2:24" ht="15" customHeight="1" x14ac:dyDescent="0.25"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</row>
    <row r="159" spans="2:24" ht="15" customHeight="1" x14ac:dyDescent="0.25">
      <c r="W159" s="88"/>
      <c r="X159" s="88"/>
    </row>
    <row r="160" spans="2:24" ht="15" customHeight="1" x14ac:dyDescent="0.25">
      <c r="W160" s="88"/>
      <c r="X160" s="88"/>
    </row>
    <row r="161" spans="23:24" ht="15" customHeight="1" x14ac:dyDescent="0.25">
      <c r="W161" s="88"/>
      <c r="X161" s="88"/>
    </row>
  </sheetData>
  <sortState xmlns:xlrd2="http://schemas.microsoft.com/office/spreadsheetml/2017/richdata2" ref="F5:H126">
    <sortCondition ref="F5:F126"/>
  </sortState>
  <mergeCells count="1">
    <mergeCell ref="A1:L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Oberschwingungen_Diagramm_Export">
                <anchor moveWithCells="1">
                  <from>
                    <xdr:col>23</xdr:col>
                    <xdr:colOff>323850</xdr:colOff>
                    <xdr:row>9</xdr:row>
                    <xdr:rowOff>95250</xdr:rowOff>
                  </from>
                  <to>
                    <xdr:col>27</xdr:col>
                    <xdr:colOff>9525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S36"/>
  <sheetViews>
    <sheetView workbookViewId="0">
      <selection activeCell="I8" sqref="I8"/>
    </sheetView>
  </sheetViews>
  <sheetFormatPr baseColWidth="10" defaultColWidth="10.85546875" defaultRowHeight="15" x14ac:dyDescent="0.25"/>
  <cols>
    <col min="2" max="2" width="14.85546875" customWidth="1"/>
  </cols>
  <sheetData>
    <row r="1" spans="1:19" ht="26.25" x14ac:dyDescent="0.4">
      <c r="A1" s="222" t="s">
        <v>490</v>
      </c>
      <c r="B1" s="223"/>
      <c r="C1" s="252"/>
      <c r="D1" s="252"/>
      <c r="E1" s="252"/>
      <c r="F1" s="252"/>
      <c r="G1" s="252"/>
      <c r="H1" s="252"/>
      <c r="I1" s="252"/>
      <c r="J1" s="252"/>
      <c r="K1" s="253"/>
      <c r="L1" s="224"/>
      <c r="M1" s="224"/>
      <c r="N1" s="224"/>
      <c r="O1" s="107"/>
      <c r="P1" s="225"/>
      <c r="Q1" s="225"/>
      <c r="R1" s="225"/>
      <c r="S1" s="107"/>
    </row>
    <row r="2" spans="1:19" ht="15.75" thickBot="1" x14ac:dyDescent="0.3">
      <c r="A2" s="226"/>
      <c r="B2" s="227"/>
      <c r="C2" s="1011"/>
      <c r="D2" s="1011"/>
      <c r="E2" s="227"/>
      <c r="F2" s="1020"/>
      <c r="G2" s="1020"/>
      <c r="H2" s="337"/>
      <c r="I2" s="337"/>
      <c r="J2" s="229"/>
      <c r="K2" s="229"/>
      <c r="L2" s="225"/>
      <c r="M2" s="225"/>
      <c r="N2" s="225"/>
      <c r="O2" s="225"/>
      <c r="P2" s="225"/>
      <c r="Q2" s="225"/>
      <c r="R2" s="225"/>
      <c r="S2" s="107"/>
    </row>
    <row r="3" spans="1:19" ht="16.5" thickTop="1" thickBot="1" x14ac:dyDescent="0.3">
      <c r="A3" s="268" t="s">
        <v>491</v>
      </c>
      <c r="B3" s="269" t="s">
        <v>492</v>
      </c>
      <c r="C3" s="291">
        <f>Bericht!E56</f>
        <v>0</v>
      </c>
      <c r="D3" s="230"/>
      <c r="E3" s="225"/>
      <c r="F3" s="1017" t="s">
        <v>496</v>
      </c>
      <c r="G3" s="1018"/>
      <c r="H3" s="1019"/>
      <c r="I3" s="254"/>
      <c r="J3" s="254"/>
      <c r="K3" s="254"/>
      <c r="L3" s="254"/>
      <c r="M3" s="254"/>
      <c r="N3" s="107"/>
      <c r="O3" s="107"/>
      <c r="P3" s="107"/>
      <c r="Q3" s="107"/>
      <c r="R3" s="107"/>
      <c r="S3" s="107"/>
    </row>
    <row r="4" spans="1:19" ht="30.75" thickTop="1" x14ac:dyDescent="0.25">
      <c r="A4" s="270" t="s">
        <v>493</v>
      </c>
      <c r="B4" s="271" t="s">
        <v>511</v>
      </c>
      <c r="C4" s="275" t="e">
        <f>Berechnungen!N5</f>
        <v>#DIV/0!</v>
      </c>
      <c r="D4" s="228"/>
      <c r="E4" s="233"/>
      <c r="F4" s="1015" t="s">
        <v>497</v>
      </c>
      <c r="G4" s="1013" t="s">
        <v>498</v>
      </c>
      <c r="H4" s="1014"/>
      <c r="I4" s="277" t="s">
        <v>499</v>
      </c>
      <c r="J4" s="278" t="s">
        <v>500</v>
      </c>
      <c r="K4" s="279" t="s">
        <v>508</v>
      </c>
      <c r="L4" s="280" t="s">
        <v>509</v>
      </c>
      <c r="M4" s="281" t="s">
        <v>510</v>
      </c>
      <c r="N4" s="107"/>
      <c r="O4" s="107"/>
      <c r="P4" s="107"/>
      <c r="Q4" s="107"/>
      <c r="R4" s="107"/>
      <c r="S4" s="107"/>
    </row>
    <row r="5" spans="1:19" x14ac:dyDescent="0.25">
      <c r="A5" s="270" t="s">
        <v>494</v>
      </c>
      <c r="B5" s="271" t="s">
        <v>511</v>
      </c>
      <c r="C5" s="275" t="e">
        <f>Berechnungen!N6</f>
        <v>#DIV/0!</v>
      </c>
      <c r="D5" s="232"/>
      <c r="E5" s="233"/>
      <c r="F5" s="1016"/>
      <c r="G5" s="255" t="s">
        <v>71</v>
      </c>
      <c r="H5" s="256" t="s">
        <v>501</v>
      </c>
      <c r="I5" s="282"/>
      <c r="J5" s="283"/>
      <c r="K5" s="284"/>
      <c r="L5" s="285"/>
      <c r="M5" s="286"/>
      <c r="N5" s="107"/>
      <c r="O5" s="107"/>
      <c r="P5" s="107"/>
      <c r="Q5" s="107"/>
      <c r="R5" s="107"/>
      <c r="S5" s="107"/>
    </row>
    <row r="6" spans="1:19" ht="15.75" thickBot="1" x14ac:dyDescent="0.3">
      <c r="A6" s="272" t="s">
        <v>512</v>
      </c>
      <c r="B6" s="273" t="s">
        <v>495</v>
      </c>
      <c r="C6" s="274">
        <f>Berechnungen!L4</f>
        <v>0</v>
      </c>
      <c r="D6" s="232"/>
      <c r="E6" s="233"/>
      <c r="F6" s="257" t="s">
        <v>492</v>
      </c>
      <c r="G6" s="258" t="s">
        <v>492</v>
      </c>
      <c r="H6" s="259" t="s">
        <v>502</v>
      </c>
      <c r="I6" s="257" t="s">
        <v>511</v>
      </c>
      <c r="J6" s="260" t="s">
        <v>511</v>
      </c>
      <c r="K6" s="261" t="s">
        <v>503</v>
      </c>
      <c r="L6" s="258" t="s">
        <v>504</v>
      </c>
      <c r="M6" s="259" t="s">
        <v>504</v>
      </c>
      <c r="N6" s="107"/>
      <c r="O6" s="107"/>
      <c r="P6" s="107"/>
      <c r="Q6" s="107"/>
      <c r="R6" s="107"/>
      <c r="S6" s="107"/>
    </row>
    <row r="7" spans="1:19" ht="16.5" thickTop="1" thickBot="1" x14ac:dyDescent="0.3">
      <c r="A7" s="107"/>
      <c r="B7" s="107"/>
      <c r="C7" s="107"/>
      <c r="D7" s="107"/>
      <c r="E7" s="233"/>
      <c r="F7" s="262"/>
      <c r="G7" s="263"/>
      <c r="H7" s="264"/>
      <c r="I7" s="265"/>
      <c r="J7" s="266"/>
      <c r="K7" s="267"/>
      <c r="L7" s="263"/>
      <c r="M7" s="264"/>
      <c r="N7" s="107"/>
      <c r="O7" s="107"/>
      <c r="P7" s="107"/>
      <c r="Q7" s="107"/>
      <c r="R7" s="107"/>
      <c r="S7" s="107"/>
    </row>
    <row r="8" spans="1:19" ht="16.5" thickTop="1" thickBot="1" x14ac:dyDescent="0.3">
      <c r="E8" s="235" t="s">
        <v>505</v>
      </c>
      <c r="F8" s="276">
        <f>F10-100</f>
        <v>-100</v>
      </c>
      <c r="G8" s="276">
        <f>IF($C$3=0,0,G10-100)</f>
        <v>0</v>
      </c>
      <c r="H8" s="123" t="e">
        <f>VLOOKUP($G8,Schwingungen!$L$52:AB89,17,FALSE)</f>
        <v>#N/A</v>
      </c>
      <c r="I8" s="236" t="e">
        <f>$C$5/50*$F8</f>
        <v>#DIV/0!</v>
      </c>
      <c r="J8" s="237" t="e">
        <f>(I8^2+$C$4^2)^(1/2)</f>
        <v>#DIV/0!</v>
      </c>
      <c r="K8" s="238" t="e">
        <f>H8*J8</f>
        <v>#N/A</v>
      </c>
      <c r="L8" s="239" t="e">
        <f>((K8*SQRT(3))/($C$6*1000))*100</f>
        <v>#N/A</v>
      </c>
      <c r="M8" s="240">
        <v>0.3</v>
      </c>
      <c r="N8" s="107"/>
      <c r="O8" s="107"/>
      <c r="P8" s="107"/>
      <c r="Q8" s="107"/>
      <c r="R8" s="107"/>
      <c r="S8" s="107"/>
    </row>
    <row r="9" spans="1:19" s="107" customFormat="1" ht="15.75" thickTop="1" x14ac:dyDescent="0.25">
      <c r="E9" s="235" t="s">
        <v>764</v>
      </c>
      <c r="F9" s="276">
        <f>F10-50</f>
        <v>-50</v>
      </c>
      <c r="G9" s="276">
        <f>IF($C$3=0,0,G10-50)</f>
        <v>0</v>
      </c>
      <c r="H9" s="123" t="e">
        <f>VLOOKUP($G9,Schwingungen!$L$52:AB90,17,FALSE)</f>
        <v>#N/A</v>
      </c>
      <c r="I9" s="236" t="e">
        <f>$C$5/50*$F9</f>
        <v>#DIV/0!</v>
      </c>
      <c r="J9" s="237" t="e">
        <f>(I9^2+$C$4^2)^(1/2)</f>
        <v>#DIV/0!</v>
      </c>
      <c r="K9" s="238" t="e">
        <f>H9*J9</f>
        <v>#N/A</v>
      </c>
      <c r="L9" s="239" t="e">
        <f>((K9*SQRT(3))/($C$6*1000))*100</f>
        <v>#N/A</v>
      </c>
      <c r="M9" s="240">
        <v>0.2</v>
      </c>
    </row>
    <row r="10" spans="1:19" ht="15.75" customHeight="1" x14ac:dyDescent="0.25">
      <c r="E10" s="241" t="s">
        <v>506</v>
      </c>
      <c r="F10" s="123">
        <f>C3</f>
        <v>0</v>
      </c>
      <c r="G10" s="276">
        <f>IF($C$3=0,0,ROUNDDOWN(F10/50,0)*50+25)</f>
        <v>0</v>
      </c>
      <c r="H10" s="123" t="e">
        <f>VLOOKUP($G10,Schwingungen!$L$52:AB90,17,FALSE)</f>
        <v>#N/A</v>
      </c>
      <c r="I10" s="242" t="e">
        <f>$C$5/50*$F10</f>
        <v>#DIV/0!</v>
      </c>
      <c r="J10" s="243" t="e">
        <f>(I10^2+$C$4^2)^(1/2)</f>
        <v>#DIV/0!</v>
      </c>
      <c r="K10" s="244" t="e">
        <f>H10*J10</f>
        <v>#N/A</v>
      </c>
      <c r="L10" s="245" t="e">
        <f>((K10*SQRT(3))/($C$6*1000))*100</f>
        <v>#N/A</v>
      </c>
      <c r="M10" s="234">
        <v>0.1</v>
      </c>
      <c r="N10" s="107"/>
      <c r="O10" s="107"/>
      <c r="P10" s="107"/>
      <c r="Q10" s="107"/>
      <c r="R10" s="107"/>
      <c r="S10" s="107"/>
    </row>
    <row r="11" spans="1:19" s="107" customFormat="1" ht="15.75" customHeight="1" thickBot="1" x14ac:dyDescent="0.3">
      <c r="E11" s="246" t="s">
        <v>765</v>
      </c>
      <c r="F11" s="276">
        <f>F10+50</f>
        <v>50</v>
      </c>
      <c r="G11" s="276">
        <f>IF($C$3=0,0,G10+50)</f>
        <v>0</v>
      </c>
      <c r="H11" s="123" t="e">
        <f>VLOOKUP($G11,Schwingungen!$L$52:AB91,17,FALSE)</f>
        <v>#N/A</v>
      </c>
      <c r="I11" s="242" t="e">
        <f>$C$5/50*$F11</f>
        <v>#DIV/0!</v>
      </c>
      <c r="J11" s="243" t="e">
        <f>(I11^2+$C$4^2)^(1/2)</f>
        <v>#DIV/0!</v>
      </c>
      <c r="K11" s="244" t="e">
        <f>H11*J11</f>
        <v>#N/A</v>
      </c>
      <c r="L11" s="245" t="e">
        <f>((K11*SQRT(3))/($C$6*1000))*100</f>
        <v>#N/A</v>
      </c>
      <c r="M11" s="603">
        <v>0.2</v>
      </c>
    </row>
    <row r="12" spans="1:19" ht="16.5" thickTop="1" thickBot="1" x14ac:dyDescent="0.3">
      <c r="E12" s="246" t="s">
        <v>507</v>
      </c>
      <c r="F12" s="276">
        <f>F10+100</f>
        <v>100</v>
      </c>
      <c r="G12" s="276">
        <f>IF($C$3=0,0,G10+100)</f>
        <v>0</v>
      </c>
      <c r="H12" s="123" t="e">
        <f>VLOOKUP($G12,Schwingungen!$L$52:AB91,17,FALSE)</f>
        <v>#N/A</v>
      </c>
      <c r="I12" s="247" t="e">
        <f>$C$5/50*$F12</f>
        <v>#DIV/0!</v>
      </c>
      <c r="J12" s="248" t="e">
        <f>(I12^2+$C$4^2)^(1/2)</f>
        <v>#DIV/0!</v>
      </c>
      <c r="K12" s="249" t="e">
        <f>H12*J12</f>
        <v>#N/A</v>
      </c>
      <c r="L12" s="250" t="e">
        <f>((K12*SQRT(3))/($C$6*1000))*100</f>
        <v>#N/A</v>
      </c>
      <c r="M12" s="251">
        <v>0.3</v>
      </c>
      <c r="N12" s="107"/>
      <c r="O12" s="107"/>
      <c r="P12" s="107"/>
      <c r="Q12" s="107"/>
      <c r="R12" s="107"/>
      <c r="S12" s="107"/>
    </row>
    <row r="13" spans="1:19" ht="15.75" thickTop="1" x14ac:dyDescent="0.25">
      <c r="F13" s="107"/>
      <c r="G13" s="107"/>
      <c r="H13" s="107"/>
      <c r="I13" s="107"/>
      <c r="J13" s="107"/>
      <c r="K13" s="225"/>
      <c r="L13" s="225"/>
      <c r="M13" s="225"/>
      <c r="N13" s="107"/>
      <c r="O13" s="107"/>
      <c r="P13" s="107"/>
      <c r="Q13" s="107"/>
      <c r="R13" s="107"/>
      <c r="S13" s="107"/>
    </row>
    <row r="14" spans="1:19" x14ac:dyDescent="0.25">
      <c r="J14" s="107"/>
      <c r="K14" s="225"/>
      <c r="L14" s="225"/>
      <c r="M14" s="225"/>
      <c r="N14" s="107"/>
      <c r="O14" s="107"/>
      <c r="P14" s="107"/>
      <c r="Q14" s="107"/>
      <c r="R14" s="107"/>
      <c r="S14" s="107"/>
    </row>
    <row r="15" spans="1:19" x14ac:dyDescent="0.25">
      <c r="J15" s="225"/>
      <c r="K15" s="225"/>
      <c r="L15" s="225"/>
      <c r="M15" s="225"/>
      <c r="N15" s="107"/>
      <c r="O15" s="107"/>
      <c r="P15" s="107"/>
      <c r="Q15" s="107"/>
      <c r="R15" s="107"/>
      <c r="S15" s="107"/>
    </row>
    <row r="16" spans="1:19" x14ac:dyDescent="0.25">
      <c r="J16" s="225"/>
      <c r="K16" s="225"/>
      <c r="L16" s="225"/>
      <c r="M16" s="225"/>
      <c r="N16" s="107"/>
      <c r="O16" s="107"/>
      <c r="P16" s="107"/>
      <c r="Q16" s="107"/>
      <c r="R16" s="107"/>
      <c r="S16" s="107"/>
    </row>
    <row r="17" spans="1:19" x14ac:dyDescent="0.25">
      <c r="J17" s="107"/>
      <c r="K17" s="225"/>
      <c r="L17" s="225"/>
      <c r="M17" s="225"/>
      <c r="N17" s="225"/>
      <c r="O17" s="107"/>
      <c r="P17" s="107"/>
      <c r="Q17" s="107"/>
      <c r="R17" s="107"/>
      <c r="S17" s="107"/>
    </row>
    <row r="18" spans="1:19" x14ac:dyDescent="0.25">
      <c r="A18" s="107"/>
      <c r="B18" s="107"/>
      <c r="C18" s="107"/>
      <c r="D18" s="107"/>
      <c r="M18" s="225"/>
      <c r="N18" s="225"/>
      <c r="O18" s="107"/>
      <c r="P18" s="107"/>
      <c r="Q18" s="107"/>
      <c r="R18" s="107"/>
      <c r="S18" s="107"/>
    </row>
    <row r="19" spans="1:19" ht="23.25" x14ac:dyDescent="0.35">
      <c r="A19" s="107"/>
      <c r="B19" s="107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287"/>
      <c r="N19" s="287"/>
      <c r="O19" s="287"/>
      <c r="P19" s="287"/>
      <c r="Q19" s="287"/>
      <c r="R19" s="287"/>
      <c r="S19" s="229"/>
    </row>
    <row r="20" spans="1:19" x14ac:dyDescent="0.25">
      <c r="A20" s="107"/>
      <c r="B20" s="107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226"/>
      <c r="N20" s="226"/>
      <c r="O20" s="226"/>
      <c r="P20" s="226"/>
      <c r="Q20" s="226"/>
      <c r="R20" s="226"/>
      <c r="S20" s="226"/>
    </row>
    <row r="21" spans="1:19" x14ac:dyDescent="0.25">
      <c r="A21" s="107"/>
      <c r="B21" s="107"/>
      <c r="C21" s="12"/>
      <c r="D21" s="12"/>
      <c r="E21" s="1012"/>
      <c r="F21" s="1012"/>
      <c r="G21" s="1012"/>
      <c r="H21" s="1012"/>
      <c r="I21" s="1012"/>
      <c r="J21" s="1012"/>
      <c r="K21" s="1012"/>
      <c r="L21" s="1012"/>
      <c r="M21" s="226"/>
      <c r="N21" s="226"/>
      <c r="O21" s="226"/>
      <c r="P21" s="226"/>
      <c r="Q21" s="226"/>
      <c r="R21" s="226"/>
      <c r="S21" s="226"/>
    </row>
    <row r="22" spans="1:19" x14ac:dyDescent="0.25">
      <c r="A22" s="107"/>
      <c r="B22" s="107"/>
      <c r="C22" s="12"/>
      <c r="D22" s="12"/>
      <c r="E22" s="1012"/>
      <c r="F22" s="1012"/>
      <c r="G22" s="1012"/>
      <c r="H22" s="1012"/>
      <c r="I22" s="1012"/>
      <c r="J22" s="1012"/>
      <c r="K22" s="1012"/>
      <c r="L22" s="1012"/>
      <c r="M22" s="226"/>
      <c r="N22" s="288"/>
      <c r="O22" s="288"/>
      <c r="P22" s="288"/>
      <c r="Q22" s="288"/>
      <c r="R22" s="231"/>
      <c r="S22" s="226"/>
    </row>
    <row r="23" spans="1:19" x14ac:dyDescent="0.25">
      <c r="A23" s="107"/>
      <c r="B23" s="107"/>
      <c r="C23" s="339"/>
      <c r="D23" s="12"/>
      <c r="E23" s="12"/>
      <c r="F23" s="12"/>
      <c r="G23" s="12"/>
      <c r="H23" s="336"/>
      <c r="I23" s="336"/>
      <c r="J23" s="336"/>
      <c r="K23" s="336"/>
      <c r="L23" s="336"/>
      <c r="M23" s="226"/>
      <c r="N23" s="231"/>
      <c r="O23" s="231"/>
      <c r="P23" s="231"/>
      <c r="Q23" s="231"/>
      <c r="R23" s="288"/>
      <c r="S23" s="226"/>
    </row>
    <row r="24" spans="1:19" x14ac:dyDescent="0.25">
      <c r="A24" s="107"/>
      <c r="B24" s="107"/>
      <c r="C24" s="12"/>
      <c r="D24" s="12"/>
      <c r="E24" s="12"/>
      <c r="F24" s="12"/>
      <c r="G24" s="12"/>
      <c r="H24" s="336"/>
      <c r="I24" s="336"/>
      <c r="J24" s="293"/>
      <c r="K24" s="293"/>
      <c r="L24" s="293"/>
      <c r="M24" s="226"/>
      <c r="N24" s="231"/>
      <c r="O24" s="231"/>
      <c r="P24" s="231"/>
      <c r="Q24" s="231"/>
      <c r="R24" s="288"/>
      <c r="S24" s="226"/>
    </row>
    <row r="25" spans="1:19" x14ac:dyDescent="0.25">
      <c r="A25" s="107"/>
      <c r="B25" s="107"/>
      <c r="C25" s="12"/>
      <c r="D25" s="12"/>
      <c r="E25" s="12"/>
      <c r="F25" s="12"/>
      <c r="G25" s="12"/>
      <c r="H25" s="336"/>
      <c r="I25" s="336"/>
      <c r="J25" s="293"/>
      <c r="K25" s="293"/>
      <c r="L25" s="293"/>
      <c r="M25" s="289"/>
      <c r="N25" s="231"/>
      <c r="O25" s="231"/>
      <c r="P25" s="232"/>
      <c r="Q25" s="231"/>
      <c r="R25" s="231"/>
      <c r="S25" s="226"/>
    </row>
    <row r="26" spans="1:19" x14ac:dyDescent="0.25">
      <c r="A26" s="107"/>
      <c r="B26" s="107"/>
      <c r="C26" s="12"/>
      <c r="D26" s="12"/>
      <c r="E26" s="12"/>
      <c r="F26" s="12"/>
      <c r="G26" s="12"/>
      <c r="H26" s="336"/>
      <c r="I26" s="336"/>
      <c r="J26" s="293"/>
      <c r="K26" s="293"/>
      <c r="L26" s="293"/>
      <c r="M26" s="289"/>
      <c r="N26" s="231"/>
      <c r="O26" s="231"/>
      <c r="P26" s="232"/>
      <c r="Q26" s="231"/>
      <c r="R26" s="231"/>
      <c r="S26" s="226"/>
    </row>
    <row r="27" spans="1:19" x14ac:dyDescent="0.25">
      <c r="A27" s="107"/>
      <c r="B27" s="107"/>
      <c r="C27" s="12"/>
      <c r="D27" s="12"/>
      <c r="E27" s="340"/>
      <c r="F27" s="80"/>
      <c r="G27" s="80"/>
      <c r="H27" s="336"/>
      <c r="I27" s="336"/>
      <c r="J27" s="293"/>
      <c r="K27" s="293"/>
      <c r="L27" s="293"/>
      <c r="M27" s="289"/>
      <c r="N27" s="231"/>
      <c r="O27" s="231"/>
      <c r="P27" s="232"/>
      <c r="Q27" s="231"/>
      <c r="R27" s="231"/>
      <c r="S27" s="226"/>
    </row>
    <row r="28" spans="1:19" x14ac:dyDescent="0.25">
      <c r="A28" s="107"/>
      <c r="B28" s="107"/>
      <c r="C28" s="12"/>
      <c r="D28" s="12"/>
      <c r="E28" s="12"/>
      <c r="F28" s="12"/>
      <c r="G28" s="12"/>
      <c r="H28" s="336"/>
      <c r="I28" s="336"/>
      <c r="J28" s="293"/>
      <c r="K28" s="293"/>
      <c r="L28" s="293"/>
      <c r="M28" s="226"/>
      <c r="N28" s="226"/>
      <c r="O28" s="226"/>
      <c r="P28" s="226"/>
      <c r="Q28" s="226"/>
      <c r="R28" s="226"/>
      <c r="S28" s="226"/>
    </row>
    <row r="29" spans="1:19" x14ac:dyDescent="0.25">
      <c r="A29" s="107"/>
      <c r="B29" s="107"/>
      <c r="C29" s="12"/>
      <c r="D29" s="12"/>
      <c r="E29" s="12"/>
      <c r="F29" s="12"/>
      <c r="G29" s="12"/>
      <c r="H29" s="336"/>
      <c r="I29" s="336"/>
      <c r="J29" s="293"/>
      <c r="K29" s="293"/>
      <c r="L29" s="293"/>
      <c r="M29" s="290"/>
      <c r="N29" s="290"/>
      <c r="O29" s="290"/>
      <c r="P29" s="290"/>
      <c r="Q29" s="290"/>
      <c r="R29" s="290"/>
      <c r="S29" s="226"/>
    </row>
    <row r="30" spans="1:19" x14ac:dyDescent="0.25">
      <c r="A30" s="107"/>
      <c r="B30" s="107"/>
      <c r="C30" s="12"/>
      <c r="D30" s="12"/>
      <c r="E30" s="12"/>
      <c r="F30" s="12"/>
      <c r="G30" s="12"/>
      <c r="H30" s="336"/>
      <c r="I30" s="336"/>
      <c r="J30" s="293"/>
      <c r="K30" s="293"/>
      <c r="L30" s="293"/>
      <c r="M30" s="12"/>
      <c r="N30" s="290"/>
      <c r="O30" s="290"/>
      <c r="P30" s="290"/>
      <c r="Q30" s="290"/>
      <c r="R30" s="290"/>
      <c r="S30" s="226"/>
    </row>
    <row r="31" spans="1:19" x14ac:dyDescent="0.25">
      <c r="A31" s="107"/>
      <c r="B31" s="107"/>
      <c r="C31" s="12"/>
      <c r="D31" s="12"/>
      <c r="E31" s="12"/>
      <c r="F31" s="12"/>
      <c r="G31" s="12"/>
      <c r="H31" s="12"/>
      <c r="I31" s="12"/>
      <c r="J31" s="12"/>
      <c r="K31" s="12"/>
      <c r="L31" s="226"/>
      <c r="M31" s="226"/>
      <c r="N31" s="226"/>
      <c r="O31" s="226"/>
      <c r="P31" s="226"/>
      <c r="Q31" s="226"/>
      <c r="R31" s="226"/>
      <c r="S31" s="226"/>
    </row>
    <row r="32" spans="1:19" x14ac:dyDescent="0.25">
      <c r="A32" s="107"/>
      <c r="B32" s="107"/>
      <c r="C32" s="12"/>
      <c r="D32" s="12"/>
      <c r="E32" s="12"/>
      <c r="F32" s="12"/>
      <c r="G32" s="12"/>
      <c r="H32" s="12"/>
      <c r="I32" s="12"/>
      <c r="J32" s="12"/>
      <c r="K32" s="12"/>
      <c r="L32" s="226"/>
      <c r="M32" s="226"/>
      <c r="N32" s="226"/>
      <c r="O32" s="226"/>
      <c r="P32" s="226"/>
      <c r="Q32" s="226"/>
      <c r="R32" s="226"/>
      <c r="S32" s="226"/>
    </row>
    <row r="33" spans="12:19" x14ac:dyDescent="0.25">
      <c r="L33" s="37"/>
      <c r="M33" s="37"/>
      <c r="N33" s="37"/>
      <c r="O33" s="37"/>
      <c r="P33" s="37"/>
      <c r="Q33" s="37"/>
      <c r="R33" s="37"/>
      <c r="S33" s="37"/>
    </row>
    <row r="34" spans="12:19" x14ac:dyDescent="0.25">
      <c r="L34" s="37"/>
      <c r="M34" s="37"/>
      <c r="N34" s="37"/>
      <c r="O34" s="37"/>
      <c r="P34" s="37"/>
      <c r="Q34" s="37"/>
      <c r="R34" s="37"/>
      <c r="S34" s="37"/>
    </row>
    <row r="35" spans="12:19" x14ac:dyDescent="0.25">
      <c r="L35" s="37"/>
      <c r="M35" s="37"/>
      <c r="N35" s="37"/>
      <c r="O35" s="37"/>
      <c r="P35" s="37"/>
      <c r="Q35" s="37"/>
      <c r="R35" s="37"/>
      <c r="S35" s="37"/>
    </row>
    <row r="36" spans="12:19" x14ac:dyDescent="0.25">
      <c r="L36" s="37"/>
      <c r="M36" s="37"/>
      <c r="N36" s="37"/>
      <c r="O36" s="37"/>
      <c r="P36" s="37"/>
      <c r="Q36" s="37"/>
      <c r="R36" s="37"/>
      <c r="S36" s="37"/>
    </row>
  </sheetData>
  <mergeCells count="6">
    <mergeCell ref="C2:D2"/>
    <mergeCell ref="E21:L22"/>
    <mergeCell ref="G4:H4"/>
    <mergeCell ref="F4:F5"/>
    <mergeCell ref="F3:H3"/>
    <mergeCell ref="F2:G2"/>
  </mergeCells>
  <conditionalFormatting sqref="L8:L12">
    <cfRule type="cellIs" dxfId="65" priority="3" operator="greaterThan">
      <formula>$M$8</formula>
    </cfRule>
  </conditionalFormatting>
  <conditionalFormatting sqref="L10:L11">
    <cfRule type="cellIs" dxfId="64" priority="2" operator="greaterThan">
      <formula>$M$10</formula>
    </cfRule>
  </conditionalFormatting>
  <conditionalFormatting sqref="L12">
    <cfRule type="cellIs" dxfId="63" priority="1" operator="greaterThan">
      <formula>$M$12</formula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S67"/>
  <sheetViews>
    <sheetView topLeftCell="C1" zoomScale="85" zoomScaleNormal="85" workbookViewId="0">
      <selection activeCell="I21" sqref="I21"/>
    </sheetView>
  </sheetViews>
  <sheetFormatPr baseColWidth="10" defaultColWidth="10.85546875" defaultRowHeight="15" x14ac:dyDescent="0.25"/>
  <cols>
    <col min="1" max="1" width="15.140625" customWidth="1"/>
    <col min="2" max="2" width="21.28515625" customWidth="1"/>
    <col min="3" max="5" width="15.7109375" customWidth="1"/>
    <col min="6" max="6" width="21.7109375" bestFit="1" customWidth="1"/>
    <col min="7" max="7" width="15.7109375" customWidth="1"/>
    <col min="8" max="8" width="20.85546875" bestFit="1" customWidth="1"/>
  </cols>
  <sheetData>
    <row r="1" spans="2:19" s="38" customFormat="1" x14ac:dyDescent="0.25">
      <c r="L1" s="41"/>
      <c r="M1" s="41"/>
      <c r="N1" s="41"/>
      <c r="O1" s="41"/>
      <c r="P1" s="41"/>
      <c r="Q1"/>
      <c r="R1"/>
      <c r="S1"/>
    </row>
    <row r="2" spans="2:19" s="38" customFormat="1" ht="15" customHeight="1" x14ac:dyDescent="0.25">
      <c r="B2" s="1027" t="s">
        <v>92</v>
      </c>
      <c r="C2" s="1027"/>
      <c r="D2" s="1027"/>
      <c r="E2" s="1027"/>
      <c r="F2" s="1027"/>
      <c r="G2" s="1027"/>
      <c r="I2" s="951" t="s">
        <v>67</v>
      </c>
      <c r="J2" s="951"/>
      <c r="K2" s="951"/>
    </row>
    <row r="3" spans="2:19" s="38" customFormat="1" x14ac:dyDescent="0.25">
      <c r="B3" s="1027"/>
      <c r="C3" s="1027"/>
      <c r="D3" s="1027"/>
      <c r="E3" s="1027"/>
      <c r="F3" s="1027"/>
      <c r="G3" s="1027"/>
      <c r="I3" s="951"/>
      <c r="J3" s="951"/>
      <c r="K3" s="951"/>
    </row>
    <row r="4" spans="2:19" s="38" customFormat="1" x14ac:dyDescent="0.25">
      <c r="B4" s="1027" t="s">
        <v>39</v>
      </c>
      <c r="C4" s="1027"/>
      <c r="D4" s="1027"/>
      <c r="E4" s="1027" t="s">
        <v>43</v>
      </c>
      <c r="F4" s="1027"/>
      <c r="G4" s="1027"/>
      <c r="I4" s="96" t="s">
        <v>61</v>
      </c>
      <c r="J4" s="123">
        <f>Bericht!E162*1000</f>
        <v>0</v>
      </c>
      <c r="K4" s="9" t="s">
        <v>62</v>
      </c>
    </row>
    <row r="5" spans="2:19" s="38" customFormat="1" x14ac:dyDescent="0.25">
      <c r="B5" s="1027"/>
      <c r="C5" s="1027"/>
      <c r="D5" s="1027"/>
      <c r="E5" s="1027"/>
      <c r="F5" s="1027"/>
      <c r="G5" s="1027"/>
      <c r="I5" s="96" t="s">
        <v>63</v>
      </c>
      <c r="J5" s="123">
        <f>Bericht!E163*1000</f>
        <v>0</v>
      </c>
      <c r="K5" s="9" t="s">
        <v>414</v>
      </c>
    </row>
    <row r="6" spans="2:19" s="38" customFormat="1" x14ac:dyDescent="0.25">
      <c r="B6" s="963" t="s">
        <v>90</v>
      </c>
      <c r="C6" s="74" t="b">
        <v>1</v>
      </c>
      <c r="D6" s="69"/>
      <c r="E6" s="963" t="s">
        <v>89</v>
      </c>
      <c r="F6" s="74" t="b">
        <v>0</v>
      </c>
      <c r="G6" s="69"/>
      <c r="I6" s="96" t="s">
        <v>65</v>
      </c>
      <c r="J6" s="45" t="e">
        <f>J4/J5</f>
        <v>#DIV/0!</v>
      </c>
      <c r="K6" s="9"/>
    </row>
    <row r="7" spans="2:19" s="38" customFormat="1" x14ac:dyDescent="0.25">
      <c r="B7" s="963"/>
      <c r="C7" s="74" t="b">
        <v>0</v>
      </c>
      <c r="D7" s="69"/>
      <c r="E7" s="963"/>
      <c r="F7" s="74" t="b">
        <v>1</v>
      </c>
      <c r="G7" s="69"/>
      <c r="H7" s="37"/>
      <c r="I7" s="96" t="s">
        <v>415</v>
      </c>
      <c r="J7" s="47" t="e">
        <f>Berechnungen!L5/J6*1000</f>
        <v>#DIV/0!</v>
      </c>
      <c r="K7" s="9" t="s">
        <v>62</v>
      </c>
    </row>
    <row r="8" spans="2:19" s="38" customFormat="1" x14ac:dyDescent="0.25">
      <c r="B8" s="96" t="s">
        <v>40</v>
      </c>
      <c r="C8" s="123" t="e">
        <f>(Bericht!E77/Bericht!E43)</f>
        <v>#DIV/0!</v>
      </c>
      <c r="D8" s="9" t="str">
        <f>IF($C$6=TRUE,"Un","Uc")</f>
        <v>Un</v>
      </c>
      <c r="E8" s="70" t="s">
        <v>40</v>
      </c>
      <c r="F8" s="123" t="e">
        <f>(Bericht!E97/'Schutzvorgaben und -grenzen'!$J$7)</f>
        <v>#DIV/0!</v>
      </c>
      <c r="G8" s="9" t="str">
        <f>IF($F$6=TRUE,"Un","Uns")</f>
        <v>Uns</v>
      </c>
    </row>
    <row r="9" spans="2:19" s="38" customFormat="1" x14ac:dyDescent="0.25">
      <c r="B9" s="96" t="s">
        <v>42</v>
      </c>
      <c r="C9" s="123" t="e">
        <f>(Bericht!E80/Bericht!E43)</f>
        <v>#DIV/0!</v>
      </c>
      <c r="D9" s="9" t="str">
        <f t="shared" ref="D9:D10" si="0">IF($C$6=TRUE,"Un","Uc")</f>
        <v>Un</v>
      </c>
      <c r="E9" s="70" t="s">
        <v>42</v>
      </c>
      <c r="F9" s="123" t="e">
        <f>(Bericht!E99/'Schutzvorgaben und -grenzen'!$J$7)</f>
        <v>#DIV/0!</v>
      </c>
      <c r="G9" s="9" t="str">
        <f>IF($F$6=TRUE,"Un","Uns")</f>
        <v>Uns</v>
      </c>
    </row>
    <row r="10" spans="2:19" s="38" customFormat="1" x14ac:dyDescent="0.25">
      <c r="B10" s="96" t="s">
        <v>41</v>
      </c>
      <c r="C10" s="123" t="e">
        <f>(Bericht!E83/Bericht!E43)</f>
        <v>#DIV/0!</v>
      </c>
      <c r="D10" s="9" t="str">
        <f t="shared" si="0"/>
        <v>Un</v>
      </c>
      <c r="E10" s="70" t="s">
        <v>41</v>
      </c>
      <c r="F10" s="123" t="e">
        <f>(Bericht!E102/'Schutzvorgaben und -grenzen'!$J$7)</f>
        <v>#DIV/0!</v>
      </c>
      <c r="G10" s="9" t="str">
        <f>IF($F$6=TRUE,"Un","Uns")</f>
        <v>Uns</v>
      </c>
      <c r="J10" s="55"/>
      <c r="K10" s="55"/>
      <c r="L10" s="55"/>
      <c r="M10" s="55"/>
      <c r="N10" s="55"/>
      <c r="O10" s="19"/>
      <c r="P10" s="19"/>
      <c r="Q10" s="19"/>
    </row>
    <row r="11" spans="2:19" s="38" customFormat="1" x14ac:dyDescent="0.25">
      <c r="B11" s="96" t="s">
        <v>49</v>
      </c>
      <c r="C11" s="123" t="e">
        <f>(Bericht!E86/Bericht!E43)</f>
        <v>#DIV/0!</v>
      </c>
      <c r="D11" s="9" t="str">
        <f>IF($C$6=TRUE,"Un","Uc")</f>
        <v>Un</v>
      </c>
      <c r="E11" s="70" t="s">
        <v>49</v>
      </c>
      <c r="F11" s="123" t="e">
        <f>(Bericht!E105/'Schutzvorgaben und -grenzen'!$J$7)</f>
        <v>#DIV/0!</v>
      </c>
      <c r="G11" s="9" t="str">
        <f>IF($F$6=TRUE,"Un","Uns")</f>
        <v>Uns</v>
      </c>
      <c r="J11" s="55"/>
      <c r="K11" s="55"/>
      <c r="L11" s="55"/>
      <c r="M11" s="55"/>
      <c r="N11" s="55"/>
      <c r="O11" s="19"/>
      <c r="P11" s="19"/>
      <c r="Q11" s="19"/>
    </row>
    <row r="12" spans="2:19" s="38" customFormat="1" x14ac:dyDescent="0.25">
      <c r="B12" s="51"/>
      <c r="C12" s="50"/>
      <c r="D12" s="52"/>
      <c r="E12" s="51"/>
      <c r="F12" s="50"/>
      <c r="G12" s="52"/>
      <c r="J12" s="55"/>
      <c r="K12" s="55"/>
      <c r="L12" s="55"/>
      <c r="M12" s="55"/>
      <c r="N12" s="55"/>
      <c r="O12" s="19"/>
      <c r="P12" s="19"/>
      <c r="Q12" s="19"/>
    </row>
    <row r="13" spans="2:19" s="38" customFormat="1" x14ac:dyDescent="0.25">
      <c r="I13" s="43"/>
      <c r="J13" s="19"/>
      <c r="K13" s="19"/>
      <c r="L13" s="19"/>
      <c r="M13" s="19"/>
      <c r="N13" s="19"/>
      <c r="O13" s="19"/>
      <c r="P13" s="19"/>
      <c r="Q13" s="19"/>
    </row>
    <row r="14" spans="2:19" s="38" customFormat="1" x14ac:dyDescent="0.25">
      <c r="B14" s="1021" t="s">
        <v>66</v>
      </c>
      <c r="C14" s="1022"/>
      <c r="D14" s="1022"/>
      <c r="E14" s="1022"/>
      <c r="F14" s="1022"/>
      <c r="G14" s="1022"/>
      <c r="H14" s="1023"/>
      <c r="I14" s="43"/>
      <c r="J14" s="19"/>
      <c r="K14" s="19"/>
      <c r="L14" s="19"/>
      <c r="M14" s="19"/>
      <c r="N14" s="19"/>
      <c r="O14" s="19"/>
      <c r="P14" s="19"/>
      <c r="Q14" s="19"/>
    </row>
    <row r="15" spans="2:19" s="38" customFormat="1" x14ac:dyDescent="0.25">
      <c r="B15" s="1024"/>
      <c r="C15" s="1025"/>
      <c r="D15" s="1025"/>
      <c r="E15" s="1025"/>
      <c r="F15" s="1025"/>
      <c r="G15" s="1025"/>
      <c r="H15" s="1026"/>
      <c r="I15" s="43"/>
      <c r="J15" s="19"/>
      <c r="K15" s="19"/>
      <c r="L15" s="19"/>
      <c r="M15" s="19"/>
      <c r="N15" s="19"/>
      <c r="O15" s="19"/>
      <c r="P15" s="19"/>
      <c r="Q15" s="19"/>
    </row>
    <row r="16" spans="2:19" s="38" customFormat="1" ht="18" x14ac:dyDescent="0.35">
      <c r="B16" s="70" t="s">
        <v>40</v>
      </c>
      <c r="C16" s="47" t="e">
        <f>IF($F$6=TRUE,F8*$J$5,F8*$J$7)</f>
        <v>#DIV/0!</v>
      </c>
      <c r="D16" s="69" t="s">
        <v>94</v>
      </c>
      <c r="E16" s="48" t="e">
        <f>C16/SQRT(3)</f>
        <v>#DIV/0!</v>
      </c>
      <c r="F16" s="69" t="s">
        <v>93</v>
      </c>
      <c r="G16" s="49" t="e">
        <f>C16/$J$5</f>
        <v>#DIV/0!</v>
      </c>
      <c r="H16" s="69" t="s">
        <v>64</v>
      </c>
      <c r="I16" s="43"/>
      <c r="J16" s="19"/>
      <c r="K16" s="19"/>
      <c r="L16" s="19"/>
      <c r="M16" s="19"/>
      <c r="N16" s="19"/>
      <c r="O16" s="19"/>
      <c r="P16" s="19"/>
      <c r="Q16" s="19"/>
    </row>
    <row r="17" spans="1:17" s="38" customFormat="1" ht="18" x14ac:dyDescent="0.35">
      <c r="B17" s="70" t="s">
        <v>42</v>
      </c>
      <c r="C17" s="47" t="e">
        <f t="shared" ref="C17:C18" si="1">IF($F$6=TRUE,F9*$J$5,F9*$J$7)</f>
        <v>#DIV/0!</v>
      </c>
      <c r="D17" s="69" t="s">
        <v>94</v>
      </c>
      <c r="E17" s="48" t="e">
        <f>C17/SQRT(3)</f>
        <v>#DIV/0!</v>
      </c>
      <c r="F17" s="69" t="s">
        <v>93</v>
      </c>
      <c r="G17" s="49" t="e">
        <f>C17/$J$5</f>
        <v>#DIV/0!</v>
      </c>
      <c r="H17" s="69" t="s">
        <v>64</v>
      </c>
      <c r="I17" s="43"/>
      <c r="J17" s="19"/>
      <c r="K17" s="19"/>
      <c r="L17" s="19"/>
      <c r="M17" s="19"/>
      <c r="N17" s="19"/>
      <c r="O17" s="19"/>
      <c r="P17" s="19"/>
      <c r="Q17" s="19"/>
    </row>
    <row r="18" spans="1:17" s="38" customFormat="1" ht="18" x14ac:dyDescent="0.35">
      <c r="B18" s="70" t="s">
        <v>41</v>
      </c>
      <c r="C18" s="47" t="e">
        <f t="shared" si="1"/>
        <v>#DIV/0!</v>
      </c>
      <c r="D18" s="69" t="s">
        <v>94</v>
      </c>
      <c r="E18" s="48" t="e">
        <f>C18/SQRT(3)</f>
        <v>#DIV/0!</v>
      </c>
      <c r="F18" s="69" t="s">
        <v>93</v>
      </c>
      <c r="G18" s="49" t="e">
        <f>C18/$J$5</f>
        <v>#DIV/0!</v>
      </c>
      <c r="H18" s="69" t="s">
        <v>64</v>
      </c>
      <c r="I18" s="43"/>
      <c r="J18" s="19"/>
      <c r="K18" s="19"/>
      <c r="L18" s="19"/>
      <c r="M18" s="19"/>
      <c r="N18" s="19"/>
      <c r="O18" s="19"/>
      <c r="P18" s="19"/>
      <c r="Q18" s="19"/>
    </row>
    <row r="19" spans="1:17" s="38" customFormat="1" ht="18" x14ac:dyDescent="0.35">
      <c r="B19" s="70" t="s">
        <v>49</v>
      </c>
      <c r="C19" s="47" t="e">
        <f>IF($F$6=TRUE,F11*$J$5,F11*$J$7)</f>
        <v>#DIV/0!</v>
      </c>
      <c r="D19" s="69" t="s">
        <v>94</v>
      </c>
      <c r="E19" s="48" t="e">
        <f>C19/SQRT(3)</f>
        <v>#DIV/0!</v>
      </c>
      <c r="F19" s="69" t="s">
        <v>93</v>
      </c>
      <c r="G19" s="49" t="e">
        <f>C19/$J$5</f>
        <v>#DIV/0!</v>
      </c>
      <c r="H19" s="69" t="s">
        <v>64</v>
      </c>
      <c r="I19" s="43"/>
      <c r="J19" s="19"/>
      <c r="K19" s="19"/>
      <c r="L19" s="19"/>
      <c r="M19" s="19"/>
      <c r="N19" s="19"/>
      <c r="O19" s="19"/>
      <c r="P19" s="19"/>
      <c r="Q19" s="19"/>
    </row>
    <row r="20" spans="1:17" s="38" customFormat="1" ht="33" x14ac:dyDescent="0.25">
      <c r="B20" s="94" t="s">
        <v>97</v>
      </c>
      <c r="C20" s="47" t="e">
        <f>J7*0.95</f>
        <v>#DIV/0!</v>
      </c>
      <c r="D20" s="9" t="s">
        <v>94</v>
      </c>
      <c r="E20" s="47" t="e">
        <f>C20/SQRT(3)</f>
        <v>#DIV/0!</v>
      </c>
      <c r="F20" s="9" t="s">
        <v>93</v>
      </c>
      <c r="G20" s="46" t="e">
        <f>C20/$J$5</f>
        <v>#DIV/0!</v>
      </c>
      <c r="H20" s="9" t="s">
        <v>64</v>
      </c>
      <c r="I20" s="43"/>
      <c r="J20" s="19"/>
      <c r="K20" s="19"/>
      <c r="L20" s="19"/>
      <c r="M20" s="19"/>
      <c r="N20" s="19"/>
      <c r="O20" s="19"/>
      <c r="P20" s="19"/>
      <c r="Q20" s="19"/>
    </row>
    <row r="21" spans="1:17" x14ac:dyDescent="0.25">
      <c r="A21" s="41"/>
      <c r="B21" s="38"/>
      <c r="C21" s="38"/>
      <c r="D21" s="38"/>
      <c r="E21" s="37"/>
      <c r="F21" s="38"/>
      <c r="G21" s="38"/>
      <c r="H21" s="38"/>
      <c r="I21" s="43"/>
      <c r="J21" s="19"/>
      <c r="K21" s="19"/>
      <c r="L21" s="19"/>
      <c r="M21" s="19"/>
      <c r="N21" s="19"/>
      <c r="O21" s="19"/>
      <c r="P21" s="19"/>
      <c r="Q21" s="19"/>
    </row>
    <row r="22" spans="1:17" x14ac:dyDescent="0.25">
      <c r="A22" s="41"/>
      <c r="B22" s="38"/>
      <c r="C22" s="38"/>
      <c r="D22" s="38"/>
      <c r="E22" s="38"/>
      <c r="F22" s="38"/>
      <c r="G22" s="38"/>
      <c r="H22" s="38"/>
      <c r="I22" s="43"/>
      <c r="J22" s="19"/>
      <c r="K22" s="19"/>
      <c r="L22" s="19"/>
      <c r="M22" s="19"/>
      <c r="N22" s="19"/>
      <c r="O22" s="19"/>
      <c r="P22" s="19"/>
      <c r="Q22" s="19"/>
    </row>
    <row r="23" spans="1:17" ht="15.75" customHeight="1" x14ac:dyDescent="0.25">
      <c r="A23" s="41"/>
      <c r="B23" s="951" t="s">
        <v>68</v>
      </c>
      <c r="C23" s="951"/>
      <c r="D23" s="951"/>
      <c r="E23" s="951"/>
      <c r="F23" s="951"/>
      <c r="G23" s="951"/>
      <c r="H23" s="951"/>
      <c r="I23" s="43"/>
      <c r="J23" s="19"/>
      <c r="K23" s="19"/>
      <c r="L23" s="19"/>
      <c r="M23" s="19"/>
      <c r="N23" s="19"/>
      <c r="O23" s="19"/>
      <c r="P23" s="19"/>
      <c r="Q23" s="19"/>
    </row>
    <row r="24" spans="1:17" ht="15.75" customHeight="1" x14ac:dyDescent="0.25">
      <c r="A24" s="41"/>
      <c r="B24" s="951"/>
      <c r="C24" s="951"/>
      <c r="D24" s="951"/>
      <c r="E24" s="951"/>
      <c r="F24" s="951"/>
      <c r="G24" s="951"/>
      <c r="H24" s="951"/>
      <c r="I24" s="38"/>
      <c r="J24" s="19"/>
      <c r="K24" s="19"/>
      <c r="L24" s="19"/>
      <c r="M24" s="19"/>
      <c r="N24" s="19"/>
      <c r="O24" s="19"/>
      <c r="P24" s="19"/>
      <c r="Q24" s="19"/>
    </row>
    <row r="25" spans="1:17" x14ac:dyDescent="0.25">
      <c r="A25" s="41"/>
      <c r="B25" s="951"/>
      <c r="C25" s="951"/>
      <c r="D25" s="951"/>
      <c r="E25" s="951"/>
      <c r="F25" s="951"/>
      <c r="G25" s="951"/>
      <c r="H25" s="951"/>
      <c r="I25" s="41"/>
      <c r="J25" s="19"/>
      <c r="K25" s="19"/>
      <c r="L25" s="19"/>
      <c r="M25" s="19"/>
      <c r="N25" s="19"/>
      <c r="O25" s="19"/>
      <c r="P25" s="19"/>
      <c r="Q25" s="19"/>
    </row>
    <row r="26" spans="1:17" x14ac:dyDescent="0.25">
      <c r="A26" s="41"/>
      <c r="B26" s="1027" t="s">
        <v>39</v>
      </c>
      <c r="C26" s="1027" t="s">
        <v>55</v>
      </c>
      <c r="D26" s="1027"/>
      <c r="E26" s="1027"/>
      <c r="F26" s="1027" t="s">
        <v>58</v>
      </c>
      <c r="G26" s="1027"/>
      <c r="H26" s="1027"/>
      <c r="I26" s="41"/>
      <c r="J26" s="19"/>
      <c r="K26" s="19"/>
      <c r="L26" s="19"/>
      <c r="M26" s="19"/>
      <c r="N26" s="19"/>
      <c r="O26" s="19"/>
      <c r="P26" s="19"/>
      <c r="Q26" s="19"/>
    </row>
    <row r="27" spans="1:17" x14ac:dyDescent="0.25">
      <c r="A27" s="41"/>
      <c r="B27" s="1027"/>
      <c r="C27" s="1027"/>
      <c r="D27" s="1027"/>
      <c r="E27" s="1027"/>
      <c r="F27" s="1027"/>
      <c r="G27" s="1027"/>
      <c r="H27" s="1027"/>
      <c r="I27" s="41"/>
      <c r="J27" s="19"/>
      <c r="K27" s="19"/>
      <c r="L27" s="19"/>
      <c r="M27" s="19"/>
      <c r="N27" s="19"/>
      <c r="O27" s="19"/>
      <c r="P27" s="19"/>
      <c r="Q27" s="19"/>
    </row>
    <row r="28" spans="1:17" x14ac:dyDescent="0.25">
      <c r="A28" s="87" t="str">
        <f>IF($C$6=TRUE,"Un =","Uc =")</f>
        <v>Un =</v>
      </c>
      <c r="B28" s="47">
        <f>IF($C$6=TRUE,Berechnungen!L4,Berechnungen!L5)</f>
        <v>0</v>
      </c>
      <c r="C28" s="71" t="s">
        <v>59</v>
      </c>
      <c r="D28" s="71" t="s">
        <v>56</v>
      </c>
      <c r="E28" s="71" t="s">
        <v>60</v>
      </c>
      <c r="F28" s="71" t="s">
        <v>109</v>
      </c>
      <c r="G28" s="71" t="s">
        <v>56</v>
      </c>
      <c r="H28" s="71" t="s">
        <v>110</v>
      </c>
      <c r="I28" s="41"/>
      <c r="J28" s="19"/>
      <c r="K28" s="19"/>
      <c r="L28" s="19"/>
      <c r="M28" s="19"/>
      <c r="N28" s="19"/>
      <c r="O28" s="19"/>
      <c r="P28" s="19"/>
      <c r="Q28" s="19"/>
    </row>
    <row r="29" spans="1:17" x14ac:dyDescent="0.25">
      <c r="A29" s="41"/>
      <c r="B29" s="71" t="s">
        <v>42</v>
      </c>
      <c r="C29" s="45" t="e">
        <f>IF($C$6=TRUE,$C$9*Berechnungen!$L$4,$C$9*Berechnungen!$L$5)</f>
        <v>#DIV/0!</v>
      </c>
      <c r="D29" s="45" t="e">
        <f>IF($C$6=TRUE,$C$9*Berechnungen!$L$4,$C$9*Berechnungen!$L$5)</f>
        <v>#DIV/0!</v>
      </c>
      <c r="E29" s="45" t="e">
        <f>IF($C$6=TRUE,$C$9*Berechnungen!$L$4,$C$9*Berechnungen!$L$5)</f>
        <v>#DIV/0!</v>
      </c>
      <c r="F29" s="45" t="e">
        <f>C29/Berechnungen!$L$4</f>
        <v>#DIV/0!</v>
      </c>
      <c r="G29" s="45" t="e">
        <f>D29/Berechnungen!$L$4</f>
        <v>#DIV/0!</v>
      </c>
      <c r="H29" s="45" t="e">
        <f>E29/Berechnungen!$L$4</f>
        <v>#DIV/0!</v>
      </c>
      <c r="I29" s="44"/>
      <c r="J29" s="19"/>
      <c r="K29" s="19"/>
      <c r="L29" s="19"/>
      <c r="M29" s="19"/>
      <c r="N29" s="19"/>
      <c r="O29" s="19"/>
      <c r="P29" s="19"/>
      <c r="Q29" s="19"/>
    </row>
    <row r="30" spans="1:17" x14ac:dyDescent="0.25">
      <c r="A30" s="41"/>
      <c r="B30" s="71" t="s">
        <v>41</v>
      </c>
      <c r="C30" s="45" t="e">
        <f>IF($C$6=TRUE,$C$10*Berechnungen!$L$4,$C$10*Berechnungen!$L$5)</f>
        <v>#DIV/0!</v>
      </c>
      <c r="D30" s="45" t="e">
        <f>IF($C$6=TRUE,$C$10*Berechnungen!$L$4,$C$10*Berechnungen!$L$5)</f>
        <v>#DIV/0!</v>
      </c>
      <c r="E30" s="45" t="e">
        <f>IF($C$6=TRUE,$C$10*Berechnungen!$L$4,$C$10*Berechnungen!$L$5)</f>
        <v>#DIV/0!</v>
      </c>
      <c r="F30" s="45" t="e">
        <f>C30/Berechnungen!$L$4</f>
        <v>#DIV/0!</v>
      </c>
      <c r="G30" s="45" t="e">
        <f>D30/Berechnungen!$L$4</f>
        <v>#DIV/0!</v>
      </c>
      <c r="H30" s="45" t="e">
        <f>E30/Berechnungen!$L$4</f>
        <v>#DIV/0!</v>
      </c>
      <c r="I30" s="44"/>
      <c r="J30" s="19"/>
      <c r="K30" s="19"/>
      <c r="L30" s="19"/>
      <c r="M30" s="19"/>
      <c r="N30" s="19"/>
      <c r="O30" s="19"/>
      <c r="P30" s="19"/>
      <c r="Q30" s="19"/>
    </row>
    <row r="31" spans="1:17" x14ac:dyDescent="0.25">
      <c r="A31" s="41"/>
      <c r="B31" s="77" t="s">
        <v>57</v>
      </c>
      <c r="C31" s="553"/>
      <c r="D31" s="553"/>
      <c r="E31" s="553"/>
      <c r="F31" s="45" t="e">
        <f>C31/Berechnungen!$L$4</f>
        <v>#DIV/0!</v>
      </c>
      <c r="G31" s="45" t="e">
        <f>D31/Berechnungen!$L$4</f>
        <v>#DIV/0!</v>
      </c>
      <c r="H31" s="45" t="e">
        <f>E31/Berechnungen!$L$4</f>
        <v>#DIV/0!</v>
      </c>
      <c r="I31" s="44"/>
      <c r="J31" s="19"/>
      <c r="K31" s="19"/>
      <c r="L31" s="19"/>
      <c r="M31" s="19"/>
      <c r="N31" s="19"/>
      <c r="O31" s="19"/>
      <c r="P31" s="19"/>
      <c r="Q31" s="19"/>
    </row>
    <row r="32" spans="1:17" x14ac:dyDescent="0.25">
      <c r="A32" s="41"/>
      <c r="B32" s="1027" t="s">
        <v>43</v>
      </c>
      <c r="C32" s="1027" t="s">
        <v>55</v>
      </c>
      <c r="D32" s="1027"/>
      <c r="E32" s="1027"/>
      <c r="F32" s="1027" t="s">
        <v>58</v>
      </c>
      <c r="G32" s="1027"/>
      <c r="H32" s="1027"/>
      <c r="I32" s="44"/>
      <c r="J32" s="19"/>
      <c r="K32" s="19"/>
      <c r="L32" s="19"/>
      <c r="M32" s="19"/>
      <c r="N32" s="19"/>
      <c r="O32" s="19"/>
      <c r="P32" s="19"/>
      <c r="Q32" s="19"/>
    </row>
    <row r="33" spans="1:17" x14ac:dyDescent="0.25">
      <c r="A33" s="41"/>
      <c r="B33" s="1027"/>
      <c r="C33" s="1027"/>
      <c r="D33" s="1027"/>
      <c r="E33" s="1027"/>
      <c r="F33" s="1027"/>
      <c r="G33" s="1027"/>
      <c r="H33" s="1027"/>
      <c r="I33" s="43"/>
      <c r="J33" s="19"/>
      <c r="K33" s="19"/>
      <c r="L33" s="19"/>
      <c r="M33" s="19"/>
      <c r="N33" s="19"/>
      <c r="O33" s="19"/>
      <c r="P33" s="19"/>
      <c r="Q33" s="19"/>
    </row>
    <row r="34" spans="1:17" ht="18" x14ac:dyDescent="0.25">
      <c r="A34" s="53" t="s">
        <v>108</v>
      </c>
      <c r="B34" s="95">
        <f>J5</f>
        <v>0</v>
      </c>
      <c r="C34" s="71" t="s">
        <v>59</v>
      </c>
      <c r="D34" s="71" t="s">
        <v>56</v>
      </c>
      <c r="E34" s="71" t="s">
        <v>60</v>
      </c>
      <c r="F34" s="71" t="s">
        <v>416</v>
      </c>
      <c r="G34" s="71" t="s">
        <v>56</v>
      </c>
      <c r="H34" s="71" t="s">
        <v>417</v>
      </c>
      <c r="I34" s="41"/>
      <c r="J34" s="19"/>
      <c r="K34" s="19"/>
      <c r="L34" s="19"/>
      <c r="M34" s="19"/>
      <c r="N34" s="19"/>
      <c r="O34" s="19"/>
      <c r="P34" s="19"/>
      <c r="Q34" s="19"/>
    </row>
    <row r="35" spans="1:17" x14ac:dyDescent="0.25">
      <c r="B35" s="71" t="s">
        <v>40</v>
      </c>
      <c r="C35" s="47" t="e">
        <f>IF($F$6=TRUE,$J$5*$F$8,$J$7*$F$8)</f>
        <v>#DIV/0!</v>
      </c>
      <c r="D35" s="47" t="e">
        <f t="shared" ref="D35:E35" si="2">IF($F$6=TRUE,$J$5*$F$8,$J$7*$F$8)</f>
        <v>#DIV/0!</v>
      </c>
      <c r="E35" s="47" t="e">
        <f t="shared" si="2"/>
        <v>#DIV/0!</v>
      </c>
      <c r="F35" s="45" t="e">
        <f>C35/Bericht!$E$286</f>
        <v>#DIV/0!</v>
      </c>
      <c r="G35" s="45" t="e">
        <f>D35/Bericht!$E$286</f>
        <v>#DIV/0!</v>
      </c>
      <c r="H35" s="45" t="e">
        <f>E35/Bericht!$E$286</f>
        <v>#DIV/0!</v>
      </c>
      <c r="I35" s="41"/>
      <c r="J35" s="19"/>
      <c r="K35" s="19"/>
      <c r="L35" s="19"/>
      <c r="M35" s="19"/>
      <c r="N35" s="19"/>
      <c r="O35" s="19"/>
      <c r="P35" s="19"/>
      <c r="Q35" s="19"/>
    </row>
    <row r="36" spans="1:17" x14ac:dyDescent="0.25">
      <c r="A36" s="42"/>
      <c r="B36" s="78" t="s">
        <v>41</v>
      </c>
      <c r="C36" s="47" t="e">
        <f>IF($F$6=TRUE,$J$5*$F$10,$J$7*$F$10)</f>
        <v>#DIV/0!</v>
      </c>
      <c r="D36" s="47" t="e">
        <f t="shared" ref="D36:E36" si="3">IF($F$6=TRUE,$J$5*$F$10,$J$7*$F$10)</f>
        <v>#DIV/0!</v>
      </c>
      <c r="E36" s="47" t="e">
        <f t="shared" si="3"/>
        <v>#DIV/0!</v>
      </c>
      <c r="F36" s="45" t="e">
        <f>C36/Bericht!$E$286</f>
        <v>#DIV/0!</v>
      </c>
      <c r="G36" s="45" t="e">
        <f>D36/Bericht!$E$286</f>
        <v>#DIV/0!</v>
      </c>
      <c r="H36" s="45" t="e">
        <f>E36/Bericht!$E$286</f>
        <v>#DIV/0!</v>
      </c>
      <c r="I36" s="41"/>
      <c r="J36" s="19"/>
      <c r="K36" s="19"/>
      <c r="L36" s="19"/>
      <c r="M36" s="19"/>
      <c r="N36" s="19"/>
      <c r="O36" s="19"/>
      <c r="P36" s="19"/>
      <c r="Q36" s="19"/>
    </row>
    <row r="37" spans="1:17" x14ac:dyDescent="0.25">
      <c r="A37" s="41"/>
      <c r="B37" s="77" t="s">
        <v>722</v>
      </c>
      <c r="C37" s="47">
        <v>440</v>
      </c>
      <c r="D37" s="47">
        <v>440</v>
      </c>
      <c r="E37" s="47">
        <v>440</v>
      </c>
      <c r="F37" s="45" t="e">
        <f>C37/Bericht!$E$286</f>
        <v>#DIV/0!</v>
      </c>
      <c r="G37" s="45" t="e">
        <f>D37/Bericht!$E$286</f>
        <v>#DIV/0!</v>
      </c>
      <c r="H37" s="45" t="e">
        <f>E37/Bericht!$E$286</f>
        <v>#DIV/0!</v>
      </c>
      <c r="I37" s="41"/>
      <c r="J37" s="55"/>
      <c r="K37" s="55"/>
      <c r="L37" s="55"/>
      <c r="M37" s="55"/>
      <c r="N37" s="55"/>
      <c r="O37" s="19"/>
      <c r="P37" s="19"/>
      <c r="Q37" s="19"/>
    </row>
    <row r="38" spans="1:17" x14ac:dyDescent="0.25">
      <c r="A38" s="42"/>
      <c r="B38" s="77" t="s">
        <v>723</v>
      </c>
      <c r="C38" s="47">
        <v>360</v>
      </c>
      <c r="D38" s="47">
        <v>360</v>
      </c>
      <c r="E38" s="47">
        <v>360</v>
      </c>
      <c r="F38" s="45" t="e">
        <f>C38/Bericht!$E$286</f>
        <v>#DIV/0!</v>
      </c>
      <c r="G38" s="45" t="e">
        <f>D38/Bericht!$E$286</f>
        <v>#DIV/0!</v>
      </c>
      <c r="H38" s="45" t="e">
        <f>E38/Bericht!$E$286</f>
        <v>#DIV/0!</v>
      </c>
      <c r="I38" s="42"/>
      <c r="J38" s="55"/>
      <c r="K38" s="55"/>
      <c r="L38" s="55"/>
      <c r="M38" s="55"/>
      <c r="N38" s="55"/>
      <c r="O38" s="19"/>
      <c r="P38" s="19"/>
      <c r="Q38" s="19"/>
    </row>
    <row r="39" spans="1:17" x14ac:dyDescent="0.25">
      <c r="A39" s="41"/>
      <c r="B39" s="77" t="s">
        <v>593</v>
      </c>
      <c r="C39" s="553"/>
      <c r="D39" s="553"/>
      <c r="E39" s="553"/>
      <c r="F39" s="45" t="e">
        <f>C39/Bericht!$E$286</f>
        <v>#DIV/0!</v>
      </c>
      <c r="G39" s="45" t="e">
        <f>D39/Bericht!$E$286</f>
        <v>#DIV/0!</v>
      </c>
      <c r="H39" s="45" t="e">
        <f>E39/Bericht!$E$286</f>
        <v>#DIV/0!</v>
      </c>
      <c r="I39" s="41"/>
      <c r="J39" s="55"/>
      <c r="K39" s="55"/>
      <c r="L39" s="55"/>
      <c r="M39" s="55"/>
      <c r="N39" s="55"/>
      <c r="O39" s="19"/>
      <c r="P39" s="19"/>
      <c r="Q39" s="19"/>
    </row>
    <row r="40" spans="1:17" x14ac:dyDescent="0.25">
      <c r="A40" s="41"/>
      <c r="B40" s="77" t="s">
        <v>594</v>
      </c>
      <c r="C40" s="553"/>
      <c r="D40" s="553"/>
      <c r="E40" s="553"/>
      <c r="F40" s="45" t="e">
        <f>C40/Bericht!$E$286</f>
        <v>#DIV/0!</v>
      </c>
      <c r="G40" s="45" t="e">
        <f>D40/Bericht!$E$286</f>
        <v>#DIV/0!</v>
      </c>
      <c r="H40" s="45" t="e">
        <f>E40/Bericht!$E$286</f>
        <v>#DIV/0!</v>
      </c>
      <c r="I40" s="41"/>
      <c r="J40" s="55"/>
      <c r="K40" s="55"/>
      <c r="L40" s="55"/>
      <c r="M40" s="55"/>
      <c r="N40" s="55"/>
      <c r="O40" s="19"/>
      <c r="P40" s="19"/>
      <c r="Q40" s="19"/>
    </row>
    <row r="41" spans="1:17" x14ac:dyDescent="0.25">
      <c r="A41" s="41"/>
      <c r="B41" s="77" t="s">
        <v>595</v>
      </c>
      <c r="C41" s="553"/>
      <c r="D41" s="553"/>
      <c r="E41" s="553"/>
      <c r="F41" s="45" t="e">
        <f>C41/Bericht!$E$286</f>
        <v>#DIV/0!</v>
      </c>
      <c r="G41" s="45" t="e">
        <f>D41/Bericht!$E$286</f>
        <v>#DIV/0!</v>
      </c>
      <c r="H41" s="45" t="e">
        <f>E41/Bericht!$E$286</f>
        <v>#DIV/0!</v>
      </c>
      <c r="I41" s="41"/>
      <c r="J41" s="55"/>
      <c r="K41" s="55"/>
      <c r="L41" s="55"/>
      <c r="M41" s="55"/>
      <c r="N41" s="55"/>
      <c r="O41" s="19"/>
      <c r="P41" s="19"/>
      <c r="Q41" s="19"/>
    </row>
    <row r="42" spans="1:17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55"/>
      <c r="K42" s="55"/>
      <c r="L42" s="55"/>
      <c r="M42" s="55"/>
      <c r="N42" s="55"/>
      <c r="O42" s="19"/>
      <c r="P42" s="19"/>
      <c r="Q42" s="19"/>
    </row>
    <row r="43" spans="1:17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55"/>
      <c r="K43" s="55"/>
      <c r="L43" s="55"/>
      <c r="M43" s="55"/>
      <c r="N43" s="55"/>
      <c r="O43" s="19"/>
      <c r="P43" s="19"/>
      <c r="Q43" s="19"/>
    </row>
    <row r="44" spans="1:17" x14ac:dyDescent="0.25">
      <c r="A44" s="41"/>
      <c r="B44" s="41"/>
      <c r="C44" s="41"/>
      <c r="D44" s="41"/>
      <c r="E44" s="41"/>
      <c r="F44" s="41"/>
      <c r="G44" s="41"/>
      <c r="H44" s="41"/>
      <c r="I44" s="41"/>
      <c r="J44" s="55"/>
      <c r="K44" s="55"/>
      <c r="L44" s="55"/>
      <c r="M44" s="55"/>
      <c r="N44" s="55"/>
      <c r="O44" s="19"/>
      <c r="P44" s="19"/>
      <c r="Q44" s="19"/>
    </row>
    <row r="45" spans="1:17" x14ac:dyDescent="0.25">
      <c r="A45" s="41"/>
      <c r="B45" s="41"/>
      <c r="C45" s="41"/>
      <c r="D45" s="41"/>
      <c r="E45" s="41"/>
      <c r="F45" s="41"/>
      <c r="G45" s="41"/>
      <c r="H45" s="41"/>
      <c r="I45" s="41"/>
      <c r="J45" s="55"/>
      <c r="K45" s="55"/>
      <c r="L45" s="55"/>
      <c r="M45" s="55"/>
      <c r="N45" s="55"/>
      <c r="O45" s="19"/>
      <c r="P45" s="19"/>
      <c r="Q45" s="19"/>
    </row>
    <row r="46" spans="1:17" x14ac:dyDescent="0.25">
      <c r="A46" s="41"/>
      <c r="B46" s="41"/>
      <c r="C46" s="41"/>
      <c r="D46" s="41"/>
      <c r="E46" s="41"/>
      <c r="F46" s="41"/>
      <c r="G46" s="41"/>
      <c r="H46" s="41"/>
      <c r="I46" s="41"/>
      <c r="J46" s="55"/>
      <c r="K46" s="55"/>
      <c r="L46" s="55"/>
      <c r="M46" s="91" t="s">
        <v>99</v>
      </c>
      <c r="N46" s="92" t="s">
        <v>98</v>
      </c>
      <c r="O46" s="19"/>
      <c r="P46" s="19"/>
      <c r="Q46" s="19"/>
    </row>
    <row r="47" spans="1:17" x14ac:dyDescent="0.25">
      <c r="A47" s="41"/>
      <c r="B47" s="41"/>
      <c r="C47" s="41"/>
      <c r="D47" s="41"/>
      <c r="E47" s="41"/>
      <c r="F47" s="41"/>
      <c r="G47" s="41"/>
      <c r="H47" s="41"/>
      <c r="I47" s="41"/>
      <c r="J47" s="55"/>
      <c r="K47" s="19"/>
      <c r="L47" s="55"/>
      <c r="M47" s="19"/>
      <c r="N47" s="19"/>
      <c r="O47" s="19"/>
      <c r="P47" s="19"/>
      <c r="Q47" s="19"/>
    </row>
    <row r="48" spans="1:17" x14ac:dyDescent="0.25">
      <c r="A48" s="41"/>
      <c r="B48" s="41"/>
      <c r="J48" s="55"/>
      <c r="K48" s="55"/>
      <c r="L48" s="55"/>
      <c r="M48" s="55"/>
      <c r="N48" s="55"/>
      <c r="O48" s="19"/>
      <c r="P48" s="19"/>
      <c r="Q48" s="19"/>
    </row>
    <row r="49" spans="1:17" x14ac:dyDescent="0.25">
      <c r="A49" s="41"/>
      <c r="B49" s="41"/>
      <c r="J49" s="55"/>
      <c r="K49" s="55"/>
      <c r="L49" s="55"/>
      <c r="M49" s="55"/>
      <c r="N49" s="55"/>
      <c r="O49" s="19"/>
      <c r="P49" s="19"/>
      <c r="Q49" s="19"/>
    </row>
    <row r="50" spans="1:17" x14ac:dyDescent="0.25">
      <c r="A50" s="41"/>
      <c r="B50" s="41"/>
      <c r="J50" s="55"/>
      <c r="K50" s="55"/>
      <c r="L50" s="55"/>
      <c r="M50" s="55"/>
      <c r="N50" s="55"/>
      <c r="O50" s="19"/>
      <c r="P50" s="19"/>
      <c r="Q50" s="19"/>
    </row>
    <row r="51" spans="1:17" x14ac:dyDescent="0.25">
      <c r="A51" s="41"/>
      <c r="B51" s="41"/>
      <c r="J51" s="55"/>
      <c r="K51" s="55"/>
      <c r="L51" s="55"/>
      <c r="M51" s="55"/>
      <c r="N51" s="55"/>
      <c r="O51" s="19"/>
      <c r="P51" s="19"/>
      <c r="Q51" s="19"/>
    </row>
    <row r="52" spans="1:17" x14ac:dyDescent="0.25">
      <c r="A52" s="41"/>
      <c r="B52" s="41"/>
      <c r="J52" s="55"/>
      <c r="K52" s="55"/>
      <c r="L52" s="55"/>
      <c r="M52" s="55"/>
      <c r="N52" s="55"/>
      <c r="O52" s="19"/>
      <c r="P52" s="19"/>
      <c r="Q52" s="19"/>
    </row>
    <row r="53" spans="1:17" x14ac:dyDescent="0.25">
      <c r="A53" s="41"/>
      <c r="B53" s="41"/>
      <c r="J53" s="55"/>
      <c r="K53" s="55"/>
      <c r="L53" s="55"/>
      <c r="M53" s="55"/>
      <c r="N53" s="55"/>
      <c r="O53" s="19"/>
      <c r="P53" s="19"/>
      <c r="Q53" s="19"/>
    </row>
    <row r="54" spans="1:17" x14ac:dyDescent="0.25">
      <c r="A54" s="41"/>
      <c r="B54" s="41"/>
      <c r="J54" s="55"/>
      <c r="K54" s="55"/>
      <c r="L54" s="55"/>
      <c r="M54" s="55"/>
      <c r="N54" s="55"/>
      <c r="O54" s="19"/>
      <c r="P54" s="19"/>
      <c r="Q54" s="19"/>
    </row>
    <row r="55" spans="1:17" x14ac:dyDescent="0.25">
      <c r="A55" s="41"/>
      <c r="B55" s="41"/>
      <c r="J55" s="55"/>
      <c r="K55" s="55"/>
      <c r="L55" s="55"/>
      <c r="M55" s="55"/>
      <c r="N55" s="55"/>
      <c r="O55" s="19"/>
      <c r="P55" s="19"/>
      <c r="Q55" s="19"/>
    </row>
    <row r="56" spans="1:17" x14ac:dyDescent="0.25">
      <c r="A56" s="41"/>
      <c r="B56" s="41"/>
      <c r="J56" s="55"/>
      <c r="K56" s="55"/>
      <c r="L56" s="55"/>
      <c r="M56" s="55"/>
      <c r="N56" s="55"/>
      <c r="O56" s="19"/>
      <c r="P56" s="19"/>
      <c r="Q56" s="19"/>
    </row>
    <row r="57" spans="1:17" x14ac:dyDescent="0.25">
      <c r="A57" s="41"/>
      <c r="B57" s="41"/>
      <c r="J57" s="55"/>
      <c r="K57" s="55"/>
      <c r="L57" s="55"/>
      <c r="M57" s="55"/>
      <c r="N57" s="55"/>
      <c r="O57" s="19"/>
      <c r="P57" s="19"/>
      <c r="Q57" s="19"/>
    </row>
    <row r="58" spans="1:17" x14ac:dyDescent="0.25">
      <c r="A58" s="41"/>
      <c r="B58" s="41"/>
      <c r="J58" s="55"/>
      <c r="K58" s="55"/>
      <c r="L58" s="55"/>
      <c r="M58" s="55"/>
      <c r="N58" s="55"/>
      <c r="O58" s="19"/>
      <c r="P58" s="19"/>
      <c r="Q58" s="19"/>
    </row>
    <row r="59" spans="1:17" x14ac:dyDescent="0.25">
      <c r="J59" s="55"/>
      <c r="K59" s="55"/>
      <c r="L59" s="55"/>
      <c r="M59" s="55"/>
      <c r="N59" s="55"/>
      <c r="O59" s="19"/>
      <c r="P59" s="19"/>
      <c r="Q59" s="19"/>
    </row>
    <row r="60" spans="1:17" x14ac:dyDescent="0.25">
      <c r="J60" s="55"/>
      <c r="K60" s="55"/>
      <c r="L60" s="55"/>
      <c r="M60" s="55"/>
      <c r="N60" s="55"/>
      <c r="O60" s="19"/>
      <c r="P60" s="19"/>
      <c r="Q60" s="19"/>
    </row>
    <row r="61" spans="1:17" x14ac:dyDescent="0.25">
      <c r="J61" s="55"/>
      <c r="K61" s="55"/>
      <c r="L61" s="55"/>
      <c r="M61" s="55"/>
      <c r="N61" s="55"/>
      <c r="O61" s="19"/>
      <c r="P61" s="19"/>
      <c r="Q61" s="19"/>
    </row>
    <row r="62" spans="1:17" x14ac:dyDescent="0.25">
      <c r="J62" s="55"/>
      <c r="K62" s="55"/>
      <c r="L62" s="55"/>
      <c r="M62" s="55"/>
      <c r="N62" s="55"/>
      <c r="O62" s="19"/>
      <c r="P62" s="19"/>
      <c r="Q62" s="19"/>
    </row>
    <row r="63" spans="1:17" x14ac:dyDescent="0.25">
      <c r="J63" s="55"/>
      <c r="K63" s="55"/>
      <c r="L63" s="55"/>
      <c r="M63" s="55"/>
      <c r="N63" s="55"/>
      <c r="O63" s="19"/>
      <c r="P63" s="19"/>
      <c r="Q63" s="19"/>
    </row>
    <row r="64" spans="1:17" x14ac:dyDescent="0.25">
      <c r="J64" s="55"/>
      <c r="K64" s="55"/>
      <c r="L64" s="55"/>
      <c r="M64" s="55"/>
      <c r="N64" s="55"/>
      <c r="O64" s="19"/>
      <c r="P64" s="19"/>
      <c r="Q64" s="19"/>
    </row>
    <row r="65" spans="10:18" x14ac:dyDescent="0.25">
      <c r="J65" s="55"/>
      <c r="K65" s="55"/>
      <c r="L65" s="55"/>
      <c r="M65" s="55"/>
      <c r="N65" s="55"/>
      <c r="O65" s="19"/>
      <c r="P65" s="19"/>
      <c r="Q65" s="19"/>
    </row>
    <row r="66" spans="10:18" x14ac:dyDescent="0.25">
      <c r="J66" s="55"/>
      <c r="K66" s="55"/>
      <c r="L66" s="55"/>
      <c r="M66" s="55"/>
      <c r="N66" s="55"/>
      <c r="O66" s="19"/>
      <c r="P66" s="19"/>
      <c r="Q66" s="19"/>
    </row>
    <row r="67" spans="10:18" x14ac:dyDescent="0.25">
      <c r="J67" s="88"/>
      <c r="K67" s="88"/>
      <c r="L67" s="88"/>
      <c r="M67" s="88"/>
      <c r="N67" s="88"/>
      <c r="O67" s="88"/>
      <c r="P67" s="88"/>
      <c r="Q67" s="88"/>
      <c r="R67" s="88"/>
    </row>
  </sheetData>
  <mergeCells count="14">
    <mergeCell ref="I2:K3"/>
    <mergeCell ref="B4:D5"/>
    <mergeCell ref="E4:G5"/>
    <mergeCell ref="B6:B7"/>
    <mergeCell ref="B2:G3"/>
    <mergeCell ref="E6:E7"/>
    <mergeCell ref="B14:H15"/>
    <mergeCell ref="C26:E27"/>
    <mergeCell ref="F26:H27"/>
    <mergeCell ref="C32:E33"/>
    <mergeCell ref="F32:H33"/>
    <mergeCell ref="B23:H25"/>
    <mergeCell ref="B26:B27"/>
    <mergeCell ref="B32:B3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Check Box 2">
              <controlPr defaultSize="0" autoFill="0" autoLine="0" autoPict="0" altText="Uc">
                <anchor moveWithCells="1">
                  <from>
                    <xdr:col>3</xdr:col>
                    <xdr:colOff>28575</xdr:colOff>
                    <xdr:row>5</xdr:row>
                    <xdr:rowOff>0</xdr:rowOff>
                  </from>
                  <to>
                    <xdr:col>3</xdr:col>
                    <xdr:colOff>428625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Check Box 3">
              <controlPr defaultSize="0" autoFill="0" autoLine="0" autoPict="0" altText="Uc">
                <anchor moveWithCells="1">
                  <from>
                    <xdr:col>3</xdr:col>
                    <xdr:colOff>28575</xdr:colOff>
                    <xdr:row>5</xdr:row>
                    <xdr:rowOff>180975</xdr:rowOff>
                  </from>
                  <to>
                    <xdr:col>3</xdr:col>
                    <xdr:colOff>428625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6" name="Check Box 15">
              <controlPr defaultSize="0" autoFill="0" autoLine="0" autoPict="0" altText="Uc">
                <anchor moveWithCells="1">
                  <from>
                    <xdr:col>6</xdr:col>
                    <xdr:colOff>38100</xdr:colOff>
                    <xdr:row>5</xdr:row>
                    <xdr:rowOff>0</xdr:rowOff>
                  </from>
                  <to>
                    <xdr:col>6</xdr:col>
                    <xdr:colOff>438150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7" name="Check Box 16">
              <controlPr defaultSize="0" autoFill="0" autoLine="0" autoPict="0" altText="Uc">
                <anchor mov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428625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9"/>
  <dimension ref="A1:J83"/>
  <sheetViews>
    <sheetView view="pageBreakPreview" zoomScale="60" workbookViewId="0">
      <selection activeCell="D5" sqref="D5:D7"/>
    </sheetView>
  </sheetViews>
  <sheetFormatPr baseColWidth="10" defaultColWidth="11.42578125" defaultRowHeight="15" x14ac:dyDescent="0.25"/>
  <cols>
    <col min="1" max="1" width="4.28515625" style="76" bestFit="1" customWidth="1"/>
    <col min="2" max="2" width="34.42578125" style="30" customWidth="1"/>
    <col min="3" max="3" width="30.28515625" style="687" customWidth="1"/>
    <col min="4" max="4" width="62.7109375" style="721" customWidth="1"/>
    <col min="5" max="5" width="5.7109375" style="107" customWidth="1"/>
    <col min="6" max="16384" width="11.42578125" style="107"/>
  </cols>
  <sheetData>
    <row r="1" spans="1:10" ht="22.5" customHeight="1" x14ac:dyDescent="0.25">
      <c r="B1" s="1031" t="s">
        <v>891</v>
      </c>
      <c r="C1" s="751" t="s">
        <v>1044</v>
      </c>
      <c r="D1" s="752" t="s">
        <v>1045</v>
      </c>
      <c r="E1" s="692"/>
    </row>
    <row r="2" spans="1:10" ht="47.25" customHeight="1" x14ac:dyDescent="0.25">
      <c r="B2" s="1031"/>
      <c r="C2" s="785" t="str">
        <f>IF(Bericht!E3 &lt;&gt; "", Bericht!E3,"")</f>
        <v/>
      </c>
      <c r="D2" s="785" t="str">
        <f>IF(Bericht!E2 &lt;&gt; "", Bericht!E2 &amp; Bericht!E38,"")</f>
        <v/>
      </c>
      <c r="E2" s="692"/>
    </row>
    <row r="3" spans="1:10" ht="28.5" x14ac:dyDescent="0.45">
      <c r="B3" s="1032" t="s">
        <v>892</v>
      </c>
      <c r="C3" s="1032"/>
      <c r="D3" s="1032"/>
      <c r="E3" s="693"/>
    </row>
    <row r="4" spans="1:10" x14ac:dyDescent="0.25">
      <c r="A4" s="694" t="s">
        <v>893</v>
      </c>
      <c r="B4" s="695" t="s">
        <v>894</v>
      </c>
      <c r="C4" s="696" t="s">
        <v>895</v>
      </c>
      <c r="D4" s="696" t="s">
        <v>896</v>
      </c>
      <c r="E4" s="697"/>
    </row>
    <row r="5" spans="1:10" ht="30" customHeight="1" x14ac:dyDescent="0.25">
      <c r="A5" s="688">
        <v>1</v>
      </c>
      <c r="B5" s="1033" t="s">
        <v>164</v>
      </c>
      <c r="C5" s="698" t="s">
        <v>897</v>
      </c>
      <c r="D5" s="699"/>
      <c r="E5" s="700"/>
    </row>
    <row r="6" spans="1:10" ht="30" customHeight="1" x14ac:dyDescent="0.25">
      <c r="A6" s="688">
        <v>2</v>
      </c>
      <c r="B6" s="1028"/>
      <c r="C6" s="698" t="s">
        <v>898</v>
      </c>
      <c r="D6" s="699"/>
      <c r="E6" s="700"/>
    </row>
    <row r="7" spans="1:10" ht="30" customHeight="1" x14ac:dyDescent="0.25">
      <c r="A7" s="688">
        <v>3</v>
      </c>
      <c r="B7" s="1029"/>
      <c r="C7" s="701" t="s">
        <v>899</v>
      </c>
      <c r="D7" s="699" t="str">
        <f>IF(Bericht!E188 &lt;&gt; "",Bericht!E188,"")</f>
        <v>Caterpillar Energy Solutions GmbH</v>
      </c>
      <c r="E7" s="700"/>
    </row>
    <row r="8" spans="1:10" ht="15" customHeight="1" x14ac:dyDescent="0.25">
      <c r="A8" s="702"/>
      <c r="B8" s="703"/>
      <c r="C8" s="704"/>
      <c r="D8" s="705"/>
      <c r="E8" s="702"/>
    </row>
    <row r="9" spans="1:10" ht="30" customHeight="1" x14ac:dyDescent="0.25">
      <c r="A9" s="688">
        <f>A7+1</f>
        <v>4</v>
      </c>
      <c r="B9" s="706" t="s">
        <v>900</v>
      </c>
      <c r="C9" s="698"/>
      <c r="D9" s="699"/>
      <c r="E9" s="700"/>
    </row>
    <row r="10" spans="1:10" ht="15" customHeight="1" x14ac:dyDescent="0.25">
      <c r="A10" s="702"/>
      <c r="B10" s="703"/>
      <c r="C10" s="704"/>
      <c r="D10" s="705"/>
      <c r="E10" s="702"/>
    </row>
    <row r="11" spans="1:10" ht="30" customHeight="1" x14ac:dyDescent="0.25">
      <c r="A11" s="688">
        <f>A9+1</f>
        <v>5</v>
      </c>
      <c r="B11" s="707" t="s">
        <v>901</v>
      </c>
      <c r="C11" s="698"/>
      <c r="D11" s="708" t="s">
        <v>902</v>
      </c>
      <c r="E11" s="700"/>
    </row>
    <row r="12" spans="1:10" ht="15" customHeight="1" x14ac:dyDescent="0.25">
      <c r="A12" s="702"/>
      <c r="B12" s="703"/>
      <c r="C12" s="704"/>
      <c r="D12" s="705"/>
      <c r="E12" s="702"/>
    </row>
    <row r="13" spans="1:10" ht="30" customHeight="1" x14ac:dyDescent="0.25">
      <c r="A13" s="688">
        <f>A11+1</f>
        <v>6</v>
      </c>
      <c r="B13" s="1033" t="s">
        <v>903</v>
      </c>
      <c r="C13" s="698" t="s">
        <v>904</v>
      </c>
      <c r="D13" s="699" t="s">
        <v>905</v>
      </c>
      <c r="E13" s="700"/>
      <c r="J13" s="30"/>
    </row>
    <row r="14" spans="1:10" ht="30" customHeight="1" x14ac:dyDescent="0.25">
      <c r="A14" s="688">
        <f t="shared" ref="A14:A75" si="0">A13+1</f>
        <v>7</v>
      </c>
      <c r="B14" s="1029"/>
      <c r="C14" s="698" t="s">
        <v>906</v>
      </c>
      <c r="D14" s="699" t="s">
        <v>907</v>
      </c>
      <c r="E14" s="700"/>
      <c r="J14" s="30"/>
    </row>
    <row r="15" spans="1:10" ht="15" customHeight="1" x14ac:dyDescent="0.25">
      <c r="A15" s="709"/>
      <c r="B15" s="710"/>
      <c r="C15" s="711"/>
      <c r="D15" s="712"/>
      <c r="E15" s="709"/>
    </row>
    <row r="16" spans="1:10" ht="30" customHeight="1" x14ac:dyDescent="0.45">
      <c r="A16" s="713"/>
      <c r="B16" s="1034" t="s">
        <v>908</v>
      </c>
      <c r="C16" s="1034"/>
      <c r="D16" s="1034"/>
      <c r="E16" s="714"/>
      <c r="J16" s="30"/>
    </row>
    <row r="17" spans="1:10" ht="30" customHeight="1" x14ac:dyDescent="0.25">
      <c r="A17" s="715">
        <f>A14+1</f>
        <v>8</v>
      </c>
      <c r="B17" s="1035" t="s">
        <v>909</v>
      </c>
      <c r="C17" s="716" t="s">
        <v>910</v>
      </c>
      <c r="D17" s="717"/>
      <c r="E17" s="700"/>
      <c r="J17" s="718"/>
    </row>
    <row r="18" spans="1:10" ht="30" customHeight="1" x14ac:dyDescent="0.25">
      <c r="A18" s="688">
        <f>A17+1</f>
        <v>9</v>
      </c>
      <c r="B18" s="1035"/>
      <c r="C18" s="719" t="s">
        <v>911</v>
      </c>
      <c r="D18" s="720" t="s">
        <v>912</v>
      </c>
      <c r="E18" s="700"/>
      <c r="J18" s="718"/>
    </row>
    <row r="19" spans="1:10" ht="30" customHeight="1" x14ac:dyDescent="0.25">
      <c r="A19" s="688">
        <f t="shared" ref="A19:A28" si="1">A18+1</f>
        <v>10</v>
      </c>
      <c r="B19" s="1035"/>
      <c r="C19" s="719" t="s">
        <v>913</v>
      </c>
      <c r="D19" s="720" t="s">
        <v>914</v>
      </c>
      <c r="E19" s="700"/>
      <c r="J19" s="718"/>
    </row>
    <row r="20" spans="1:10" ht="30" customHeight="1" x14ac:dyDescent="0.25">
      <c r="A20" s="688">
        <f t="shared" si="1"/>
        <v>11</v>
      </c>
      <c r="B20" s="1035"/>
      <c r="C20" s="719" t="s">
        <v>915</v>
      </c>
      <c r="D20" s="720" t="s">
        <v>916</v>
      </c>
      <c r="E20" s="700"/>
      <c r="J20" s="718"/>
    </row>
    <row r="21" spans="1:10" ht="30" customHeight="1" x14ac:dyDescent="0.25">
      <c r="A21" s="688">
        <f t="shared" si="1"/>
        <v>12</v>
      </c>
      <c r="B21" s="1035"/>
      <c r="C21" s="719" t="s">
        <v>917</v>
      </c>
      <c r="D21" s="720" t="s">
        <v>916</v>
      </c>
      <c r="E21" s="700"/>
      <c r="J21" s="718"/>
    </row>
    <row r="22" spans="1:10" ht="30" customHeight="1" x14ac:dyDescent="0.25">
      <c r="A22" s="688">
        <f t="shared" si="1"/>
        <v>13</v>
      </c>
      <c r="B22" s="1035"/>
      <c r="C22" s="719" t="s">
        <v>918</v>
      </c>
      <c r="D22" s="720" t="s">
        <v>919</v>
      </c>
      <c r="E22" s="700"/>
      <c r="J22" s="718"/>
    </row>
    <row r="23" spans="1:10" ht="30" customHeight="1" x14ac:dyDescent="0.25">
      <c r="A23" s="688">
        <f t="shared" si="1"/>
        <v>14</v>
      </c>
      <c r="B23" s="1035"/>
      <c r="C23" s="719" t="s">
        <v>920</v>
      </c>
      <c r="D23" s="720" t="s">
        <v>921</v>
      </c>
      <c r="E23" s="700"/>
      <c r="J23" s="718"/>
    </row>
    <row r="24" spans="1:10" ht="30" customHeight="1" x14ac:dyDescent="0.25">
      <c r="A24" s="688">
        <f t="shared" si="1"/>
        <v>15</v>
      </c>
      <c r="B24" s="1035"/>
      <c r="C24" s="719" t="s">
        <v>922</v>
      </c>
      <c r="D24" s="720" t="s">
        <v>923</v>
      </c>
      <c r="E24" s="700"/>
      <c r="J24" s="718"/>
    </row>
    <row r="25" spans="1:10" ht="30" customHeight="1" x14ac:dyDescent="0.25">
      <c r="A25" s="688">
        <f t="shared" si="1"/>
        <v>16</v>
      </c>
      <c r="B25" s="1035"/>
      <c r="C25" s="719" t="s">
        <v>924</v>
      </c>
      <c r="D25" s="720" t="s">
        <v>923</v>
      </c>
      <c r="E25" s="700"/>
      <c r="J25" s="718"/>
    </row>
    <row r="26" spans="1:10" ht="30" customHeight="1" x14ac:dyDescent="0.25">
      <c r="A26" s="688">
        <f t="shared" si="1"/>
        <v>17</v>
      </c>
      <c r="B26" s="1035"/>
      <c r="C26" s="719" t="s">
        <v>925</v>
      </c>
      <c r="D26" s="720" t="s">
        <v>926</v>
      </c>
      <c r="E26" s="700"/>
      <c r="J26" s="718"/>
    </row>
    <row r="27" spans="1:10" ht="30" customHeight="1" x14ac:dyDescent="0.25">
      <c r="A27" s="688">
        <f t="shared" si="1"/>
        <v>18</v>
      </c>
      <c r="B27" s="1035"/>
      <c r="C27" s="719" t="s">
        <v>927</v>
      </c>
      <c r="E27" s="700"/>
      <c r="J27" s="718"/>
    </row>
    <row r="28" spans="1:10" ht="30" customHeight="1" x14ac:dyDescent="0.25">
      <c r="A28" s="688">
        <f t="shared" si="1"/>
        <v>19</v>
      </c>
      <c r="B28" s="1035"/>
      <c r="C28" s="722" t="s">
        <v>928</v>
      </c>
      <c r="D28" s="723"/>
      <c r="E28" s="700"/>
      <c r="J28" s="718"/>
    </row>
    <row r="29" spans="1:10" ht="15" customHeight="1" x14ac:dyDescent="0.25">
      <c r="A29" s="702"/>
      <c r="B29" s="703"/>
      <c r="C29" s="704"/>
      <c r="D29" s="705"/>
      <c r="E29" s="702"/>
    </row>
    <row r="30" spans="1:10" ht="30" customHeight="1" x14ac:dyDescent="0.25">
      <c r="A30" s="688">
        <f>A28+1</f>
        <v>20</v>
      </c>
      <c r="B30" s="1028" t="s">
        <v>929</v>
      </c>
      <c r="C30" s="698" t="s">
        <v>930</v>
      </c>
      <c r="D30" s="699"/>
      <c r="E30" s="700"/>
      <c r="J30" s="718"/>
    </row>
    <row r="31" spans="1:10" ht="30" customHeight="1" x14ac:dyDescent="0.25">
      <c r="A31" s="688">
        <f>A30+1</f>
        <v>21</v>
      </c>
      <c r="B31" s="1029"/>
      <c r="C31" s="698" t="s">
        <v>931</v>
      </c>
      <c r="D31" s="699"/>
      <c r="E31" s="700"/>
      <c r="J31" s="718"/>
    </row>
    <row r="32" spans="1:10" ht="15" customHeight="1" x14ac:dyDescent="0.25">
      <c r="A32" s="702"/>
      <c r="B32" s="703"/>
      <c r="C32" s="704"/>
      <c r="D32" s="705"/>
      <c r="E32" s="702"/>
    </row>
    <row r="33" spans="1:5" ht="30" customHeight="1" x14ac:dyDescent="0.25">
      <c r="A33" s="688">
        <f>A31+1</f>
        <v>22</v>
      </c>
      <c r="B33" s="707" t="s">
        <v>932</v>
      </c>
      <c r="C33" s="698" t="s">
        <v>933</v>
      </c>
      <c r="D33" s="699" t="s">
        <v>934</v>
      </c>
      <c r="E33" s="700"/>
    </row>
    <row r="34" spans="1:5" ht="15" customHeight="1" x14ac:dyDescent="0.25">
      <c r="A34" s="702"/>
      <c r="B34" s="703"/>
      <c r="C34" s="704"/>
      <c r="D34" s="705"/>
      <c r="E34" s="702"/>
    </row>
    <row r="35" spans="1:5" ht="30" customHeight="1" x14ac:dyDescent="0.25">
      <c r="A35" s="688">
        <f>A33+1</f>
        <v>23</v>
      </c>
      <c r="B35" s="707" t="s">
        <v>927</v>
      </c>
      <c r="C35" s="698"/>
      <c r="D35" s="720" t="s">
        <v>935</v>
      </c>
      <c r="E35" s="700"/>
    </row>
    <row r="36" spans="1:5" ht="15" customHeight="1" x14ac:dyDescent="0.25">
      <c r="A36" s="702"/>
      <c r="B36" s="703"/>
      <c r="C36" s="704"/>
      <c r="D36" s="705"/>
      <c r="E36" s="702"/>
    </row>
    <row r="37" spans="1:5" ht="30" customHeight="1" x14ac:dyDescent="0.25">
      <c r="A37" s="688">
        <f>A35+1</f>
        <v>24</v>
      </c>
      <c r="B37" s="1028" t="s">
        <v>936</v>
      </c>
      <c r="C37" s="716" t="s">
        <v>937</v>
      </c>
      <c r="D37" s="717" t="s">
        <v>938</v>
      </c>
      <c r="E37" s="700"/>
    </row>
    <row r="38" spans="1:5" ht="30" customHeight="1" x14ac:dyDescent="0.25">
      <c r="A38" s="688">
        <f t="shared" si="0"/>
        <v>25</v>
      </c>
      <c r="B38" s="1029"/>
      <c r="C38" s="719" t="s">
        <v>939</v>
      </c>
      <c r="D38" s="720" t="s">
        <v>940</v>
      </c>
      <c r="E38" s="700"/>
    </row>
    <row r="39" spans="1:5" ht="15" customHeight="1" x14ac:dyDescent="0.25">
      <c r="A39" s="709"/>
      <c r="B39" s="710"/>
      <c r="C39" s="711"/>
      <c r="D39" s="712"/>
      <c r="E39" s="709"/>
    </row>
    <row r="40" spans="1:5" ht="30" customHeight="1" x14ac:dyDescent="0.45">
      <c r="A40" s="1030" t="s">
        <v>941</v>
      </c>
      <c r="B40" s="1030"/>
      <c r="C40" s="1030"/>
      <c r="D40" s="1030"/>
      <c r="E40" s="724"/>
    </row>
    <row r="41" spans="1:5" ht="30" customHeight="1" x14ac:dyDescent="0.25">
      <c r="A41" s="688">
        <f>A38+1</f>
        <v>26</v>
      </c>
      <c r="B41" s="725"/>
      <c r="C41" s="726" t="s">
        <v>942</v>
      </c>
      <c r="D41" s="727"/>
      <c r="E41" s="700"/>
    </row>
    <row r="42" spans="1:5" ht="30" customHeight="1" x14ac:dyDescent="0.25">
      <c r="A42" s="688">
        <f>A41+1</f>
        <v>27</v>
      </c>
      <c r="B42" s="728"/>
      <c r="C42" s="726" t="s">
        <v>943</v>
      </c>
      <c r="D42" s="727" t="s">
        <v>944</v>
      </c>
      <c r="E42" s="700"/>
    </row>
    <row r="43" spans="1:5" ht="30" customHeight="1" x14ac:dyDescent="0.25">
      <c r="A43" s="688">
        <f t="shared" ref="A43:A47" si="2">A42+1</f>
        <v>28</v>
      </c>
      <c r="B43" s="729" t="s">
        <v>1046</v>
      </c>
      <c r="C43" s="726" t="s">
        <v>945</v>
      </c>
      <c r="D43" s="727"/>
      <c r="E43" s="700"/>
    </row>
    <row r="44" spans="1:5" ht="30" customHeight="1" x14ac:dyDescent="0.25">
      <c r="A44" s="688">
        <f t="shared" si="2"/>
        <v>29</v>
      </c>
      <c r="B44" s="730" t="str">
        <f>IF(Bericht!E188&lt;&gt;"",Bericht!E188 &amp;" "&amp;  Bericht!VDE_EZEName &amp; " mit " &amp;Bericht!E195&amp; " MW","")</f>
        <v>Caterpillar Energy Solutions GmbH  mit  MW</v>
      </c>
      <c r="C44" s="726" t="s">
        <v>946</v>
      </c>
      <c r="D44" s="727"/>
      <c r="E44" s="700"/>
    </row>
    <row r="45" spans="1:5" ht="30" customHeight="1" x14ac:dyDescent="0.25">
      <c r="A45" s="688">
        <f t="shared" si="2"/>
        <v>30</v>
      </c>
      <c r="B45" s="730" t="str">
        <f>IF(Bericht!E208&lt;&gt;"",Bericht!E208 &amp;" "&amp;  Bericht!E209 &amp; " mit " &amp;Bericht!E215&amp; " MW","")</f>
        <v/>
      </c>
      <c r="C45" s="726" t="s">
        <v>947</v>
      </c>
      <c r="D45" s="727" t="s">
        <v>948</v>
      </c>
      <c r="E45" s="700"/>
    </row>
    <row r="46" spans="1:5" ht="30" customHeight="1" x14ac:dyDescent="0.25">
      <c r="A46" s="688">
        <f t="shared" si="2"/>
        <v>31</v>
      </c>
      <c r="B46" s="728"/>
      <c r="C46" s="726" t="s">
        <v>949</v>
      </c>
      <c r="D46" s="727" t="str">
        <f>IF(Bericht!E227 &lt;&gt;"",Bericht!E227,"") &amp; "  " &amp; IF(Bericht!E207 &lt;&gt; "",Bericht!E207,"")</f>
        <v xml:space="preserve">  </v>
      </c>
      <c r="E46" s="700"/>
    </row>
    <row r="47" spans="1:5" ht="30" customHeight="1" x14ac:dyDescent="0.25">
      <c r="A47" s="688">
        <f t="shared" si="2"/>
        <v>32</v>
      </c>
      <c r="B47" s="731"/>
      <c r="C47" s="726" t="s">
        <v>950</v>
      </c>
      <c r="D47" s="727"/>
      <c r="E47" s="700"/>
    </row>
    <row r="48" spans="1:5" ht="15" customHeight="1" x14ac:dyDescent="0.25">
      <c r="A48" s="689"/>
      <c r="B48" s="732"/>
      <c r="C48" s="733"/>
      <c r="D48" s="734"/>
      <c r="E48" s="689"/>
    </row>
    <row r="49" spans="1:5" ht="30" customHeight="1" x14ac:dyDescent="0.25">
      <c r="A49" s="688">
        <f>A47+1</f>
        <v>33</v>
      </c>
      <c r="B49" s="725"/>
      <c r="C49" s="726" t="s">
        <v>951</v>
      </c>
      <c r="D49" s="727"/>
      <c r="E49" s="700"/>
    </row>
    <row r="50" spans="1:5" ht="30" customHeight="1" x14ac:dyDescent="0.25">
      <c r="A50" s="688">
        <f>A49+1</f>
        <v>34</v>
      </c>
      <c r="B50" s="728"/>
      <c r="C50" s="726" t="s">
        <v>943</v>
      </c>
      <c r="D50" s="727"/>
      <c r="E50" s="700"/>
    </row>
    <row r="51" spans="1:5" ht="30" customHeight="1" x14ac:dyDescent="0.25">
      <c r="A51" s="688">
        <f t="shared" ref="A51:A55" si="3">A50+1</f>
        <v>35</v>
      </c>
      <c r="B51" s="735" t="s">
        <v>1047</v>
      </c>
      <c r="C51" s="726" t="s">
        <v>945</v>
      </c>
      <c r="D51" s="727"/>
      <c r="E51" s="700"/>
    </row>
    <row r="52" spans="1:5" ht="30" customHeight="1" x14ac:dyDescent="0.25">
      <c r="A52" s="688">
        <f t="shared" si="3"/>
        <v>36</v>
      </c>
      <c r="B52" s="730" t="str">
        <f>IF(Bericht!E228 &lt;&gt; "",Bericht!E228 &amp;" x "&amp;  Bericht!E229 &amp;" "&amp;Bericht!E230&amp; " mit " &amp;Bericht!E233&amp; " MW","")</f>
        <v/>
      </c>
      <c r="C52" s="726" t="s">
        <v>952</v>
      </c>
      <c r="D52" s="727" t="s">
        <v>953</v>
      </c>
      <c r="E52" s="700"/>
    </row>
    <row r="53" spans="1:5" ht="30" customHeight="1" x14ac:dyDescent="0.25">
      <c r="A53" s="688">
        <f t="shared" si="3"/>
        <v>37</v>
      </c>
      <c r="B53" s="730" t="str">
        <f>IF(Bericht!E235&lt;&gt;"",Bericht!E235 &amp;" x "&amp;  Bericht!E236 &amp;" "&amp;Bericht!E237&amp; " mit " &amp;Bericht!E240&amp; " MW","")</f>
        <v/>
      </c>
      <c r="C53" s="726" t="s">
        <v>954</v>
      </c>
      <c r="D53" s="727"/>
      <c r="E53" s="700"/>
    </row>
    <row r="54" spans="1:5" ht="30" customHeight="1" x14ac:dyDescent="0.25">
      <c r="A54" s="688">
        <f t="shared" si="3"/>
        <v>38</v>
      </c>
      <c r="B54" s="730" t="str">
        <f>IF(Bericht!E242&lt;&gt;"",Bericht!E242 &amp;" x "&amp; Bericht!E243 &amp;" "&amp;Bericht!E244&amp; " mit " &amp;Bericht!E247&amp; " MW","")</f>
        <v/>
      </c>
      <c r="C54" s="726" t="s">
        <v>947</v>
      </c>
      <c r="D54" s="727" t="s">
        <v>955</v>
      </c>
      <c r="E54" s="700"/>
    </row>
    <row r="55" spans="1:5" ht="30" customHeight="1" x14ac:dyDescent="0.25">
      <c r="A55" s="688">
        <f t="shared" si="3"/>
        <v>39</v>
      </c>
      <c r="B55" s="731"/>
      <c r="C55" s="726" t="s">
        <v>305</v>
      </c>
      <c r="D55" s="727" t="str">
        <f>IF(Bericht!E234 &lt;&gt;"", Bericht!E234,"") &amp;" " &amp; IF(Bericht!E241 &lt;&gt;"",Bericht!E241,"") &amp;" "&amp; IF(Bericht!E248&lt;&gt;"",Bericht!E248,"")</f>
        <v xml:space="preserve">  </v>
      </c>
      <c r="E55" s="700"/>
    </row>
    <row r="56" spans="1:5" ht="15" customHeight="1" x14ac:dyDescent="0.25">
      <c r="A56" s="702"/>
      <c r="B56" s="703"/>
      <c r="C56" s="704"/>
      <c r="D56" s="705"/>
      <c r="E56" s="702"/>
    </row>
    <row r="57" spans="1:5" ht="30" customHeight="1" x14ac:dyDescent="0.25">
      <c r="A57" s="688">
        <f>A55+1</f>
        <v>40</v>
      </c>
      <c r="B57" s="735" t="s">
        <v>1048</v>
      </c>
      <c r="C57" s="726" t="s">
        <v>943</v>
      </c>
      <c r="D57" s="727"/>
      <c r="E57" s="700"/>
    </row>
    <row r="58" spans="1:5" ht="30" customHeight="1" x14ac:dyDescent="0.25">
      <c r="A58" s="688">
        <f t="shared" si="0"/>
        <v>41</v>
      </c>
      <c r="B58" s="730" t="str">
        <f>IF(Bericht!E249&lt;&gt;"",Bericht!E249 &amp;" x "&amp; Bericht!E250 &amp;" "&amp;Bericht!E251&amp; " mit " &amp;Bericht!E254&amp; " MW","")</f>
        <v/>
      </c>
      <c r="C58" s="726" t="s">
        <v>954</v>
      </c>
      <c r="D58" s="727"/>
      <c r="E58" s="700"/>
    </row>
    <row r="59" spans="1:5" ht="30" customHeight="1" x14ac:dyDescent="0.25">
      <c r="A59" s="688">
        <f t="shared" si="0"/>
        <v>42</v>
      </c>
      <c r="B59" s="730" t="str">
        <f>IF(Bericht!E256&lt;&gt;"",Bericht!E256 &amp;" x "&amp; Bericht!E257 &amp;" "&amp;Bericht!E258&amp; " mit " &amp;Bericht!E261&amp; " MW","")</f>
        <v/>
      </c>
      <c r="C59" s="726" t="s">
        <v>947</v>
      </c>
      <c r="D59" s="727" t="s">
        <v>955</v>
      </c>
      <c r="E59" s="700"/>
    </row>
    <row r="60" spans="1:5" ht="30" customHeight="1" x14ac:dyDescent="0.25">
      <c r="A60" s="736">
        <f t="shared" si="0"/>
        <v>43</v>
      </c>
      <c r="B60" s="730" t="str">
        <f>IF(Bericht!E263&lt;&gt;"",Bericht!E263 &amp;" x "&amp; Bericht!E264 &amp;" "&amp;Bericht!E265&amp; " mit " &amp;Bericht!E268&amp; " MW","")</f>
        <v/>
      </c>
      <c r="C60" s="737" t="s">
        <v>305</v>
      </c>
      <c r="D60" s="738" t="str">
        <f>IF(Bericht!E255 &lt;&gt; "",Bericht!E255,"") &amp; " "&amp; IF(Bericht!E262 &lt;&gt;"",Bericht!E262,"") &amp;" "&amp; IF(Bericht!E269&lt;&gt;"",Bericht!E269,"")</f>
        <v xml:space="preserve">  </v>
      </c>
      <c r="E60" s="700"/>
    </row>
    <row r="61" spans="1:5" ht="15" customHeight="1" x14ac:dyDescent="0.25">
      <c r="A61" s="702"/>
      <c r="B61" s="703"/>
      <c r="C61" s="704"/>
      <c r="D61" s="705"/>
      <c r="E61" s="702"/>
    </row>
    <row r="62" spans="1:5" ht="30" customHeight="1" x14ac:dyDescent="0.25">
      <c r="A62" s="715">
        <f>A60+1</f>
        <v>44</v>
      </c>
      <c r="B62" s="725"/>
      <c r="C62" s="739" t="s">
        <v>956</v>
      </c>
      <c r="D62" s="740"/>
      <c r="E62" s="700"/>
    </row>
    <row r="63" spans="1:5" ht="30" customHeight="1" x14ac:dyDescent="0.25">
      <c r="A63" s="688">
        <f>A62+1</f>
        <v>45</v>
      </c>
      <c r="B63" s="729" t="s">
        <v>958</v>
      </c>
      <c r="C63" s="726" t="s">
        <v>957</v>
      </c>
      <c r="D63" s="727"/>
      <c r="E63" s="700"/>
    </row>
    <row r="64" spans="1:5" ht="30" customHeight="1" x14ac:dyDescent="0.25">
      <c r="A64" s="688">
        <f t="shared" si="0"/>
        <v>46</v>
      </c>
      <c r="B64" s="730" t="str">
        <f>IF(Bericht!E188&lt;&gt;"",Bericht!E188 &amp;" "&amp;  Bericht!VDE_EZEName &amp; " mit " &amp;Bericht!E195&amp; " MW","")</f>
        <v>Caterpillar Energy Solutions GmbH  mit  MW</v>
      </c>
      <c r="C64" s="726" t="s">
        <v>946</v>
      </c>
      <c r="D64" s="727"/>
      <c r="E64" s="700"/>
    </row>
    <row r="65" spans="1:8" ht="30" customHeight="1" x14ac:dyDescent="0.25">
      <c r="A65" s="688">
        <f t="shared" si="0"/>
        <v>47</v>
      </c>
      <c r="B65" s="729" t="str">
        <f>IF(Bericht!E208&lt;&gt;"",Bericht!E208 &amp;" "&amp;  Bericht!E209 &amp; " mit " &amp;Bericht!E215&amp; " MW","")</f>
        <v/>
      </c>
      <c r="C65" s="726" t="s">
        <v>959</v>
      </c>
      <c r="D65" s="727" t="s">
        <v>960</v>
      </c>
      <c r="E65" s="700"/>
    </row>
    <row r="66" spans="1:8" ht="30" customHeight="1" x14ac:dyDescent="0.25">
      <c r="A66" s="688">
        <f t="shared" si="0"/>
        <v>48</v>
      </c>
      <c r="B66" s="728"/>
      <c r="C66" s="726" t="s">
        <v>961</v>
      </c>
      <c r="D66" s="727" t="s">
        <v>962</v>
      </c>
      <c r="E66" s="700"/>
    </row>
    <row r="67" spans="1:8" ht="30" customHeight="1" x14ac:dyDescent="0.25">
      <c r="A67" s="688">
        <f t="shared" si="0"/>
        <v>49</v>
      </c>
      <c r="B67" s="728"/>
      <c r="C67" s="726" t="s">
        <v>949</v>
      </c>
      <c r="D67" s="727"/>
      <c r="E67" s="700"/>
    </row>
    <row r="68" spans="1:8" ht="30" customHeight="1" x14ac:dyDescent="0.25">
      <c r="A68" s="688">
        <f t="shared" si="0"/>
        <v>50</v>
      </c>
      <c r="B68" s="731"/>
      <c r="C68" s="726" t="s">
        <v>950</v>
      </c>
      <c r="D68" s="727"/>
      <c r="E68" s="700"/>
    </row>
    <row r="69" spans="1:8" ht="15" customHeight="1" x14ac:dyDescent="0.25">
      <c r="A69" s="702"/>
      <c r="B69" s="703"/>
      <c r="C69" s="704"/>
      <c r="D69" s="705"/>
      <c r="E69" s="702"/>
    </row>
    <row r="70" spans="1:8" ht="30" customHeight="1" x14ac:dyDescent="0.25">
      <c r="A70" s="688">
        <f>A68+1</f>
        <v>51</v>
      </c>
      <c r="B70" s="725"/>
      <c r="C70" s="741" t="s">
        <v>956</v>
      </c>
      <c r="D70" s="727"/>
      <c r="E70" s="700"/>
    </row>
    <row r="71" spans="1:8" ht="30" customHeight="1" x14ac:dyDescent="0.25">
      <c r="A71" s="688">
        <f t="shared" si="0"/>
        <v>52</v>
      </c>
      <c r="B71" s="729" t="s">
        <v>963</v>
      </c>
      <c r="C71" s="726" t="s">
        <v>957</v>
      </c>
      <c r="D71" s="727"/>
      <c r="E71" s="700"/>
      <c r="H71" s="742"/>
    </row>
    <row r="72" spans="1:8" ht="30" customHeight="1" x14ac:dyDescent="0.25">
      <c r="A72" s="688">
        <f t="shared" si="0"/>
        <v>53</v>
      </c>
      <c r="B72" s="730" t="str">
        <f>IF(Bericht!E228 &lt;&gt; "",Bericht!E228 &amp;" x "&amp;  Bericht!E229 &amp;" "&amp;Bericht!E230&amp; " mit " &amp;Bericht!E233&amp; " MW","")</f>
        <v/>
      </c>
      <c r="C72" s="726" t="s">
        <v>952</v>
      </c>
      <c r="D72" s="727" t="s">
        <v>953</v>
      </c>
      <c r="E72" s="700"/>
    </row>
    <row r="73" spans="1:8" ht="30" customHeight="1" x14ac:dyDescent="0.25">
      <c r="A73" s="688">
        <f t="shared" si="0"/>
        <v>54</v>
      </c>
      <c r="B73" s="730" t="str">
        <f>IF(Bericht!E235&lt;&gt;"",Bericht!E235 &amp;" x "&amp;  Bericht!E236 &amp;" "&amp;Bericht!E237&amp; " mit " &amp;Bericht!E240&amp; " MW","")</f>
        <v/>
      </c>
      <c r="C73" s="726" t="s">
        <v>954</v>
      </c>
      <c r="D73" s="727"/>
      <c r="E73" s="700"/>
    </row>
    <row r="74" spans="1:8" ht="30" customHeight="1" x14ac:dyDescent="0.25">
      <c r="A74" s="688">
        <f t="shared" si="0"/>
        <v>55</v>
      </c>
      <c r="B74" s="730" t="str">
        <f>IF(Bericht!E242&lt;&gt;"",Bericht!E242 &amp;" x "&amp; Bericht!E243 &amp;" "&amp;Bericht!E244&amp; " mit " &amp;Bericht!E247&amp; " MW","")</f>
        <v/>
      </c>
      <c r="C74" s="726" t="s">
        <v>959</v>
      </c>
      <c r="D74" s="727" t="s">
        <v>960</v>
      </c>
      <c r="E74" s="700"/>
    </row>
    <row r="75" spans="1:8" ht="30" customHeight="1" x14ac:dyDescent="0.25">
      <c r="A75" s="688">
        <f t="shared" si="0"/>
        <v>56</v>
      </c>
      <c r="B75" s="730"/>
      <c r="C75" s="726" t="s">
        <v>961</v>
      </c>
      <c r="D75" s="727" t="s">
        <v>962</v>
      </c>
      <c r="E75" s="700"/>
    </row>
    <row r="76" spans="1:8" ht="30" customHeight="1" x14ac:dyDescent="0.25">
      <c r="A76" s="688">
        <f>A74+1</f>
        <v>56</v>
      </c>
      <c r="B76" s="731"/>
      <c r="C76" s="726" t="s">
        <v>305</v>
      </c>
      <c r="D76" s="743"/>
      <c r="E76" s="700"/>
    </row>
    <row r="77" spans="1:8" x14ac:dyDescent="0.25">
      <c r="B77" s="744"/>
    </row>
    <row r="78" spans="1:8" ht="30" customHeight="1" x14ac:dyDescent="0.25">
      <c r="A78" s="745">
        <f>A75+1</f>
        <v>57</v>
      </c>
      <c r="B78" s="725"/>
      <c r="C78" s="741" t="s">
        <v>956</v>
      </c>
      <c r="D78" s="727"/>
      <c r="E78" s="700"/>
    </row>
    <row r="79" spans="1:8" ht="30" customHeight="1" x14ac:dyDescent="0.25">
      <c r="A79" s="745">
        <f t="shared" ref="A79:A83" si="4">A78+1</f>
        <v>58</v>
      </c>
      <c r="B79" s="729" t="s">
        <v>964</v>
      </c>
      <c r="C79" s="726" t="s">
        <v>957</v>
      </c>
      <c r="D79" s="727"/>
      <c r="E79" s="700"/>
      <c r="H79" s="742"/>
    </row>
    <row r="80" spans="1:8" ht="30" customHeight="1" x14ac:dyDescent="0.25">
      <c r="A80" s="745">
        <f t="shared" si="4"/>
        <v>59</v>
      </c>
      <c r="B80" s="729" t="str">
        <f>IF(Bericht!E249&lt;&gt;"",Bericht!E249 &amp;" x "&amp; Bericht!E250 &amp;" "&amp;Bericht!E251&amp; " mit " &amp;Bericht!E254&amp; " MW","")</f>
        <v/>
      </c>
      <c r="C80" s="726" t="s">
        <v>954</v>
      </c>
      <c r="D80" s="727"/>
      <c r="E80" s="700"/>
    </row>
    <row r="81" spans="1:5" ht="30" customHeight="1" x14ac:dyDescent="0.25">
      <c r="A81" s="745">
        <f t="shared" si="4"/>
        <v>60</v>
      </c>
      <c r="B81" s="730" t="str">
        <f>IF(Bericht!E256&lt;&gt;"",Bericht!E256 &amp;" x "&amp; Bericht!E257 &amp;" "&amp;Bericht!E258&amp; " mit " &amp;Bericht!E261&amp; " MW","")</f>
        <v/>
      </c>
      <c r="C81" s="726" t="s">
        <v>959</v>
      </c>
      <c r="D81" s="727" t="s">
        <v>960</v>
      </c>
      <c r="E81" s="700"/>
    </row>
    <row r="82" spans="1:5" ht="30" customHeight="1" x14ac:dyDescent="0.25">
      <c r="A82" s="745">
        <f t="shared" si="4"/>
        <v>61</v>
      </c>
      <c r="B82" s="730" t="str">
        <f>IF(Bericht!E263&lt;&gt;"",Bericht!E263 &amp;" x "&amp; Bericht!E264 &amp;" "&amp;Bericht!E265&amp; " mit " &amp;Bericht!E268&amp; " MW","")</f>
        <v/>
      </c>
      <c r="C82" s="726" t="s">
        <v>961</v>
      </c>
      <c r="D82" s="727" t="s">
        <v>962</v>
      </c>
      <c r="E82" s="700"/>
    </row>
    <row r="83" spans="1:5" ht="30" customHeight="1" x14ac:dyDescent="0.25">
      <c r="A83" s="745">
        <f t="shared" si="4"/>
        <v>62</v>
      </c>
      <c r="B83" s="731"/>
      <c r="C83" s="726" t="s">
        <v>305</v>
      </c>
      <c r="D83" s="743"/>
      <c r="E83" s="700"/>
    </row>
  </sheetData>
  <mergeCells count="9">
    <mergeCell ref="B37:B38"/>
    <mergeCell ref="A40:D40"/>
    <mergeCell ref="B1:B2"/>
    <mergeCell ref="B3:D3"/>
    <mergeCell ref="B5:B7"/>
    <mergeCell ref="B13:B14"/>
    <mergeCell ref="B16:D16"/>
    <mergeCell ref="B17:B28"/>
    <mergeCell ref="B30:B31"/>
  </mergeCells>
  <conditionalFormatting sqref="E16 E5:E7 E9 E11 E13:E14">
    <cfRule type="cellIs" dxfId="62" priority="23" operator="equal">
      <formula>"?"</formula>
    </cfRule>
    <cfRule type="containsText" dxfId="61" priority="50" operator="containsText" text="x">
      <formula>NOT(ISERROR(SEARCH("x",E5)))</formula>
    </cfRule>
  </conditionalFormatting>
  <conditionalFormatting sqref="E39">
    <cfRule type="containsText" dxfId="60" priority="36" operator="containsText" text="x">
      <formula>NOT(ISERROR(SEARCH("x",E39)))</formula>
    </cfRule>
    <cfRule type="colorScale" priority="37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10">
    <cfRule type="containsText" dxfId="59" priority="48" operator="containsText" text="x">
      <formula>NOT(ISERROR(SEARCH("x",E10)))</formula>
    </cfRule>
    <cfRule type="colorScale" priority="49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15">
    <cfRule type="containsText" dxfId="58" priority="46" operator="containsText" text="x">
      <formula>NOT(ISERROR(SEARCH("x",E15)))</formula>
    </cfRule>
    <cfRule type="colorScale" priority="47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12">
    <cfRule type="containsText" dxfId="57" priority="44" operator="containsText" text="x">
      <formula>NOT(ISERROR(SEARCH("x",E12)))</formula>
    </cfRule>
    <cfRule type="colorScale" priority="45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29">
    <cfRule type="containsText" dxfId="56" priority="42" operator="containsText" text="x">
      <formula>NOT(ISERROR(SEARCH("x",E29)))</formula>
    </cfRule>
    <cfRule type="colorScale" priority="43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32">
    <cfRule type="containsText" dxfId="55" priority="40" operator="containsText" text="x">
      <formula>NOT(ISERROR(SEARCH("x",E32)))</formula>
    </cfRule>
    <cfRule type="colorScale" priority="41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36">
    <cfRule type="containsText" dxfId="54" priority="38" operator="containsText" text="x">
      <formula>NOT(ISERROR(SEARCH("x",E36)))</formula>
    </cfRule>
    <cfRule type="colorScale" priority="39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48">
    <cfRule type="containsText" dxfId="53" priority="34" operator="containsText" text="x">
      <formula>NOT(ISERROR(SEARCH("x",E48)))</formula>
    </cfRule>
    <cfRule type="colorScale" priority="35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56">
    <cfRule type="containsText" dxfId="52" priority="32" operator="containsText" text="x">
      <formula>NOT(ISERROR(SEARCH("x",E56)))</formula>
    </cfRule>
    <cfRule type="colorScale" priority="33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61">
    <cfRule type="containsText" dxfId="51" priority="30" operator="containsText" text="x">
      <formula>NOT(ISERROR(SEARCH("x",E61)))</formula>
    </cfRule>
    <cfRule type="colorScale" priority="31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69">
    <cfRule type="containsText" dxfId="50" priority="28" operator="containsText" text="x">
      <formula>NOT(ISERROR(SEARCH("x",E69)))</formula>
    </cfRule>
    <cfRule type="colorScale" priority="29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34">
    <cfRule type="containsText" dxfId="49" priority="24" operator="containsText" text="x">
      <formula>NOT(ISERROR(SEARCH("x",E34)))</formula>
    </cfRule>
    <cfRule type="colorScale" priority="25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8">
    <cfRule type="containsText" dxfId="48" priority="26" operator="containsText" text="x">
      <formula>NOT(ISERROR(SEARCH("x",E8)))</formula>
    </cfRule>
    <cfRule type="colorScale" priority="27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17:E28">
    <cfRule type="cellIs" dxfId="47" priority="21" operator="equal">
      <formula>"?"</formula>
    </cfRule>
    <cfRule type="containsText" dxfId="46" priority="22" operator="containsText" text="x">
      <formula>NOT(ISERROR(SEARCH("x",E17)))</formula>
    </cfRule>
  </conditionalFormatting>
  <conditionalFormatting sqref="E30:E31">
    <cfRule type="cellIs" dxfId="45" priority="19" operator="equal">
      <formula>"?"</formula>
    </cfRule>
    <cfRule type="containsText" dxfId="44" priority="20" operator="containsText" text="x">
      <formula>NOT(ISERROR(SEARCH("x",E30)))</formula>
    </cfRule>
  </conditionalFormatting>
  <conditionalFormatting sqref="E78:E83">
    <cfRule type="cellIs" dxfId="43" priority="1" operator="equal">
      <formula>"?"</formula>
    </cfRule>
    <cfRule type="containsText" dxfId="42" priority="2" operator="containsText" text="x">
      <formula>NOT(ISERROR(SEARCH("x",E78)))</formula>
    </cfRule>
  </conditionalFormatting>
  <conditionalFormatting sqref="E33">
    <cfRule type="cellIs" dxfId="41" priority="17" operator="equal">
      <formula>"?"</formula>
    </cfRule>
    <cfRule type="containsText" dxfId="40" priority="18" operator="containsText" text="x">
      <formula>NOT(ISERROR(SEARCH("x",E33)))</formula>
    </cfRule>
  </conditionalFormatting>
  <conditionalFormatting sqref="E35">
    <cfRule type="cellIs" dxfId="39" priority="15" operator="equal">
      <formula>"?"</formula>
    </cfRule>
    <cfRule type="containsText" dxfId="38" priority="16" operator="containsText" text="x">
      <formula>NOT(ISERROR(SEARCH("x",E35)))</formula>
    </cfRule>
  </conditionalFormatting>
  <conditionalFormatting sqref="E37:E38">
    <cfRule type="cellIs" dxfId="37" priority="13" operator="equal">
      <formula>"?"</formula>
    </cfRule>
    <cfRule type="containsText" dxfId="36" priority="14" operator="containsText" text="x">
      <formula>NOT(ISERROR(SEARCH("x",E37)))</formula>
    </cfRule>
  </conditionalFormatting>
  <conditionalFormatting sqref="E41:E47">
    <cfRule type="cellIs" dxfId="35" priority="11" operator="equal">
      <formula>"?"</formula>
    </cfRule>
    <cfRule type="containsText" dxfId="34" priority="12" operator="containsText" text="x">
      <formula>NOT(ISERROR(SEARCH("x",E41)))</formula>
    </cfRule>
  </conditionalFormatting>
  <conditionalFormatting sqref="E49:E55">
    <cfRule type="cellIs" dxfId="33" priority="9" operator="equal">
      <formula>"?"</formula>
    </cfRule>
    <cfRule type="containsText" dxfId="32" priority="10" operator="containsText" text="x">
      <formula>NOT(ISERROR(SEARCH("x",E49)))</formula>
    </cfRule>
  </conditionalFormatting>
  <conditionalFormatting sqref="E57:E60">
    <cfRule type="cellIs" dxfId="31" priority="7" operator="equal">
      <formula>"?"</formula>
    </cfRule>
    <cfRule type="containsText" dxfId="30" priority="8" operator="containsText" text="x">
      <formula>NOT(ISERROR(SEARCH("x",E57)))</formula>
    </cfRule>
  </conditionalFormatting>
  <conditionalFormatting sqref="E62:E68">
    <cfRule type="cellIs" dxfId="29" priority="5" operator="equal">
      <formula>"?"</formula>
    </cfRule>
    <cfRule type="containsText" dxfId="28" priority="6" operator="containsText" text="x">
      <formula>NOT(ISERROR(SEARCH("x",E62)))</formula>
    </cfRule>
  </conditionalFormatting>
  <conditionalFormatting sqref="E70:E76">
    <cfRule type="cellIs" dxfId="27" priority="3" operator="equal">
      <formula>"?"</formula>
    </cfRule>
    <cfRule type="containsText" dxfId="26" priority="4" operator="containsText" text="x">
      <formula>NOT(ISERROR(SEARCH("x",E70)))</formula>
    </cfRule>
  </conditionalFormatting>
  <pageMargins left="0.7" right="0.7" top="0.78740157499999996" bottom="0.78740157499999996" header="0.3" footer="0.3"/>
  <pageSetup paperSize="9" scale="63" orientation="portrait" r:id="rId1"/>
  <rowBreaks count="2" manualBreakCount="2">
    <brk id="39" max="16383" man="1"/>
    <brk id="76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0"/>
  <dimension ref="A1:J126"/>
  <sheetViews>
    <sheetView zoomScale="115" zoomScaleNormal="115" zoomScalePageLayoutView="85" workbookViewId="0">
      <selection activeCell="D11" sqref="D11"/>
    </sheetView>
  </sheetViews>
  <sheetFormatPr baseColWidth="10" defaultColWidth="11.42578125" defaultRowHeight="15" x14ac:dyDescent="0.25"/>
  <cols>
    <col min="1" max="1" width="8.42578125" style="757" bestFit="1" customWidth="1"/>
    <col min="2" max="2" width="32.28515625" style="75" customWidth="1"/>
    <col min="3" max="3" width="46.5703125" style="687" customWidth="1"/>
    <col min="4" max="4" width="47.42578125" style="748" customWidth="1"/>
    <col min="5" max="5" width="5.7109375" style="107" customWidth="1"/>
    <col min="6" max="6" width="52.140625" style="107" customWidth="1"/>
    <col min="7" max="16384" width="11.42578125" style="107"/>
  </cols>
  <sheetData>
    <row r="1" spans="1:10" ht="30.75" customHeight="1" x14ac:dyDescent="0.25">
      <c r="A1" s="746"/>
      <c r="C1" s="786" t="s">
        <v>1049</v>
      </c>
      <c r="D1" s="786" t="s">
        <v>1045</v>
      </c>
      <c r="E1" s="30"/>
    </row>
    <row r="2" spans="1:10" ht="43.5" customHeight="1" x14ac:dyDescent="0.25">
      <c r="A2" s="749"/>
      <c r="B2" s="750" t="s">
        <v>891</v>
      </c>
      <c r="C2" s="752" t="str">
        <f>IF(Bericht!E3 &lt;&gt; "", Bericht!E3,"")</f>
        <v/>
      </c>
      <c r="D2" s="752" t="s">
        <v>1073</v>
      </c>
      <c r="E2" s="753"/>
    </row>
    <row r="3" spans="1:10" ht="15" hidden="1" customHeight="1" x14ac:dyDescent="0.25">
      <c r="A3" s="749"/>
      <c r="B3" s="750"/>
      <c r="C3" s="690"/>
      <c r="D3" s="691"/>
      <c r="E3" s="753"/>
    </row>
    <row r="4" spans="1:10" ht="28.5" x14ac:dyDescent="0.45">
      <c r="A4" s="754"/>
      <c r="B4" s="1032" t="s">
        <v>965</v>
      </c>
      <c r="C4" s="1032"/>
      <c r="D4" s="1032"/>
      <c r="E4" s="755"/>
    </row>
    <row r="5" spans="1:10" x14ac:dyDescent="0.25">
      <c r="A5" s="756" t="s">
        <v>893</v>
      </c>
      <c r="B5" s="695" t="s">
        <v>894</v>
      </c>
      <c r="C5" s="695" t="s">
        <v>895</v>
      </c>
      <c r="D5" s="695" t="s">
        <v>896</v>
      </c>
      <c r="E5" s="697"/>
      <c r="F5" s="685" t="s">
        <v>966</v>
      </c>
    </row>
    <row r="6" spans="1:10" ht="21.6" customHeight="1" x14ac:dyDescent="0.25">
      <c r="B6" s="1040" t="s">
        <v>967</v>
      </c>
      <c r="C6" s="1041"/>
      <c r="E6" s="758"/>
    </row>
    <row r="7" spans="1:10" ht="21.6" customHeight="1" x14ac:dyDescent="0.25">
      <c r="A7" s="759">
        <f>IF(NOT(ISBLANK(C7)),COUNTA($C$7:C7),"")</f>
        <v>1</v>
      </c>
      <c r="B7" s="1038" t="s">
        <v>968</v>
      </c>
      <c r="C7" s="698" t="s">
        <v>969</v>
      </c>
      <c r="D7" s="813" t="s">
        <v>1074</v>
      </c>
      <c r="E7" s="758"/>
    </row>
    <row r="8" spans="1:10" ht="21.6" customHeight="1" x14ac:dyDescent="0.25">
      <c r="A8" s="759">
        <f>IF(NOT(ISBLANK(C8)),COUNTA($C$6:C8),"")</f>
        <v>2</v>
      </c>
      <c r="B8" s="1039"/>
      <c r="C8" s="698" t="s">
        <v>970</v>
      </c>
      <c r="D8" s="813" t="s">
        <v>1075</v>
      </c>
      <c r="E8" s="758"/>
    </row>
    <row r="9" spans="1:10" ht="26.45" customHeight="1" x14ac:dyDescent="0.25">
      <c r="A9" s="759">
        <f>IF(NOT(ISBLANK(C9)),COUNTA($C$6:C9),"")</f>
        <v>3</v>
      </c>
      <c r="B9" s="1039"/>
      <c r="C9" s="698" t="s">
        <v>971</v>
      </c>
      <c r="D9" s="760" t="s">
        <v>972</v>
      </c>
      <c r="E9" s="758"/>
    </row>
    <row r="10" spans="1:10" ht="26.45" customHeight="1" x14ac:dyDescent="0.25">
      <c r="A10" s="1043">
        <f>IF(NOT(ISBLANK(C10)),COUNTA($C$6:C10),"")</f>
        <v>4</v>
      </c>
      <c r="B10" s="1039"/>
      <c r="C10" s="1045" t="s">
        <v>973</v>
      </c>
      <c r="D10" s="761" t="str">
        <f>IF(Bericht!E188 &lt;&gt; "",Bericht!E188,"")</f>
        <v>Caterpillar Energy Solutions GmbH</v>
      </c>
      <c r="E10" s="1036"/>
    </row>
    <row r="11" spans="1:10" ht="105" x14ac:dyDescent="0.25">
      <c r="A11" s="1044"/>
      <c r="B11" s="1042"/>
      <c r="C11" s="1046"/>
      <c r="D11" s="762" t="s">
        <v>974</v>
      </c>
      <c r="E11" s="1037"/>
    </row>
    <row r="12" spans="1:10" ht="30" customHeight="1" x14ac:dyDescent="0.45">
      <c r="A12" s="749"/>
      <c r="B12" s="1034" t="s">
        <v>975</v>
      </c>
      <c r="C12" s="1034"/>
      <c r="D12" s="1034"/>
      <c r="E12" s="763"/>
      <c r="J12" s="30"/>
    </row>
    <row r="13" spans="1:10" ht="30" customHeight="1" x14ac:dyDescent="0.25">
      <c r="A13" s="759">
        <f>IF(NOT(ISBLANK(C13)),COUNTA($C$6:C13),"")</f>
        <v>5</v>
      </c>
      <c r="B13" s="1038" t="s">
        <v>976</v>
      </c>
      <c r="C13" s="719" t="s">
        <v>977</v>
      </c>
      <c r="D13" s="720"/>
      <c r="E13" s="758"/>
      <c r="J13" s="718"/>
    </row>
    <row r="14" spans="1:10" ht="30" customHeight="1" x14ac:dyDescent="0.25">
      <c r="A14" s="759">
        <f>IF(NOT(ISBLANK(C14)),COUNTA($C$6:C14),"")</f>
        <v>6</v>
      </c>
      <c r="B14" s="1039"/>
      <c r="C14" s="719" t="s">
        <v>978</v>
      </c>
      <c r="D14" s="720" t="s">
        <v>979</v>
      </c>
      <c r="E14" s="758"/>
      <c r="J14" s="718"/>
    </row>
    <row r="15" spans="1:10" ht="30" customHeight="1" x14ac:dyDescent="0.25">
      <c r="A15" s="759">
        <f>IF(NOT(ISBLANK(C15)),COUNTA($C$6:C15),"")</f>
        <v>7</v>
      </c>
      <c r="B15" s="1039"/>
      <c r="C15" s="719" t="s">
        <v>980</v>
      </c>
      <c r="D15" s="720" t="s">
        <v>981</v>
      </c>
      <c r="E15" s="758"/>
      <c r="J15" s="718"/>
    </row>
    <row r="16" spans="1:10" ht="30" customHeight="1" x14ac:dyDescent="0.25">
      <c r="A16" s="759">
        <f>IF(NOT(ISBLANK(C16)),COUNTA($C$6:C16),"")</f>
        <v>8</v>
      </c>
      <c r="B16" s="1039"/>
      <c r="C16" s="719" t="s">
        <v>982</v>
      </c>
      <c r="D16" s="720" t="s">
        <v>983</v>
      </c>
      <c r="E16" s="758"/>
      <c r="J16" s="718"/>
    </row>
    <row r="17" spans="1:10" ht="30" customHeight="1" x14ac:dyDescent="0.25">
      <c r="A17" s="759">
        <f>IF(NOT(ISBLANK(C17)),COUNTA($C$6:C17),"")</f>
        <v>9</v>
      </c>
      <c r="B17" s="1039"/>
      <c r="C17" s="719" t="s">
        <v>984</v>
      </c>
      <c r="D17" s="720" t="s">
        <v>983</v>
      </c>
      <c r="E17" s="758"/>
      <c r="J17" s="718"/>
    </row>
    <row r="18" spans="1:10" ht="45" x14ac:dyDescent="0.25">
      <c r="A18" s="759">
        <f>IF(NOT(ISBLANK(C18)),COUNTA($C$6:C18),"")</f>
        <v>10</v>
      </c>
      <c r="B18" s="1039"/>
      <c r="C18" s="719" t="s">
        <v>985</v>
      </c>
      <c r="D18" s="720" t="s">
        <v>986</v>
      </c>
      <c r="E18" s="758"/>
      <c r="J18" s="718"/>
    </row>
    <row r="19" spans="1:10" ht="30" customHeight="1" x14ac:dyDescent="0.25">
      <c r="A19" s="759">
        <f>IF(NOT(ISBLANK(C19)),COUNTA($C$6:C19),"")</f>
        <v>11</v>
      </c>
      <c r="B19" s="1039"/>
      <c r="C19" s="719" t="s">
        <v>987</v>
      </c>
      <c r="D19" s="720" t="s">
        <v>988</v>
      </c>
      <c r="E19" s="758"/>
      <c r="J19" s="718"/>
    </row>
    <row r="20" spans="1:10" ht="30" customHeight="1" x14ac:dyDescent="0.25">
      <c r="A20" s="759">
        <f>IF(NOT(ISBLANK(C20)),COUNTA($C$6:C20),"")</f>
        <v>12</v>
      </c>
      <c r="B20" s="1039"/>
      <c r="C20" s="719" t="s">
        <v>989</v>
      </c>
      <c r="D20" s="720"/>
      <c r="E20" s="758"/>
      <c r="F20" s="107" t="s">
        <v>990</v>
      </c>
      <c r="J20" s="718"/>
    </row>
    <row r="21" spans="1:10" ht="90" x14ac:dyDescent="0.25">
      <c r="A21" s="759">
        <f>IF(NOT(ISBLANK(C21)),COUNTA($C$6:C21),"")</f>
        <v>13</v>
      </c>
      <c r="B21" s="1039"/>
      <c r="C21" s="719" t="s">
        <v>991</v>
      </c>
      <c r="D21" s="720" t="s">
        <v>992</v>
      </c>
      <c r="E21" s="758"/>
      <c r="J21" s="718"/>
    </row>
    <row r="22" spans="1:10" ht="30" customHeight="1" x14ac:dyDescent="0.25">
      <c r="A22" s="759">
        <f>IF(NOT(ISBLANK(C22)),COUNTA($C$6:C22),"")</f>
        <v>14</v>
      </c>
      <c r="B22" s="1042"/>
      <c r="C22" s="719" t="s">
        <v>993</v>
      </c>
      <c r="D22" s="720"/>
      <c r="E22" s="758"/>
      <c r="J22" s="718"/>
    </row>
    <row r="23" spans="1:10" ht="30" customHeight="1" x14ac:dyDescent="0.45">
      <c r="A23" s="764"/>
      <c r="B23" s="1047" t="s">
        <v>994</v>
      </c>
      <c r="C23" s="1047"/>
      <c r="D23" s="1047"/>
      <c r="E23" s="765"/>
    </row>
    <row r="24" spans="1:10" ht="54" customHeight="1" x14ac:dyDescent="0.25">
      <c r="A24" s="766">
        <f>IF(NOT(ISBLANK(C24)),COUNTA($C$6:C24),"")</f>
        <v>15</v>
      </c>
      <c r="B24" s="1038" t="s">
        <v>995</v>
      </c>
      <c r="C24" s="726" t="s">
        <v>996</v>
      </c>
      <c r="D24" s="727" t="s">
        <v>997</v>
      </c>
      <c r="E24" s="758"/>
    </row>
    <row r="25" spans="1:10" ht="45" x14ac:dyDescent="0.25">
      <c r="A25" s="766">
        <f>IF(NOT(ISBLANK(C25)),COUNTA($C$6:C25),"")</f>
        <v>16</v>
      </c>
      <c r="B25" s="1039"/>
      <c r="C25" s="726" t="s">
        <v>998</v>
      </c>
      <c r="D25" s="727" t="s">
        <v>999</v>
      </c>
      <c r="E25" s="758"/>
    </row>
    <row r="26" spans="1:10" ht="45" x14ac:dyDescent="0.25">
      <c r="A26" s="766">
        <f>IF(NOT(ISBLANK(C26)),COUNTA($C$6:C26),"")</f>
        <v>17</v>
      </c>
      <c r="B26" s="1039"/>
      <c r="C26" s="737" t="s">
        <v>1000</v>
      </c>
      <c r="D26" s="727" t="s">
        <v>1001</v>
      </c>
      <c r="E26" s="758"/>
    </row>
    <row r="27" spans="1:10" ht="30" x14ac:dyDescent="0.25">
      <c r="A27" s="766">
        <f>IF(NOT(ISBLANK(C27)),COUNTA($C$6:C27),"")</f>
        <v>18</v>
      </c>
      <c r="B27" s="1038" t="s">
        <v>1002</v>
      </c>
      <c r="C27" s="726" t="s">
        <v>1003</v>
      </c>
      <c r="D27" s="727" t="s">
        <v>1004</v>
      </c>
      <c r="E27" s="758"/>
    </row>
    <row r="28" spans="1:10" ht="30" customHeight="1" x14ac:dyDescent="0.25">
      <c r="A28" s="766">
        <f>IF(NOT(ISBLANK(C28)),COUNTA($C$6:C28),"")</f>
        <v>19</v>
      </c>
      <c r="B28" s="1042"/>
      <c r="C28" s="726" t="s">
        <v>1005</v>
      </c>
      <c r="D28" s="727" t="s">
        <v>1006</v>
      </c>
      <c r="E28" s="758"/>
    </row>
    <row r="29" spans="1:10" ht="30" x14ac:dyDescent="0.25">
      <c r="A29" s="766">
        <f>IF(NOT(ISBLANK(C29)),COUNTA($C$6:C29),"")</f>
        <v>20</v>
      </c>
      <c r="B29" s="1038" t="s">
        <v>1007</v>
      </c>
      <c r="C29" s="726" t="s">
        <v>1008</v>
      </c>
      <c r="D29" s="727" t="s">
        <v>1009</v>
      </c>
      <c r="E29" s="758"/>
    </row>
    <row r="30" spans="1:10" ht="30" customHeight="1" x14ac:dyDescent="0.25">
      <c r="A30" s="766">
        <f>IF(NOT(ISBLANK(C30)),COUNTA($C$6:C30),"")</f>
        <v>21</v>
      </c>
      <c r="B30" s="1039"/>
      <c r="C30" s="726" t="s">
        <v>1010</v>
      </c>
      <c r="D30" s="727"/>
      <c r="E30" s="758"/>
    </row>
    <row r="31" spans="1:10" ht="45.6" customHeight="1" x14ac:dyDescent="0.25">
      <c r="A31" s="766">
        <f>IF(NOT(ISBLANK(C31)),COUNTA($C$6:C31),"")</f>
        <v>22</v>
      </c>
      <c r="B31" s="1039"/>
      <c r="C31" s="726" t="s">
        <v>1011</v>
      </c>
      <c r="D31" s="727" t="s">
        <v>1012</v>
      </c>
      <c r="E31" s="758"/>
    </row>
    <row r="32" spans="1:10" ht="28.9" customHeight="1" x14ac:dyDescent="0.25">
      <c r="A32" s="767"/>
      <c r="B32" s="1052" t="s">
        <v>1013</v>
      </c>
      <c r="C32" s="1052"/>
      <c r="D32" s="1052"/>
      <c r="E32" s="732"/>
    </row>
    <row r="33" spans="1:5" x14ac:dyDescent="0.25">
      <c r="A33" s="756" t="s">
        <v>893</v>
      </c>
      <c r="B33" s="695" t="s">
        <v>894</v>
      </c>
      <c r="C33" s="695" t="s">
        <v>895</v>
      </c>
      <c r="D33" s="695" t="s">
        <v>896</v>
      </c>
      <c r="E33" s="697"/>
    </row>
    <row r="34" spans="1:5" ht="30" customHeight="1" x14ac:dyDescent="0.25">
      <c r="A34" s="766">
        <f>IF(NOT(ISBLANK(C34)),COUNTA($C$6:C34),"")</f>
        <v>24</v>
      </c>
      <c r="B34" s="768"/>
      <c r="C34" s="726" t="s">
        <v>1014</v>
      </c>
      <c r="D34" s="727"/>
      <c r="E34" s="758"/>
    </row>
    <row r="35" spans="1:5" ht="30" customHeight="1" x14ac:dyDescent="0.25">
      <c r="A35" s="766">
        <f>IF(NOT(ISBLANK(C35)),COUNTA($C$6:C35),"")</f>
        <v>25</v>
      </c>
      <c r="B35" s="730"/>
      <c r="C35" s="726" t="s">
        <v>1015</v>
      </c>
      <c r="D35" s="727"/>
      <c r="E35" s="758"/>
    </row>
    <row r="36" spans="1:5" ht="30" customHeight="1" x14ac:dyDescent="0.25">
      <c r="A36" s="766">
        <f>IF(NOT(ISBLANK(C36)),COUNTA($C$6:C36),"")</f>
        <v>26</v>
      </c>
      <c r="B36" s="729" t="s">
        <v>1016</v>
      </c>
      <c r="C36" s="726" t="s">
        <v>1017</v>
      </c>
      <c r="D36" s="727"/>
      <c r="E36" s="758"/>
    </row>
    <row r="37" spans="1:5" ht="30" customHeight="1" x14ac:dyDescent="0.25">
      <c r="A37" s="766">
        <f>IF(NOT(ISBLANK(C37)),COUNTA($C$6:C37),"")</f>
        <v>27</v>
      </c>
      <c r="B37" s="730"/>
      <c r="C37" s="726" t="s">
        <v>1018</v>
      </c>
      <c r="D37" s="727" t="s">
        <v>1019</v>
      </c>
      <c r="E37" s="758"/>
    </row>
    <row r="38" spans="1:5" ht="30" customHeight="1" x14ac:dyDescent="0.25">
      <c r="A38" s="766">
        <f>IF(NOT(ISBLANK(C38)),COUNTA($C$6:C38),"")</f>
        <v>28</v>
      </c>
      <c r="B38" s="686"/>
      <c r="C38" s="726" t="s">
        <v>1020</v>
      </c>
      <c r="D38" s="727"/>
      <c r="E38" s="758"/>
    </row>
    <row r="39" spans="1:5" ht="15" customHeight="1" x14ac:dyDescent="0.25">
      <c r="A39" s="769"/>
      <c r="B39" s="703"/>
      <c r="C39" s="704"/>
      <c r="D39" s="705"/>
      <c r="E39" s="703"/>
    </row>
    <row r="40" spans="1:5" ht="30" customHeight="1" x14ac:dyDescent="0.25">
      <c r="A40" s="766">
        <f>IF(NOT(ISBLANK(C40)),COUNTA($C$6:C40),"")</f>
        <v>29</v>
      </c>
      <c r="B40" s="1038" t="s">
        <v>1021</v>
      </c>
      <c r="C40" s="726" t="s">
        <v>1022</v>
      </c>
      <c r="D40" s="727"/>
      <c r="E40" s="758"/>
    </row>
    <row r="41" spans="1:5" ht="30" customHeight="1" x14ac:dyDescent="0.25">
      <c r="A41" s="766">
        <f>IF(NOT(ISBLANK(C41)),COUNTA($C$6:C41),"")</f>
        <v>30</v>
      </c>
      <c r="B41" s="1039"/>
      <c r="C41" s="726" t="s">
        <v>1023</v>
      </c>
      <c r="D41" s="727"/>
      <c r="E41" s="758"/>
    </row>
    <row r="42" spans="1:5" ht="30" customHeight="1" x14ac:dyDescent="0.25">
      <c r="A42" s="766">
        <f>IF(NOT(ISBLANK(C42)),COUNTA($C$6:C42),"")</f>
        <v>31</v>
      </c>
      <c r="B42" s="1039"/>
      <c r="C42" s="726" t="s">
        <v>1024</v>
      </c>
      <c r="D42" s="727"/>
      <c r="E42" s="758"/>
    </row>
    <row r="43" spans="1:5" ht="15" customHeight="1" x14ac:dyDescent="0.25">
      <c r="A43" s="769"/>
      <c r="B43" s="703"/>
      <c r="C43" s="704"/>
      <c r="D43" s="705"/>
      <c r="E43" s="703"/>
    </row>
    <row r="44" spans="1:5" ht="30" customHeight="1" x14ac:dyDescent="0.25">
      <c r="A44" s="766">
        <f>IF(NOT(ISBLANK(C44)),COUNTA($C$6:C44),"")</f>
        <v>32</v>
      </c>
      <c r="B44" s="729" t="s">
        <v>1025</v>
      </c>
      <c r="C44" s="739" t="s">
        <v>1026</v>
      </c>
      <c r="D44" s="740" t="s">
        <v>1027</v>
      </c>
      <c r="E44" s="758"/>
    </row>
    <row r="45" spans="1:5" ht="30" x14ac:dyDescent="0.25">
      <c r="A45" s="766">
        <f>IF(NOT(ISBLANK(C45)),COUNTA($C$6:C45),"")</f>
        <v>33</v>
      </c>
      <c r="B45" s="730" t="str">
        <f>IF(Bericht!E188&lt;&gt;"",Bericht!E188 &amp;" "&amp;  Bericht!VDE_EZEName &amp; " mit " &amp;Bericht!E195&amp; " MW","")</f>
        <v>Caterpillar Energy Solutions GmbH  mit  MW</v>
      </c>
      <c r="C45" s="726" t="s">
        <v>1028</v>
      </c>
      <c r="D45" s="727" t="s">
        <v>1029</v>
      </c>
      <c r="E45" s="758"/>
    </row>
    <row r="46" spans="1:5" ht="53.45" customHeight="1" x14ac:dyDescent="0.25">
      <c r="A46" s="766">
        <f>IF(NOT(ISBLANK(C46)),COUNTA($C$6:C46),"")</f>
        <v>34</v>
      </c>
      <c r="B46" s="730"/>
      <c r="C46" s="726" t="s">
        <v>1030</v>
      </c>
      <c r="D46" s="727" t="s">
        <v>1031</v>
      </c>
      <c r="E46" s="758"/>
    </row>
    <row r="47" spans="1:5" ht="30" customHeight="1" x14ac:dyDescent="0.25">
      <c r="A47" s="766">
        <f>IF(NOT(ISBLANK(C47)),COUNTA($C$6:C47),"")</f>
        <v>35</v>
      </c>
      <c r="B47" s="730"/>
      <c r="C47" s="726" t="s">
        <v>1032</v>
      </c>
      <c r="D47" s="727"/>
      <c r="E47" s="758"/>
    </row>
    <row r="48" spans="1:5" ht="124.15" customHeight="1" x14ac:dyDescent="0.25">
      <c r="A48" s="766">
        <f>IF(NOT(ISBLANK(C48)),COUNTA($C$6:C48),"")</f>
        <v>36</v>
      </c>
      <c r="B48" s="770"/>
      <c r="C48" s="726" t="s">
        <v>1014</v>
      </c>
      <c r="D48" s="771" t="s">
        <v>1033</v>
      </c>
      <c r="E48" s="758"/>
    </row>
    <row r="49" spans="1:10" ht="30" customHeight="1" x14ac:dyDescent="0.25">
      <c r="A49" s="766">
        <f>IF(NOT(ISBLANK(C49)),COUNTA($C$6:C49),"")</f>
        <v>37</v>
      </c>
      <c r="B49" s="770"/>
      <c r="C49" s="772" t="s">
        <v>1034</v>
      </c>
      <c r="D49" s="727"/>
      <c r="E49" s="758"/>
    </row>
    <row r="50" spans="1:10" ht="30" customHeight="1" x14ac:dyDescent="0.25">
      <c r="A50" s="766">
        <f>IF(NOT(ISBLANK(C50)),COUNTA($C$6:C50),"")</f>
        <v>38</v>
      </c>
      <c r="B50" s="773"/>
      <c r="C50" s="726" t="s">
        <v>918</v>
      </c>
      <c r="D50" s="727" t="s">
        <v>1035</v>
      </c>
      <c r="E50" s="758"/>
    </row>
    <row r="51" spans="1:10" ht="15" customHeight="1" x14ac:dyDescent="0.25">
      <c r="A51" s="769"/>
      <c r="B51" s="703"/>
      <c r="C51" s="704"/>
      <c r="D51" s="705"/>
      <c r="E51" s="703"/>
    </row>
    <row r="52" spans="1:10" ht="30" customHeight="1" x14ac:dyDescent="0.25">
      <c r="A52" s="775">
        <f>IF(NOT(ISBLANK(C52)),COUNTA($C$6:C52),"")</f>
        <v>39</v>
      </c>
      <c r="B52" s="774" t="s">
        <v>1037</v>
      </c>
      <c r="C52" s="719" t="s">
        <v>1038</v>
      </c>
      <c r="D52" s="727" t="s">
        <v>1027</v>
      </c>
      <c r="E52" s="758"/>
    </row>
    <row r="53" spans="1:10" ht="30" customHeight="1" x14ac:dyDescent="0.25">
      <c r="A53" s="776">
        <f>IF(NOT(ISBLANK(C53)),COUNTA($C$6:C53),"")</f>
        <v>40</v>
      </c>
      <c r="B53" s="730" t="str">
        <f>IF(Bericht!E249&lt;&gt;"",Bericht!E249 &amp;" x "&amp; Bericht!E250 &amp;" "&amp;Bericht!E251&amp; " mit " &amp;Bericht!E254&amp; " MW","")</f>
        <v/>
      </c>
      <c r="C53" s="726" t="s">
        <v>1039</v>
      </c>
      <c r="D53" s="727"/>
      <c r="E53" s="758"/>
      <c r="H53" s="742"/>
    </row>
    <row r="54" spans="1:10" ht="30" customHeight="1" x14ac:dyDescent="0.25">
      <c r="A54" s="776">
        <f>IF(NOT(ISBLANK(C54)),COUNTA($C$6:C54),"")</f>
        <v>41</v>
      </c>
      <c r="B54" s="730" t="str">
        <f>IF(Bericht!E256&lt;&gt;"",Bericht!E256 &amp;" x "&amp; Bericht!E257 &amp;" "&amp;Bericht!E258&amp; " mit " &amp;Bericht!E261&amp; " MW","")</f>
        <v/>
      </c>
      <c r="C54" s="726" t="s">
        <v>1036</v>
      </c>
      <c r="D54" s="727"/>
      <c r="E54" s="758"/>
    </row>
    <row r="55" spans="1:10" x14ac:dyDescent="0.25">
      <c r="A55" s="746"/>
      <c r="C55" s="747"/>
      <c r="E55" s="30"/>
    </row>
    <row r="56" spans="1:10" ht="30" customHeight="1" x14ac:dyDescent="0.45">
      <c r="A56" s="777"/>
      <c r="B56" s="1053" t="s">
        <v>1040</v>
      </c>
      <c r="C56" s="1053"/>
      <c r="D56" s="1053"/>
      <c r="E56" s="30"/>
    </row>
    <row r="57" spans="1:10" x14ac:dyDescent="0.25">
      <c r="A57" s="756" t="s">
        <v>893</v>
      </c>
      <c r="B57" s="695" t="s">
        <v>894</v>
      </c>
      <c r="C57" s="695" t="s">
        <v>895</v>
      </c>
      <c r="D57" s="695" t="s">
        <v>896</v>
      </c>
      <c r="E57" s="697"/>
    </row>
    <row r="58" spans="1:10" ht="30" customHeight="1" x14ac:dyDescent="0.25">
      <c r="A58" s="778">
        <f>IF(NOT(ISBLANK(C58)),COUNTA($C$6:C58),"")</f>
        <v>43</v>
      </c>
      <c r="B58" s="1048" t="s">
        <v>1041</v>
      </c>
      <c r="C58" s="779" t="s">
        <v>1042</v>
      </c>
      <c r="D58" s="780" t="s">
        <v>1043</v>
      </c>
      <c r="E58" s="758"/>
    </row>
    <row r="59" spans="1:10" ht="30" customHeight="1" x14ac:dyDescent="0.25">
      <c r="A59" s="778" t="str">
        <f>IF(NOT(ISBLANK(C59)),COUNTA($C$6:C59),"")</f>
        <v/>
      </c>
      <c r="B59" s="1049"/>
      <c r="C59" s="779"/>
      <c r="D59" s="780"/>
      <c r="E59" s="758"/>
    </row>
    <row r="60" spans="1:10" ht="30" customHeight="1" x14ac:dyDescent="0.25">
      <c r="A60" s="778" t="str">
        <f>IF(NOT(ISBLANK(C60)),COUNTA($C$6:C60),"")</f>
        <v/>
      </c>
      <c r="B60" s="1049"/>
      <c r="C60" s="779"/>
      <c r="D60" s="780"/>
      <c r="E60" s="758"/>
    </row>
    <row r="61" spans="1:10" ht="30" customHeight="1" x14ac:dyDescent="0.25">
      <c r="A61" s="778" t="str">
        <f>IF(NOT(ISBLANK(C61)),COUNTA($C$6:C61),"")</f>
        <v/>
      </c>
      <c r="B61" s="1049"/>
      <c r="C61" s="779"/>
      <c r="D61" s="780"/>
      <c r="E61" s="758"/>
    </row>
    <row r="62" spans="1:10" ht="30" customHeight="1" x14ac:dyDescent="0.25">
      <c r="A62" s="778" t="str">
        <f>IF(NOT(ISBLANK(C62)),COUNTA($C$6:C62),"")</f>
        <v/>
      </c>
      <c r="B62" s="1049"/>
      <c r="C62" s="779"/>
      <c r="D62" s="780"/>
      <c r="E62" s="758"/>
    </row>
    <row r="63" spans="1:10" ht="30" customHeight="1" x14ac:dyDescent="0.25">
      <c r="A63" s="778" t="str">
        <f>IF(NOT(ISBLANK(C63)),COUNTA($C$6:C63),"")</f>
        <v/>
      </c>
      <c r="B63" s="1050"/>
      <c r="C63" s="779"/>
      <c r="D63" s="780"/>
      <c r="E63" s="758"/>
      <c r="J63" s="803"/>
    </row>
    <row r="64" spans="1:10" ht="30" customHeight="1" x14ac:dyDescent="0.25">
      <c r="A64" s="777"/>
      <c r="C64" s="781"/>
      <c r="D64" s="781"/>
      <c r="E64" s="782"/>
    </row>
    <row r="65" spans="1:5" ht="30" customHeight="1" x14ac:dyDescent="0.25">
      <c r="A65" s="778" t="str">
        <f>IF(NOT(ISBLANK(C65)),COUNTA($C$6:C65),"")</f>
        <v/>
      </c>
      <c r="B65" s="1048"/>
      <c r="C65" s="779"/>
      <c r="D65" s="780"/>
      <c r="E65" s="758"/>
    </row>
    <row r="66" spans="1:5" ht="30" customHeight="1" x14ac:dyDescent="0.25">
      <c r="A66" s="778" t="str">
        <f>IF(NOT(ISBLANK(C66)),COUNTA($C$6:C66),"")</f>
        <v/>
      </c>
      <c r="B66" s="1049"/>
      <c r="C66" s="779"/>
      <c r="D66" s="780"/>
      <c r="E66" s="758"/>
    </row>
    <row r="67" spans="1:5" ht="30" customHeight="1" x14ac:dyDescent="0.25">
      <c r="A67" s="778" t="str">
        <f>IF(NOT(ISBLANK(C67)),COUNTA($C$6:C67),"")</f>
        <v/>
      </c>
      <c r="B67" s="1049"/>
      <c r="C67" s="779"/>
      <c r="D67" s="780"/>
      <c r="E67" s="758"/>
    </row>
    <row r="68" spans="1:5" ht="30" customHeight="1" x14ac:dyDescent="0.25">
      <c r="A68" s="778" t="str">
        <f>IF(NOT(ISBLANK(C68)),COUNTA($C$6:C68),"")</f>
        <v/>
      </c>
      <c r="B68" s="1049"/>
      <c r="C68" s="779"/>
      <c r="D68" s="780"/>
      <c r="E68" s="758"/>
    </row>
    <row r="69" spans="1:5" ht="30" customHeight="1" x14ac:dyDescent="0.25">
      <c r="A69" s="778" t="str">
        <f>IF(NOT(ISBLANK(C69)),COUNTA($C$6:C69),"")</f>
        <v/>
      </c>
      <c r="B69" s="1050"/>
      <c r="C69" s="779"/>
      <c r="D69" s="780"/>
      <c r="E69" s="758"/>
    </row>
    <row r="70" spans="1:5" ht="30" customHeight="1" x14ac:dyDescent="0.25">
      <c r="A70" s="777"/>
      <c r="C70" s="30"/>
      <c r="D70" s="30"/>
      <c r="E70" s="30"/>
    </row>
    <row r="71" spans="1:5" ht="30" customHeight="1" x14ac:dyDescent="0.25">
      <c r="A71" s="778" t="str">
        <f>IF(NOT(ISBLANK(C71)),COUNTA($C$6:C71),"")</f>
        <v/>
      </c>
      <c r="B71" s="1048"/>
      <c r="C71" s="779"/>
      <c r="D71" s="780"/>
      <c r="E71" s="758"/>
    </row>
    <row r="72" spans="1:5" ht="30" customHeight="1" x14ac:dyDescent="0.25">
      <c r="A72" s="778" t="str">
        <f>IF(NOT(ISBLANK(C72)),COUNTA($C$6:C72),"")</f>
        <v/>
      </c>
      <c r="B72" s="1049"/>
      <c r="C72" s="779"/>
      <c r="D72" s="780"/>
      <c r="E72" s="758"/>
    </row>
    <row r="73" spans="1:5" ht="30" customHeight="1" x14ac:dyDescent="0.25">
      <c r="A73" s="778" t="str">
        <f>IF(NOT(ISBLANK(C73)),COUNTA($C$6:C73),"")</f>
        <v/>
      </c>
      <c r="B73" s="1049"/>
      <c r="C73" s="779"/>
      <c r="D73" s="780"/>
      <c r="E73" s="758"/>
    </row>
    <row r="74" spans="1:5" ht="30" customHeight="1" x14ac:dyDescent="0.25">
      <c r="A74" s="778" t="str">
        <f>IF(NOT(ISBLANK(C74)),COUNTA($C$6:C74),"")</f>
        <v/>
      </c>
      <c r="B74" s="1049"/>
      <c r="C74" s="779"/>
      <c r="D74" s="780"/>
      <c r="E74" s="758"/>
    </row>
    <row r="75" spans="1:5" ht="30" customHeight="1" x14ac:dyDescent="0.25">
      <c r="A75" s="778" t="str">
        <f>IF(NOT(ISBLANK(C75)),COUNTA($C$6:C75),"")</f>
        <v/>
      </c>
      <c r="B75" s="1050"/>
      <c r="C75" s="779"/>
      <c r="D75" s="780"/>
      <c r="E75" s="758"/>
    </row>
    <row r="76" spans="1:5" ht="30" customHeight="1" x14ac:dyDescent="0.25">
      <c r="A76" s="777"/>
      <c r="C76" s="30"/>
      <c r="D76" s="30"/>
      <c r="E76" s="30"/>
    </row>
    <row r="77" spans="1:5" ht="30" customHeight="1" x14ac:dyDescent="0.25">
      <c r="A77" s="778"/>
      <c r="B77" s="1048"/>
      <c r="C77" s="779"/>
      <c r="D77" s="780"/>
      <c r="E77" s="758"/>
    </row>
    <row r="78" spans="1:5" ht="30" customHeight="1" x14ac:dyDescent="0.25">
      <c r="A78" s="778" t="str">
        <f>IF(NOT(ISBLANK(C78)),COUNTA($C$6:C78),"")</f>
        <v/>
      </c>
      <c r="B78" s="1049"/>
      <c r="C78" s="779"/>
      <c r="D78" s="780"/>
      <c r="E78" s="758"/>
    </row>
    <row r="79" spans="1:5" ht="30" customHeight="1" x14ac:dyDescent="0.25">
      <c r="A79" s="778" t="str">
        <f>IF(NOT(ISBLANK(C79)),COUNTA($C$6:C79),"")</f>
        <v/>
      </c>
      <c r="B79" s="1049"/>
      <c r="C79" s="783"/>
      <c r="D79" s="784"/>
      <c r="E79" s="758"/>
    </row>
    <row r="80" spans="1:5" ht="30" customHeight="1" x14ac:dyDescent="0.25">
      <c r="A80" s="778" t="str">
        <f>IF(NOT(ISBLANK(C80)),COUNTA($C$6:C80),"")</f>
        <v/>
      </c>
      <c r="B80" s="1049"/>
      <c r="C80" s="783"/>
      <c r="D80" s="784"/>
      <c r="E80" s="758"/>
    </row>
    <row r="81" spans="1:5" ht="30" customHeight="1" x14ac:dyDescent="0.25">
      <c r="A81" s="778" t="str">
        <f>IF(NOT(ISBLANK(C81)),COUNTA($C$6:C81),"")</f>
        <v/>
      </c>
      <c r="B81" s="1050"/>
      <c r="C81" s="783"/>
      <c r="D81" s="784"/>
      <c r="E81" s="758"/>
    </row>
    <row r="82" spans="1:5" ht="30" customHeight="1" x14ac:dyDescent="0.25">
      <c r="A82" s="777"/>
      <c r="C82" s="747"/>
      <c r="E82" s="30"/>
    </row>
    <row r="83" spans="1:5" ht="30" customHeight="1" x14ac:dyDescent="0.25">
      <c r="A83" s="778" t="str">
        <f>IF(NOT(ISBLANK(C83)),COUNTA($C$6:C83),"")</f>
        <v/>
      </c>
      <c r="B83" s="1051"/>
      <c r="C83" s="783"/>
      <c r="D83" s="784"/>
      <c r="E83" s="758"/>
    </row>
    <row r="84" spans="1:5" ht="30" customHeight="1" x14ac:dyDescent="0.25">
      <c r="A84" s="778" t="str">
        <f>IF(NOT(ISBLANK(C84)),COUNTA($C$6:C84),"")</f>
        <v/>
      </c>
      <c r="B84" s="1051"/>
      <c r="C84" s="783"/>
      <c r="D84" s="784"/>
      <c r="E84" s="758"/>
    </row>
    <row r="85" spans="1:5" ht="30" customHeight="1" x14ac:dyDescent="0.25">
      <c r="A85" s="778" t="str">
        <f>IF(NOT(ISBLANK(C85)),COUNTA($C$6:C85),"")</f>
        <v/>
      </c>
      <c r="B85" s="1051"/>
      <c r="C85" s="783"/>
      <c r="D85" s="784"/>
      <c r="E85" s="758"/>
    </row>
    <row r="86" spans="1:5" ht="30" customHeight="1" x14ac:dyDescent="0.25">
      <c r="A86" s="778" t="str">
        <f>IF(NOT(ISBLANK(C86)),COUNTA($C$6:C86),"")</f>
        <v/>
      </c>
      <c r="B86" s="1051"/>
      <c r="C86" s="783"/>
      <c r="D86" s="784"/>
      <c r="E86" s="758"/>
    </row>
    <row r="87" spans="1:5" ht="30" customHeight="1" x14ac:dyDescent="0.25">
      <c r="A87" s="778" t="str">
        <f>IF(NOT(ISBLANK(C87)),COUNTA($C$6:C87),"")</f>
        <v/>
      </c>
      <c r="B87" s="1051"/>
      <c r="C87" s="783"/>
      <c r="D87" s="784"/>
      <c r="E87" s="758"/>
    </row>
    <row r="88" spans="1:5" ht="30" customHeight="1" x14ac:dyDescent="0.25">
      <c r="A88" s="777"/>
      <c r="C88" s="747"/>
      <c r="E88" s="30"/>
    </row>
    <row r="89" spans="1:5" ht="30" customHeight="1" x14ac:dyDescent="0.25">
      <c r="A89" s="777"/>
      <c r="C89" s="747"/>
      <c r="E89" s="30"/>
    </row>
    <row r="90" spans="1:5" ht="30" customHeight="1" x14ac:dyDescent="0.25">
      <c r="A90" s="777"/>
      <c r="C90" s="747"/>
      <c r="E90" s="30"/>
    </row>
    <row r="91" spans="1:5" ht="30" customHeight="1" x14ac:dyDescent="0.25"/>
    <row r="92" spans="1:5" ht="30" customHeight="1" x14ac:dyDescent="0.25"/>
    <row r="93" spans="1:5" ht="30" customHeight="1" x14ac:dyDescent="0.25">
      <c r="A93" s="107"/>
      <c r="B93" s="107"/>
      <c r="C93" s="107"/>
      <c r="D93" s="107"/>
    </row>
    <row r="94" spans="1:5" ht="30" customHeight="1" x14ac:dyDescent="0.25">
      <c r="A94" s="107"/>
      <c r="B94" s="107"/>
      <c r="C94" s="107"/>
      <c r="D94" s="107"/>
    </row>
    <row r="95" spans="1:5" ht="30" customHeight="1" x14ac:dyDescent="0.25">
      <c r="A95" s="107"/>
      <c r="B95" s="107"/>
      <c r="C95" s="107"/>
      <c r="D95" s="107"/>
    </row>
    <row r="96" spans="1:5" ht="30" customHeight="1" x14ac:dyDescent="0.25">
      <c r="A96" s="107"/>
      <c r="B96" s="107"/>
      <c r="C96" s="107"/>
      <c r="D96" s="107"/>
    </row>
    <row r="97" spans="1:4" ht="30" customHeight="1" x14ac:dyDescent="0.25">
      <c r="A97" s="107"/>
      <c r="B97" s="107"/>
      <c r="C97" s="107"/>
      <c r="D97" s="107"/>
    </row>
    <row r="98" spans="1:4" ht="30" customHeight="1" x14ac:dyDescent="0.25">
      <c r="A98" s="107"/>
      <c r="B98" s="107"/>
      <c r="C98" s="107"/>
      <c r="D98" s="107"/>
    </row>
    <row r="99" spans="1:4" ht="30" customHeight="1" x14ac:dyDescent="0.25">
      <c r="A99" s="107"/>
      <c r="B99" s="107"/>
      <c r="C99" s="107"/>
      <c r="D99" s="107"/>
    </row>
    <row r="100" spans="1:4" ht="30" customHeight="1" x14ac:dyDescent="0.25">
      <c r="A100" s="107"/>
      <c r="B100" s="107"/>
      <c r="C100" s="107"/>
      <c r="D100" s="107"/>
    </row>
    <row r="101" spans="1:4" ht="30" customHeight="1" x14ac:dyDescent="0.25">
      <c r="A101" s="107"/>
      <c r="B101" s="107"/>
      <c r="C101" s="107"/>
      <c r="D101" s="107"/>
    </row>
    <row r="102" spans="1:4" ht="30" customHeight="1" x14ac:dyDescent="0.25">
      <c r="A102" s="107"/>
      <c r="B102" s="107"/>
      <c r="C102" s="107"/>
      <c r="D102" s="107"/>
    </row>
    <row r="103" spans="1:4" ht="30" customHeight="1" x14ac:dyDescent="0.25">
      <c r="A103" s="107"/>
      <c r="B103" s="107"/>
      <c r="C103" s="107"/>
      <c r="D103" s="107"/>
    </row>
    <row r="104" spans="1:4" ht="30" customHeight="1" x14ac:dyDescent="0.25">
      <c r="A104" s="107"/>
      <c r="B104" s="107"/>
      <c r="C104" s="107"/>
      <c r="D104" s="107"/>
    </row>
    <row r="105" spans="1:4" ht="30" customHeight="1" x14ac:dyDescent="0.25">
      <c r="A105" s="107"/>
      <c r="B105" s="107"/>
      <c r="C105" s="107"/>
      <c r="D105" s="107"/>
    </row>
    <row r="106" spans="1:4" ht="30" customHeight="1" x14ac:dyDescent="0.25">
      <c r="A106" s="107"/>
      <c r="B106" s="107"/>
      <c r="C106" s="107"/>
      <c r="D106" s="107"/>
    </row>
    <row r="107" spans="1:4" ht="30" customHeight="1" x14ac:dyDescent="0.25">
      <c r="A107" s="107"/>
      <c r="B107" s="107"/>
      <c r="C107" s="107"/>
      <c r="D107" s="107"/>
    </row>
    <row r="108" spans="1:4" ht="30" customHeight="1" x14ac:dyDescent="0.25">
      <c r="A108" s="107"/>
      <c r="B108" s="107"/>
      <c r="C108" s="107"/>
      <c r="D108" s="107"/>
    </row>
    <row r="109" spans="1:4" ht="30" customHeight="1" x14ac:dyDescent="0.25">
      <c r="A109" s="107"/>
      <c r="B109" s="107"/>
      <c r="C109" s="107"/>
      <c r="D109" s="107"/>
    </row>
    <row r="110" spans="1:4" ht="30" customHeight="1" x14ac:dyDescent="0.25">
      <c r="A110" s="107"/>
      <c r="B110" s="107"/>
      <c r="C110" s="107"/>
      <c r="D110" s="107"/>
    </row>
    <row r="111" spans="1:4" ht="30" customHeight="1" x14ac:dyDescent="0.25">
      <c r="A111" s="107"/>
      <c r="B111" s="107"/>
      <c r="C111" s="107"/>
      <c r="D111" s="107"/>
    </row>
    <row r="112" spans="1:4" ht="30" customHeight="1" x14ac:dyDescent="0.25">
      <c r="A112" s="107"/>
      <c r="B112" s="107"/>
      <c r="C112" s="107"/>
      <c r="D112" s="107"/>
    </row>
    <row r="113" spans="1:4" ht="30" customHeight="1" x14ac:dyDescent="0.25">
      <c r="A113" s="107"/>
      <c r="B113" s="107"/>
      <c r="C113" s="107"/>
      <c r="D113" s="107"/>
    </row>
    <row r="114" spans="1:4" ht="30" customHeight="1" x14ac:dyDescent="0.25">
      <c r="A114" s="107"/>
      <c r="B114" s="107"/>
      <c r="C114" s="107"/>
      <c r="D114" s="107"/>
    </row>
    <row r="115" spans="1:4" ht="30" customHeight="1" x14ac:dyDescent="0.25">
      <c r="A115" s="107"/>
      <c r="B115" s="107"/>
      <c r="C115" s="107"/>
      <c r="D115" s="107"/>
    </row>
    <row r="116" spans="1:4" ht="30" customHeight="1" x14ac:dyDescent="0.25">
      <c r="A116" s="107"/>
      <c r="B116" s="107"/>
      <c r="C116" s="107"/>
      <c r="D116" s="107"/>
    </row>
    <row r="117" spans="1:4" ht="30" customHeight="1" x14ac:dyDescent="0.25">
      <c r="A117" s="107"/>
      <c r="B117" s="107"/>
      <c r="C117" s="107"/>
      <c r="D117" s="107"/>
    </row>
    <row r="118" spans="1:4" ht="30" customHeight="1" x14ac:dyDescent="0.25">
      <c r="A118" s="107"/>
      <c r="B118" s="107"/>
      <c r="C118" s="107"/>
      <c r="D118" s="107"/>
    </row>
    <row r="119" spans="1:4" ht="30" customHeight="1" x14ac:dyDescent="0.25">
      <c r="A119" s="107"/>
      <c r="B119" s="107"/>
      <c r="C119" s="107"/>
      <c r="D119" s="107"/>
    </row>
    <row r="120" spans="1:4" ht="30" customHeight="1" x14ac:dyDescent="0.25">
      <c r="A120" s="107"/>
      <c r="B120" s="107"/>
      <c r="C120" s="107"/>
      <c r="D120" s="107"/>
    </row>
    <row r="121" spans="1:4" ht="30" customHeight="1" x14ac:dyDescent="0.25">
      <c r="A121" s="107"/>
      <c r="B121" s="107"/>
      <c r="C121" s="107"/>
      <c r="D121" s="107"/>
    </row>
    <row r="122" spans="1:4" ht="30" customHeight="1" x14ac:dyDescent="0.25">
      <c r="A122" s="107"/>
      <c r="B122" s="107"/>
      <c r="C122" s="107"/>
      <c r="D122" s="107"/>
    </row>
    <row r="123" spans="1:4" ht="30" customHeight="1" x14ac:dyDescent="0.25">
      <c r="A123" s="107"/>
      <c r="B123" s="107"/>
      <c r="C123" s="107"/>
      <c r="D123" s="107"/>
    </row>
    <row r="124" spans="1:4" ht="30" customHeight="1" x14ac:dyDescent="0.25">
      <c r="A124" s="107"/>
      <c r="B124" s="107"/>
      <c r="C124" s="107"/>
      <c r="D124" s="107"/>
    </row>
    <row r="125" spans="1:4" ht="30" customHeight="1" x14ac:dyDescent="0.25">
      <c r="A125" s="107"/>
      <c r="B125" s="107"/>
      <c r="C125" s="107"/>
      <c r="D125" s="107"/>
    </row>
    <row r="126" spans="1:4" ht="30" customHeight="1" x14ac:dyDescent="0.25">
      <c r="A126" s="107"/>
      <c r="B126" s="107"/>
      <c r="C126" s="107"/>
      <c r="D126" s="107"/>
    </row>
  </sheetData>
  <mergeCells count="20">
    <mergeCell ref="B77:B81"/>
    <mergeCell ref="B83:B87"/>
    <mergeCell ref="B32:D32"/>
    <mergeCell ref="B40:B42"/>
    <mergeCell ref="B56:D56"/>
    <mergeCell ref="B58:B63"/>
    <mergeCell ref="B65:B69"/>
    <mergeCell ref="B71:B75"/>
    <mergeCell ref="A10:A11"/>
    <mergeCell ref="C10:C11"/>
    <mergeCell ref="B12:D12"/>
    <mergeCell ref="B13:B22"/>
    <mergeCell ref="B23:D23"/>
    <mergeCell ref="E10:E11"/>
    <mergeCell ref="B29:B31"/>
    <mergeCell ref="B4:D4"/>
    <mergeCell ref="B6:C6"/>
    <mergeCell ref="B7:B11"/>
    <mergeCell ref="B24:B26"/>
    <mergeCell ref="B27:B28"/>
  </mergeCells>
  <conditionalFormatting sqref="E6:E10 E44:E50 E12">
    <cfRule type="cellIs" dxfId="25" priority="23" operator="equal">
      <formula>"?"</formula>
    </cfRule>
    <cfRule type="containsText" dxfId="24" priority="32" operator="containsText" text="x">
      <formula>NOT(ISERROR(SEARCH("x",E6)))</formula>
    </cfRule>
  </conditionalFormatting>
  <conditionalFormatting sqref="E32">
    <cfRule type="containsText" dxfId="23" priority="30" operator="containsText" text="x">
      <formula>NOT(ISERROR(SEARCH("x",E32)))</formula>
    </cfRule>
    <cfRule type="colorScale" priority="31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39">
    <cfRule type="containsText" dxfId="22" priority="28" operator="containsText" text="x">
      <formula>NOT(ISERROR(SEARCH("x",E39)))</formula>
    </cfRule>
    <cfRule type="colorScale" priority="29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43">
    <cfRule type="containsText" dxfId="21" priority="26" operator="containsText" text="x">
      <formula>NOT(ISERROR(SEARCH("x",E43)))</formula>
    </cfRule>
    <cfRule type="colorScale" priority="27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51">
    <cfRule type="containsText" dxfId="20" priority="24" operator="containsText" text="x">
      <formula>NOT(ISERROR(SEARCH("x",E51)))</formula>
    </cfRule>
    <cfRule type="colorScale" priority="25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13:E22">
    <cfRule type="cellIs" dxfId="19" priority="21" operator="equal">
      <formula>"?"</formula>
    </cfRule>
    <cfRule type="containsText" dxfId="18" priority="22" operator="containsText" text="x">
      <formula>NOT(ISERROR(SEARCH("x",E13)))</formula>
    </cfRule>
  </conditionalFormatting>
  <conditionalFormatting sqref="E52:E54">
    <cfRule type="cellIs" dxfId="17" priority="11" operator="equal">
      <formula>"?"</formula>
    </cfRule>
    <cfRule type="containsText" dxfId="16" priority="12" operator="containsText" text="x">
      <formula>NOT(ISERROR(SEARCH("x",E52)))</formula>
    </cfRule>
  </conditionalFormatting>
  <conditionalFormatting sqref="E24:E31">
    <cfRule type="cellIs" dxfId="15" priority="19" operator="equal">
      <formula>"?"</formula>
    </cfRule>
    <cfRule type="containsText" dxfId="14" priority="20" operator="containsText" text="x">
      <formula>NOT(ISERROR(SEARCH("x",E24)))</formula>
    </cfRule>
  </conditionalFormatting>
  <conditionalFormatting sqref="E34:E38">
    <cfRule type="cellIs" dxfId="13" priority="17" operator="equal">
      <formula>"?"</formula>
    </cfRule>
    <cfRule type="containsText" dxfId="12" priority="18" operator="containsText" text="x">
      <formula>NOT(ISERROR(SEARCH("x",E34)))</formula>
    </cfRule>
  </conditionalFormatting>
  <conditionalFormatting sqref="E40:E42">
    <cfRule type="cellIs" dxfId="11" priority="15" operator="equal">
      <formula>"?"</formula>
    </cfRule>
    <cfRule type="containsText" dxfId="10" priority="16" operator="containsText" text="x">
      <formula>NOT(ISERROR(SEARCH("x",E40)))</formula>
    </cfRule>
  </conditionalFormatting>
  <conditionalFormatting sqref="E58:E64">
    <cfRule type="cellIs" dxfId="9" priority="9" operator="equal">
      <formula>"?"</formula>
    </cfRule>
    <cfRule type="containsText" dxfId="8" priority="10" operator="containsText" text="x">
      <formula>NOT(ISERROR(SEARCH("x",E58)))</formula>
    </cfRule>
  </conditionalFormatting>
  <conditionalFormatting sqref="E65:E69">
    <cfRule type="cellIs" dxfId="7" priority="7" operator="equal">
      <formula>"?"</formula>
    </cfRule>
    <cfRule type="containsText" dxfId="6" priority="8" operator="containsText" text="x">
      <formula>NOT(ISERROR(SEARCH("x",E65)))</formula>
    </cfRule>
  </conditionalFormatting>
  <conditionalFormatting sqref="E71:E75">
    <cfRule type="cellIs" dxfId="5" priority="5" operator="equal">
      <formula>"?"</formula>
    </cfRule>
    <cfRule type="containsText" dxfId="4" priority="6" operator="containsText" text="x">
      <formula>NOT(ISERROR(SEARCH("x",E71)))</formula>
    </cfRule>
  </conditionalFormatting>
  <conditionalFormatting sqref="E77:E81">
    <cfRule type="cellIs" dxfId="3" priority="3" operator="equal">
      <formula>"?"</formula>
    </cfRule>
    <cfRule type="containsText" dxfId="2" priority="4" operator="containsText" text="x">
      <formula>NOT(ISERROR(SEARCH("x",E77)))</formula>
    </cfRule>
  </conditionalFormatting>
  <conditionalFormatting sqref="E83:E87">
    <cfRule type="cellIs" dxfId="1" priority="1" operator="equal">
      <formula>"?"</formula>
    </cfRule>
    <cfRule type="containsText" dxfId="0" priority="2" operator="containsText" text="x">
      <formula>NOT(ISERROR(SEARCH("x",E83)))</formula>
    </cfRule>
  </conditionalFormatting>
  <pageMargins left="0.7" right="0.7" top="0.78740157499999996" bottom="0.78740157499999996" header="0.3" footer="0.3"/>
  <pageSetup paperSize="9" scale="62" orientation="portrait" r:id="rId1"/>
  <headerFooter>
    <oddFooter>&amp;L&amp;G &amp;CVorsicht!Es geht um Ihre Sicherheit:Elektrische Anlagen sind nur durch Elektrofachkräfte zu öffnen.Es besteht Lebensgefahr!&amp;R&amp;G</oddFooter>
  </headerFooter>
  <rowBreaks count="2" manualBreakCount="2">
    <brk id="31" max="4" man="1"/>
    <brk id="63" max="4" man="1"/>
  </rowBreaks>
  <colBreaks count="1" manualBreakCount="1">
    <brk id="5" max="95" man="1"/>
  </colBreaks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AC1048576"/>
  <sheetViews>
    <sheetView workbookViewId="0">
      <pane xSplit="1" topLeftCell="F1" activePane="topRight" state="frozen"/>
      <selection pane="topRight" activeCell="H8" sqref="H8:H12"/>
    </sheetView>
  </sheetViews>
  <sheetFormatPr baseColWidth="10" defaultColWidth="11.42578125" defaultRowHeight="15" x14ac:dyDescent="0.25"/>
  <cols>
    <col min="1" max="1" width="29.85546875" style="130" bestFit="1" customWidth="1"/>
    <col min="2" max="3" width="26.7109375" style="130" bestFit="1" customWidth="1"/>
    <col min="4" max="4" width="23.85546875" style="575" bestFit="1" customWidth="1"/>
    <col min="5" max="5" width="33.28515625" style="130" bestFit="1" customWidth="1"/>
    <col min="6" max="7" width="23.85546875" style="130" bestFit="1" customWidth="1"/>
    <col min="8" max="8" width="15.140625" style="130" bestFit="1" customWidth="1"/>
    <col min="9" max="9" width="24.140625" style="130" bestFit="1" customWidth="1"/>
    <col min="10" max="10" width="23" style="130" bestFit="1" customWidth="1"/>
    <col min="11" max="13" width="23" style="130" customWidth="1"/>
    <col min="14" max="14" width="25.7109375" style="130" bestFit="1" customWidth="1"/>
    <col min="15" max="16" width="23" style="130" customWidth="1"/>
    <col min="17" max="17" width="20.5703125" style="130" bestFit="1" customWidth="1"/>
    <col min="18" max="20" width="18.7109375" style="130" bestFit="1" customWidth="1"/>
    <col min="21" max="21" width="26.7109375" style="130" bestFit="1" customWidth="1"/>
    <col min="22" max="22" width="26.7109375" style="130" customWidth="1"/>
    <col min="23" max="23" width="17.42578125" style="130" bestFit="1" customWidth="1"/>
    <col min="24" max="24" width="16.7109375" style="130" bestFit="1" customWidth="1"/>
    <col min="25" max="28" width="26.7109375" style="130" customWidth="1"/>
    <col min="29" max="29" width="8.7109375" style="130" customWidth="1"/>
    <col min="30" max="30" width="10" style="130" customWidth="1"/>
    <col min="31" max="16384" width="11.42578125" style="130"/>
  </cols>
  <sheetData>
    <row r="1" spans="1:29" s="567" customFormat="1" x14ac:dyDescent="0.25">
      <c r="A1" s="566" t="s">
        <v>384</v>
      </c>
      <c r="B1" s="567" t="s">
        <v>576</v>
      </c>
      <c r="C1" s="567" t="s">
        <v>576</v>
      </c>
      <c r="D1" s="567" t="s">
        <v>585</v>
      </c>
      <c r="E1" s="567" t="s">
        <v>591</v>
      </c>
      <c r="F1" s="567" t="s">
        <v>585</v>
      </c>
      <c r="G1" s="567" t="s">
        <v>585</v>
      </c>
      <c r="H1" s="567" t="s">
        <v>600</v>
      </c>
      <c r="I1" s="567" t="s">
        <v>596</v>
      </c>
      <c r="J1" s="567" t="s">
        <v>589</v>
      </c>
      <c r="K1" s="606" t="s">
        <v>786</v>
      </c>
      <c r="L1" s="567" t="s">
        <v>786</v>
      </c>
      <c r="M1" s="567" t="s">
        <v>761</v>
      </c>
      <c r="N1" s="606" t="s">
        <v>768</v>
      </c>
      <c r="O1" s="606" t="s">
        <v>771</v>
      </c>
      <c r="P1" s="794" t="s">
        <v>771</v>
      </c>
      <c r="Q1" s="794" t="s">
        <v>771</v>
      </c>
      <c r="R1" s="606" t="s">
        <v>775</v>
      </c>
      <c r="S1" s="606" t="s">
        <v>775</v>
      </c>
      <c r="T1" s="606" t="s">
        <v>775</v>
      </c>
      <c r="U1" s="606" t="s">
        <v>576</v>
      </c>
      <c r="V1" s="606" t="s">
        <v>1087</v>
      </c>
      <c r="W1" s="606" t="s">
        <v>1090</v>
      </c>
      <c r="X1" s="606" t="s">
        <v>1099</v>
      </c>
      <c r="Y1" s="606" t="s">
        <v>1100</v>
      </c>
      <c r="Z1" s="606" t="s">
        <v>1100</v>
      </c>
      <c r="AA1" s="606" t="s">
        <v>1104</v>
      </c>
      <c r="AB1" s="606" t="s">
        <v>1104</v>
      </c>
      <c r="AC1" s="606"/>
    </row>
    <row r="2" spans="1:29" s="567" customFormat="1" x14ac:dyDescent="0.25">
      <c r="A2" s="566" t="s">
        <v>580</v>
      </c>
      <c r="B2" s="567" t="s">
        <v>577</v>
      </c>
      <c r="C2" s="567" t="s">
        <v>583</v>
      </c>
      <c r="D2" s="567" t="s">
        <v>586</v>
      </c>
      <c r="E2" s="567" t="s">
        <v>592</v>
      </c>
      <c r="F2" s="567" t="s">
        <v>597</v>
      </c>
      <c r="G2" s="567" t="s">
        <v>597</v>
      </c>
      <c r="H2" s="567" t="s">
        <v>598</v>
      </c>
      <c r="I2" s="567" t="s">
        <v>599</v>
      </c>
      <c r="J2" s="567" t="s">
        <v>588</v>
      </c>
      <c r="K2" s="567" t="s">
        <v>756</v>
      </c>
      <c r="L2" s="567" t="s">
        <v>759</v>
      </c>
      <c r="M2" s="567" t="s">
        <v>762</v>
      </c>
      <c r="N2" s="606">
        <v>40041336</v>
      </c>
      <c r="O2" s="606" t="s">
        <v>772</v>
      </c>
      <c r="P2" s="794" t="s">
        <v>772</v>
      </c>
      <c r="Q2" s="794" t="s">
        <v>772</v>
      </c>
      <c r="R2" s="606"/>
      <c r="S2" s="606"/>
      <c r="T2" s="606"/>
      <c r="U2" s="606" t="s">
        <v>889</v>
      </c>
      <c r="V2" s="606" t="s">
        <v>1088</v>
      </c>
      <c r="W2" s="606" t="s">
        <v>1091</v>
      </c>
      <c r="X2" s="685" t="s">
        <v>1096</v>
      </c>
      <c r="Y2" s="606" t="s">
        <v>1101</v>
      </c>
      <c r="Z2" s="606" t="s">
        <v>1101</v>
      </c>
      <c r="AB2" s="606" t="s">
        <v>1106</v>
      </c>
      <c r="AC2" s="606"/>
    </row>
    <row r="3" spans="1:29" s="567" customFormat="1" x14ac:dyDescent="0.25">
      <c r="A3" s="566" t="s">
        <v>584</v>
      </c>
      <c r="B3" s="567" t="s">
        <v>1069</v>
      </c>
      <c r="C3" s="567" t="s">
        <v>1068</v>
      </c>
      <c r="D3" s="567" t="s">
        <v>1067</v>
      </c>
      <c r="E3" s="567" t="s">
        <v>1066</v>
      </c>
      <c r="F3" s="567" t="s">
        <v>1065</v>
      </c>
      <c r="G3" s="567" t="s">
        <v>1064</v>
      </c>
      <c r="H3" s="567" t="s">
        <v>1062</v>
      </c>
      <c r="I3" s="567" t="s">
        <v>1061</v>
      </c>
      <c r="J3" s="567" t="s">
        <v>1060</v>
      </c>
      <c r="K3" s="567" t="s">
        <v>1063</v>
      </c>
      <c r="L3" s="567" t="s">
        <v>760</v>
      </c>
      <c r="M3" s="567" t="s">
        <v>1059</v>
      </c>
      <c r="N3" s="606" t="s">
        <v>1058</v>
      </c>
      <c r="O3" s="606" t="s">
        <v>1057</v>
      </c>
      <c r="P3" s="794" t="s">
        <v>1056</v>
      </c>
      <c r="Q3" s="794" t="s">
        <v>1071</v>
      </c>
      <c r="R3" s="606" t="s">
        <v>1055</v>
      </c>
      <c r="S3" s="606" t="s">
        <v>1054</v>
      </c>
      <c r="T3" s="606" t="s">
        <v>1053</v>
      </c>
      <c r="U3" s="606" t="s">
        <v>1052</v>
      </c>
      <c r="V3" s="606" t="s">
        <v>1089</v>
      </c>
      <c r="W3" s="606" t="s">
        <v>1092</v>
      </c>
      <c r="X3" s="606" t="s">
        <v>1095</v>
      </c>
      <c r="Y3" s="606" t="s">
        <v>1102</v>
      </c>
      <c r="Z3" s="606" t="s">
        <v>1103</v>
      </c>
      <c r="AA3" s="606" t="s">
        <v>1105</v>
      </c>
      <c r="AB3" s="606" t="s">
        <v>1107</v>
      </c>
      <c r="AC3" s="606" t="s">
        <v>1051</v>
      </c>
    </row>
    <row r="4" spans="1:29" s="569" customFormat="1" ht="15.75" thickBot="1" x14ac:dyDescent="0.3">
      <c r="A4" s="568" t="s">
        <v>581</v>
      </c>
      <c r="B4" s="569">
        <v>1</v>
      </c>
      <c r="C4" s="569">
        <v>2</v>
      </c>
      <c r="D4" s="569">
        <v>3</v>
      </c>
      <c r="E4" s="569">
        <v>4</v>
      </c>
      <c r="F4" s="569">
        <v>5</v>
      </c>
      <c r="G4" s="569">
        <v>6</v>
      </c>
      <c r="H4" s="569">
        <v>7</v>
      </c>
      <c r="I4" s="607">
        <v>8</v>
      </c>
      <c r="J4" s="607">
        <v>9</v>
      </c>
      <c r="K4" s="607">
        <v>10</v>
      </c>
      <c r="L4" s="607">
        <v>11</v>
      </c>
      <c r="M4" s="607">
        <v>12</v>
      </c>
      <c r="N4" s="607">
        <v>13</v>
      </c>
      <c r="O4" s="607">
        <v>14</v>
      </c>
      <c r="P4" s="795">
        <v>15</v>
      </c>
      <c r="Q4" s="795">
        <v>16</v>
      </c>
      <c r="R4" s="607">
        <v>17</v>
      </c>
      <c r="S4" s="607">
        <v>18</v>
      </c>
      <c r="T4" s="607">
        <v>19</v>
      </c>
      <c r="U4" s="607">
        <v>20</v>
      </c>
      <c r="V4" s="607">
        <v>21</v>
      </c>
      <c r="W4" s="607">
        <v>22</v>
      </c>
      <c r="X4" s="607">
        <v>23</v>
      </c>
      <c r="Y4" s="607">
        <v>24</v>
      </c>
      <c r="Z4" s="607">
        <v>25</v>
      </c>
      <c r="AA4" s="607">
        <v>26</v>
      </c>
      <c r="AB4" s="607">
        <v>27</v>
      </c>
      <c r="AC4" s="607">
        <v>99</v>
      </c>
    </row>
    <row r="5" spans="1:29" s="791" customFormat="1" ht="33.75" customHeight="1" x14ac:dyDescent="0.25">
      <c r="A5" s="790" t="s">
        <v>384</v>
      </c>
      <c r="B5" s="789" t="s">
        <v>884</v>
      </c>
      <c r="C5" s="789" t="s">
        <v>884</v>
      </c>
      <c r="D5" s="789" t="s">
        <v>587</v>
      </c>
      <c r="E5" s="789" t="s">
        <v>885</v>
      </c>
      <c r="F5" s="789" t="s">
        <v>587</v>
      </c>
      <c r="G5" s="789" t="s">
        <v>587</v>
      </c>
      <c r="H5" s="789" t="s">
        <v>600</v>
      </c>
      <c r="I5" s="789" t="s">
        <v>596</v>
      </c>
      <c r="J5" s="789" t="s">
        <v>590</v>
      </c>
      <c r="K5" s="789" t="s">
        <v>786</v>
      </c>
      <c r="L5" s="789" t="s">
        <v>786</v>
      </c>
      <c r="M5" s="789" t="s">
        <v>886</v>
      </c>
      <c r="N5" s="789" t="s">
        <v>769</v>
      </c>
      <c r="O5" s="789" t="s">
        <v>773</v>
      </c>
      <c r="P5" s="789" t="s">
        <v>773</v>
      </c>
      <c r="Q5" s="789" t="s">
        <v>773</v>
      </c>
      <c r="R5" s="789" t="s">
        <v>776</v>
      </c>
      <c r="S5" s="789" t="s">
        <v>776</v>
      </c>
      <c r="T5" s="789" t="s">
        <v>776</v>
      </c>
      <c r="U5" s="789" t="s">
        <v>884</v>
      </c>
      <c r="V5" s="817" t="s">
        <v>1087</v>
      </c>
      <c r="W5" s="818" t="s">
        <v>1093</v>
      </c>
      <c r="X5" s="819" t="s">
        <v>886</v>
      </c>
      <c r="Y5" s="820" t="s">
        <v>1100</v>
      </c>
      <c r="Z5" s="820" t="s">
        <v>1100</v>
      </c>
      <c r="AA5" s="825" t="s">
        <v>1104</v>
      </c>
      <c r="AB5" s="823" t="s">
        <v>1104</v>
      </c>
      <c r="AC5" s="793"/>
    </row>
    <row r="6" spans="1:29" x14ac:dyDescent="0.25">
      <c r="A6" s="358" t="s">
        <v>6</v>
      </c>
      <c r="B6" s="364" t="s">
        <v>577</v>
      </c>
      <c r="C6" s="364" t="s">
        <v>583</v>
      </c>
      <c r="D6" s="364" t="s">
        <v>586</v>
      </c>
      <c r="E6" s="364" t="s">
        <v>592</v>
      </c>
      <c r="F6" s="364" t="s">
        <v>597</v>
      </c>
      <c r="G6" s="364" t="s">
        <v>597</v>
      </c>
      <c r="H6" s="364" t="s">
        <v>598</v>
      </c>
      <c r="I6" s="364" t="s">
        <v>599</v>
      </c>
      <c r="J6" s="364" t="s">
        <v>588</v>
      </c>
      <c r="K6" s="364" t="s">
        <v>756</v>
      </c>
      <c r="L6" s="364" t="s">
        <v>759</v>
      </c>
      <c r="M6" s="364" t="s">
        <v>762</v>
      </c>
      <c r="N6" s="604">
        <v>40041336</v>
      </c>
      <c r="O6" s="604" t="s">
        <v>772</v>
      </c>
      <c r="P6" s="604" t="s">
        <v>772</v>
      </c>
      <c r="Q6" s="604" t="s">
        <v>772</v>
      </c>
      <c r="R6" s="604" t="s">
        <v>777</v>
      </c>
      <c r="S6" s="604" t="s">
        <v>778</v>
      </c>
      <c r="T6" s="604" t="s">
        <v>779</v>
      </c>
      <c r="U6" s="604" t="s">
        <v>889</v>
      </c>
      <c r="V6" s="604" t="s">
        <v>1088</v>
      </c>
      <c r="W6" s="604" t="s">
        <v>1091</v>
      </c>
      <c r="X6" s="604" t="s">
        <v>1096</v>
      </c>
      <c r="Y6" s="604" t="s">
        <v>1101</v>
      </c>
      <c r="Z6" s="604" t="s">
        <v>1101</v>
      </c>
      <c r="AA6" s="604" t="s">
        <v>1108</v>
      </c>
      <c r="AB6" s="604" t="s">
        <v>1106</v>
      </c>
      <c r="AC6" s="604"/>
    </row>
    <row r="7" spans="1:29" x14ac:dyDescent="0.25">
      <c r="A7" s="358" t="s">
        <v>304</v>
      </c>
      <c r="B7" s="363">
        <v>8</v>
      </c>
      <c r="C7" s="363">
        <v>8</v>
      </c>
      <c r="D7" s="363">
        <v>12</v>
      </c>
      <c r="E7" s="363">
        <v>1</v>
      </c>
      <c r="F7" s="363">
        <v>12</v>
      </c>
      <c r="G7" s="363">
        <v>12</v>
      </c>
      <c r="H7" s="363">
        <v>10</v>
      </c>
      <c r="I7" s="604">
        <v>12</v>
      </c>
      <c r="J7" s="604">
        <v>120</v>
      </c>
      <c r="K7" s="604">
        <v>12</v>
      </c>
      <c r="L7" s="604">
        <v>2</v>
      </c>
      <c r="M7" s="604">
        <v>6</v>
      </c>
      <c r="N7" s="604">
        <v>12</v>
      </c>
      <c r="O7" s="604">
        <v>1</v>
      </c>
      <c r="P7" s="604">
        <v>1</v>
      </c>
      <c r="Q7" s="604">
        <v>1</v>
      </c>
      <c r="R7" s="604">
        <v>10</v>
      </c>
      <c r="S7" s="604">
        <v>10</v>
      </c>
      <c r="T7" s="604">
        <v>10</v>
      </c>
      <c r="U7" s="604"/>
      <c r="V7" s="604">
        <v>48</v>
      </c>
      <c r="W7" s="604">
        <v>12</v>
      </c>
      <c r="X7" s="604">
        <v>6</v>
      </c>
      <c r="Y7" s="604">
        <v>10</v>
      </c>
      <c r="Z7" s="604">
        <v>10</v>
      </c>
      <c r="AA7" s="604">
        <v>24</v>
      </c>
      <c r="AB7" s="604">
        <v>36</v>
      </c>
      <c r="AC7" s="604"/>
    </row>
    <row r="8" spans="1:29" x14ac:dyDescent="0.25">
      <c r="A8" s="358" t="s">
        <v>342</v>
      </c>
      <c r="B8" s="364">
        <v>0.3</v>
      </c>
      <c r="C8" s="364">
        <v>3.63</v>
      </c>
      <c r="D8" s="364">
        <v>0.9</v>
      </c>
      <c r="E8" s="364">
        <v>3.7919999999999998</v>
      </c>
      <c r="F8" s="364" t="s">
        <v>601</v>
      </c>
      <c r="G8" s="364" t="s">
        <v>601</v>
      </c>
      <c r="H8" s="364"/>
      <c r="I8" s="364"/>
      <c r="J8" s="364"/>
      <c r="K8" s="364"/>
      <c r="L8" s="364">
        <v>1.23</v>
      </c>
      <c r="M8" s="364" t="s">
        <v>601</v>
      </c>
      <c r="N8" s="604" t="s">
        <v>601</v>
      </c>
      <c r="O8" s="604">
        <v>2.06</v>
      </c>
      <c r="P8" s="604">
        <v>2.06</v>
      </c>
      <c r="Q8" s="604">
        <v>2.06</v>
      </c>
      <c r="R8" s="604">
        <v>1.2999999999999999E-2</v>
      </c>
      <c r="S8" s="604">
        <v>0.01</v>
      </c>
      <c r="T8" s="604">
        <v>0.01</v>
      </c>
      <c r="U8" s="604"/>
      <c r="V8" s="604"/>
      <c r="W8" s="604"/>
      <c r="X8" s="604" t="s">
        <v>72</v>
      </c>
      <c r="Y8" s="604"/>
      <c r="Z8" s="604"/>
      <c r="AA8" s="826">
        <v>0.1666</v>
      </c>
      <c r="AB8" s="604"/>
      <c r="AC8" s="604"/>
    </row>
    <row r="9" spans="1:29" x14ac:dyDescent="0.25">
      <c r="A9" s="358" t="s">
        <v>343</v>
      </c>
      <c r="B9" s="364">
        <v>44.1</v>
      </c>
      <c r="C9" s="364">
        <v>6.84</v>
      </c>
      <c r="D9" s="364">
        <v>11.3</v>
      </c>
      <c r="E9" s="364">
        <v>15.4</v>
      </c>
      <c r="F9" s="364">
        <v>40</v>
      </c>
      <c r="G9" s="364">
        <v>40</v>
      </c>
      <c r="H9" s="364"/>
      <c r="I9" s="364"/>
      <c r="J9" s="364"/>
      <c r="K9" s="364"/>
      <c r="L9" s="364" t="s">
        <v>787</v>
      </c>
      <c r="M9" s="364">
        <v>51.06</v>
      </c>
      <c r="N9" s="604">
        <v>1.4850000000000001</v>
      </c>
      <c r="O9" s="604">
        <v>1.6</v>
      </c>
      <c r="P9" s="604">
        <v>1.6</v>
      </c>
      <c r="Q9" s="604">
        <v>1.6</v>
      </c>
      <c r="R9" s="604" t="s">
        <v>780</v>
      </c>
      <c r="S9" s="604" t="s">
        <v>781</v>
      </c>
      <c r="T9" s="604" t="s">
        <v>782</v>
      </c>
      <c r="U9" s="604"/>
      <c r="V9" s="604"/>
      <c r="W9" s="604"/>
      <c r="X9" s="604">
        <v>12.57</v>
      </c>
      <c r="Y9" s="604"/>
      <c r="Z9" s="604"/>
      <c r="AA9" s="604" t="s">
        <v>1109</v>
      </c>
      <c r="AB9" s="604"/>
      <c r="AC9" s="604"/>
    </row>
    <row r="10" spans="1:29" x14ac:dyDescent="0.25">
      <c r="A10" s="358" t="s">
        <v>344</v>
      </c>
      <c r="B10" s="364" t="s">
        <v>578</v>
      </c>
      <c r="C10" s="364">
        <v>7.8</v>
      </c>
      <c r="D10" s="364">
        <v>10</v>
      </c>
      <c r="E10" s="364">
        <v>10</v>
      </c>
      <c r="F10" s="364">
        <v>10</v>
      </c>
      <c r="G10" s="364">
        <v>10</v>
      </c>
      <c r="H10" s="364"/>
      <c r="I10" s="364"/>
      <c r="J10" s="364"/>
      <c r="K10" s="364"/>
      <c r="L10" s="364">
        <v>8.8000000000000007</v>
      </c>
      <c r="M10" s="364">
        <v>9.4</v>
      </c>
      <c r="N10" s="604" t="s">
        <v>770</v>
      </c>
      <c r="O10" s="604" t="s">
        <v>774</v>
      </c>
      <c r="P10" s="604" t="s">
        <v>774</v>
      </c>
      <c r="Q10" s="604" t="s">
        <v>774</v>
      </c>
      <c r="R10" s="604">
        <v>9.6699999999999994E-2</v>
      </c>
      <c r="S10" s="604">
        <v>9.98E-2</v>
      </c>
      <c r="T10" s="604">
        <v>9.98E-2</v>
      </c>
      <c r="U10" s="604"/>
      <c r="V10" s="604"/>
      <c r="W10" s="604"/>
      <c r="X10" s="604" t="s">
        <v>1097</v>
      </c>
      <c r="Y10" s="604"/>
      <c r="Z10" s="604"/>
      <c r="AA10" s="604"/>
      <c r="AB10" s="604"/>
      <c r="AC10" s="604"/>
    </row>
    <row r="11" spans="1:29" x14ac:dyDescent="0.25">
      <c r="A11" s="358" t="s">
        <v>452</v>
      </c>
      <c r="B11" s="364">
        <v>35.21</v>
      </c>
      <c r="C11" s="364">
        <v>39.049999999999997</v>
      </c>
      <c r="D11" s="364">
        <v>42.23</v>
      </c>
      <c r="E11" s="364">
        <v>17</v>
      </c>
      <c r="F11" s="364">
        <v>28.8</v>
      </c>
      <c r="G11" s="364">
        <v>28.8</v>
      </c>
      <c r="H11" s="364"/>
      <c r="I11" s="364"/>
      <c r="J11" s="364"/>
      <c r="K11" s="364"/>
      <c r="L11" s="364">
        <v>29</v>
      </c>
      <c r="M11" s="364">
        <v>34.380000000000003</v>
      </c>
      <c r="N11" s="604">
        <v>9.7799999999999994</v>
      </c>
      <c r="O11" s="604">
        <v>41.6</v>
      </c>
      <c r="P11" s="604">
        <v>41.6</v>
      </c>
      <c r="Q11" s="604">
        <v>41.6</v>
      </c>
      <c r="R11" s="604" t="s">
        <v>783</v>
      </c>
      <c r="S11" s="604" t="s">
        <v>784</v>
      </c>
      <c r="T11" s="604" t="s">
        <v>785</v>
      </c>
      <c r="U11" s="604" t="s">
        <v>890</v>
      </c>
      <c r="V11" s="604"/>
      <c r="W11" s="604" t="s">
        <v>1094</v>
      </c>
      <c r="X11" s="604">
        <v>38.51</v>
      </c>
      <c r="Y11" s="604">
        <v>3.8</v>
      </c>
      <c r="Z11" s="604">
        <v>3.8</v>
      </c>
      <c r="AA11" s="604"/>
      <c r="AB11" s="604"/>
      <c r="AC11" s="604"/>
    </row>
    <row r="12" spans="1:29" x14ac:dyDescent="0.25">
      <c r="A12" s="358" t="s">
        <v>579</v>
      </c>
      <c r="B12" s="364">
        <v>1.38</v>
      </c>
      <c r="C12" s="364" t="s">
        <v>582</v>
      </c>
      <c r="D12" s="364">
        <v>0.85</v>
      </c>
      <c r="E12" s="364">
        <v>3.004</v>
      </c>
      <c r="F12" s="364" t="s">
        <v>601</v>
      </c>
      <c r="G12" s="364" t="s">
        <v>601</v>
      </c>
      <c r="H12" s="364"/>
      <c r="I12" s="364"/>
      <c r="J12" s="364"/>
      <c r="K12" s="364"/>
      <c r="L12" s="364">
        <v>2.96</v>
      </c>
      <c r="M12" s="364" t="s">
        <v>601</v>
      </c>
      <c r="N12" s="604" t="s">
        <v>601</v>
      </c>
      <c r="O12" s="604">
        <v>3.5</v>
      </c>
      <c r="P12" s="604">
        <v>3.5</v>
      </c>
      <c r="Q12" s="604">
        <v>3.5</v>
      </c>
      <c r="R12" s="604">
        <v>1.52E-2</v>
      </c>
      <c r="S12" s="604">
        <v>8.2000000000000007E-3</v>
      </c>
      <c r="T12" s="604">
        <v>6.7000000000000002E-3</v>
      </c>
      <c r="U12" s="604">
        <v>0.12</v>
      </c>
      <c r="V12" s="604"/>
      <c r="W12" s="604"/>
      <c r="X12" s="604" t="s">
        <v>1098</v>
      </c>
      <c r="Y12" s="604"/>
      <c r="Z12" s="604"/>
      <c r="AA12" s="604"/>
      <c r="AB12" s="604"/>
      <c r="AC12" s="604"/>
    </row>
    <row r="13" spans="1:29" x14ac:dyDescent="0.25">
      <c r="B13" s="570"/>
      <c r="C13" s="570"/>
      <c r="D13" s="570"/>
      <c r="E13" s="570"/>
      <c r="F13" s="570"/>
      <c r="G13" s="570"/>
      <c r="H13" s="570"/>
      <c r="I13" s="570"/>
      <c r="J13" s="570"/>
      <c r="K13" s="570"/>
      <c r="L13" s="570"/>
      <c r="M13" s="570"/>
      <c r="N13" s="608"/>
      <c r="O13" s="608"/>
      <c r="P13" s="608"/>
      <c r="Q13" s="608"/>
    </row>
    <row r="14" spans="1:29" ht="18" x14ac:dyDescent="0.25">
      <c r="A14" s="571" t="s">
        <v>3</v>
      </c>
      <c r="B14" s="558">
        <v>0.22</v>
      </c>
      <c r="C14" s="558">
        <v>0.17</v>
      </c>
      <c r="D14" s="558">
        <v>0.104</v>
      </c>
      <c r="E14" s="558">
        <v>1.3660000000000001</v>
      </c>
      <c r="F14" s="558">
        <v>0.53800000000000003</v>
      </c>
      <c r="G14" s="558">
        <v>0.26</v>
      </c>
      <c r="H14" s="558">
        <v>0.22700000000000001</v>
      </c>
      <c r="I14" s="558">
        <v>1.5</v>
      </c>
      <c r="J14" s="558">
        <v>0.27</v>
      </c>
      <c r="K14" s="558">
        <v>0.35899999999999999</v>
      </c>
      <c r="L14" s="558">
        <v>0.4</v>
      </c>
      <c r="M14" s="558">
        <v>0.48</v>
      </c>
      <c r="N14" s="605">
        <v>0.9</v>
      </c>
      <c r="O14" s="605">
        <v>0.09</v>
      </c>
      <c r="P14" s="605">
        <v>0.09</v>
      </c>
      <c r="Q14" s="605">
        <v>0.09</v>
      </c>
      <c r="R14" s="605">
        <v>0.3</v>
      </c>
      <c r="S14" s="605">
        <v>0.19</v>
      </c>
      <c r="T14" s="605">
        <v>0.13</v>
      </c>
      <c r="U14" s="605">
        <v>0.12</v>
      </c>
      <c r="V14" s="605">
        <v>0.185</v>
      </c>
      <c r="W14" s="605">
        <v>0.52</v>
      </c>
      <c r="X14" s="605">
        <v>0.40699999999999997</v>
      </c>
      <c r="Y14" s="605">
        <v>0.17</v>
      </c>
      <c r="Z14" s="605">
        <v>0.14000000000000001</v>
      </c>
      <c r="AA14" s="605">
        <v>7.0000000000000007E-2</v>
      </c>
      <c r="AB14" s="605">
        <v>0.06</v>
      </c>
      <c r="AC14" s="605">
        <v>0</v>
      </c>
    </row>
    <row r="15" spans="1:29" x14ac:dyDescent="0.25">
      <c r="B15" s="558">
        <v>0.19</v>
      </c>
      <c r="C15" s="558">
        <v>0.14000000000000001</v>
      </c>
      <c r="D15" s="558">
        <v>7.2999999999999995E-2</v>
      </c>
      <c r="E15" s="558">
        <v>1.31</v>
      </c>
      <c r="F15" s="558">
        <v>0.379</v>
      </c>
      <c r="G15" s="558">
        <v>0.2</v>
      </c>
      <c r="H15" s="558">
        <v>0.16</v>
      </c>
      <c r="I15" s="558">
        <v>1.03</v>
      </c>
      <c r="J15" s="558">
        <v>0.21</v>
      </c>
      <c r="K15" s="558">
        <v>0.505</v>
      </c>
      <c r="L15" s="558">
        <v>0.34</v>
      </c>
      <c r="M15" s="558">
        <v>0.51</v>
      </c>
      <c r="N15" s="605">
        <v>0.67</v>
      </c>
      <c r="O15" s="605">
        <v>7.0000000000000007E-2</v>
      </c>
      <c r="P15" s="605">
        <v>7.0000000000000007E-2</v>
      </c>
      <c r="Q15" s="605">
        <v>7.0000000000000007E-2</v>
      </c>
      <c r="R15" s="605">
        <v>0.24</v>
      </c>
      <c r="S15" s="605">
        <v>0.16</v>
      </c>
      <c r="T15" s="605">
        <v>0.11</v>
      </c>
      <c r="U15" s="605">
        <v>0.1</v>
      </c>
      <c r="V15" s="605">
        <v>0.223</v>
      </c>
      <c r="W15" s="605">
        <v>0.46</v>
      </c>
      <c r="X15" s="605">
        <v>0.50600000000000001</v>
      </c>
      <c r="Y15" s="605">
        <v>0.16</v>
      </c>
      <c r="Z15" s="605">
        <v>0.12</v>
      </c>
      <c r="AA15" s="605">
        <v>0.06</v>
      </c>
      <c r="AB15" s="605">
        <v>0.05</v>
      </c>
      <c r="AC15" s="605">
        <v>0</v>
      </c>
    </row>
    <row r="16" spans="1:29" x14ac:dyDescent="0.25">
      <c r="B16" s="558">
        <v>0.14000000000000001</v>
      </c>
      <c r="C16" s="558">
        <v>0.1</v>
      </c>
      <c r="D16" s="558">
        <v>0.04</v>
      </c>
      <c r="E16" s="558">
        <v>1.1479999999999999</v>
      </c>
      <c r="F16" s="558">
        <v>0.41</v>
      </c>
      <c r="G16" s="558">
        <v>0.126</v>
      </c>
      <c r="H16" s="558">
        <v>0.13</v>
      </c>
      <c r="I16" s="558">
        <v>0.97</v>
      </c>
      <c r="J16" s="558">
        <v>0.12</v>
      </c>
      <c r="K16" s="558">
        <v>0.61199999999999999</v>
      </c>
      <c r="L16" s="558">
        <v>0.25</v>
      </c>
      <c r="M16" s="558">
        <v>0.57999999999999996</v>
      </c>
      <c r="N16" s="605">
        <v>0.37</v>
      </c>
      <c r="O16" s="605">
        <v>0.04</v>
      </c>
      <c r="P16" s="605">
        <v>0.04</v>
      </c>
      <c r="Q16" s="605">
        <v>0.04</v>
      </c>
      <c r="R16" s="605">
        <v>0.2</v>
      </c>
      <c r="S16" s="605">
        <v>0.12</v>
      </c>
      <c r="T16" s="605">
        <v>0.08</v>
      </c>
      <c r="U16" s="605">
        <v>0.08</v>
      </c>
      <c r="V16" s="605">
        <v>0.26700000000000002</v>
      </c>
      <c r="W16" s="605">
        <v>0.44</v>
      </c>
      <c r="X16" s="605">
        <v>0.58399999999999996</v>
      </c>
      <c r="Y16" s="605">
        <v>0.19</v>
      </c>
      <c r="Z16" s="605">
        <v>0.11</v>
      </c>
      <c r="AA16" s="605">
        <v>0.05</v>
      </c>
      <c r="AB16" s="605">
        <v>0.04</v>
      </c>
      <c r="AC16" s="605">
        <v>0</v>
      </c>
    </row>
    <row r="17" spans="1:29" x14ac:dyDescent="0.25">
      <c r="B17" s="558">
        <v>0.11</v>
      </c>
      <c r="C17" s="558">
        <v>0.08</v>
      </c>
      <c r="D17" s="558">
        <v>2.9000000000000001E-2</v>
      </c>
      <c r="E17" s="558">
        <v>0.96599999999999997</v>
      </c>
      <c r="F17" s="558">
        <v>0.54</v>
      </c>
      <c r="G17" s="558">
        <v>8.8999999999999996E-2</v>
      </c>
      <c r="H17" s="558">
        <v>0.161</v>
      </c>
      <c r="I17" s="558">
        <v>0.69</v>
      </c>
      <c r="J17" s="558">
        <v>0.05</v>
      </c>
      <c r="K17" s="558">
        <v>0.65200000000000002</v>
      </c>
      <c r="L17" s="558">
        <v>0.21</v>
      </c>
      <c r="M17" s="558">
        <v>0.61</v>
      </c>
      <c r="N17" s="605">
        <v>0.11</v>
      </c>
      <c r="O17" s="605">
        <v>0.02</v>
      </c>
      <c r="P17" s="605">
        <v>0.02</v>
      </c>
      <c r="Q17" s="605">
        <v>0.02</v>
      </c>
      <c r="R17" s="605">
        <v>0.19</v>
      </c>
      <c r="S17" s="605">
        <v>0.09</v>
      </c>
      <c r="T17" s="605">
        <v>0.05</v>
      </c>
      <c r="U17" s="605">
        <v>0.06</v>
      </c>
      <c r="V17" s="605">
        <v>0.28699999999999998</v>
      </c>
      <c r="W17" s="605">
        <v>0.45</v>
      </c>
      <c r="X17" s="605">
        <v>0.61199999999999999</v>
      </c>
      <c r="Y17" s="605">
        <v>0.2</v>
      </c>
      <c r="Z17" s="605">
        <v>0.11</v>
      </c>
      <c r="AA17" s="605">
        <v>0.04</v>
      </c>
      <c r="AB17" s="605">
        <v>0.03</v>
      </c>
      <c r="AC17" s="605">
        <v>0</v>
      </c>
    </row>
    <row r="18" spans="1:29" ht="18" x14ac:dyDescent="0.25">
      <c r="A18" s="571" t="s">
        <v>4</v>
      </c>
      <c r="B18" s="557">
        <v>0.97</v>
      </c>
      <c r="C18" s="557">
        <v>1.01</v>
      </c>
      <c r="D18" s="557">
        <v>0.29499999999999998</v>
      </c>
      <c r="E18" s="557">
        <v>1.3759999999999999</v>
      </c>
      <c r="F18" s="557">
        <v>0.98299999999999998</v>
      </c>
      <c r="G18" s="557">
        <v>0.68799999999999994</v>
      </c>
      <c r="H18" s="557">
        <v>0.88900000000000001</v>
      </c>
      <c r="I18" s="557">
        <v>0.77</v>
      </c>
      <c r="J18" s="557">
        <v>0.95</v>
      </c>
      <c r="K18" s="572">
        <v>0.81200000000000006</v>
      </c>
      <c r="L18" s="572">
        <v>0.98</v>
      </c>
      <c r="M18" s="572">
        <v>0.9</v>
      </c>
      <c r="N18" s="609">
        <v>0.06</v>
      </c>
      <c r="O18" s="610">
        <v>0.95</v>
      </c>
      <c r="P18" s="610">
        <v>0.95</v>
      </c>
      <c r="Q18" s="610">
        <v>0.95</v>
      </c>
      <c r="R18" s="605">
        <v>0.95</v>
      </c>
      <c r="S18" s="605">
        <v>0.91</v>
      </c>
      <c r="T18" s="605">
        <v>0.9</v>
      </c>
      <c r="U18" s="605">
        <v>0.92</v>
      </c>
      <c r="V18" s="605">
        <v>0.88500000000000001</v>
      </c>
      <c r="W18" s="605">
        <v>1.1000000000000001</v>
      </c>
      <c r="X18" s="605">
        <v>0.81499999999999995</v>
      </c>
      <c r="Y18" s="605">
        <v>1</v>
      </c>
      <c r="Z18" s="605">
        <v>0.99</v>
      </c>
      <c r="AA18" s="605">
        <v>0.93</v>
      </c>
      <c r="AB18" s="605">
        <v>0.9</v>
      </c>
      <c r="AC18" s="605">
        <v>0</v>
      </c>
    </row>
    <row r="19" spans="1:29" x14ac:dyDescent="0.25">
      <c r="B19" s="558">
        <v>0.76</v>
      </c>
      <c r="C19" s="558">
        <v>0.83</v>
      </c>
      <c r="D19" s="558">
        <v>0.20599999999999999</v>
      </c>
      <c r="E19" s="558">
        <v>1.32</v>
      </c>
      <c r="F19" s="558">
        <v>0.83899999999999997</v>
      </c>
      <c r="G19" s="558">
        <v>0.52400000000000002</v>
      </c>
      <c r="H19" s="558">
        <v>0.69299999999999995</v>
      </c>
      <c r="I19" s="558">
        <v>0.8</v>
      </c>
      <c r="J19" s="558">
        <v>0.75</v>
      </c>
      <c r="K19" s="558">
        <v>0.58499999999999996</v>
      </c>
      <c r="L19" s="558">
        <v>0.76</v>
      </c>
      <c r="M19" s="558">
        <v>0.7</v>
      </c>
      <c r="N19" s="605">
        <v>0.05</v>
      </c>
      <c r="O19" s="605">
        <v>0.75</v>
      </c>
      <c r="P19" s="605">
        <v>0.75</v>
      </c>
      <c r="Q19" s="605">
        <v>0.75</v>
      </c>
      <c r="R19" s="605">
        <v>0.75</v>
      </c>
      <c r="S19" s="605">
        <v>0.7</v>
      </c>
      <c r="T19" s="605">
        <v>0.67</v>
      </c>
      <c r="U19" s="605">
        <v>0.71</v>
      </c>
      <c r="V19" s="605">
        <v>0.71299999999999997</v>
      </c>
      <c r="W19" s="605">
        <v>0.98</v>
      </c>
      <c r="X19" s="605">
        <v>0.58799999999999997</v>
      </c>
      <c r="Y19" s="605">
        <v>0.77</v>
      </c>
      <c r="Z19" s="605">
        <v>0.77</v>
      </c>
      <c r="AA19" s="605">
        <v>0.69</v>
      </c>
      <c r="AB19" s="605">
        <v>0.68</v>
      </c>
      <c r="AC19" s="605">
        <v>0</v>
      </c>
    </row>
    <row r="20" spans="1:29" x14ac:dyDescent="0.25">
      <c r="B20" s="558">
        <v>0.46</v>
      </c>
      <c r="C20" s="558">
        <v>0.56999999999999995</v>
      </c>
      <c r="D20" s="558">
        <v>9.2999999999999999E-2</v>
      </c>
      <c r="E20" s="558">
        <v>1.1559999999999999</v>
      </c>
      <c r="F20" s="558">
        <v>0.5595</v>
      </c>
      <c r="G20" s="558">
        <v>0.29899999999999999</v>
      </c>
      <c r="H20" s="558">
        <v>0.41499999999999998</v>
      </c>
      <c r="I20" s="558">
        <v>0.66</v>
      </c>
      <c r="J20" s="558">
        <v>0.47</v>
      </c>
      <c r="K20" s="558">
        <v>0.28799999999999998</v>
      </c>
      <c r="L20" s="558">
        <v>0.46</v>
      </c>
      <c r="M20" s="558">
        <v>0.42</v>
      </c>
      <c r="N20" s="605">
        <v>0.04</v>
      </c>
      <c r="O20" s="605">
        <v>0.47</v>
      </c>
      <c r="P20" s="605">
        <v>0.47</v>
      </c>
      <c r="Q20" s="605">
        <v>0.47</v>
      </c>
      <c r="R20" s="605">
        <v>0.51</v>
      </c>
      <c r="S20" s="605">
        <v>0.42</v>
      </c>
      <c r="T20" s="605">
        <v>0.38</v>
      </c>
      <c r="U20" s="605">
        <v>0.42</v>
      </c>
      <c r="V20" s="605">
        <v>0.46600000000000003</v>
      </c>
      <c r="W20" s="605">
        <v>0.81</v>
      </c>
      <c r="X20" s="605">
        <v>0.28999999999999998</v>
      </c>
      <c r="Y20" s="605">
        <v>0.49</v>
      </c>
      <c r="Z20" s="605">
        <v>0.47</v>
      </c>
      <c r="AA20" s="605">
        <v>0.37</v>
      </c>
      <c r="AB20" s="605">
        <v>0.39</v>
      </c>
      <c r="AC20" s="605">
        <v>0</v>
      </c>
    </row>
    <row r="21" spans="1:29" x14ac:dyDescent="0.25">
      <c r="B21" s="558">
        <v>0.31</v>
      </c>
      <c r="C21" s="558">
        <v>0.4</v>
      </c>
      <c r="D21" s="558">
        <v>0</v>
      </c>
      <c r="E21" s="558">
        <v>0.97299999999999998</v>
      </c>
      <c r="F21" s="558">
        <v>0.36499999999999999</v>
      </c>
      <c r="G21" s="558">
        <v>0.106</v>
      </c>
      <c r="H21" s="558">
        <v>0.17100000000000001</v>
      </c>
      <c r="I21" s="558">
        <v>0.53</v>
      </c>
      <c r="J21" s="558">
        <v>0.22</v>
      </c>
      <c r="K21" s="558">
        <v>3.9E-2</v>
      </c>
      <c r="L21" s="558">
        <v>0.24</v>
      </c>
      <c r="M21" s="558">
        <v>0.17</v>
      </c>
      <c r="N21" s="605">
        <v>0.03</v>
      </c>
      <c r="O21" s="605">
        <v>0.22</v>
      </c>
      <c r="P21" s="605">
        <v>0.22</v>
      </c>
      <c r="Q21" s="605">
        <v>0.22</v>
      </c>
      <c r="R21" s="605">
        <v>0.35</v>
      </c>
      <c r="S21" s="605">
        <v>0.2</v>
      </c>
      <c r="T21" s="605">
        <v>0.17</v>
      </c>
      <c r="U21" s="605">
        <v>0.2</v>
      </c>
      <c r="V21" s="605">
        <v>0.246</v>
      </c>
      <c r="W21" s="605">
        <v>0.83</v>
      </c>
      <c r="X21" s="605">
        <v>0.04</v>
      </c>
      <c r="Y21" s="605">
        <v>0.38</v>
      </c>
      <c r="Z21" s="605">
        <v>0.25</v>
      </c>
      <c r="AA21" s="605">
        <v>0.1</v>
      </c>
      <c r="AB21" s="605">
        <v>0.17</v>
      </c>
      <c r="AC21" s="605">
        <v>0</v>
      </c>
    </row>
    <row r="22" spans="1:29" ht="18" x14ac:dyDescent="0.25">
      <c r="A22" s="571" t="s">
        <v>5</v>
      </c>
      <c r="B22" s="558">
        <v>1.08</v>
      </c>
      <c r="C22" s="558">
        <v>1.07</v>
      </c>
      <c r="D22" s="558">
        <v>1.0640000000000001</v>
      </c>
      <c r="E22" s="558">
        <v>1.048</v>
      </c>
      <c r="F22" s="558">
        <v>1.1279999999999999</v>
      </c>
      <c r="G22" s="558">
        <v>1.1759999999999999</v>
      </c>
      <c r="H22" s="558">
        <v>1.1299999999999999</v>
      </c>
      <c r="I22" s="558">
        <v>1</v>
      </c>
      <c r="J22" s="558">
        <v>1.01</v>
      </c>
      <c r="K22" s="558">
        <v>1.0429999999999999</v>
      </c>
      <c r="L22" s="558">
        <v>1.1399999999999999</v>
      </c>
      <c r="M22" s="558">
        <v>1.04</v>
      </c>
      <c r="N22" s="605">
        <v>1.032</v>
      </c>
      <c r="O22" s="605">
        <v>0.99</v>
      </c>
      <c r="P22" s="605">
        <v>0.99</v>
      </c>
      <c r="Q22" s="605">
        <v>0.99</v>
      </c>
      <c r="R22" s="605">
        <v>1.1000000000000001</v>
      </c>
      <c r="S22" s="605">
        <v>1.1000000000000001</v>
      </c>
      <c r="T22" s="605">
        <v>1.1000000000000001</v>
      </c>
      <c r="U22" s="605">
        <v>1.02</v>
      </c>
      <c r="V22" s="605">
        <v>8.5000000000000006E-2</v>
      </c>
      <c r="W22" s="605">
        <v>1.03</v>
      </c>
      <c r="X22" s="605"/>
      <c r="Y22" s="605">
        <v>0.19</v>
      </c>
      <c r="Z22" s="605">
        <v>1</v>
      </c>
      <c r="AA22" s="605">
        <v>1.08</v>
      </c>
      <c r="AB22" s="605">
        <v>0.9</v>
      </c>
      <c r="AC22" s="605">
        <v>0</v>
      </c>
    </row>
    <row r="23" spans="1:29" ht="18" x14ac:dyDescent="0.25">
      <c r="A23" s="571" t="s">
        <v>8</v>
      </c>
      <c r="B23" s="558">
        <v>1</v>
      </c>
      <c r="C23" s="558">
        <v>1</v>
      </c>
      <c r="D23" s="558">
        <v>1</v>
      </c>
      <c r="E23" s="558">
        <v>1</v>
      </c>
      <c r="F23" s="558">
        <v>1</v>
      </c>
      <c r="G23" s="558">
        <v>1</v>
      </c>
      <c r="H23" s="558">
        <v>2</v>
      </c>
      <c r="I23" s="558">
        <v>1</v>
      </c>
      <c r="J23" s="558">
        <v>10</v>
      </c>
      <c r="K23" s="558">
        <v>1</v>
      </c>
      <c r="L23" s="558">
        <v>1</v>
      </c>
      <c r="M23" s="558">
        <v>1</v>
      </c>
      <c r="N23" s="605">
        <v>1</v>
      </c>
      <c r="O23" s="605">
        <v>1</v>
      </c>
      <c r="P23" s="605">
        <v>1</v>
      </c>
      <c r="Q23" s="605">
        <v>1</v>
      </c>
      <c r="R23" s="605">
        <v>1</v>
      </c>
      <c r="S23" s="605">
        <v>1</v>
      </c>
      <c r="T23" s="605">
        <v>1</v>
      </c>
      <c r="U23" s="605">
        <v>1</v>
      </c>
      <c r="V23" s="605">
        <v>4</v>
      </c>
      <c r="W23" s="605">
        <v>1</v>
      </c>
      <c r="X23" s="605">
        <v>1</v>
      </c>
      <c r="Y23" s="605">
        <v>7</v>
      </c>
      <c r="Z23" s="605">
        <v>7</v>
      </c>
      <c r="AA23" s="605">
        <v>2</v>
      </c>
      <c r="AB23" s="605">
        <v>3</v>
      </c>
      <c r="AC23" s="605">
        <v>0</v>
      </c>
    </row>
    <row r="24" spans="1:29" ht="18" x14ac:dyDescent="0.25">
      <c r="A24" s="571" t="s">
        <v>9</v>
      </c>
      <c r="B24" s="558">
        <v>8</v>
      </c>
      <c r="C24" s="558">
        <v>8</v>
      </c>
      <c r="D24" s="558">
        <v>12</v>
      </c>
      <c r="E24" s="558">
        <v>1</v>
      </c>
      <c r="F24" s="558">
        <v>12</v>
      </c>
      <c r="G24" s="558">
        <v>12</v>
      </c>
      <c r="H24" s="558">
        <v>10</v>
      </c>
      <c r="I24" s="558">
        <v>12</v>
      </c>
      <c r="J24" s="558">
        <v>120</v>
      </c>
      <c r="K24" s="558">
        <v>12</v>
      </c>
      <c r="L24" s="558">
        <v>2</v>
      </c>
      <c r="M24" s="558">
        <v>6</v>
      </c>
      <c r="N24" s="605">
        <v>12</v>
      </c>
      <c r="O24" s="605">
        <v>1</v>
      </c>
      <c r="P24" s="605">
        <v>1</v>
      </c>
      <c r="Q24" s="605">
        <v>1</v>
      </c>
      <c r="R24" s="605">
        <v>10</v>
      </c>
      <c r="S24" s="605">
        <v>10</v>
      </c>
      <c r="T24" s="605">
        <v>10</v>
      </c>
      <c r="U24" s="605">
        <v>8</v>
      </c>
      <c r="V24" s="605">
        <v>48</v>
      </c>
      <c r="W24" s="605">
        <v>12</v>
      </c>
      <c r="X24" s="605">
        <v>6</v>
      </c>
      <c r="Y24" s="605">
        <v>10</v>
      </c>
      <c r="Z24" s="605">
        <v>10</v>
      </c>
      <c r="AA24" s="605">
        <v>24</v>
      </c>
      <c r="AB24" s="605">
        <v>36</v>
      </c>
      <c r="AC24" s="605">
        <v>0</v>
      </c>
    </row>
    <row r="25" spans="1:29" x14ac:dyDescent="0.25">
      <c r="A25" s="571" t="s">
        <v>10</v>
      </c>
      <c r="B25" s="557">
        <v>8.06</v>
      </c>
      <c r="C25" s="557">
        <v>4.8899999999999997</v>
      </c>
      <c r="D25" s="557">
        <v>2.33</v>
      </c>
      <c r="E25" s="557">
        <v>2.44</v>
      </c>
      <c r="F25" s="557">
        <v>4.25</v>
      </c>
      <c r="G25" s="557">
        <v>7.03</v>
      </c>
      <c r="H25" s="557">
        <v>1.87</v>
      </c>
      <c r="I25" s="557">
        <v>2.34</v>
      </c>
      <c r="J25" s="557">
        <v>1.68</v>
      </c>
      <c r="K25" s="572">
        <v>6.05</v>
      </c>
      <c r="L25" s="572">
        <v>15.04</v>
      </c>
      <c r="M25" s="572">
        <v>6.05</v>
      </c>
      <c r="N25" s="609">
        <v>0.92</v>
      </c>
      <c r="O25" s="610">
        <v>0.21</v>
      </c>
      <c r="P25" s="610">
        <v>0.21</v>
      </c>
      <c r="Q25" s="610">
        <v>0.21</v>
      </c>
      <c r="R25" s="605">
        <v>9.5470000000000006</v>
      </c>
      <c r="S25" s="605">
        <v>0.28000000000000003</v>
      </c>
      <c r="T25" s="605">
        <v>3.93</v>
      </c>
      <c r="U25" s="605">
        <v>3.16</v>
      </c>
      <c r="V25" s="605">
        <v>5.03</v>
      </c>
      <c r="W25" s="605">
        <v>5.8</v>
      </c>
      <c r="X25" s="605">
        <v>6.05</v>
      </c>
      <c r="Y25" s="605">
        <v>2.72</v>
      </c>
      <c r="Z25" s="605">
        <v>3.36</v>
      </c>
      <c r="AA25" s="605">
        <v>2.84</v>
      </c>
      <c r="AB25" s="605">
        <v>2.5499999999999998</v>
      </c>
      <c r="AC25" s="605">
        <v>0</v>
      </c>
    </row>
    <row r="26" spans="1:29" x14ac:dyDescent="0.25">
      <c r="B26" s="558">
        <v>6.78</v>
      </c>
      <c r="C26" s="558">
        <v>3.87</v>
      </c>
      <c r="D26" s="558">
        <v>1.8</v>
      </c>
      <c r="E26" s="558">
        <v>2.34</v>
      </c>
      <c r="F26" s="558">
        <v>4.09</v>
      </c>
      <c r="G26" s="558">
        <v>5.74</v>
      </c>
      <c r="H26" s="558">
        <v>1.78</v>
      </c>
      <c r="I26" s="558">
        <v>2.4</v>
      </c>
      <c r="J26" s="558">
        <v>3.94</v>
      </c>
      <c r="K26" s="558">
        <v>4.7</v>
      </c>
      <c r="L26" s="558">
        <v>12.28</v>
      </c>
      <c r="M26" s="558">
        <v>4.7</v>
      </c>
      <c r="N26" s="605">
        <v>0.92</v>
      </c>
      <c r="O26" s="605">
        <v>0.23</v>
      </c>
      <c r="P26" s="605">
        <v>0.23</v>
      </c>
      <c r="Q26" s="605">
        <v>0.23</v>
      </c>
      <c r="R26" s="605">
        <v>7.835</v>
      </c>
      <c r="S26" s="605">
        <v>0.36</v>
      </c>
      <c r="T26" s="605">
        <v>2.98</v>
      </c>
      <c r="U26" s="605">
        <v>2.62</v>
      </c>
      <c r="V26" s="605">
        <v>7.8490000000000002</v>
      </c>
      <c r="W26" s="605">
        <v>4.62</v>
      </c>
      <c r="X26" s="605">
        <v>4.7</v>
      </c>
      <c r="Y26" s="605">
        <v>2.25</v>
      </c>
      <c r="Z26" s="605">
        <v>2.71</v>
      </c>
      <c r="AA26" s="605">
        <v>2.14</v>
      </c>
      <c r="AB26" s="605">
        <v>2.02</v>
      </c>
      <c r="AC26" s="605">
        <v>0</v>
      </c>
    </row>
    <row r="27" spans="1:29" x14ac:dyDescent="0.25">
      <c r="B27" s="558">
        <v>4.74</v>
      </c>
      <c r="C27" s="558">
        <v>2.62</v>
      </c>
      <c r="D27" s="558">
        <v>1.35</v>
      </c>
      <c r="E27" s="558">
        <v>2.06</v>
      </c>
      <c r="F27" s="558">
        <v>3.77</v>
      </c>
      <c r="G27" s="558">
        <v>3.89</v>
      </c>
      <c r="H27" s="558">
        <v>1.66</v>
      </c>
      <c r="I27" s="558">
        <v>3.42</v>
      </c>
      <c r="J27" s="558">
        <v>6.04</v>
      </c>
      <c r="K27" s="558">
        <v>2.8</v>
      </c>
      <c r="L27" s="558">
        <v>8.26</v>
      </c>
      <c r="M27" s="558">
        <v>2.8</v>
      </c>
      <c r="N27" s="605">
        <v>0.92</v>
      </c>
      <c r="O27" s="605">
        <v>0.26</v>
      </c>
      <c r="P27" s="605">
        <v>0.26</v>
      </c>
      <c r="Q27" s="605">
        <v>0.26</v>
      </c>
      <c r="R27" s="605">
        <v>5.57</v>
      </c>
      <c r="S27" s="605">
        <v>0.43</v>
      </c>
      <c r="T27" s="605">
        <v>1.66</v>
      </c>
      <c r="U27" s="605">
        <v>1.75</v>
      </c>
      <c r="V27" s="605">
        <v>9.8859999999999992</v>
      </c>
      <c r="W27" s="605">
        <v>2.96</v>
      </c>
      <c r="X27" s="605">
        <v>2.8</v>
      </c>
      <c r="Y27" s="605">
        <v>1.56</v>
      </c>
      <c r="Z27" s="605">
        <v>1.9</v>
      </c>
      <c r="AA27" s="605">
        <v>1.1599999999999999</v>
      </c>
      <c r="AB27" s="605">
        <v>1.3</v>
      </c>
      <c r="AC27" s="605">
        <v>0</v>
      </c>
    </row>
    <row r="28" spans="1:29" x14ac:dyDescent="0.25">
      <c r="B28" s="558">
        <v>3.34</v>
      </c>
      <c r="C28" s="558">
        <v>1.69</v>
      </c>
      <c r="D28" s="558">
        <v>1.24</v>
      </c>
      <c r="E28" s="558">
        <v>1.77</v>
      </c>
      <c r="F28" s="558">
        <v>3.56</v>
      </c>
      <c r="G28" s="558">
        <v>2.6</v>
      </c>
      <c r="H28" s="558">
        <v>1.57</v>
      </c>
      <c r="I28" s="558">
        <v>2.76</v>
      </c>
      <c r="J28" s="558">
        <v>6.91</v>
      </c>
      <c r="K28" s="558">
        <v>1.43</v>
      </c>
      <c r="L28" s="558">
        <v>5.01</v>
      </c>
      <c r="M28" s="558">
        <v>1.43</v>
      </c>
      <c r="N28" s="605">
        <v>0.92</v>
      </c>
      <c r="O28" s="605">
        <v>0.28000000000000003</v>
      </c>
      <c r="P28" s="605">
        <v>0.28000000000000003</v>
      </c>
      <c r="Q28" s="605">
        <v>0.28000000000000003</v>
      </c>
      <c r="R28" s="605">
        <v>4.1669999999999998</v>
      </c>
      <c r="S28" s="605">
        <v>0.46</v>
      </c>
      <c r="T28" s="605">
        <v>1.04</v>
      </c>
      <c r="U28" s="605">
        <v>1.01</v>
      </c>
      <c r="V28" s="605">
        <v>10.686999999999999</v>
      </c>
      <c r="W28" s="605">
        <v>2.1</v>
      </c>
      <c r="X28" s="605">
        <v>1.43</v>
      </c>
      <c r="Y28" s="605">
        <v>1.26</v>
      </c>
      <c r="Z28" s="605">
        <v>1.32</v>
      </c>
      <c r="AA28" s="605">
        <v>0.63</v>
      </c>
      <c r="AB28" s="605">
        <v>0.76</v>
      </c>
      <c r="AC28" s="605">
        <v>0</v>
      </c>
    </row>
    <row r="29" spans="1:29" x14ac:dyDescent="0.25">
      <c r="B29" s="570"/>
      <c r="C29" s="570"/>
      <c r="D29" s="570"/>
      <c r="E29" s="570"/>
      <c r="F29" s="570"/>
      <c r="G29" s="570"/>
      <c r="H29" s="570"/>
      <c r="I29" s="570"/>
      <c r="J29" s="570"/>
      <c r="K29" s="570"/>
      <c r="L29" s="570"/>
      <c r="M29" s="570"/>
      <c r="N29" s="608"/>
      <c r="O29" s="608"/>
      <c r="P29" s="608"/>
      <c r="Q29" s="608"/>
    </row>
    <row r="30" spans="1:29" x14ac:dyDescent="0.25">
      <c r="A30" s="573">
        <v>2</v>
      </c>
      <c r="B30" s="558">
        <v>0.28000000000000003</v>
      </c>
      <c r="C30" s="558">
        <v>0.1</v>
      </c>
      <c r="D30" s="558">
        <v>0.06</v>
      </c>
      <c r="E30" s="558">
        <v>0.159</v>
      </c>
      <c r="F30" s="558">
        <v>0.22</v>
      </c>
      <c r="G30" s="558">
        <v>0.09</v>
      </c>
      <c r="H30" s="558">
        <v>0.1</v>
      </c>
      <c r="I30" s="558">
        <v>9.9000000000000005E-2</v>
      </c>
      <c r="J30" s="558">
        <v>0.46</v>
      </c>
      <c r="K30" s="558">
        <v>0.44</v>
      </c>
      <c r="L30" s="558">
        <v>0.09</v>
      </c>
      <c r="M30" s="558">
        <v>7.0000000000000007E-2</v>
      </c>
      <c r="N30" s="605">
        <v>0.23</v>
      </c>
      <c r="O30" s="605">
        <v>0.06</v>
      </c>
      <c r="P30" s="605">
        <v>0.11</v>
      </c>
      <c r="Q30" s="605">
        <v>0.18</v>
      </c>
      <c r="R30" s="605">
        <v>1.71</v>
      </c>
      <c r="S30" s="605">
        <v>0.01</v>
      </c>
      <c r="T30" s="605">
        <v>0.08</v>
      </c>
      <c r="U30" s="605">
        <v>0.03</v>
      </c>
      <c r="V30" s="605">
        <v>0.83</v>
      </c>
      <c r="W30" s="605">
        <v>0.1</v>
      </c>
      <c r="X30" s="605">
        <v>0.44</v>
      </c>
      <c r="Y30" s="821">
        <v>0.17</v>
      </c>
      <c r="Z30" s="821">
        <v>0.28999999999999998</v>
      </c>
      <c r="AA30" s="821">
        <v>0.08</v>
      </c>
      <c r="AB30" s="821">
        <v>0.08</v>
      </c>
      <c r="AC30" s="605">
        <v>0</v>
      </c>
    </row>
    <row r="31" spans="1:29" x14ac:dyDescent="0.25">
      <c r="A31" s="574">
        <v>3</v>
      </c>
      <c r="B31" s="558">
        <v>1.69</v>
      </c>
      <c r="C31" s="558">
        <v>0.36</v>
      </c>
      <c r="D31" s="558">
        <v>0.53</v>
      </c>
      <c r="E31" s="558">
        <v>0.90100000000000002</v>
      </c>
      <c r="F31" s="558">
        <v>1.6</v>
      </c>
      <c r="G31" s="558">
        <v>0.83</v>
      </c>
      <c r="H31" s="558">
        <v>1.22</v>
      </c>
      <c r="I31" s="558">
        <v>0.15</v>
      </c>
      <c r="J31" s="558">
        <v>0.12</v>
      </c>
      <c r="K31" s="558">
        <v>1</v>
      </c>
      <c r="L31" s="558">
        <v>1.41</v>
      </c>
      <c r="M31" s="558">
        <v>0.47</v>
      </c>
      <c r="N31" s="605">
        <v>0.48</v>
      </c>
      <c r="O31" s="605">
        <v>0.09</v>
      </c>
      <c r="P31" s="605">
        <v>0.21</v>
      </c>
      <c r="Q31" s="605">
        <v>0.3</v>
      </c>
      <c r="R31" s="605">
        <v>0.23</v>
      </c>
      <c r="S31" s="605">
        <v>0.09</v>
      </c>
      <c r="T31" s="605">
        <v>0.2</v>
      </c>
      <c r="U31" s="605">
        <v>0.11</v>
      </c>
      <c r="V31" s="605">
        <v>0.21</v>
      </c>
      <c r="W31" s="605">
        <v>0.71</v>
      </c>
      <c r="X31" s="605">
        <v>1</v>
      </c>
      <c r="Y31" s="821">
        <v>0.59</v>
      </c>
      <c r="Z31" s="821">
        <v>2.12</v>
      </c>
      <c r="AA31" s="821">
        <v>0.15</v>
      </c>
      <c r="AB31" s="821">
        <v>0.16</v>
      </c>
      <c r="AC31" s="605">
        <v>0</v>
      </c>
    </row>
    <row r="32" spans="1:29" x14ac:dyDescent="0.25">
      <c r="A32" s="574">
        <v>4</v>
      </c>
      <c r="B32" s="558">
        <v>0</v>
      </c>
      <c r="C32" s="558">
        <v>0.05</v>
      </c>
      <c r="D32" s="558">
        <v>0.03</v>
      </c>
      <c r="E32" s="558">
        <v>0.107</v>
      </c>
      <c r="F32" s="558">
        <v>7.0000000000000007E-2</v>
      </c>
      <c r="G32" s="558">
        <v>0.05</v>
      </c>
      <c r="H32" s="558">
        <v>0.03</v>
      </c>
      <c r="I32" s="558">
        <v>5.7000000000000002E-2</v>
      </c>
      <c r="J32" s="558">
        <v>0.13</v>
      </c>
      <c r="K32" s="558">
        <v>7.0000000000000007E-2</v>
      </c>
      <c r="L32" s="558">
        <v>0.05</v>
      </c>
      <c r="M32" s="558">
        <v>0.02</v>
      </c>
      <c r="N32" s="605">
        <v>0.11</v>
      </c>
      <c r="O32" s="605">
        <v>0.03</v>
      </c>
      <c r="P32" s="605">
        <v>0.05</v>
      </c>
      <c r="Q32" s="605">
        <v>0.06</v>
      </c>
      <c r="R32" s="605">
        <v>0.12</v>
      </c>
      <c r="S32" s="605">
        <v>0.01</v>
      </c>
      <c r="T32" s="605">
        <v>0.04</v>
      </c>
      <c r="U32" s="605">
        <v>0.01</v>
      </c>
      <c r="V32" s="605">
        <v>0.47</v>
      </c>
      <c r="W32" s="605">
        <v>0.04</v>
      </c>
      <c r="X32" s="605">
        <v>7.0000000000000007E-2</v>
      </c>
      <c r="Y32" s="821">
        <v>0.12</v>
      </c>
      <c r="Z32" s="821">
        <v>0.17</v>
      </c>
      <c r="AA32" s="821">
        <v>0.1</v>
      </c>
      <c r="AB32" s="821">
        <v>0.09</v>
      </c>
      <c r="AC32" s="605">
        <v>0</v>
      </c>
    </row>
    <row r="33" spans="1:29" x14ac:dyDescent="0.25">
      <c r="A33" s="574">
        <v>5</v>
      </c>
      <c r="B33" s="558">
        <v>2.02</v>
      </c>
      <c r="C33" s="558">
        <v>2.62</v>
      </c>
      <c r="D33" s="558">
        <v>2.44</v>
      </c>
      <c r="E33" s="558">
        <v>5.2290000000000001</v>
      </c>
      <c r="F33" s="558">
        <v>4.1399999999999997</v>
      </c>
      <c r="G33" s="558">
        <v>3.08</v>
      </c>
      <c r="H33" s="558">
        <v>3.05</v>
      </c>
      <c r="I33" s="558">
        <v>0.98599999999999999</v>
      </c>
      <c r="J33" s="558">
        <v>0.6</v>
      </c>
      <c r="K33" s="558">
        <v>2.37</v>
      </c>
      <c r="L33" s="558">
        <v>3.76</v>
      </c>
      <c r="M33" s="558">
        <v>2.79</v>
      </c>
      <c r="N33" s="605">
        <v>0.74</v>
      </c>
      <c r="O33" s="605">
        <v>0.82</v>
      </c>
      <c r="P33" s="605">
        <v>1.34</v>
      </c>
      <c r="Q33" s="605">
        <v>1.78</v>
      </c>
      <c r="R33" s="605">
        <v>0.79</v>
      </c>
      <c r="S33" s="605">
        <v>2.48</v>
      </c>
      <c r="T33" s="605">
        <v>0.5</v>
      </c>
      <c r="U33" s="605">
        <v>0.65</v>
      </c>
      <c r="V33" s="605">
        <v>1.8</v>
      </c>
      <c r="W33" s="605">
        <v>2.94</v>
      </c>
      <c r="X33" s="605">
        <v>2.37</v>
      </c>
      <c r="Y33" s="821">
        <v>1.25</v>
      </c>
      <c r="Z33" s="821">
        <v>1.38</v>
      </c>
      <c r="AA33" s="821">
        <v>0.77</v>
      </c>
      <c r="AB33" s="821">
        <v>0.52</v>
      </c>
      <c r="AC33" s="605">
        <v>0</v>
      </c>
    </row>
    <row r="34" spans="1:29" x14ac:dyDescent="0.25">
      <c r="A34" s="574">
        <v>6</v>
      </c>
      <c r="B34" s="558">
        <v>0</v>
      </c>
      <c r="C34" s="558">
        <v>0.03</v>
      </c>
      <c r="D34" s="558">
        <v>0.01</v>
      </c>
      <c r="E34" s="558">
        <v>3.3000000000000002E-2</v>
      </c>
      <c r="F34" s="558">
        <v>0.04</v>
      </c>
      <c r="G34" s="558">
        <v>0.04</v>
      </c>
      <c r="H34" s="558">
        <v>0.02</v>
      </c>
      <c r="I34" s="558">
        <v>2.1999999999999999E-2</v>
      </c>
      <c r="J34" s="558">
        <v>0.04</v>
      </c>
      <c r="K34" s="558">
        <v>0.03</v>
      </c>
      <c r="L34" s="558">
        <v>0.04</v>
      </c>
      <c r="M34" s="558">
        <v>0.02</v>
      </c>
      <c r="N34" s="605">
        <v>0.11</v>
      </c>
      <c r="O34" s="605">
        <v>0.04</v>
      </c>
      <c r="P34" s="605">
        <v>0.05</v>
      </c>
      <c r="Q34" s="605">
        <v>7.0000000000000007E-2</v>
      </c>
      <c r="R34" s="605">
        <v>0.1</v>
      </c>
      <c r="S34" s="605">
        <v>0</v>
      </c>
      <c r="T34" s="605">
        <v>0.03</v>
      </c>
      <c r="U34" s="605">
        <v>0.01</v>
      </c>
      <c r="V34" s="605">
        <v>0.48</v>
      </c>
      <c r="W34" s="605">
        <v>0.02</v>
      </c>
      <c r="X34" s="605">
        <v>0.03</v>
      </c>
      <c r="Y34" s="821">
        <v>0.08</v>
      </c>
      <c r="Z34" s="821">
        <v>0.16</v>
      </c>
      <c r="AA34" s="821">
        <v>0.04</v>
      </c>
      <c r="AB34" s="821">
        <v>0.09</v>
      </c>
      <c r="AC34" s="605">
        <v>0</v>
      </c>
    </row>
    <row r="35" spans="1:29" x14ac:dyDescent="0.25">
      <c r="A35" s="574">
        <v>7</v>
      </c>
      <c r="B35" s="558">
        <v>3.88</v>
      </c>
      <c r="C35" s="558">
        <v>1.36</v>
      </c>
      <c r="D35" s="558">
        <v>0.87</v>
      </c>
      <c r="E35" s="558">
        <v>0.72899999999999998</v>
      </c>
      <c r="F35" s="558">
        <v>2.86</v>
      </c>
      <c r="G35" s="558">
        <v>1.73</v>
      </c>
      <c r="H35" s="558">
        <v>1.37</v>
      </c>
      <c r="I35" s="558">
        <v>0.39800000000000002</v>
      </c>
      <c r="J35" s="558">
        <v>0.42</v>
      </c>
      <c r="K35" s="558">
        <v>2.68</v>
      </c>
      <c r="L35" s="558">
        <v>1.68</v>
      </c>
      <c r="M35" s="558">
        <v>1.78</v>
      </c>
      <c r="N35" s="605">
        <v>0.32</v>
      </c>
      <c r="O35" s="605">
        <v>0.18</v>
      </c>
      <c r="P35" s="605">
        <v>0.32</v>
      </c>
      <c r="Q35" s="605">
        <v>0.43</v>
      </c>
      <c r="R35" s="605">
        <v>0.45</v>
      </c>
      <c r="S35" s="605">
        <v>1.05</v>
      </c>
      <c r="T35" s="605">
        <v>0.2</v>
      </c>
      <c r="U35" s="605">
        <v>0.41</v>
      </c>
      <c r="V35" s="605">
        <v>2.06</v>
      </c>
      <c r="W35" s="605">
        <v>0.88</v>
      </c>
      <c r="X35" s="605">
        <v>2.68</v>
      </c>
      <c r="Y35" s="821">
        <v>1.61</v>
      </c>
      <c r="Z35" s="821">
        <v>0.83</v>
      </c>
      <c r="AA35" s="821">
        <v>0.45</v>
      </c>
      <c r="AB35" s="821">
        <v>0.53</v>
      </c>
      <c r="AC35" s="605">
        <v>0</v>
      </c>
    </row>
    <row r="36" spans="1:29" x14ac:dyDescent="0.25">
      <c r="A36" s="574">
        <v>8</v>
      </c>
      <c r="B36" s="558">
        <v>0</v>
      </c>
      <c r="C36" s="558">
        <v>0.03</v>
      </c>
      <c r="D36" s="558">
        <v>0.01</v>
      </c>
      <c r="E36" s="558">
        <v>1.4E-2</v>
      </c>
      <c r="F36" s="558">
        <v>0.02</v>
      </c>
      <c r="G36" s="558">
        <v>0.02</v>
      </c>
      <c r="H36" s="558">
        <v>0.04</v>
      </c>
      <c r="I36" s="558">
        <v>1.9E-2</v>
      </c>
      <c r="J36" s="558">
        <v>7.0000000000000007E-2</v>
      </c>
      <c r="K36" s="558">
        <v>0.03</v>
      </c>
      <c r="L36" s="558">
        <v>0.03</v>
      </c>
      <c r="M36" s="558">
        <v>0.02</v>
      </c>
      <c r="N36" s="605">
        <v>7.0000000000000007E-2</v>
      </c>
      <c r="O36" s="605">
        <v>0.03</v>
      </c>
      <c r="P36" s="605">
        <v>0.04</v>
      </c>
      <c r="Q36" s="605">
        <v>0.04</v>
      </c>
      <c r="R36" s="605">
        <v>7.0000000000000007E-2</v>
      </c>
      <c r="S36" s="605">
        <v>0</v>
      </c>
      <c r="T36" s="605">
        <v>0.02</v>
      </c>
      <c r="U36" s="605">
        <v>0.01</v>
      </c>
      <c r="V36" s="605">
        <v>1.5</v>
      </c>
      <c r="W36" s="605">
        <v>0.01</v>
      </c>
      <c r="X36" s="605">
        <v>0.03</v>
      </c>
      <c r="Y36" s="821">
        <v>0.17</v>
      </c>
      <c r="Z36" s="821">
        <v>0.15</v>
      </c>
      <c r="AA36" s="821">
        <v>7.0000000000000007E-2</v>
      </c>
      <c r="AB36" s="821">
        <v>0.15</v>
      </c>
      <c r="AC36" s="605">
        <v>0</v>
      </c>
    </row>
    <row r="37" spans="1:29" x14ac:dyDescent="0.25">
      <c r="A37" s="574">
        <v>9</v>
      </c>
      <c r="B37" s="558">
        <v>0.6</v>
      </c>
      <c r="C37" s="558">
        <v>0.1</v>
      </c>
      <c r="D37" s="558">
        <v>0.06</v>
      </c>
      <c r="E37" s="558">
        <v>0.129</v>
      </c>
      <c r="F37" s="558">
        <v>0.54</v>
      </c>
      <c r="G37" s="558">
        <v>0.15</v>
      </c>
      <c r="H37" s="558">
        <v>0.17</v>
      </c>
      <c r="I37" s="558">
        <v>6.4000000000000001E-2</v>
      </c>
      <c r="J37" s="558">
        <v>0.04</v>
      </c>
      <c r="K37" s="558">
        <v>0.17</v>
      </c>
      <c r="L37" s="558">
        <v>0.11</v>
      </c>
      <c r="M37" s="558">
        <v>7.0000000000000007E-2</v>
      </c>
      <c r="N37" s="605">
        <v>0.24</v>
      </c>
      <c r="O37" s="605">
        <v>0.03</v>
      </c>
      <c r="P37" s="605">
        <v>0.12</v>
      </c>
      <c r="Q37" s="605">
        <v>0.12</v>
      </c>
      <c r="R37" s="605">
        <v>1.1499999999999999</v>
      </c>
      <c r="S37" s="605">
        <v>0.03</v>
      </c>
      <c r="T37" s="605">
        <v>0.18</v>
      </c>
      <c r="U37" s="605">
        <v>0.01</v>
      </c>
      <c r="V37" s="605">
        <v>0.62</v>
      </c>
      <c r="W37" s="605">
        <v>0.06</v>
      </c>
      <c r="X37" s="605">
        <v>0.17</v>
      </c>
      <c r="Y37" s="821">
        <v>0.33</v>
      </c>
      <c r="Z37" s="821">
        <v>0.67</v>
      </c>
      <c r="AA37" s="821">
        <v>0.1</v>
      </c>
      <c r="AB37" s="821">
        <v>0.22</v>
      </c>
      <c r="AC37" s="605">
        <v>0</v>
      </c>
    </row>
    <row r="38" spans="1:29" x14ac:dyDescent="0.25">
      <c r="A38" s="574">
        <v>10</v>
      </c>
      <c r="B38" s="558">
        <v>0</v>
      </c>
      <c r="C38" s="558">
        <v>0.02</v>
      </c>
      <c r="D38" s="558">
        <v>0.01</v>
      </c>
      <c r="E38" s="558">
        <v>8.0000000000000002E-3</v>
      </c>
      <c r="F38" s="558">
        <v>0.01</v>
      </c>
      <c r="G38" s="558">
        <v>0.01</v>
      </c>
      <c r="H38" s="558">
        <v>0.04</v>
      </c>
      <c r="I38" s="558">
        <v>2.1999999999999999E-2</v>
      </c>
      <c r="J38" s="558">
        <v>0.05</v>
      </c>
      <c r="K38" s="558">
        <v>0.02</v>
      </c>
      <c r="L38" s="558">
        <v>0.01</v>
      </c>
      <c r="M38" s="558">
        <v>0.01</v>
      </c>
      <c r="N38" s="605">
        <v>0.08</v>
      </c>
      <c r="O38" s="605">
        <v>0.03</v>
      </c>
      <c r="P38" s="605">
        <v>0.03</v>
      </c>
      <c r="Q38" s="605">
        <v>0.06</v>
      </c>
      <c r="R38" s="605">
        <v>0.02</v>
      </c>
      <c r="S38" s="605">
        <v>0</v>
      </c>
      <c r="T38" s="605">
        <v>0.01</v>
      </c>
      <c r="U38" s="605">
        <v>0</v>
      </c>
      <c r="V38" s="605">
        <v>1.5</v>
      </c>
      <c r="W38" s="605">
        <v>0.01</v>
      </c>
      <c r="X38" s="605">
        <v>0.02</v>
      </c>
      <c r="Y38" s="821">
        <v>0.18</v>
      </c>
      <c r="Z38" s="821">
        <v>0.15</v>
      </c>
      <c r="AA38" s="821">
        <v>0.1</v>
      </c>
      <c r="AB38" s="821">
        <v>0.2</v>
      </c>
      <c r="AC38" s="605">
        <v>0</v>
      </c>
    </row>
    <row r="39" spans="1:29" x14ac:dyDescent="0.25">
      <c r="A39" s="574">
        <v>11</v>
      </c>
      <c r="B39" s="558">
        <v>0.53</v>
      </c>
      <c r="C39" s="558">
        <v>0.32</v>
      </c>
      <c r="D39" s="558">
        <v>0.24</v>
      </c>
      <c r="E39" s="558">
        <v>0.24099999999999999</v>
      </c>
      <c r="F39" s="558">
        <v>0.54</v>
      </c>
      <c r="G39" s="558">
        <v>0.41</v>
      </c>
      <c r="H39" s="558">
        <v>0.37</v>
      </c>
      <c r="I39" s="558">
        <v>0.315</v>
      </c>
      <c r="J39" s="558">
        <v>0.33</v>
      </c>
      <c r="K39" s="558">
        <v>0.38</v>
      </c>
      <c r="L39" s="558">
        <v>0.25</v>
      </c>
      <c r="M39" s="558">
        <v>0.33</v>
      </c>
      <c r="N39" s="605">
        <v>0.24</v>
      </c>
      <c r="O39" s="605">
        <v>0.26</v>
      </c>
      <c r="P39" s="605">
        <v>0.46</v>
      </c>
      <c r="Q39" s="605">
        <v>0.71</v>
      </c>
      <c r="R39" s="605">
        <v>0.16</v>
      </c>
      <c r="S39" s="605">
        <v>0.43</v>
      </c>
      <c r="T39" s="605">
        <v>0.12</v>
      </c>
      <c r="U39" s="605">
        <v>7.0000000000000007E-2</v>
      </c>
      <c r="V39" s="605">
        <v>1.03</v>
      </c>
      <c r="W39" s="605">
        <v>0.25</v>
      </c>
      <c r="X39" s="605">
        <v>0.38</v>
      </c>
      <c r="Y39" s="821">
        <v>0.94</v>
      </c>
      <c r="Z39" s="821">
        <v>0.75</v>
      </c>
      <c r="AA39" s="821">
        <v>0.79</v>
      </c>
      <c r="AB39" s="821">
        <v>0.37</v>
      </c>
      <c r="AC39" s="605">
        <v>0</v>
      </c>
    </row>
    <row r="40" spans="1:29" x14ac:dyDescent="0.25">
      <c r="A40" s="574">
        <v>12</v>
      </c>
      <c r="B40" s="558">
        <v>0</v>
      </c>
      <c r="C40" s="558">
        <v>0.02</v>
      </c>
      <c r="D40" s="558">
        <v>0.01</v>
      </c>
      <c r="E40" s="558">
        <v>5.0000000000000001E-3</v>
      </c>
      <c r="F40" s="558">
        <v>0.01</v>
      </c>
      <c r="G40" s="558">
        <v>0.01</v>
      </c>
      <c r="H40" s="558">
        <v>0.01</v>
      </c>
      <c r="I40" s="558">
        <v>1.7999999999999999E-2</v>
      </c>
      <c r="J40" s="558">
        <v>0.03</v>
      </c>
      <c r="K40" s="558">
        <v>0.01</v>
      </c>
      <c r="L40" s="558">
        <v>0.01</v>
      </c>
      <c r="M40" s="558">
        <v>0.1</v>
      </c>
      <c r="N40" s="605">
        <v>0.09</v>
      </c>
      <c r="O40" s="605">
        <v>0.04</v>
      </c>
      <c r="P40" s="605">
        <v>0.06</v>
      </c>
      <c r="Q40" s="605">
        <v>0.06</v>
      </c>
      <c r="R40" s="605">
        <v>0.03</v>
      </c>
      <c r="S40" s="605">
        <v>0</v>
      </c>
      <c r="T40" s="605">
        <v>0</v>
      </c>
      <c r="U40" s="605">
        <v>0</v>
      </c>
      <c r="V40" s="605">
        <v>0.45</v>
      </c>
      <c r="W40" s="605">
        <v>0.01</v>
      </c>
      <c r="X40" s="605">
        <v>0.01</v>
      </c>
      <c r="Y40" s="821">
        <v>0.08</v>
      </c>
      <c r="Z40" s="821">
        <v>7.0000000000000007E-2</v>
      </c>
      <c r="AA40" s="821">
        <v>0.09</v>
      </c>
      <c r="AB40" s="821">
        <v>0.11</v>
      </c>
      <c r="AC40" s="605">
        <v>0</v>
      </c>
    </row>
    <row r="41" spans="1:29" x14ac:dyDescent="0.25">
      <c r="A41" s="574">
        <v>13</v>
      </c>
      <c r="B41" s="558">
        <v>0.4</v>
      </c>
      <c r="C41" s="558">
        <v>0.17</v>
      </c>
      <c r="D41" s="558">
        <v>0.17</v>
      </c>
      <c r="E41" s="558">
        <v>0.28599999999999998</v>
      </c>
      <c r="F41" s="558">
        <v>0.39</v>
      </c>
      <c r="G41" s="558">
        <v>0.4</v>
      </c>
      <c r="H41" s="558">
        <v>0.36</v>
      </c>
      <c r="I41" s="558">
        <v>0.33300000000000002</v>
      </c>
      <c r="J41" s="558">
        <v>0.3</v>
      </c>
      <c r="K41" s="558">
        <v>0.48</v>
      </c>
      <c r="L41" s="558">
        <v>0.22</v>
      </c>
      <c r="M41" s="558">
        <v>0.3</v>
      </c>
      <c r="N41" s="605">
        <v>0.36</v>
      </c>
      <c r="O41" s="605">
        <v>0.28000000000000003</v>
      </c>
      <c r="P41" s="605">
        <v>0.48</v>
      </c>
      <c r="Q41" s="605">
        <v>0.66</v>
      </c>
      <c r="R41" s="605">
        <v>0.42</v>
      </c>
      <c r="S41" s="605">
        <v>0.18</v>
      </c>
      <c r="T41" s="605">
        <v>0.27</v>
      </c>
      <c r="U41" s="605">
        <v>0.05</v>
      </c>
      <c r="V41" s="605">
        <v>0.91</v>
      </c>
      <c r="W41" s="605">
        <v>0.1</v>
      </c>
      <c r="X41" s="605">
        <v>0.48</v>
      </c>
      <c r="Y41" s="821">
        <v>0.42</v>
      </c>
      <c r="Z41" s="821">
        <v>0.63</v>
      </c>
      <c r="AA41" s="821">
        <v>0.61</v>
      </c>
      <c r="AB41" s="821">
        <v>0.38</v>
      </c>
      <c r="AC41" s="605">
        <v>0</v>
      </c>
    </row>
    <row r="42" spans="1:29" x14ac:dyDescent="0.25">
      <c r="A42" s="574">
        <v>14</v>
      </c>
      <c r="B42" s="558">
        <v>0</v>
      </c>
      <c r="C42" s="558">
        <v>0.02</v>
      </c>
      <c r="D42" s="558">
        <v>0.01</v>
      </c>
      <c r="E42" s="558">
        <v>4.0000000000000001E-3</v>
      </c>
      <c r="F42" s="558">
        <v>0.01</v>
      </c>
      <c r="G42" s="558">
        <v>0.01</v>
      </c>
      <c r="H42" s="558">
        <v>0.01</v>
      </c>
      <c r="I42" s="558">
        <v>2.3E-2</v>
      </c>
      <c r="J42" s="558">
        <v>0.04</v>
      </c>
      <c r="K42" s="558">
        <v>0.01</v>
      </c>
      <c r="L42" s="558">
        <v>0.01</v>
      </c>
      <c r="M42" s="558">
        <v>0.1</v>
      </c>
      <c r="N42" s="605">
        <v>0.06</v>
      </c>
      <c r="O42" s="605">
        <v>0.02</v>
      </c>
      <c r="P42" s="605">
        <v>0.03</v>
      </c>
      <c r="Q42" s="605">
        <v>0.04</v>
      </c>
      <c r="R42" s="605">
        <v>0.02</v>
      </c>
      <c r="S42" s="605">
        <v>0</v>
      </c>
      <c r="T42" s="605">
        <v>0</v>
      </c>
      <c r="U42" s="605">
        <v>0</v>
      </c>
      <c r="V42" s="605">
        <v>0.34</v>
      </c>
      <c r="W42" s="605">
        <v>0.01</v>
      </c>
      <c r="X42" s="605">
        <v>0.01</v>
      </c>
      <c r="Y42" s="821">
        <v>0.05</v>
      </c>
      <c r="Z42" s="821">
        <v>0.05</v>
      </c>
      <c r="AA42" s="821">
        <v>0.14000000000000001</v>
      </c>
      <c r="AB42" s="821">
        <v>0.12</v>
      </c>
      <c r="AC42" s="605">
        <v>0</v>
      </c>
    </row>
    <row r="43" spans="1:29" x14ac:dyDescent="0.25">
      <c r="A43" s="574">
        <v>15</v>
      </c>
      <c r="B43" s="558">
        <v>0.25</v>
      </c>
      <c r="C43" s="558">
        <v>0.09</v>
      </c>
      <c r="D43" s="558">
        <v>0.04</v>
      </c>
      <c r="E43" s="558">
        <v>3.6999999999999998E-2</v>
      </c>
      <c r="F43" s="558">
        <v>0.14000000000000001</v>
      </c>
      <c r="G43" s="558">
        <v>0.04</v>
      </c>
      <c r="H43" s="558">
        <v>0.05</v>
      </c>
      <c r="I43" s="558">
        <v>3.1E-2</v>
      </c>
      <c r="J43" s="558">
        <v>0.03</v>
      </c>
      <c r="K43" s="558">
        <v>0.03</v>
      </c>
      <c r="L43" s="558">
        <v>0.03</v>
      </c>
      <c r="M43" s="558">
        <v>0.01</v>
      </c>
      <c r="N43" s="605">
        <v>0.11</v>
      </c>
      <c r="O43" s="605">
        <v>0.02</v>
      </c>
      <c r="P43" s="605">
        <v>0.06</v>
      </c>
      <c r="Q43" s="605">
        <v>0.09</v>
      </c>
      <c r="R43" s="605">
        <v>0.46</v>
      </c>
      <c r="S43" s="605">
        <v>0.02</v>
      </c>
      <c r="T43" s="605">
        <v>0.09</v>
      </c>
      <c r="U43" s="605">
        <v>0</v>
      </c>
      <c r="V43" s="605">
        <v>0.34</v>
      </c>
      <c r="W43" s="605">
        <v>0.01</v>
      </c>
      <c r="X43" s="605">
        <v>0.03</v>
      </c>
      <c r="Y43" s="821">
        <v>0.12</v>
      </c>
      <c r="Z43" s="821">
        <v>0.19</v>
      </c>
      <c r="AA43" s="821">
        <v>0.14000000000000001</v>
      </c>
      <c r="AB43" s="821">
        <v>0.14000000000000001</v>
      </c>
      <c r="AC43" s="605">
        <v>0</v>
      </c>
    </row>
    <row r="44" spans="1:29" x14ac:dyDescent="0.25">
      <c r="A44" s="574">
        <v>16</v>
      </c>
      <c r="B44" s="558">
        <v>0</v>
      </c>
      <c r="C44" s="558">
        <v>0.02</v>
      </c>
      <c r="D44" s="558">
        <v>0.01</v>
      </c>
      <c r="E44" s="558">
        <v>4.0000000000000001E-3</v>
      </c>
      <c r="F44" s="558">
        <v>0.01</v>
      </c>
      <c r="G44" s="558">
        <v>0.01</v>
      </c>
      <c r="H44" s="558">
        <v>0.01</v>
      </c>
      <c r="I44" s="558">
        <v>2.8000000000000001E-2</v>
      </c>
      <c r="J44" s="558">
        <v>0.04</v>
      </c>
      <c r="K44" s="558">
        <v>0.01</v>
      </c>
      <c r="L44" s="558">
        <v>0.01</v>
      </c>
      <c r="M44" s="558">
        <v>0.01</v>
      </c>
      <c r="N44" s="605">
        <v>7.0000000000000007E-2</v>
      </c>
      <c r="O44" s="605">
        <v>0.04</v>
      </c>
      <c r="P44" s="605">
        <v>0.05</v>
      </c>
      <c r="Q44" s="605">
        <v>7.0000000000000007E-2</v>
      </c>
      <c r="R44" s="605">
        <v>0.01</v>
      </c>
      <c r="S44" s="605">
        <v>0</v>
      </c>
      <c r="T44" s="605">
        <v>0</v>
      </c>
      <c r="U44" s="605">
        <v>0</v>
      </c>
      <c r="V44" s="605">
        <v>0.37</v>
      </c>
      <c r="W44" s="605">
        <v>0.01</v>
      </c>
      <c r="X44" s="605">
        <v>0.01</v>
      </c>
      <c r="Y44" s="821">
        <v>0.03</v>
      </c>
      <c r="Z44" s="821">
        <v>0.05</v>
      </c>
      <c r="AA44" s="821">
        <v>0.09</v>
      </c>
      <c r="AB44" s="821">
        <v>0.08</v>
      </c>
      <c r="AC44" s="605">
        <v>0</v>
      </c>
    </row>
    <row r="45" spans="1:29" x14ac:dyDescent="0.25">
      <c r="A45" s="574">
        <v>17</v>
      </c>
      <c r="B45" s="558">
        <v>0.24</v>
      </c>
      <c r="C45" s="558">
        <v>0.16</v>
      </c>
      <c r="D45" s="558">
        <v>0.08</v>
      </c>
      <c r="E45" s="558">
        <v>0.10100000000000001</v>
      </c>
      <c r="F45" s="558">
        <v>0.11</v>
      </c>
      <c r="G45" s="558">
        <v>0.11</v>
      </c>
      <c r="H45" s="558">
        <v>0.11</v>
      </c>
      <c r="I45" s="558">
        <v>0.106</v>
      </c>
      <c r="J45" s="558">
        <v>0.33</v>
      </c>
      <c r="K45" s="558">
        <v>0.16</v>
      </c>
      <c r="L45" s="558">
        <v>0.06</v>
      </c>
      <c r="M45" s="558">
        <v>7.0000000000000007E-2</v>
      </c>
      <c r="N45" s="605">
        <v>0.37</v>
      </c>
      <c r="O45" s="605">
        <v>0.2</v>
      </c>
      <c r="P45" s="605">
        <v>0.31</v>
      </c>
      <c r="Q45" s="605">
        <v>0.41</v>
      </c>
      <c r="R45" s="605">
        <v>0.18</v>
      </c>
      <c r="S45" s="605">
        <v>0.26</v>
      </c>
      <c r="T45" s="605">
        <v>0.12</v>
      </c>
      <c r="U45" s="605">
        <v>0.02</v>
      </c>
      <c r="V45" s="605">
        <v>0.46</v>
      </c>
      <c r="W45" s="605">
        <v>0.04</v>
      </c>
      <c r="X45" s="605">
        <v>0.16</v>
      </c>
      <c r="Y45" s="821">
        <v>0.3</v>
      </c>
      <c r="Z45" s="821">
        <v>0.36</v>
      </c>
      <c r="AA45" s="821">
        <v>0.28000000000000003</v>
      </c>
      <c r="AB45" s="821">
        <v>0.21</v>
      </c>
      <c r="AC45" s="605">
        <v>0</v>
      </c>
    </row>
    <row r="46" spans="1:29" x14ac:dyDescent="0.25">
      <c r="A46" s="574">
        <v>18</v>
      </c>
      <c r="B46" s="558">
        <v>0</v>
      </c>
      <c r="C46" s="558">
        <v>0.02</v>
      </c>
      <c r="D46" s="558">
        <v>0.01</v>
      </c>
      <c r="E46" s="558">
        <v>4.0000000000000001E-3</v>
      </c>
      <c r="F46" s="558">
        <v>0.01</v>
      </c>
      <c r="G46" s="558">
        <v>0.01</v>
      </c>
      <c r="H46" s="558">
        <v>0.01</v>
      </c>
      <c r="I46" s="558">
        <v>1.7000000000000001E-2</v>
      </c>
      <c r="J46" s="558">
        <v>0.03</v>
      </c>
      <c r="K46" s="558">
        <v>0.01</v>
      </c>
      <c r="L46" s="558">
        <v>0.01</v>
      </c>
      <c r="M46" s="558">
        <v>0</v>
      </c>
      <c r="N46" s="605">
        <v>7.0000000000000007E-2</v>
      </c>
      <c r="O46" s="605">
        <v>0.04</v>
      </c>
      <c r="P46" s="605">
        <v>7.0000000000000007E-2</v>
      </c>
      <c r="Q46" s="605">
        <v>7.0000000000000007E-2</v>
      </c>
      <c r="R46" s="605">
        <v>0.01</v>
      </c>
      <c r="S46" s="605">
        <v>0</v>
      </c>
      <c r="T46" s="605">
        <v>0</v>
      </c>
      <c r="U46" s="605">
        <v>0</v>
      </c>
      <c r="V46" s="605">
        <v>0.12</v>
      </c>
      <c r="W46" s="605">
        <v>0.01</v>
      </c>
      <c r="X46" s="605">
        <v>0.01</v>
      </c>
      <c r="Y46" s="821">
        <v>0.02</v>
      </c>
      <c r="Z46" s="821">
        <v>0.02</v>
      </c>
      <c r="AA46" s="821">
        <v>0.06</v>
      </c>
      <c r="AB46" s="821">
        <v>0.05</v>
      </c>
      <c r="AC46" s="605">
        <v>0</v>
      </c>
    </row>
    <row r="47" spans="1:29" x14ac:dyDescent="0.25">
      <c r="A47" s="574">
        <v>19</v>
      </c>
      <c r="B47" s="558">
        <v>0.14000000000000001</v>
      </c>
      <c r="C47" s="558">
        <v>0.11</v>
      </c>
      <c r="D47" s="558">
        <v>0.04</v>
      </c>
      <c r="E47" s="558">
        <v>4.2000000000000003E-2</v>
      </c>
      <c r="F47" s="558">
        <v>0.1</v>
      </c>
      <c r="G47" s="558">
        <v>0.09</v>
      </c>
      <c r="H47" s="558">
        <v>0.06</v>
      </c>
      <c r="I47" s="558">
        <v>0.254</v>
      </c>
      <c r="J47" s="558">
        <v>0.3</v>
      </c>
      <c r="K47" s="558">
        <v>0.04</v>
      </c>
      <c r="L47" s="558">
        <v>0.04</v>
      </c>
      <c r="M47" s="558">
        <v>0.02</v>
      </c>
      <c r="N47" s="605">
        <v>0.12</v>
      </c>
      <c r="O47" s="605">
        <v>0.21</v>
      </c>
      <c r="P47" s="605">
        <v>0.35</v>
      </c>
      <c r="Q47" s="605">
        <v>0.48</v>
      </c>
      <c r="R47" s="605">
        <v>0.31</v>
      </c>
      <c r="S47" s="605">
        <v>0.2</v>
      </c>
      <c r="T47" s="605">
        <v>0.06</v>
      </c>
      <c r="U47" s="605">
        <v>0.01</v>
      </c>
      <c r="V47" s="605">
        <v>0.23</v>
      </c>
      <c r="W47" s="605">
        <v>0.03</v>
      </c>
      <c r="X47" s="605">
        <v>0.04</v>
      </c>
      <c r="Y47" s="821">
        <v>0.23</v>
      </c>
      <c r="Z47" s="821">
        <v>0.35</v>
      </c>
      <c r="AA47" s="821">
        <v>0.13</v>
      </c>
      <c r="AB47" s="821">
        <v>0.11</v>
      </c>
      <c r="AC47" s="605">
        <v>0</v>
      </c>
    </row>
    <row r="48" spans="1:29" x14ac:dyDescent="0.25">
      <c r="A48" s="574">
        <v>20</v>
      </c>
      <c r="B48" s="558">
        <v>0</v>
      </c>
      <c r="C48" s="558">
        <v>0.02</v>
      </c>
      <c r="D48" s="558">
        <v>0.01</v>
      </c>
      <c r="E48" s="558">
        <v>4.0000000000000001E-3</v>
      </c>
      <c r="F48" s="558">
        <v>0.02</v>
      </c>
      <c r="G48" s="558">
        <v>0.01</v>
      </c>
      <c r="H48" s="558">
        <v>0.15</v>
      </c>
      <c r="I48" s="558">
        <v>1.6E-2</v>
      </c>
      <c r="J48" s="558">
        <v>0.04</v>
      </c>
      <c r="K48" s="558">
        <v>0.01</v>
      </c>
      <c r="L48" s="558">
        <v>0.01</v>
      </c>
      <c r="M48" s="558">
        <v>0</v>
      </c>
      <c r="N48" s="605">
        <v>0.05</v>
      </c>
      <c r="O48" s="605">
        <v>0.02</v>
      </c>
      <c r="P48" s="605">
        <v>0.04</v>
      </c>
      <c r="Q48" s="605">
        <v>0.05</v>
      </c>
      <c r="R48" s="605">
        <v>7.0000000000000007E-2</v>
      </c>
      <c r="S48" s="605">
        <v>0.02</v>
      </c>
      <c r="T48" s="605">
        <v>0.01</v>
      </c>
      <c r="U48" s="605">
        <v>0</v>
      </c>
      <c r="V48" s="605">
        <v>0.2</v>
      </c>
      <c r="W48" s="605">
        <v>0</v>
      </c>
      <c r="X48" s="605">
        <v>0.01</v>
      </c>
      <c r="Y48" s="821">
        <v>0.02</v>
      </c>
      <c r="Z48" s="821">
        <v>0.02</v>
      </c>
      <c r="AA48" s="821">
        <v>7.0000000000000007E-2</v>
      </c>
      <c r="AB48" s="821">
        <v>0.04</v>
      </c>
      <c r="AC48" s="605">
        <v>0</v>
      </c>
    </row>
    <row r="49" spans="1:29" x14ac:dyDescent="0.25">
      <c r="A49" s="574">
        <v>21</v>
      </c>
      <c r="B49" s="558">
        <v>0.2</v>
      </c>
      <c r="C49" s="558">
        <v>0.08</v>
      </c>
      <c r="D49" s="558">
        <v>0.02</v>
      </c>
      <c r="E49" s="558">
        <v>2.1999999999999999E-2</v>
      </c>
      <c r="F49" s="558">
        <v>0.09</v>
      </c>
      <c r="G49" s="558">
        <v>0.02</v>
      </c>
      <c r="H49" s="558">
        <v>0.03</v>
      </c>
      <c r="I49" s="558">
        <v>1.7000000000000001E-2</v>
      </c>
      <c r="J49" s="558">
        <v>0.03</v>
      </c>
      <c r="K49" s="558">
        <v>0.01</v>
      </c>
      <c r="L49" s="558">
        <v>0.01</v>
      </c>
      <c r="M49" s="558">
        <v>0.01</v>
      </c>
      <c r="N49" s="605">
        <v>0.18</v>
      </c>
      <c r="O49" s="605">
        <v>0.02</v>
      </c>
      <c r="P49" s="605">
        <v>0.1</v>
      </c>
      <c r="Q49" s="605">
        <v>0.15</v>
      </c>
      <c r="R49" s="605">
        <v>0.15</v>
      </c>
      <c r="S49" s="605">
        <v>0.01</v>
      </c>
      <c r="T49" s="605">
        <v>0.03</v>
      </c>
      <c r="U49" s="605">
        <v>0</v>
      </c>
      <c r="V49" s="605">
        <v>0.11</v>
      </c>
      <c r="W49" s="605">
        <v>0.02</v>
      </c>
      <c r="X49" s="605">
        <v>0.01</v>
      </c>
      <c r="Y49" s="821">
        <v>0.05</v>
      </c>
      <c r="Z49" s="821">
        <v>0.15</v>
      </c>
      <c r="AA49" s="821">
        <v>0.05</v>
      </c>
      <c r="AB49" s="821">
        <v>7.0000000000000007E-2</v>
      </c>
      <c r="AC49" s="605">
        <v>0</v>
      </c>
    </row>
    <row r="50" spans="1:29" x14ac:dyDescent="0.25">
      <c r="A50" s="574">
        <v>22</v>
      </c>
      <c r="B50" s="558">
        <v>0</v>
      </c>
      <c r="C50" s="558">
        <v>0.02</v>
      </c>
      <c r="D50" s="558">
        <v>0.02</v>
      </c>
      <c r="E50" s="558">
        <v>4.0000000000000001E-3</v>
      </c>
      <c r="F50" s="558">
        <v>0.01</v>
      </c>
      <c r="G50" s="558">
        <v>0.01</v>
      </c>
      <c r="H50" s="558">
        <v>0.01</v>
      </c>
      <c r="I50" s="558">
        <v>2.3E-2</v>
      </c>
      <c r="J50" s="558">
        <v>0.09</v>
      </c>
      <c r="K50" s="558">
        <v>0.01</v>
      </c>
      <c r="L50" s="558">
        <v>0.01</v>
      </c>
      <c r="M50" s="558">
        <v>0</v>
      </c>
      <c r="N50" s="605">
        <v>0.04</v>
      </c>
      <c r="O50" s="605">
        <v>0.09</v>
      </c>
      <c r="P50" s="605">
        <v>0.14000000000000001</v>
      </c>
      <c r="Q50" s="605">
        <v>0.17</v>
      </c>
      <c r="R50" s="605">
        <v>7.0000000000000007E-2</v>
      </c>
      <c r="S50" s="605">
        <v>0.01</v>
      </c>
      <c r="T50" s="605">
        <v>0.02</v>
      </c>
      <c r="U50" s="605">
        <v>0</v>
      </c>
      <c r="V50" s="605">
        <v>0.11</v>
      </c>
      <c r="W50" s="605">
        <v>0</v>
      </c>
      <c r="X50" s="605">
        <v>0.01</v>
      </c>
      <c r="Y50" s="821">
        <v>0.02</v>
      </c>
      <c r="Z50" s="821">
        <v>0.02</v>
      </c>
      <c r="AA50" s="821">
        <v>0.04</v>
      </c>
      <c r="AB50" s="821">
        <v>0.05</v>
      </c>
      <c r="AC50" s="605">
        <v>0</v>
      </c>
    </row>
    <row r="51" spans="1:29" x14ac:dyDescent="0.25">
      <c r="A51" s="574">
        <v>23</v>
      </c>
      <c r="B51" s="558">
        <v>0.14000000000000001</v>
      </c>
      <c r="C51" s="558">
        <v>0.09</v>
      </c>
      <c r="D51" s="558">
        <v>0.05</v>
      </c>
      <c r="E51" s="558">
        <v>0.30599999999999999</v>
      </c>
      <c r="F51" s="558">
        <v>0.18</v>
      </c>
      <c r="G51" s="558">
        <v>0.37</v>
      </c>
      <c r="H51" s="558">
        <v>0.32</v>
      </c>
      <c r="I51" s="558">
        <v>0.08</v>
      </c>
      <c r="J51" s="558">
        <v>0.33</v>
      </c>
      <c r="K51" s="558">
        <v>0.04</v>
      </c>
      <c r="L51" s="558">
        <v>0.05</v>
      </c>
      <c r="M51" s="558">
        <v>0.05</v>
      </c>
      <c r="N51" s="605">
        <v>0.15</v>
      </c>
      <c r="O51" s="605">
        <v>0.28999999999999998</v>
      </c>
      <c r="P51" s="605">
        <v>0.56999999999999995</v>
      </c>
      <c r="Q51" s="605">
        <v>0.81</v>
      </c>
      <c r="R51" s="605">
        <v>0.15</v>
      </c>
      <c r="S51" s="605">
        <v>0.14000000000000001</v>
      </c>
      <c r="T51" s="605">
        <v>7.0000000000000007E-2</v>
      </c>
      <c r="U51" s="605">
        <v>0.01</v>
      </c>
      <c r="V51" s="605">
        <v>0.14000000000000001</v>
      </c>
      <c r="W51" s="605">
        <v>0.87</v>
      </c>
      <c r="X51" s="605">
        <v>0.04</v>
      </c>
      <c r="Y51" s="821">
        <v>0.13</v>
      </c>
      <c r="Z51" s="821">
        <v>0.22</v>
      </c>
      <c r="AA51" s="821">
        <v>0.13</v>
      </c>
      <c r="AB51" s="821">
        <v>0.11</v>
      </c>
      <c r="AC51" s="605">
        <v>0</v>
      </c>
    </row>
    <row r="52" spans="1:29" x14ac:dyDescent="0.25">
      <c r="A52" s="574">
        <v>24</v>
      </c>
      <c r="B52" s="558">
        <v>0</v>
      </c>
      <c r="C52" s="558">
        <v>0.02</v>
      </c>
      <c r="D52" s="558">
        <v>0.01</v>
      </c>
      <c r="E52" s="558">
        <v>4.0000000000000001E-3</v>
      </c>
      <c r="F52" s="558">
        <v>0.01</v>
      </c>
      <c r="G52" s="558">
        <v>0.01</v>
      </c>
      <c r="H52" s="558">
        <v>0.01</v>
      </c>
      <c r="I52" s="558">
        <v>1.0999999999999999E-2</v>
      </c>
      <c r="J52" s="558">
        <v>0.03</v>
      </c>
      <c r="K52" s="558">
        <v>0.02</v>
      </c>
      <c r="L52" s="558">
        <v>0.01</v>
      </c>
      <c r="M52" s="558">
        <v>0</v>
      </c>
      <c r="N52" s="605">
        <v>0.03</v>
      </c>
      <c r="O52" s="605">
        <v>0.24</v>
      </c>
      <c r="P52" s="605">
        <v>0.45</v>
      </c>
      <c r="Q52" s="605">
        <v>0.66</v>
      </c>
      <c r="R52" s="605">
        <v>0.01</v>
      </c>
      <c r="S52" s="605">
        <v>0</v>
      </c>
      <c r="T52" s="605">
        <v>0</v>
      </c>
      <c r="U52" s="605">
        <v>0</v>
      </c>
      <c r="V52" s="605">
        <v>0.08</v>
      </c>
      <c r="W52" s="605">
        <v>0</v>
      </c>
      <c r="X52" s="605">
        <v>0.02</v>
      </c>
      <c r="Y52" s="821">
        <v>0.01</v>
      </c>
      <c r="Z52" s="821">
        <v>0.01</v>
      </c>
      <c r="AA52" s="821">
        <v>0.03</v>
      </c>
      <c r="AB52" s="821">
        <v>0.04</v>
      </c>
      <c r="AC52" s="605">
        <v>0</v>
      </c>
    </row>
    <row r="53" spans="1:29" x14ac:dyDescent="0.25">
      <c r="A53" s="574">
        <v>25</v>
      </c>
      <c r="B53" s="558">
        <v>0.15</v>
      </c>
      <c r="C53" s="558">
        <v>0.09</v>
      </c>
      <c r="D53" s="558">
        <v>7.0000000000000007E-2</v>
      </c>
      <c r="E53" s="558">
        <v>0.14199999999999999</v>
      </c>
      <c r="F53" s="558">
        <v>0.22</v>
      </c>
      <c r="G53" s="558">
        <v>0.14000000000000001</v>
      </c>
      <c r="H53" s="558">
        <v>0.11</v>
      </c>
      <c r="I53" s="558">
        <v>0.161</v>
      </c>
      <c r="J53" s="558">
        <v>0.28000000000000003</v>
      </c>
      <c r="K53" s="558">
        <v>0.05</v>
      </c>
      <c r="L53" s="558">
        <v>7.0000000000000007E-2</v>
      </c>
      <c r="M53" s="558">
        <v>0.03</v>
      </c>
      <c r="N53" s="605">
        <v>0.15</v>
      </c>
      <c r="O53" s="605">
        <v>0.53</v>
      </c>
      <c r="P53" s="605">
        <v>0.75</v>
      </c>
      <c r="Q53" s="605">
        <v>0.94</v>
      </c>
      <c r="R53" s="605">
        <v>0.2</v>
      </c>
      <c r="S53" s="605">
        <v>0.16</v>
      </c>
      <c r="T53" s="605">
        <v>7.0000000000000007E-2</v>
      </c>
      <c r="U53" s="605">
        <v>0.03</v>
      </c>
      <c r="V53" s="605">
        <v>0.12</v>
      </c>
      <c r="W53" s="605">
        <v>0.95</v>
      </c>
      <c r="X53" s="605">
        <v>0.05</v>
      </c>
      <c r="Y53" s="821">
        <v>0.09</v>
      </c>
      <c r="Z53" s="821">
        <v>0.17</v>
      </c>
      <c r="AA53" s="821">
        <v>0.06</v>
      </c>
      <c r="AB53" s="821">
        <v>7.0000000000000007E-2</v>
      </c>
      <c r="AC53" s="605">
        <v>0</v>
      </c>
    </row>
    <row r="54" spans="1:29" x14ac:dyDescent="0.25">
      <c r="A54" s="574">
        <v>26</v>
      </c>
      <c r="B54" s="558">
        <v>0</v>
      </c>
      <c r="C54" s="558">
        <v>0.02</v>
      </c>
      <c r="D54" s="558">
        <v>0.01</v>
      </c>
      <c r="E54" s="558">
        <v>3.0000000000000001E-3</v>
      </c>
      <c r="F54" s="558">
        <v>0.01</v>
      </c>
      <c r="G54" s="558">
        <v>0.01</v>
      </c>
      <c r="H54" s="558">
        <v>0.01</v>
      </c>
      <c r="I54" s="558">
        <v>0.01</v>
      </c>
      <c r="J54" s="558">
        <v>0.15</v>
      </c>
      <c r="K54" s="558">
        <v>0.01</v>
      </c>
      <c r="L54" s="558">
        <v>0.01</v>
      </c>
      <c r="M54" s="558">
        <v>0</v>
      </c>
      <c r="N54" s="605">
        <v>0.02</v>
      </c>
      <c r="O54" s="605">
        <v>0.03</v>
      </c>
      <c r="P54" s="605">
        <v>0.04</v>
      </c>
      <c r="Q54" s="605">
        <v>0.06</v>
      </c>
      <c r="R54" s="605">
        <v>0.01</v>
      </c>
      <c r="S54" s="605">
        <v>0</v>
      </c>
      <c r="T54" s="605">
        <v>0</v>
      </c>
      <c r="U54" s="605">
        <v>0</v>
      </c>
      <c r="V54" s="605">
        <v>0.08</v>
      </c>
      <c r="W54" s="605">
        <v>0</v>
      </c>
      <c r="X54" s="605">
        <v>0.01</v>
      </c>
      <c r="Y54" s="821">
        <v>0.01</v>
      </c>
      <c r="Z54" s="821">
        <v>0.01</v>
      </c>
      <c r="AA54" s="821">
        <v>0.03</v>
      </c>
      <c r="AB54" s="821">
        <v>0.04</v>
      </c>
      <c r="AC54" s="605">
        <v>0</v>
      </c>
    </row>
    <row r="55" spans="1:29" x14ac:dyDescent="0.25">
      <c r="A55" s="574">
        <v>27</v>
      </c>
      <c r="B55" s="558">
        <v>0</v>
      </c>
      <c r="C55" s="558">
        <v>7.0000000000000007E-2</v>
      </c>
      <c r="D55" s="558">
        <v>0.02</v>
      </c>
      <c r="E55" s="558">
        <v>1.7000000000000001E-2</v>
      </c>
      <c r="F55" s="558">
        <v>0.03</v>
      </c>
      <c r="G55" s="558">
        <v>0.01</v>
      </c>
      <c r="H55" s="558">
        <v>0.02</v>
      </c>
      <c r="I55" s="558">
        <v>1.2E-2</v>
      </c>
      <c r="J55" s="558">
        <v>0.04</v>
      </c>
      <c r="K55" s="558">
        <v>0.01</v>
      </c>
      <c r="L55" s="558">
        <v>0.01</v>
      </c>
      <c r="M55" s="558">
        <v>0</v>
      </c>
      <c r="N55" s="605">
        <v>0.1</v>
      </c>
      <c r="O55" s="605">
        <v>0.02</v>
      </c>
      <c r="P55" s="605">
        <v>0.09</v>
      </c>
      <c r="Q55" s="605">
        <v>7.0000000000000007E-2</v>
      </c>
      <c r="R55" s="605">
        <v>0.13</v>
      </c>
      <c r="S55" s="605">
        <v>0.01</v>
      </c>
      <c r="T55" s="605">
        <v>0.03</v>
      </c>
      <c r="U55" s="605">
        <v>0</v>
      </c>
      <c r="V55" s="605">
        <v>7.0000000000000007E-2</v>
      </c>
      <c r="W55" s="605">
        <v>0.03</v>
      </c>
      <c r="X55" s="605">
        <v>0.01</v>
      </c>
      <c r="Y55" s="821">
        <v>0.03</v>
      </c>
      <c r="Z55" s="821">
        <v>0.17</v>
      </c>
      <c r="AA55" s="821">
        <v>0.04</v>
      </c>
      <c r="AB55" s="821">
        <v>0.04</v>
      </c>
      <c r="AC55" s="605">
        <v>0</v>
      </c>
    </row>
    <row r="56" spans="1:29" x14ac:dyDescent="0.25">
      <c r="A56" s="574">
        <v>28</v>
      </c>
      <c r="B56" s="558">
        <v>0</v>
      </c>
      <c r="C56" s="558">
        <v>0.02</v>
      </c>
      <c r="D56" s="558">
        <v>0.01</v>
      </c>
      <c r="E56" s="558">
        <v>3.0000000000000001E-3</v>
      </c>
      <c r="F56" s="558">
        <v>0.01</v>
      </c>
      <c r="G56" s="558">
        <v>0.01</v>
      </c>
      <c r="H56" s="558">
        <v>0.01</v>
      </c>
      <c r="I56" s="558">
        <v>1.7000000000000001E-2</v>
      </c>
      <c r="J56" s="558">
        <v>0.16</v>
      </c>
      <c r="K56" s="558">
        <v>0.01</v>
      </c>
      <c r="L56" s="558">
        <v>0</v>
      </c>
      <c r="M56" s="558">
        <v>0</v>
      </c>
      <c r="N56" s="605">
        <v>0.02</v>
      </c>
      <c r="O56" s="605">
        <v>0.03</v>
      </c>
      <c r="P56" s="605">
        <v>0.05</v>
      </c>
      <c r="Q56" s="605">
        <v>7.0000000000000007E-2</v>
      </c>
      <c r="R56" s="605">
        <v>0.02</v>
      </c>
      <c r="S56" s="605">
        <v>0</v>
      </c>
      <c r="T56" s="605">
        <v>0</v>
      </c>
      <c r="U56" s="605">
        <v>0</v>
      </c>
      <c r="V56" s="605">
        <v>7.0000000000000007E-2</v>
      </c>
      <c r="W56" s="605">
        <v>0</v>
      </c>
      <c r="X56" s="605">
        <v>0.01</v>
      </c>
      <c r="Y56" s="821">
        <v>0.01</v>
      </c>
      <c r="Z56" s="821">
        <v>0.01</v>
      </c>
      <c r="AA56" s="821">
        <v>0.03</v>
      </c>
      <c r="AB56" s="821">
        <v>0.04</v>
      </c>
      <c r="AC56" s="605">
        <v>0</v>
      </c>
    </row>
    <row r="57" spans="1:29" x14ac:dyDescent="0.25">
      <c r="A57" s="574">
        <v>29</v>
      </c>
      <c r="B57" s="558">
        <v>0.22</v>
      </c>
      <c r="C57" s="558">
        <v>0.06</v>
      </c>
      <c r="D57" s="558">
        <v>0.03</v>
      </c>
      <c r="E57" s="558">
        <v>0.02</v>
      </c>
      <c r="F57" s="558">
        <v>0.05</v>
      </c>
      <c r="G57" s="558">
        <v>7.0000000000000007E-2</v>
      </c>
      <c r="H57" s="558">
        <v>0.04</v>
      </c>
      <c r="I57" s="558">
        <v>9.5000000000000001E-2</v>
      </c>
      <c r="J57" s="558">
        <v>0.3</v>
      </c>
      <c r="K57" s="558">
        <v>0.02</v>
      </c>
      <c r="L57" s="558">
        <v>0.03</v>
      </c>
      <c r="M57" s="558">
        <v>0.02</v>
      </c>
      <c r="N57" s="605">
        <v>0.12</v>
      </c>
      <c r="O57" s="605">
        <v>0.06</v>
      </c>
      <c r="P57" s="605">
        <v>0.15</v>
      </c>
      <c r="Q57" s="605">
        <v>0.14000000000000001</v>
      </c>
      <c r="R57" s="605">
        <v>0.14000000000000001</v>
      </c>
      <c r="S57" s="605">
        <v>0.11</v>
      </c>
      <c r="T57" s="605">
        <v>0.08</v>
      </c>
      <c r="U57" s="605">
        <v>0.02</v>
      </c>
      <c r="V57" s="605">
        <v>0.08</v>
      </c>
      <c r="W57" s="605">
        <v>0.09</v>
      </c>
      <c r="X57" s="605">
        <v>0.02</v>
      </c>
      <c r="Y57" s="821">
        <v>0.05</v>
      </c>
      <c r="Z57" s="821">
        <v>0.12</v>
      </c>
      <c r="AA57" s="821">
        <v>7.0000000000000007E-2</v>
      </c>
      <c r="AB57" s="821">
        <v>0.06</v>
      </c>
      <c r="AC57" s="605">
        <v>0</v>
      </c>
    </row>
    <row r="58" spans="1:29" x14ac:dyDescent="0.25">
      <c r="A58" s="574">
        <v>30</v>
      </c>
      <c r="B58" s="558">
        <v>0</v>
      </c>
      <c r="C58" s="558">
        <v>0.01</v>
      </c>
      <c r="D58" s="558">
        <v>0.01</v>
      </c>
      <c r="E58" s="558">
        <v>4.0000000000000001E-3</v>
      </c>
      <c r="F58" s="558">
        <v>0.01</v>
      </c>
      <c r="G58" s="558">
        <v>0</v>
      </c>
      <c r="H58" s="558">
        <v>0.01</v>
      </c>
      <c r="I58" s="558">
        <v>1.2E-2</v>
      </c>
      <c r="J58" s="558">
        <v>0.04</v>
      </c>
      <c r="K58" s="558">
        <v>0</v>
      </c>
      <c r="L58" s="558">
        <v>0</v>
      </c>
      <c r="M58" s="558">
        <v>0</v>
      </c>
      <c r="N58" s="605">
        <v>0.01</v>
      </c>
      <c r="O58" s="605">
        <v>0.03</v>
      </c>
      <c r="P58" s="605">
        <v>0.05</v>
      </c>
      <c r="Q58" s="605">
        <v>7.0000000000000007E-2</v>
      </c>
      <c r="R58" s="605">
        <v>0.02</v>
      </c>
      <c r="S58" s="605">
        <v>0</v>
      </c>
      <c r="T58" s="605">
        <v>0</v>
      </c>
      <c r="U58" s="605">
        <v>0</v>
      </c>
      <c r="V58" s="605">
        <v>0.05</v>
      </c>
      <c r="W58" s="605">
        <v>0</v>
      </c>
      <c r="X58" s="605">
        <v>0</v>
      </c>
      <c r="Y58" s="821">
        <v>0.01</v>
      </c>
      <c r="Z58" s="821">
        <v>0.01</v>
      </c>
      <c r="AA58" s="821">
        <v>0.02</v>
      </c>
      <c r="AB58" s="821">
        <v>0.02</v>
      </c>
      <c r="AC58" s="605">
        <v>0</v>
      </c>
    </row>
    <row r="59" spans="1:29" x14ac:dyDescent="0.25">
      <c r="A59" s="574">
        <v>31</v>
      </c>
      <c r="B59" s="558">
        <v>0.12</v>
      </c>
      <c r="C59" s="558">
        <v>0.05</v>
      </c>
      <c r="D59" s="558">
        <v>0.02</v>
      </c>
      <c r="E59" s="558">
        <v>2.3E-2</v>
      </c>
      <c r="F59" s="558">
        <v>0.05</v>
      </c>
      <c r="G59" s="558">
        <v>0.03</v>
      </c>
      <c r="H59" s="558">
        <v>0.02</v>
      </c>
      <c r="I59" s="558">
        <v>0.111</v>
      </c>
      <c r="J59" s="558">
        <v>0.25</v>
      </c>
      <c r="K59" s="558">
        <v>0.02</v>
      </c>
      <c r="L59" s="558">
        <v>0.01</v>
      </c>
      <c r="M59" s="558">
        <v>0.02</v>
      </c>
      <c r="N59" s="605">
        <v>0.12</v>
      </c>
      <c r="O59" s="605">
        <v>0.03</v>
      </c>
      <c r="P59" s="605">
        <v>7.0000000000000007E-2</v>
      </c>
      <c r="Q59" s="605">
        <v>7.0000000000000007E-2</v>
      </c>
      <c r="R59" s="605">
        <v>0.06</v>
      </c>
      <c r="S59" s="605">
        <v>0.06</v>
      </c>
      <c r="T59" s="605">
        <v>0.06</v>
      </c>
      <c r="U59" s="605">
        <v>0.01</v>
      </c>
      <c r="V59" s="605">
        <v>0.08</v>
      </c>
      <c r="W59" s="605">
        <v>0.02</v>
      </c>
      <c r="X59" s="605">
        <v>0.03</v>
      </c>
      <c r="Y59" s="821">
        <v>0.03</v>
      </c>
      <c r="Z59" s="821">
        <v>0.11</v>
      </c>
      <c r="AA59" s="821">
        <v>0.03</v>
      </c>
      <c r="AB59" s="821">
        <v>0.04</v>
      </c>
      <c r="AC59" s="605">
        <v>0</v>
      </c>
    </row>
    <row r="60" spans="1:29" x14ac:dyDescent="0.25">
      <c r="A60" s="574">
        <v>32</v>
      </c>
      <c r="B60" s="558">
        <v>0</v>
      </c>
      <c r="C60" s="558">
        <v>0.01</v>
      </c>
      <c r="D60" s="558">
        <v>0.01</v>
      </c>
      <c r="E60" s="558">
        <v>3.0000000000000001E-3</v>
      </c>
      <c r="F60" s="558">
        <v>0.01</v>
      </c>
      <c r="G60" s="558">
        <v>0</v>
      </c>
      <c r="H60" s="558">
        <v>0.01</v>
      </c>
      <c r="I60" s="558">
        <v>1.2E-2</v>
      </c>
      <c r="J60" s="558">
        <v>0.2</v>
      </c>
      <c r="K60" s="558">
        <v>0</v>
      </c>
      <c r="L60" s="558">
        <v>0</v>
      </c>
      <c r="M60" s="558">
        <v>0.01</v>
      </c>
      <c r="N60" s="605">
        <v>0.01</v>
      </c>
      <c r="O60" s="605">
        <v>0.01</v>
      </c>
      <c r="P60" s="605">
        <v>0.01</v>
      </c>
      <c r="Q60" s="605">
        <v>0.01</v>
      </c>
      <c r="R60" s="605">
        <v>0.01</v>
      </c>
      <c r="S60" s="605">
        <v>0</v>
      </c>
      <c r="T60" s="605">
        <v>0</v>
      </c>
      <c r="U60" s="605">
        <v>0</v>
      </c>
      <c r="V60" s="605">
        <v>0.05</v>
      </c>
      <c r="W60" s="605">
        <v>0</v>
      </c>
      <c r="X60" s="605">
        <v>0</v>
      </c>
      <c r="Y60" s="821">
        <v>0.01</v>
      </c>
      <c r="Z60" s="821">
        <v>0.01</v>
      </c>
      <c r="AA60" s="821">
        <v>0.02</v>
      </c>
      <c r="AB60" s="821">
        <v>0.02</v>
      </c>
      <c r="AC60" s="605">
        <v>0</v>
      </c>
    </row>
    <row r="61" spans="1:29" x14ac:dyDescent="0.25">
      <c r="A61" s="574">
        <v>33</v>
      </c>
      <c r="B61" s="558">
        <v>0</v>
      </c>
      <c r="C61" s="558">
        <v>0.06</v>
      </c>
      <c r="D61" s="558">
        <v>0.01</v>
      </c>
      <c r="E61" s="558">
        <v>8.0000000000000002E-3</v>
      </c>
      <c r="F61" s="558">
        <v>0.01</v>
      </c>
      <c r="G61" s="558">
        <v>0.01</v>
      </c>
      <c r="H61" s="558">
        <v>0.01</v>
      </c>
      <c r="I61" s="558">
        <v>1.4E-2</v>
      </c>
      <c r="J61" s="558">
        <v>0.04</v>
      </c>
      <c r="K61" s="558">
        <v>0.01</v>
      </c>
      <c r="L61" s="558">
        <v>0.01</v>
      </c>
      <c r="M61" s="558">
        <v>0.01</v>
      </c>
      <c r="N61" s="605">
        <v>7.0000000000000007E-2</v>
      </c>
      <c r="O61" s="605">
        <v>0.01</v>
      </c>
      <c r="P61" s="605">
        <v>0.02</v>
      </c>
      <c r="Q61" s="605">
        <v>0.02</v>
      </c>
      <c r="R61" s="605">
        <v>0.06</v>
      </c>
      <c r="S61" s="605">
        <v>0</v>
      </c>
      <c r="T61" s="605">
        <v>0.02</v>
      </c>
      <c r="U61" s="605">
        <v>0.01</v>
      </c>
      <c r="V61" s="605">
        <v>0.04</v>
      </c>
      <c r="W61" s="605">
        <v>0</v>
      </c>
      <c r="X61" s="605">
        <v>0.01</v>
      </c>
      <c r="Y61" s="821">
        <v>0.02</v>
      </c>
      <c r="Z61" s="821">
        <v>0.08</v>
      </c>
      <c r="AA61" s="821">
        <v>0.02</v>
      </c>
      <c r="AB61" s="821">
        <v>0.02</v>
      </c>
      <c r="AC61" s="605">
        <v>0</v>
      </c>
    </row>
    <row r="62" spans="1:29" x14ac:dyDescent="0.25">
      <c r="A62" s="574">
        <v>34</v>
      </c>
      <c r="B62" s="558">
        <v>0</v>
      </c>
      <c r="C62" s="558">
        <v>0.01</v>
      </c>
      <c r="D62" s="558">
        <v>0.01</v>
      </c>
      <c r="E62" s="558">
        <v>3.0000000000000001E-3</v>
      </c>
      <c r="F62" s="558">
        <v>0.01</v>
      </c>
      <c r="G62" s="558">
        <v>0</v>
      </c>
      <c r="H62" s="558">
        <v>0.01</v>
      </c>
      <c r="I62" s="558">
        <v>1.6E-2</v>
      </c>
      <c r="J62" s="558">
        <v>0.19</v>
      </c>
      <c r="K62" s="558">
        <v>0</v>
      </c>
      <c r="L62" s="558">
        <v>0</v>
      </c>
      <c r="M62" s="558">
        <v>0.01</v>
      </c>
      <c r="N62" s="605">
        <v>0.01</v>
      </c>
      <c r="O62" s="605">
        <v>0.02</v>
      </c>
      <c r="P62" s="605">
        <v>0.03</v>
      </c>
      <c r="Q62" s="605">
        <v>0.04</v>
      </c>
      <c r="R62" s="605">
        <v>0.01</v>
      </c>
      <c r="S62" s="605">
        <v>0</v>
      </c>
      <c r="T62" s="605">
        <v>0</v>
      </c>
      <c r="U62" s="605">
        <v>0</v>
      </c>
      <c r="V62" s="605">
        <v>0.05</v>
      </c>
      <c r="W62" s="605">
        <v>0</v>
      </c>
      <c r="X62" s="605">
        <v>0</v>
      </c>
      <c r="Y62" s="821">
        <v>0.01</v>
      </c>
      <c r="Z62" s="821">
        <v>0.01</v>
      </c>
      <c r="AA62" s="821">
        <v>0.02</v>
      </c>
      <c r="AB62" s="821">
        <v>0.02</v>
      </c>
      <c r="AC62" s="605">
        <v>0</v>
      </c>
    </row>
    <row r="63" spans="1:29" x14ac:dyDescent="0.25">
      <c r="A63" s="574">
        <v>35</v>
      </c>
      <c r="B63" s="558">
        <v>0.16</v>
      </c>
      <c r="C63" s="558">
        <v>0.06</v>
      </c>
      <c r="D63" s="558">
        <v>0.02</v>
      </c>
      <c r="E63" s="558">
        <v>0.01</v>
      </c>
      <c r="F63" s="558">
        <v>0.02</v>
      </c>
      <c r="G63" s="558">
        <v>0.02</v>
      </c>
      <c r="H63" s="558">
        <v>0.01</v>
      </c>
      <c r="I63" s="558">
        <v>7.8E-2</v>
      </c>
      <c r="J63" s="558">
        <v>0.22</v>
      </c>
      <c r="K63" s="558">
        <v>0.02</v>
      </c>
      <c r="L63" s="558">
        <v>0.01</v>
      </c>
      <c r="M63" s="558">
        <v>0.04</v>
      </c>
      <c r="N63" s="605">
        <v>0.1</v>
      </c>
      <c r="O63" s="605">
        <v>0.01</v>
      </c>
      <c r="P63" s="605">
        <v>0.02</v>
      </c>
      <c r="Q63" s="605">
        <v>0.04</v>
      </c>
      <c r="R63" s="605">
        <v>0.05</v>
      </c>
      <c r="S63" s="605">
        <v>0.03</v>
      </c>
      <c r="T63" s="605">
        <v>0.06</v>
      </c>
      <c r="U63" s="605">
        <v>0.04</v>
      </c>
      <c r="V63" s="605">
        <v>0.05</v>
      </c>
      <c r="W63" s="605">
        <v>0.01</v>
      </c>
      <c r="X63" s="605">
        <v>0.02</v>
      </c>
      <c r="Y63" s="821">
        <v>0.01</v>
      </c>
      <c r="Z63" s="821">
        <v>7.0000000000000007E-2</v>
      </c>
      <c r="AA63" s="821">
        <v>0.05</v>
      </c>
      <c r="AB63" s="821">
        <v>0.04</v>
      </c>
      <c r="AC63" s="605">
        <v>0</v>
      </c>
    </row>
    <row r="64" spans="1:29" x14ac:dyDescent="0.25">
      <c r="A64" s="574">
        <v>36</v>
      </c>
      <c r="B64" s="558">
        <v>0</v>
      </c>
      <c r="C64" s="558">
        <v>0.01</v>
      </c>
      <c r="D64" s="558">
        <v>0.01</v>
      </c>
      <c r="E64" s="558">
        <v>4.0000000000000001E-3</v>
      </c>
      <c r="F64" s="558">
        <v>0.01</v>
      </c>
      <c r="G64" s="558">
        <v>0</v>
      </c>
      <c r="H64" s="558">
        <v>0.01</v>
      </c>
      <c r="I64" s="558">
        <v>1.2E-2</v>
      </c>
      <c r="J64" s="558">
        <v>7.0000000000000007E-2</v>
      </c>
      <c r="K64" s="558">
        <v>0</v>
      </c>
      <c r="L64" s="558">
        <v>0</v>
      </c>
      <c r="M64" s="558">
        <v>0</v>
      </c>
      <c r="N64" s="605">
        <v>0.01</v>
      </c>
      <c r="O64" s="605">
        <v>0.01</v>
      </c>
      <c r="P64" s="605">
        <v>0.02</v>
      </c>
      <c r="Q64" s="605">
        <v>0.02</v>
      </c>
      <c r="R64" s="605">
        <v>0.01</v>
      </c>
      <c r="S64" s="605">
        <v>0</v>
      </c>
      <c r="T64" s="605">
        <v>0</v>
      </c>
      <c r="U64" s="605">
        <v>0</v>
      </c>
      <c r="V64" s="605">
        <v>0.04</v>
      </c>
      <c r="W64" s="605">
        <v>0</v>
      </c>
      <c r="X64" s="605">
        <v>0</v>
      </c>
      <c r="Y64" s="821">
        <v>0.01</v>
      </c>
      <c r="Z64" s="821">
        <v>0.01</v>
      </c>
      <c r="AA64" s="821">
        <v>0.02</v>
      </c>
      <c r="AB64" s="821">
        <v>0.01</v>
      </c>
      <c r="AC64" s="605">
        <v>0</v>
      </c>
    </row>
    <row r="65" spans="1:29" x14ac:dyDescent="0.25">
      <c r="A65" s="574">
        <v>37</v>
      </c>
      <c r="B65" s="558">
        <v>0.15</v>
      </c>
      <c r="C65" s="558">
        <v>0.06</v>
      </c>
      <c r="D65" s="558">
        <v>0.02</v>
      </c>
      <c r="E65" s="558">
        <v>0.01</v>
      </c>
      <c r="F65" s="558">
        <v>0.02</v>
      </c>
      <c r="G65" s="558">
        <v>0.02</v>
      </c>
      <c r="H65" s="558">
        <v>0.01</v>
      </c>
      <c r="I65" s="558">
        <v>9.5000000000000001E-2</v>
      </c>
      <c r="J65" s="558">
        <v>0.19</v>
      </c>
      <c r="K65" s="558">
        <v>0.02</v>
      </c>
      <c r="L65" s="558">
        <v>0.03</v>
      </c>
      <c r="M65" s="558">
        <v>0.08</v>
      </c>
      <c r="N65" s="605">
        <v>0.06</v>
      </c>
      <c r="O65" s="605">
        <v>0.01</v>
      </c>
      <c r="P65" s="605">
        <v>0.02</v>
      </c>
      <c r="Q65" s="605">
        <v>0.02</v>
      </c>
      <c r="R65" s="605">
        <v>0.03</v>
      </c>
      <c r="S65" s="605">
        <v>0.05</v>
      </c>
      <c r="T65" s="605">
        <v>0.03</v>
      </c>
      <c r="U65" s="605">
        <v>0.04</v>
      </c>
      <c r="V65" s="605">
        <v>0.05</v>
      </c>
      <c r="W65" s="605">
        <v>0.02</v>
      </c>
      <c r="X65" s="605">
        <v>0.02</v>
      </c>
      <c r="Y65" s="821">
        <v>0.02</v>
      </c>
      <c r="Z65" s="821">
        <v>0.05</v>
      </c>
      <c r="AA65" s="821">
        <v>0.04</v>
      </c>
      <c r="AB65" s="821">
        <v>0.04</v>
      </c>
      <c r="AC65" s="605">
        <v>0</v>
      </c>
    </row>
    <row r="66" spans="1:29" x14ac:dyDescent="0.25">
      <c r="A66" s="574">
        <v>38</v>
      </c>
      <c r="B66" s="558">
        <v>0</v>
      </c>
      <c r="C66" s="558">
        <v>0.01</v>
      </c>
      <c r="D66" s="558">
        <v>0.01</v>
      </c>
      <c r="E66" s="558">
        <v>3.0000000000000001E-3</v>
      </c>
      <c r="F66" s="558">
        <v>0.01</v>
      </c>
      <c r="G66" s="558">
        <v>0</v>
      </c>
      <c r="H66" s="558">
        <v>0.02</v>
      </c>
      <c r="I66" s="558">
        <v>1.2999999999999999E-2</v>
      </c>
      <c r="J66" s="558">
        <v>0.17</v>
      </c>
      <c r="K66" s="558">
        <v>0</v>
      </c>
      <c r="L66" s="558">
        <v>0.05</v>
      </c>
      <c r="M66" s="558">
        <v>0</v>
      </c>
      <c r="N66" s="605">
        <v>0.01</v>
      </c>
      <c r="O66" s="605">
        <v>0.01</v>
      </c>
      <c r="P66" s="605">
        <v>0.01</v>
      </c>
      <c r="Q66" s="605">
        <v>0.01</v>
      </c>
      <c r="R66" s="605">
        <v>0</v>
      </c>
      <c r="S66" s="605">
        <v>0</v>
      </c>
      <c r="T66" s="605">
        <v>0</v>
      </c>
      <c r="U66" s="605">
        <v>0</v>
      </c>
      <c r="V66" s="605">
        <v>0.04</v>
      </c>
      <c r="W66" s="605">
        <v>0</v>
      </c>
      <c r="X66" s="605">
        <v>0</v>
      </c>
      <c r="Y66" s="821">
        <v>0.01</v>
      </c>
      <c r="Z66" s="821">
        <v>0.01</v>
      </c>
      <c r="AA66" s="821">
        <v>0.02</v>
      </c>
      <c r="AB66" s="821">
        <v>0.01</v>
      </c>
      <c r="AC66" s="605">
        <v>0</v>
      </c>
    </row>
    <row r="67" spans="1:29" x14ac:dyDescent="0.25">
      <c r="A67" s="574">
        <v>39</v>
      </c>
      <c r="B67" s="558">
        <v>0</v>
      </c>
      <c r="C67" s="558">
        <v>0.04</v>
      </c>
      <c r="D67" s="558">
        <v>0.01</v>
      </c>
      <c r="E67" s="558">
        <v>5.0000000000000001E-3</v>
      </c>
      <c r="F67" s="558">
        <v>0.01</v>
      </c>
      <c r="G67" s="558">
        <v>0.01</v>
      </c>
      <c r="H67" s="558">
        <v>0.01</v>
      </c>
      <c r="I67" s="558">
        <v>0.03</v>
      </c>
      <c r="J67" s="558">
        <v>0.03</v>
      </c>
      <c r="K67" s="558">
        <v>0.01</v>
      </c>
      <c r="L67" s="558">
        <v>0.01</v>
      </c>
      <c r="M67" s="558">
        <v>0.01</v>
      </c>
      <c r="N67" s="605">
        <v>7.0000000000000007E-2</v>
      </c>
      <c r="O67" s="605">
        <v>0.01</v>
      </c>
      <c r="P67" s="605">
        <v>0.01</v>
      </c>
      <c r="Q67" s="605">
        <v>0.01</v>
      </c>
      <c r="R67" s="605">
        <v>0.05</v>
      </c>
      <c r="S67" s="605">
        <v>0</v>
      </c>
      <c r="T67" s="605">
        <v>0.02</v>
      </c>
      <c r="U67" s="605">
        <v>0.01</v>
      </c>
      <c r="V67" s="605">
        <v>0.03</v>
      </c>
      <c r="W67" s="605">
        <v>0.01</v>
      </c>
      <c r="X67" s="605">
        <v>0.01</v>
      </c>
      <c r="Y67" s="821">
        <v>0.02</v>
      </c>
      <c r="Z67" s="821">
        <v>0.1</v>
      </c>
      <c r="AA67" s="821">
        <v>0.06</v>
      </c>
      <c r="AB67" s="821">
        <v>0.02</v>
      </c>
      <c r="AC67" s="605">
        <v>0</v>
      </c>
    </row>
    <row r="68" spans="1:29" x14ac:dyDescent="0.25">
      <c r="A68" s="574">
        <v>40</v>
      </c>
      <c r="B68" s="558">
        <v>0</v>
      </c>
      <c r="C68" s="558">
        <v>0.01</v>
      </c>
      <c r="D68" s="558">
        <v>0.01</v>
      </c>
      <c r="E68" s="558">
        <v>3.0000000000000001E-3</v>
      </c>
      <c r="F68" s="558">
        <v>0.01</v>
      </c>
      <c r="G68" s="558">
        <v>0</v>
      </c>
      <c r="H68" s="558">
        <v>0.19</v>
      </c>
      <c r="I68" s="558">
        <v>1.4E-2</v>
      </c>
      <c r="J68" s="558">
        <v>0.15</v>
      </c>
      <c r="K68" s="558">
        <v>0</v>
      </c>
      <c r="L68" s="558">
        <v>0</v>
      </c>
      <c r="M68" s="558">
        <v>0</v>
      </c>
      <c r="N68" s="605">
        <v>0.01</v>
      </c>
      <c r="O68" s="605">
        <v>0.01</v>
      </c>
      <c r="P68" s="605">
        <v>0.02</v>
      </c>
      <c r="Q68" s="605">
        <v>0.03</v>
      </c>
      <c r="R68" s="605">
        <v>0</v>
      </c>
      <c r="S68" s="605">
        <v>0</v>
      </c>
      <c r="T68" s="605">
        <v>0</v>
      </c>
      <c r="U68" s="605">
        <v>0</v>
      </c>
      <c r="V68" s="605">
        <v>0.04</v>
      </c>
      <c r="W68" s="605">
        <v>0</v>
      </c>
      <c r="X68" s="605">
        <v>0</v>
      </c>
      <c r="Y68" s="821">
        <v>0.01</v>
      </c>
      <c r="Z68" s="821">
        <v>0.01</v>
      </c>
      <c r="AA68" s="821">
        <v>0.02</v>
      </c>
      <c r="AB68" s="821">
        <v>0.01</v>
      </c>
      <c r="AC68" s="605">
        <v>0</v>
      </c>
    </row>
    <row r="69" spans="1:29" x14ac:dyDescent="0.25">
      <c r="A69" s="574">
        <v>41</v>
      </c>
      <c r="B69" s="558">
        <v>0</v>
      </c>
      <c r="C69" s="558">
        <v>0.04</v>
      </c>
      <c r="D69" s="558">
        <v>0.02</v>
      </c>
      <c r="E69" s="558">
        <v>7.0000000000000001E-3</v>
      </c>
      <c r="F69" s="558">
        <v>0.03</v>
      </c>
      <c r="G69" s="558">
        <v>0.02</v>
      </c>
      <c r="H69" s="558">
        <v>0.01</v>
      </c>
      <c r="I69" s="558">
        <v>0.107</v>
      </c>
      <c r="J69" s="558">
        <v>0.14000000000000001</v>
      </c>
      <c r="K69" s="558">
        <v>0.03</v>
      </c>
      <c r="L69" s="558">
        <v>0.12</v>
      </c>
      <c r="M69" s="558">
        <v>0.03</v>
      </c>
      <c r="N69" s="605">
        <v>0.06</v>
      </c>
      <c r="O69" s="605">
        <v>0.01</v>
      </c>
      <c r="P69" s="605">
        <v>0.01</v>
      </c>
      <c r="Q69" s="605">
        <v>0.02</v>
      </c>
      <c r="R69" s="605">
        <v>0.04</v>
      </c>
      <c r="S69" s="605">
        <v>0.02</v>
      </c>
      <c r="T69" s="605">
        <v>0.02</v>
      </c>
      <c r="U69" s="605">
        <v>0.02</v>
      </c>
      <c r="V69" s="605">
        <v>0.03</v>
      </c>
      <c r="W69" s="605">
        <v>0.01</v>
      </c>
      <c r="X69" s="605">
        <v>0.03</v>
      </c>
      <c r="Y69" s="821">
        <v>0.03</v>
      </c>
      <c r="Z69" s="821">
        <v>0.03</v>
      </c>
      <c r="AA69" s="821">
        <v>0.05</v>
      </c>
      <c r="AB69" s="821">
        <v>0.02</v>
      </c>
      <c r="AC69" s="605">
        <v>0</v>
      </c>
    </row>
    <row r="70" spans="1:29" x14ac:dyDescent="0.25">
      <c r="A70" s="574">
        <v>42</v>
      </c>
      <c r="B70" s="558">
        <v>0</v>
      </c>
      <c r="C70" s="558">
        <v>0.01</v>
      </c>
      <c r="D70" s="558">
        <v>0.01</v>
      </c>
      <c r="E70" s="558">
        <v>3.0000000000000001E-3</v>
      </c>
      <c r="F70" s="558">
        <v>0.01</v>
      </c>
      <c r="G70" s="558">
        <v>0</v>
      </c>
      <c r="H70" s="558">
        <v>0.02</v>
      </c>
      <c r="I70" s="558">
        <v>8.9999999999999993E-3</v>
      </c>
      <c r="J70" s="558">
        <v>0.04</v>
      </c>
      <c r="K70" s="558">
        <v>0</v>
      </c>
      <c r="L70" s="558">
        <v>0</v>
      </c>
      <c r="M70" s="558">
        <v>0</v>
      </c>
      <c r="N70" s="605">
        <v>0.01</v>
      </c>
      <c r="O70" s="605">
        <v>0.01</v>
      </c>
      <c r="P70" s="605">
        <v>0.01</v>
      </c>
      <c r="Q70" s="605">
        <v>0.02</v>
      </c>
      <c r="R70" s="605">
        <v>0</v>
      </c>
      <c r="S70" s="605">
        <v>0</v>
      </c>
      <c r="T70" s="605">
        <v>0</v>
      </c>
      <c r="U70" s="605">
        <v>0.01</v>
      </c>
      <c r="V70" s="605">
        <v>0.03</v>
      </c>
      <c r="W70" s="605">
        <v>0</v>
      </c>
      <c r="X70" s="605">
        <v>0</v>
      </c>
      <c r="Y70" s="821">
        <v>0.01</v>
      </c>
      <c r="Z70" s="821">
        <v>0.01</v>
      </c>
      <c r="AA70" s="821">
        <v>0.02</v>
      </c>
      <c r="AB70" s="821">
        <v>0.01</v>
      </c>
      <c r="AC70" s="605">
        <v>0</v>
      </c>
    </row>
    <row r="71" spans="1:29" x14ac:dyDescent="0.25">
      <c r="A71" s="574">
        <v>43</v>
      </c>
      <c r="B71" s="558">
        <v>0</v>
      </c>
      <c r="C71" s="558">
        <v>0.03</v>
      </c>
      <c r="D71" s="558">
        <v>0.02</v>
      </c>
      <c r="E71" s="558">
        <v>8.9999999999999993E-3</v>
      </c>
      <c r="F71" s="558">
        <v>0.02</v>
      </c>
      <c r="G71" s="558">
        <v>0.02</v>
      </c>
      <c r="H71" s="558">
        <v>0.01</v>
      </c>
      <c r="I71" s="558">
        <v>4.1000000000000002E-2</v>
      </c>
      <c r="J71" s="558">
        <v>0.13</v>
      </c>
      <c r="K71" s="558">
        <v>0.02</v>
      </c>
      <c r="L71" s="558">
        <v>0.04</v>
      </c>
      <c r="M71" s="558">
        <v>0</v>
      </c>
      <c r="N71" s="605">
        <v>0.05</v>
      </c>
      <c r="O71" s="605">
        <v>0.01</v>
      </c>
      <c r="P71" s="605">
        <v>0.01</v>
      </c>
      <c r="Q71" s="605">
        <v>0.01</v>
      </c>
      <c r="R71" s="605">
        <v>0.04</v>
      </c>
      <c r="S71" s="605">
        <v>0.01</v>
      </c>
      <c r="T71" s="605">
        <v>0.02</v>
      </c>
      <c r="U71" s="605">
        <v>0.02</v>
      </c>
      <c r="V71" s="605">
        <v>0.04</v>
      </c>
      <c r="W71" s="605">
        <v>0.01</v>
      </c>
      <c r="X71" s="605">
        <v>0.02</v>
      </c>
      <c r="Y71" s="821">
        <v>0.04</v>
      </c>
      <c r="Z71" s="821">
        <v>0.04</v>
      </c>
      <c r="AA71" s="821">
        <v>0.03</v>
      </c>
      <c r="AB71" s="821">
        <v>0.02</v>
      </c>
      <c r="AC71" s="605">
        <v>0</v>
      </c>
    </row>
    <row r="72" spans="1:29" x14ac:dyDescent="0.25">
      <c r="A72" s="574">
        <v>44</v>
      </c>
      <c r="B72" s="558">
        <v>0</v>
      </c>
      <c r="C72" s="558">
        <v>0.01</v>
      </c>
      <c r="D72" s="558">
        <v>0</v>
      </c>
      <c r="E72" s="558">
        <v>3.0000000000000001E-3</v>
      </c>
      <c r="F72" s="558">
        <v>0.01</v>
      </c>
      <c r="G72" s="558">
        <v>0</v>
      </c>
      <c r="H72" s="558">
        <v>0.01</v>
      </c>
      <c r="I72" s="558">
        <v>1.2999999999999999E-2</v>
      </c>
      <c r="J72" s="558">
        <v>0.11</v>
      </c>
      <c r="K72" s="558">
        <v>0</v>
      </c>
      <c r="L72" s="558">
        <v>0</v>
      </c>
      <c r="M72" s="558">
        <v>0</v>
      </c>
      <c r="N72" s="605">
        <v>0.01</v>
      </c>
      <c r="O72" s="605">
        <v>0.01</v>
      </c>
      <c r="P72" s="605">
        <v>0.01</v>
      </c>
      <c r="Q72" s="605">
        <v>0.01</v>
      </c>
      <c r="R72" s="605">
        <v>0</v>
      </c>
      <c r="S72" s="605">
        <v>0</v>
      </c>
      <c r="T72" s="605">
        <v>0</v>
      </c>
      <c r="U72" s="605">
        <v>0.01</v>
      </c>
      <c r="V72" s="605">
        <v>0.03</v>
      </c>
      <c r="W72" s="605">
        <v>0</v>
      </c>
      <c r="X72" s="605">
        <v>0</v>
      </c>
      <c r="Y72" s="821">
        <v>0.01</v>
      </c>
      <c r="Z72" s="821">
        <v>0.01</v>
      </c>
      <c r="AA72" s="821">
        <v>0.01</v>
      </c>
      <c r="AB72" s="821">
        <v>0.01</v>
      </c>
      <c r="AC72" s="605">
        <v>0</v>
      </c>
    </row>
    <row r="73" spans="1:29" x14ac:dyDescent="0.25">
      <c r="A73" s="574">
        <v>45</v>
      </c>
      <c r="B73" s="558">
        <v>0</v>
      </c>
      <c r="C73" s="558">
        <v>0.03</v>
      </c>
      <c r="D73" s="558">
        <v>0.01</v>
      </c>
      <c r="E73" s="558">
        <v>4.0000000000000001E-3</v>
      </c>
      <c r="F73" s="558">
        <v>0.01</v>
      </c>
      <c r="G73" s="558">
        <v>0.01</v>
      </c>
      <c r="H73" s="558">
        <v>0.01</v>
      </c>
      <c r="I73" s="558">
        <v>2.9000000000000001E-2</v>
      </c>
      <c r="J73" s="558">
        <v>7.0000000000000007E-2</v>
      </c>
      <c r="K73" s="558">
        <v>0</v>
      </c>
      <c r="L73" s="558">
        <v>0</v>
      </c>
      <c r="M73" s="558">
        <v>0</v>
      </c>
      <c r="N73" s="605">
        <v>0.05</v>
      </c>
      <c r="O73" s="605">
        <v>0.01</v>
      </c>
      <c r="P73" s="605">
        <v>0.01</v>
      </c>
      <c r="Q73" s="605">
        <v>0.01</v>
      </c>
      <c r="R73" s="605">
        <v>0.03</v>
      </c>
      <c r="S73" s="605">
        <v>0</v>
      </c>
      <c r="T73" s="605">
        <v>0.01</v>
      </c>
      <c r="U73" s="605">
        <v>0.01</v>
      </c>
      <c r="V73" s="605">
        <v>0.02</v>
      </c>
      <c r="W73" s="605">
        <v>0</v>
      </c>
      <c r="X73" s="605">
        <v>0</v>
      </c>
      <c r="Y73" s="821">
        <v>0.01</v>
      </c>
      <c r="Z73" s="821">
        <v>0.04</v>
      </c>
      <c r="AA73" s="821">
        <v>0.02</v>
      </c>
      <c r="AB73" s="821">
        <v>0.01</v>
      </c>
      <c r="AC73" s="605">
        <v>0</v>
      </c>
    </row>
    <row r="74" spans="1:29" x14ac:dyDescent="0.25">
      <c r="A74" s="574">
        <v>46</v>
      </c>
      <c r="B74" s="558">
        <v>0</v>
      </c>
      <c r="C74" s="558">
        <v>0.01</v>
      </c>
      <c r="D74" s="558">
        <v>0</v>
      </c>
      <c r="E74" s="558">
        <v>4.0000000000000001E-3</v>
      </c>
      <c r="F74" s="558">
        <v>0.01</v>
      </c>
      <c r="G74" s="558">
        <v>0</v>
      </c>
      <c r="H74" s="558">
        <v>0.01</v>
      </c>
      <c r="I74" s="558">
        <v>1.2999999999999999E-2</v>
      </c>
      <c r="J74" s="558">
        <v>7.0000000000000007E-2</v>
      </c>
      <c r="K74" s="558">
        <v>0</v>
      </c>
      <c r="L74" s="558">
        <v>0</v>
      </c>
      <c r="M74" s="558">
        <v>0</v>
      </c>
      <c r="N74" s="605">
        <v>0.01</v>
      </c>
      <c r="O74" s="605">
        <v>0.01</v>
      </c>
      <c r="P74" s="605">
        <v>0.01</v>
      </c>
      <c r="Q74" s="605">
        <v>0.02</v>
      </c>
      <c r="R74" s="605">
        <v>0</v>
      </c>
      <c r="S74" s="605">
        <v>0</v>
      </c>
      <c r="T74" s="605">
        <v>0</v>
      </c>
      <c r="U74" s="605">
        <v>0.01</v>
      </c>
      <c r="V74" s="605">
        <v>0.02</v>
      </c>
      <c r="W74" s="605">
        <v>0</v>
      </c>
      <c r="X74" s="605">
        <v>0</v>
      </c>
      <c r="Y74" s="821">
        <v>0.01</v>
      </c>
      <c r="Z74" s="821">
        <v>0.01</v>
      </c>
      <c r="AA74" s="821">
        <v>0.01</v>
      </c>
      <c r="AB74" s="821">
        <v>0.01</v>
      </c>
      <c r="AC74" s="605">
        <v>0</v>
      </c>
    </row>
    <row r="75" spans="1:29" x14ac:dyDescent="0.25">
      <c r="A75" s="574">
        <v>47</v>
      </c>
      <c r="B75" s="558">
        <v>0</v>
      </c>
      <c r="C75" s="558">
        <v>0.03</v>
      </c>
      <c r="D75" s="558">
        <v>0.02</v>
      </c>
      <c r="E75" s="558">
        <v>2.4E-2</v>
      </c>
      <c r="F75" s="558">
        <v>0.04</v>
      </c>
      <c r="G75" s="558">
        <v>0.05</v>
      </c>
      <c r="H75" s="558">
        <v>0.04</v>
      </c>
      <c r="I75" s="558">
        <v>4.2999999999999997E-2</v>
      </c>
      <c r="J75" s="558">
        <v>0.08</v>
      </c>
      <c r="K75" s="558">
        <v>0</v>
      </c>
      <c r="L75" s="558">
        <v>0.1</v>
      </c>
      <c r="M75" s="558">
        <v>0</v>
      </c>
      <c r="N75" s="605">
        <v>0.05</v>
      </c>
      <c r="O75" s="605">
        <v>0.01</v>
      </c>
      <c r="P75" s="605">
        <v>0.01</v>
      </c>
      <c r="Q75" s="605">
        <v>0.01</v>
      </c>
      <c r="R75" s="605">
        <v>0.03</v>
      </c>
      <c r="S75" s="605">
        <v>0.02</v>
      </c>
      <c r="T75" s="605">
        <v>0.02</v>
      </c>
      <c r="U75" s="605">
        <v>0.01</v>
      </c>
      <c r="V75" s="605">
        <v>0.03</v>
      </c>
      <c r="W75" s="605">
        <v>0.03</v>
      </c>
      <c r="X75" s="605">
        <v>0</v>
      </c>
      <c r="Y75" s="821">
        <v>0.04</v>
      </c>
      <c r="Z75" s="821">
        <v>0.03</v>
      </c>
      <c r="AA75" s="821">
        <v>0.03</v>
      </c>
      <c r="AB75" s="821">
        <v>0.02</v>
      </c>
      <c r="AC75" s="605">
        <v>0</v>
      </c>
    </row>
    <row r="76" spans="1:29" x14ac:dyDescent="0.25">
      <c r="A76" s="574">
        <v>48</v>
      </c>
      <c r="B76" s="558">
        <v>0</v>
      </c>
      <c r="C76" s="558">
        <v>0.01</v>
      </c>
      <c r="D76" s="558">
        <v>0</v>
      </c>
      <c r="E76" s="558">
        <v>4.0000000000000001E-3</v>
      </c>
      <c r="F76" s="558">
        <v>0.01</v>
      </c>
      <c r="G76" s="558">
        <v>0</v>
      </c>
      <c r="H76" s="558">
        <v>0.01</v>
      </c>
      <c r="I76" s="558">
        <v>0.01</v>
      </c>
      <c r="J76" s="558">
        <v>0.03</v>
      </c>
      <c r="K76" s="558">
        <v>0</v>
      </c>
      <c r="L76" s="558">
        <v>0</v>
      </c>
      <c r="M76" s="558">
        <v>0</v>
      </c>
      <c r="N76" s="605">
        <v>0.01</v>
      </c>
      <c r="O76" s="605">
        <v>0.01</v>
      </c>
      <c r="P76" s="605">
        <v>0.01</v>
      </c>
      <c r="Q76" s="605">
        <v>0.02</v>
      </c>
      <c r="R76" s="605">
        <v>0.01</v>
      </c>
      <c r="S76" s="605">
        <v>0</v>
      </c>
      <c r="T76" s="605">
        <v>0</v>
      </c>
      <c r="U76" s="605">
        <v>0.01</v>
      </c>
      <c r="V76" s="605">
        <v>0.02</v>
      </c>
      <c r="W76" s="605">
        <v>0</v>
      </c>
      <c r="X76" s="605">
        <v>0</v>
      </c>
      <c r="Y76" s="821">
        <v>0.01</v>
      </c>
      <c r="Z76" s="821">
        <v>0.01</v>
      </c>
      <c r="AA76" s="821">
        <v>0.01</v>
      </c>
      <c r="AB76" s="821">
        <v>0.01</v>
      </c>
      <c r="AC76" s="605">
        <v>0</v>
      </c>
    </row>
    <row r="77" spans="1:29" x14ac:dyDescent="0.25">
      <c r="A77" s="574">
        <v>49</v>
      </c>
      <c r="B77" s="558">
        <v>0</v>
      </c>
      <c r="C77" s="558">
        <v>0.02</v>
      </c>
      <c r="D77" s="558">
        <v>0.02</v>
      </c>
      <c r="E77" s="558">
        <v>6.0000000000000001E-3</v>
      </c>
      <c r="F77" s="558">
        <v>0.06</v>
      </c>
      <c r="G77" s="558">
        <v>0.03</v>
      </c>
      <c r="H77" s="558">
        <v>0.02</v>
      </c>
      <c r="I77" s="558">
        <v>3.9E-2</v>
      </c>
      <c r="J77" s="558">
        <v>7.0000000000000007E-2</v>
      </c>
      <c r="K77" s="558">
        <v>0.01</v>
      </c>
      <c r="L77" s="558">
        <v>0.01</v>
      </c>
      <c r="M77" s="558">
        <v>0</v>
      </c>
      <c r="N77" s="605">
        <v>0.04</v>
      </c>
      <c r="O77" s="605">
        <v>0.01</v>
      </c>
      <c r="P77" s="605">
        <v>0.01</v>
      </c>
      <c r="Q77" s="605">
        <v>0.01</v>
      </c>
      <c r="R77" s="605">
        <v>0.02</v>
      </c>
      <c r="S77" s="605">
        <v>0.02</v>
      </c>
      <c r="T77" s="605">
        <v>0.02</v>
      </c>
      <c r="U77" s="605">
        <v>0.01</v>
      </c>
      <c r="V77" s="605">
        <v>0.03</v>
      </c>
      <c r="W77" s="605">
        <v>0.01</v>
      </c>
      <c r="X77" s="605">
        <v>0.01</v>
      </c>
      <c r="Y77" s="821">
        <v>0.04</v>
      </c>
      <c r="Z77" s="821">
        <v>0.02</v>
      </c>
      <c r="AA77" s="821">
        <v>0.03</v>
      </c>
      <c r="AB77" s="821">
        <v>0.01</v>
      </c>
      <c r="AC77" s="605">
        <v>0</v>
      </c>
    </row>
    <row r="78" spans="1:29" x14ac:dyDescent="0.25">
      <c r="A78" s="574">
        <v>50</v>
      </c>
      <c r="B78" s="558">
        <v>0</v>
      </c>
      <c r="C78" s="558">
        <v>0.01</v>
      </c>
      <c r="D78" s="558">
        <v>0</v>
      </c>
      <c r="E78" s="558">
        <v>4.0000000000000001E-3</v>
      </c>
      <c r="F78" s="558">
        <v>0.01</v>
      </c>
      <c r="G78" s="558">
        <v>0</v>
      </c>
      <c r="H78" s="558">
        <v>0</v>
      </c>
      <c r="I78" s="558">
        <v>1.2E-2</v>
      </c>
      <c r="J78" s="558">
        <v>0.05</v>
      </c>
      <c r="K78" s="558">
        <v>0</v>
      </c>
      <c r="L78" s="558">
        <v>0</v>
      </c>
      <c r="M78" s="558">
        <v>0</v>
      </c>
      <c r="N78" s="605">
        <v>0.01</v>
      </c>
      <c r="O78" s="605">
        <v>0.01</v>
      </c>
      <c r="P78" s="605">
        <v>0.01</v>
      </c>
      <c r="Q78" s="605">
        <v>0.01</v>
      </c>
      <c r="R78" s="605">
        <v>0.01</v>
      </c>
      <c r="S78" s="605">
        <v>0</v>
      </c>
      <c r="T78" s="605">
        <v>0</v>
      </c>
      <c r="U78" s="605">
        <v>0.01</v>
      </c>
      <c r="V78" s="605">
        <v>0.02</v>
      </c>
      <c r="W78" s="605">
        <v>0</v>
      </c>
      <c r="X78" s="605">
        <v>0</v>
      </c>
      <c r="Y78" s="821">
        <v>0.01</v>
      </c>
      <c r="Z78" s="821">
        <v>0.01</v>
      </c>
      <c r="AA78" s="821">
        <v>0.01</v>
      </c>
      <c r="AB78" s="821">
        <v>0.01</v>
      </c>
      <c r="AC78" s="605">
        <v>0</v>
      </c>
    </row>
    <row r="79" spans="1:29" x14ac:dyDescent="0.25">
      <c r="B79" s="570"/>
      <c r="C79" s="570"/>
      <c r="D79" s="570"/>
      <c r="E79" s="570"/>
      <c r="F79" s="570"/>
      <c r="G79" s="570"/>
      <c r="H79" s="570"/>
      <c r="I79" s="570"/>
      <c r="J79" s="570"/>
      <c r="K79" s="570"/>
      <c r="L79" s="570"/>
      <c r="M79" s="570"/>
      <c r="N79" s="608"/>
      <c r="O79" s="608"/>
      <c r="P79" s="608"/>
      <c r="Q79" s="608"/>
      <c r="Z79" s="822"/>
      <c r="AA79" s="822"/>
      <c r="AB79" s="822"/>
    </row>
    <row r="80" spans="1:29" x14ac:dyDescent="0.25">
      <c r="A80" s="573">
        <v>75</v>
      </c>
      <c r="B80" s="558">
        <v>1.06</v>
      </c>
      <c r="C80" s="558">
        <v>0.44</v>
      </c>
      <c r="D80" s="558">
        <v>0.28000000000000003</v>
      </c>
      <c r="E80" s="558">
        <v>0.32400000000000001</v>
      </c>
      <c r="F80" s="558">
        <v>0.74</v>
      </c>
      <c r="G80" s="558">
        <v>0.64</v>
      </c>
      <c r="H80" s="558">
        <v>0.31</v>
      </c>
      <c r="I80" s="558">
        <v>1.7000000000000001E-2</v>
      </c>
      <c r="J80" s="558">
        <v>0.43</v>
      </c>
      <c r="K80" s="558">
        <v>1.69</v>
      </c>
      <c r="L80" s="558">
        <v>0.56000000000000005</v>
      </c>
      <c r="M80" s="558">
        <v>0.43</v>
      </c>
      <c r="N80" s="605">
        <v>0.21</v>
      </c>
      <c r="O80" s="605">
        <v>0.08</v>
      </c>
      <c r="P80" s="605">
        <v>0.08</v>
      </c>
      <c r="Q80" s="605">
        <v>0.08</v>
      </c>
      <c r="R80" s="605">
        <v>0.6</v>
      </c>
      <c r="S80" s="605">
        <v>0.09</v>
      </c>
      <c r="T80" s="605">
        <v>0.3</v>
      </c>
      <c r="U80" s="605">
        <v>0.23</v>
      </c>
      <c r="V80" s="605">
        <v>0.81</v>
      </c>
      <c r="W80" s="605">
        <v>0.66</v>
      </c>
      <c r="X80" s="605">
        <v>1.69</v>
      </c>
      <c r="Y80" s="821">
        <v>7.0000000000000007E-2</v>
      </c>
      <c r="Z80" s="821">
        <v>0.04</v>
      </c>
      <c r="AA80" s="821">
        <v>0.13</v>
      </c>
      <c r="AB80" s="821">
        <v>0.12</v>
      </c>
      <c r="AC80" s="605">
        <v>0</v>
      </c>
    </row>
    <row r="81" spans="1:29" x14ac:dyDescent="0.25">
      <c r="A81" s="574">
        <v>125</v>
      </c>
      <c r="B81" s="558">
        <v>0.17</v>
      </c>
      <c r="C81" s="558">
        <v>0.08</v>
      </c>
      <c r="D81" s="558">
        <v>7.0000000000000007E-2</v>
      </c>
      <c r="E81" s="558">
        <v>0.66300000000000003</v>
      </c>
      <c r="F81" s="558">
        <v>0.15</v>
      </c>
      <c r="G81" s="558">
        <v>0.12</v>
      </c>
      <c r="H81" s="558">
        <v>7.0000000000000007E-2</v>
      </c>
      <c r="I81" s="558">
        <v>2.5000000000000001E-2</v>
      </c>
      <c r="J81" s="558">
        <v>0.15</v>
      </c>
      <c r="K81" s="558">
        <v>0.27</v>
      </c>
      <c r="L81" s="558">
        <v>0.09</v>
      </c>
      <c r="M81" s="558">
        <v>0.06</v>
      </c>
      <c r="N81" s="605">
        <v>0.08</v>
      </c>
      <c r="O81" s="605">
        <v>0.03</v>
      </c>
      <c r="P81" s="605">
        <v>0.03</v>
      </c>
      <c r="Q81" s="605">
        <v>0.03</v>
      </c>
      <c r="R81" s="605">
        <v>0.12</v>
      </c>
      <c r="S81" s="605">
        <v>0.03</v>
      </c>
      <c r="T81" s="605">
        <v>0.05</v>
      </c>
      <c r="U81" s="605">
        <v>7.0000000000000007E-2</v>
      </c>
      <c r="V81" s="605">
        <v>0.24</v>
      </c>
      <c r="W81" s="605">
        <v>0.05</v>
      </c>
      <c r="X81" s="605">
        <v>0.27</v>
      </c>
      <c r="Y81" s="821">
        <v>0.11</v>
      </c>
      <c r="Z81" s="821">
        <v>0.12</v>
      </c>
      <c r="AA81" s="821">
        <v>0.08</v>
      </c>
      <c r="AB81" s="821">
        <v>0.06</v>
      </c>
      <c r="AC81" s="605">
        <v>0</v>
      </c>
    </row>
    <row r="82" spans="1:29" x14ac:dyDescent="0.25">
      <c r="A82" s="574">
        <v>175</v>
      </c>
      <c r="B82" s="558">
        <v>0</v>
      </c>
      <c r="C82" s="558">
        <v>0.06</v>
      </c>
      <c r="D82" s="558">
        <v>0.03</v>
      </c>
      <c r="E82" s="558">
        <v>0.13500000000000001</v>
      </c>
      <c r="F82" s="558">
        <v>0.11</v>
      </c>
      <c r="G82" s="558">
        <v>7.0000000000000007E-2</v>
      </c>
      <c r="H82" s="558">
        <v>0.05</v>
      </c>
      <c r="I82" s="558">
        <v>2.3E-2</v>
      </c>
      <c r="J82" s="558">
        <v>0.11</v>
      </c>
      <c r="K82" s="558">
        <v>0.09</v>
      </c>
      <c r="L82" s="558">
        <v>0.16</v>
      </c>
      <c r="M82" s="558">
        <v>0.03</v>
      </c>
      <c r="N82" s="605">
        <v>0.05</v>
      </c>
      <c r="O82" s="605">
        <v>0.02</v>
      </c>
      <c r="P82" s="605">
        <v>0.02</v>
      </c>
      <c r="Q82" s="605">
        <v>0.03</v>
      </c>
      <c r="R82" s="605">
        <v>7.0000000000000007E-2</v>
      </c>
      <c r="S82" s="605">
        <v>0.01</v>
      </c>
      <c r="T82" s="605">
        <v>0.03</v>
      </c>
      <c r="U82" s="605">
        <v>0.05</v>
      </c>
      <c r="V82" s="605">
        <v>0.17</v>
      </c>
      <c r="W82" s="605">
        <v>0.03</v>
      </c>
      <c r="X82" s="605">
        <v>0.09</v>
      </c>
      <c r="Y82" s="821">
        <v>0.08</v>
      </c>
      <c r="Z82" s="821">
        <v>0.04</v>
      </c>
      <c r="AA82" s="821">
        <v>0.13</v>
      </c>
      <c r="AB82" s="821">
        <v>0.05</v>
      </c>
      <c r="AC82" s="605">
        <v>0</v>
      </c>
    </row>
    <row r="83" spans="1:29" x14ac:dyDescent="0.25">
      <c r="A83" s="574">
        <v>225</v>
      </c>
      <c r="B83" s="558">
        <v>0</v>
      </c>
      <c r="C83" s="558">
        <v>0.05</v>
      </c>
      <c r="D83" s="558">
        <v>0.09</v>
      </c>
      <c r="E83" s="558">
        <v>6.0999999999999999E-2</v>
      </c>
      <c r="F83" s="558">
        <v>0.06</v>
      </c>
      <c r="G83" s="558">
        <v>0.1</v>
      </c>
      <c r="H83" s="558">
        <v>0.05</v>
      </c>
      <c r="I83" s="558">
        <v>1.7999999999999999E-2</v>
      </c>
      <c r="J83" s="558">
        <v>0.09</v>
      </c>
      <c r="K83" s="558">
        <v>7.0000000000000007E-2</v>
      </c>
      <c r="L83" s="558">
        <v>0.05</v>
      </c>
      <c r="M83" s="558">
        <v>0.03</v>
      </c>
      <c r="N83" s="605">
        <v>0.04</v>
      </c>
      <c r="O83" s="605">
        <v>0.02</v>
      </c>
      <c r="P83" s="605">
        <v>0.02</v>
      </c>
      <c r="Q83" s="605">
        <v>0.03</v>
      </c>
      <c r="R83" s="605">
        <v>0.06</v>
      </c>
      <c r="S83" s="605">
        <v>0.01</v>
      </c>
      <c r="T83" s="605">
        <v>0.02</v>
      </c>
      <c r="U83" s="605">
        <v>0.04</v>
      </c>
      <c r="V83" s="605">
        <v>0.23</v>
      </c>
      <c r="W83" s="605">
        <v>0.03</v>
      </c>
      <c r="X83" s="605">
        <v>7.0000000000000007E-2</v>
      </c>
      <c r="Y83" s="821">
        <v>0.25</v>
      </c>
      <c r="Z83" s="821">
        <v>0.32</v>
      </c>
      <c r="AA83" s="821">
        <v>0.06</v>
      </c>
      <c r="AB83" s="821">
        <v>0.05</v>
      </c>
      <c r="AC83" s="605">
        <v>0</v>
      </c>
    </row>
    <row r="84" spans="1:29" x14ac:dyDescent="0.25">
      <c r="A84" s="574">
        <v>275</v>
      </c>
      <c r="B84" s="558">
        <v>0</v>
      </c>
      <c r="C84" s="558">
        <v>0.04</v>
      </c>
      <c r="D84" s="558">
        <v>0.03</v>
      </c>
      <c r="E84" s="558">
        <v>4.4999999999999998E-2</v>
      </c>
      <c r="F84" s="558">
        <v>0.06</v>
      </c>
      <c r="G84" s="558">
        <v>0.03</v>
      </c>
      <c r="H84" s="558">
        <v>0.04</v>
      </c>
      <c r="I84" s="558">
        <v>5.2999999999999999E-2</v>
      </c>
      <c r="J84" s="558">
        <v>7.0000000000000007E-2</v>
      </c>
      <c r="K84" s="558">
        <v>7.0000000000000007E-2</v>
      </c>
      <c r="L84" s="558">
        <v>0.05</v>
      </c>
      <c r="M84" s="558">
        <v>0.04</v>
      </c>
      <c r="N84" s="605">
        <v>0.05</v>
      </c>
      <c r="O84" s="605">
        <v>0.01</v>
      </c>
      <c r="P84" s="605">
        <v>0.01</v>
      </c>
      <c r="Q84" s="605">
        <v>0.02</v>
      </c>
      <c r="R84" s="605">
        <v>0.06</v>
      </c>
      <c r="S84" s="605">
        <v>0.01</v>
      </c>
      <c r="T84" s="605">
        <v>0.02</v>
      </c>
      <c r="U84" s="605">
        <v>0.05</v>
      </c>
      <c r="V84" s="605">
        <v>0.22</v>
      </c>
      <c r="W84" s="605">
        <v>0.02</v>
      </c>
      <c r="X84" s="605">
        <v>7.0000000000000007E-2</v>
      </c>
      <c r="Y84" s="821">
        <v>0.08</v>
      </c>
      <c r="Z84" s="821">
        <v>0.06</v>
      </c>
      <c r="AA84" s="821">
        <v>0.06</v>
      </c>
      <c r="AB84" s="821">
        <v>0.05</v>
      </c>
      <c r="AC84" s="605">
        <v>0</v>
      </c>
    </row>
    <row r="85" spans="1:29" x14ac:dyDescent="0.25">
      <c r="A85" s="574">
        <v>325</v>
      </c>
      <c r="B85" s="558">
        <v>0</v>
      </c>
      <c r="C85" s="558">
        <v>0.04</v>
      </c>
      <c r="D85" s="558">
        <v>0.02</v>
      </c>
      <c r="E85" s="558">
        <v>1.7999999999999999E-2</v>
      </c>
      <c r="F85" s="558">
        <v>0.05</v>
      </c>
      <c r="G85" s="558">
        <v>0.03</v>
      </c>
      <c r="H85" s="558">
        <v>0.02</v>
      </c>
      <c r="I85" s="558">
        <v>1.7999999999999999E-2</v>
      </c>
      <c r="J85" s="558">
        <v>7.0000000000000007E-2</v>
      </c>
      <c r="K85" s="558">
        <v>0.04</v>
      </c>
      <c r="L85" s="558">
        <v>0.04</v>
      </c>
      <c r="M85" s="558">
        <v>0.02</v>
      </c>
      <c r="N85" s="605">
        <v>0.04</v>
      </c>
      <c r="O85" s="605">
        <v>0.01</v>
      </c>
      <c r="P85" s="605">
        <v>0.01</v>
      </c>
      <c r="Q85" s="605">
        <v>0.02</v>
      </c>
      <c r="R85" s="605">
        <v>0.03</v>
      </c>
      <c r="S85" s="605">
        <v>0.01</v>
      </c>
      <c r="T85" s="605">
        <v>0.01</v>
      </c>
      <c r="U85" s="605">
        <v>0.04</v>
      </c>
      <c r="V85" s="605">
        <v>0.25</v>
      </c>
      <c r="W85" s="605">
        <v>0.02</v>
      </c>
      <c r="X85" s="605">
        <v>0.04</v>
      </c>
      <c r="Y85" s="821">
        <v>0.12</v>
      </c>
      <c r="Z85" s="821">
        <v>0.28000000000000003</v>
      </c>
      <c r="AA85" s="821">
        <v>7.0000000000000007E-2</v>
      </c>
      <c r="AB85" s="821">
        <v>0.06</v>
      </c>
      <c r="AC85" s="605">
        <v>0</v>
      </c>
    </row>
    <row r="86" spans="1:29" x14ac:dyDescent="0.25">
      <c r="A86" s="574">
        <v>375</v>
      </c>
      <c r="B86" s="558">
        <v>0</v>
      </c>
      <c r="C86" s="558">
        <v>0.04</v>
      </c>
      <c r="D86" s="558">
        <v>0.02</v>
      </c>
      <c r="E86" s="558">
        <v>1.6E-2</v>
      </c>
      <c r="F86" s="558">
        <v>0.03</v>
      </c>
      <c r="G86" s="558">
        <v>0.02</v>
      </c>
      <c r="H86" s="558">
        <v>0.03</v>
      </c>
      <c r="I86" s="558">
        <v>1.7000000000000001E-2</v>
      </c>
      <c r="J86" s="558">
        <v>0.06</v>
      </c>
      <c r="K86" s="558">
        <v>0.05</v>
      </c>
      <c r="L86" s="558">
        <v>0.04</v>
      </c>
      <c r="M86" s="558">
        <v>0.03</v>
      </c>
      <c r="N86" s="605">
        <v>0.03</v>
      </c>
      <c r="O86" s="605">
        <v>0.01</v>
      </c>
      <c r="P86" s="605">
        <v>0.02</v>
      </c>
      <c r="Q86" s="605">
        <v>0.02</v>
      </c>
      <c r="R86" s="605">
        <v>0.04</v>
      </c>
      <c r="S86" s="605">
        <v>0.01</v>
      </c>
      <c r="T86" s="605">
        <v>0.01</v>
      </c>
      <c r="U86" s="605">
        <v>0.04</v>
      </c>
      <c r="V86" s="605">
        <v>0.47</v>
      </c>
      <c r="W86" s="605">
        <v>0.01</v>
      </c>
      <c r="X86" s="605">
        <v>0.05</v>
      </c>
      <c r="Y86" s="821">
        <v>0.16</v>
      </c>
      <c r="Z86" s="821">
        <v>0.14000000000000001</v>
      </c>
      <c r="AA86" s="821">
        <v>7.0000000000000007E-2</v>
      </c>
      <c r="AB86" s="821">
        <v>7.0000000000000007E-2</v>
      </c>
      <c r="AC86" s="605">
        <v>0</v>
      </c>
    </row>
    <row r="87" spans="1:29" x14ac:dyDescent="0.25">
      <c r="A87" s="574">
        <v>425</v>
      </c>
      <c r="B87" s="558">
        <v>0</v>
      </c>
      <c r="C87" s="558">
        <v>0.03</v>
      </c>
      <c r="D87" s="558">
        <v>0.02</v>
      </c>
      <c r="E87" s="558">
        <v>1.2E-2</v>
      </c>
      <c r="F87" s="558">
        <v>0.02</v>
      </c>
      <c r="G87" s="558">
        <v>0.02</v>
      </c>
      <c r="H87" s="558">
        <v>0.02</v>
      </c>
      <c r="I87" s="558">
        <v>1.7999999999999999E-2</v>
      </c>
      <c r="J87" s="558">
        <v>0.05</v>
      </c>
      <c r="K87" s="558">
        <v>0.02</v>
      </c>
      <c r="L87" s="558">
        <v>0.04</v>
      </c>
      <c r="M87" s="558">
        <v>0.02</v>
      </c>
      <c r="N87" s="605">
        <v>0.03</v>
      </c>
      <c r="O87" s="605">
        <v>0.01</v>
      </c>
      <c r="P87" s="605">
        <v>0.01</v>
      </c>
      <c r="Q87" s="605">
        <v>0.02</v>
      </c>
      <c r="R87" s="605">
        <v>0.03</v>
      </c>
      <c r="S87" s="605">
        <v>0</v>
      </c>
      <c r="T87" s="605">
        <v>0.01</v>
      </c>
      <c r="U87" s="605">
        <v>0.03</v>
      </c>
      <c r="V87" s="605">
        <v>0.23</v>
      </c>
      <c r="W87" s="605">
        <v>0.01</v>
      </c>
      <c r="X87" s="605">
        <v>0.02</v>
      </c>
      <c r="Y87" s="821">
        <v>1.46</v>
      </c>
      <c r="Z87" s="821">
        <v>1.35</v>
      </c>
      <c r="AA87" s="821">
        <v>0.08</v>
      </c>
      <c r="AB87" s="821">
        <v>0.08</v>
      </c>
      <c r="AC87" s="605">
        <v>0</v>
      </c>
    </row>
    <row r="88" spans="1:29" x14ac:dyDescent="0.25">
      <c r="A88" s="574">
        <v>475</v>
      </c>
      <c r="B88" s="558">
        <v>0</v>
      </c>
      <c r="C88" s="558">
        <v>0.03</v>
      </c>
      <c r="D88" s="558">
        <v>0.01</v>
      </c>
      <c r="E88" s="558">
        <v>8.0000000000000002E-3</v>
      </c>
      <c r="F88" s="558">
        <v>0.04</v>
      </c>
      <c r="G88" s="558">
        <v>0.02</v>
      </c>
      <c r="H88" s="558">
        <v>0.02</v>
      </c>
      <c r="I88" s="558">
        <v>1.4E-2</v>
      </c>
      <c r="J88" s="558">
        <v>0.05</v>
      </c>
      <c r="K88" s="558">
        <v>0.02</v>
      </c>
      <c r="L88" s="558">
        <v>0.02</v>
      </c>
      <c r="M88" s="558">
        <v>0.01</v>
      </c>
      <c r="N88" s="605">
        <v>0.03</v>
      </c>
      <c r="O88" s="605">
        <v>0.01</v>
      </c>
      <c r="P88" s="605">
        <v>0.01</v>
      </c>
      <c r="Q88" s="605">
        <v>0.02</v>
      </c>
      <c r="R88" s="605">
        <v>0.02</v>
      </c>
      <c r="S88" s="605">
        <v>0</v>
      </c>
      <c r="T88" s="605">
        <v>0.01</v>
      </c>
      <c r="U88" s="605">
        <v>0.03</v>
      </c>
      <c r="V88" s="605">
        <v>0.5</v>
      </c>
      <c r="W88" s="605">
        <v>0.01</v>
      </c>
      <c r="X88" s="605">
        <v>0.02</v>
      </c>
      <c r="Y88" s="821">
        <v>0.22</v>
      </c>
      <c r="Z88" s="821">
        <v>0.18</v>
      </c>
      <c r="AA88" s="821">
        <v>0.1</v>
      </c>
      <c r="AB88" s="821">
        <v>0.09</v>
      </c>
      <c r="AC88" s="605">
        <v>0</v>
      </c>
    </row>
    <row r="89" spans="1:29" x14ac:dyDescent="0.25">
      <c r="A89" s="574">
        <v>525</v>
      </c>
      <c r="B89" s="558">
        <v>0</v>
      </c>
      <c r="C89" s="558">
        <v>0.03</v>
      </c>
      <c r="D89" s="558">
        <v>0.01</v>
      </c>
      <c r="E89" s="558">
        <v>1.2E-2</v>
      </c>
      <c r="F89" s="558">
        <v>0.02</v>
      </c>
      <c r="G89" s="558">
        <v>0.02</v>
      </c>
      <c r="H89" s="558">
        <v>0.02</v>
      </c>
      <c r="I89" s="558">
        <v>1.6E-2</v>
      </c>
      <c r="J89" s="558">
        <v>0.05</v>
      </c>
      <c r="K89" s="558">
        <v>0.02</v>
      </c>
      <c r="L89" s="558">
        <v>0.02</v>
      </c>
      <c r="M89" s="558">
        <v>0.02</v>
      </c>
      <c r="N89" s="605">
        <v>0.02</v>
      </c>
      <c r="O89" s="605">
        <v>0.01</v>
      </c>
      <c r="P89" s="605">
        <v>0.01</v>
      </c>
      <c r="Q89" s="605">
        <v>0.02</v>
      </c>
      <c r="R89" s="605">
        <v>0.02</v>
      </c>
      <c r="S89" s="605">
        <v>0</v>
      </c>
      <c r="T89" s="605">
        <v>0.01</v>
      </c>
      <c r="U89" s="605">
        <v>0.02</v>
      </c>
      <c r="V89" s="605">
        <v>0.21</v>
      </c>
      <c r="W89" s="605">
        <v>0.01</v>
      </c>
      <c r="X89" s="605">
        <v>0.02</v>
      </c>
      <c r="Y89" s="821">
        <v>1.51</v>
      </c>
      <c r="Z89" s="821">
        <v>1.4</v>
      </c>
      <c r="AA89" s="821">
        <v>0.12</v>
      </c>
      <c r="AB89" s="821">
        <v>0.09</v>
      </c>
      <c r="AC89" s="605">
        <v>0</v>
      </c>
    </row>
    <row r="90" spans="1:29" x14ac:dyDescent="0.25">
      <c r="A90" s="574">
        <v>575</v>
      </c>
      <c r="B90" s="558">
        <v>0</v>
      </c>
      <c r="C90" s="558">
        <v>0.03</v>
      </c>
      <c r="D90" s="558">
        <v>0.01</v>
      </c>
      <c r="E90" s="558">
        <v>8.0000000000000002E-3</v>
      </c>
      <c r="F90" s="558">
        <v>0.02</v>
      </c>
      <c r="G90" s="558">
        <v>0.02</v>
      </c>
      <c r="H90" s="558">
        <v>0.02</v>
      </c>
      <c r="I90" s="558">
        <v>2.1000000000000001E-2</v>
      </c>
      <c r="J90" s="558">
        <v>0.05</v>
      </c>
      <c r="K90" s="558">
        <v>0.02</v>
      </c>
      <c r="L90" s="558">
        <v>0.02</v>
      </c>
      <c r="M90" s="558">
        <v>0.01</v>
      </c>
      <c r="N90" s="605">
        <v>0.02</v>
      </c>
      <c r="O90" s="605">
        <v>0.01</v>
      </c>
      <c r="P90" s="605">
        <v>0.01</v>
      </c>
      <c r="Q90" s="605">
        <v>0.02</v>
      </c>
      <c r="R90" s="605">
        <v>0.02</v>
      </c>
      <c r="S90" s="605">
        <v>0.01</v>
      </c>
      <c r="T90" s="605">
        <v>0.01</v>
      </c>
      <c r="U90" s="605">
        <v>0.03</v>
      </c>
      <c r="V90" s="605">
        <v>0.2</v>
      </c>
      <c r="W90" s="605">
        <v>0.01</v>
      </c>
      <c r="X90" s="605">
        <v>0.02</v>
      </c>
      <c r="Y90" s="821">
        <v>0.18</v>
      </c>
      <c r="Z90" s="821">
        <v>0.15</v>
      </c>
      <c r="AA90" s="821">
        <v>0.15</v>
      </c>
      <c r="AB90" s="821">
        <v>0.1</v>
      </c>
      <c r="AC90" s="605">
        <v>0</v>
      </c>
    </row>
    <row r="91" spans="1:29" x14ac:dyDescent="0.25">
      <c r="A91" s="574">
        <v>625</v>
      </c>
      <c r="B91" s="558">
        <v>0</v>
      </c>
      <c r="C91" s="558">
        <v>0.03</v>
      </c>
      <c r="D91" s="558">
        <v>0.01</v>
      </c>
      <c r="E91" s="558">
        <v>0.01</v>
      </c>
      <c r="F91" s="558">
        <v>0.02</v>
      </c>
      <c r="G91" s="558">
        <v>0.02</v>
      </c>
      <c r="H91" s="558">
        <v>0.02</v>
      </c>
      <c r="I91" s="558">
        <v>1.2E-2</v>
      </c>
      <c r="J91" s="558">
        <v>0.04</v>
      </c>
      <c r="K91" s="558">
        <v>0.02</v>
      </c>
      <c r="L91" s="558">
        <v>0.02</v>
      </c>
      <c r="M91" s="558">
        <v>0.01</v>
      </c>
      <c r="N91" s="605">
        <v>0.02</v>
      </c>
      <c r="O91" s="605">
        <v>0.01</v>
      </c>
      <c r="P91" s="605">
        <v>0.01</v>
      </c>
      <c r="Q91" s="605">
        <v>0.02</v>
      </c>
      <c r="R91" s="605">
        <v>0.02</v>
      </c>
      <c r="S91" s="605">
        <v>0.01</v>
      </c>
      <c r="T91" s="605">
        <v>0.01</v>
      </c>
      <c r="U91" s="605">
        <v>0.03</v>
      </c>
      <c r="V91" s="605">
        <v>0.19</v>
      </c>
      <c r="W91" s="605">
        <v>0.01</v>
      </c>
      <c r="X91" s="605">
        <v>0.02</v>
      </c>
      <c r="Y91" s="821">
        <v>0.12</v>
      </c>
      <c r="Z91" s="821">
        <v>0.31</v>
      </c>
      <c r="AA91" s="821">
        <v>0.16</v>
      </c>
      <c r="AB91" s="821">
        <v>0.12</v>
      </c>
      <c r="AC91" s="605">
        <v>0</v>
      </c>
    </row>
    <row r="92" spans="1:29" x14ac:dyDescent="0.25">
      <c r="A92" s="574">
        <v>675</v>
      </c>
      <c r="B92" s="558">
        <v>0</v>
      </c>
      <c r="C92" s="558">
        <v>0.03</v>
      </c>
      <c r="D92" s="558">
        <v>0.01</v>
      </c>
      <c r="E92" s="558">
        <v>6.0000000000000001E-3</v>
      </c>
      <c r="F92" s="558">
        <v>0.02</v>
      </c>
      <c r="G92" s="558">
        <v>0.01</v>
      </c>
      <c r="H92" s="558">
        <v>0.01</v>
      </c>
      <c r="I92" s="558">
        <v>1.9E-2</v>
      </c>
      <c r="J92" s="558">
        <v>0.05</v>
      </c>
      <c r="K92" s="558">
        <v>0.02</v>
      </c>
      <c r="L92" s="558">
        <v>0.01</v>
      </c>
      <c r="M92" s="558">
        <v>0.01</v>
      </c>
      <c r="N92" s="605">
        <v>0.02</v>
      </c>
      <c r="O92" s="605">
        <v>0.01</v>
      </c>
      <c r="P92" s="605">
        <v>0.01</v>
      </c>
      <c r="Q92" s="605">
        <v>0.02</v>
      </c>
      <c r="R92" s="605">
        <v>0.02</v>
      </c>
      <c r="S92" s="605">
        <v>0</v>
      </c>
      <c r="T92" s="605">
        <v>0.01</v>
      </c>
      <c r="U92" s="605">
        <v>0.02</v>
      </c>
      <c r="V92" s="605">
        <v>0.14000000000000001</v>
      </c>
      <c r="W92" s="605">
        <v>0.01</v>
      </c>
      <c r="X92" s="605">
        <v>0.02</v>
      </c>
      <c r="Y92" s="821">
        <v>7.0000000000000007E-2</v>
      </c>
      <c r="Z92" s="821">
        <v>7.0000000000000007E-2</v>
      </c>
      <c r="AA92" s="821">
        <v>0.17</v>
      </c>
      <c r="AB92" s="821">
        <v>0.14000000000000001</v>
      </c>
      <c r="AC92" s="605">
        <v>0</v>
      </c>
    </row>
    <row r="93" spans="1:29" x14ac:dyDescent="0.25">
      <c r="A93" s="574">
        <v>725</v>
      </c>
      <c r="B93" s="558">
        <v>0</v>
      </c>
      <c r="C93" s="558">
        <v>0.03</v>
      </c>
      <c r="D93" s="558">
        <v>0.01</v>
      </c>
      <c r="E93" s="558">
        <v>7.0000000000000001E-3</v>
      </c>
      <c r="F93" s="558">
        <v>0.01</v>
      </c>
      <c r="G93" s="558">
        <v>0.01</v>
      </c>
      <c r="H93" s="558">
        <v>0.01</v>
      </c>
      <c r="I93" s="558">
        <v>1.0999999999999999E-2</v>
      </c>
      <c r="J93" s="558">
        <v>0.04</v>
      </c>
      <c r="K93" s="558">
        <v>0.01</v>
      </c>
      <c r="L93" s="558">
        <v>0.01</v>
      </c>
      <c r="M93" s="558">
        <v>0.01</v>
      </c>
      <c r="N93" s="605">
        <v>0.02</v>
      </c>
      <c r="O93" s="605">
        <v>0.01</v>
      </c>
      <c r="P93" s="605">
        <v>0.01</v>
      </c>
      <c r="Q93" s="605">
        <v>0.02</v>
      </c>
      <c r="R93" s="605">
        <v>0.02</v>
      </c>
      <c r="S93" s="605">
        <v>0</v>
      </c>
      <c r="T93" s="605">
        <v>0</v>
      </c>
      <c r="U93" s="605">
        <v>0.02</v>
      </c>
      <c r="V93" s="605">
        <v>0.13</v>
      </c>
      <c r="W93" s="605">
        <v>0.01</v>
      </c>
      <c r="X93" s="605">
        <v>0.01</v>
      </c>
      <c r="Y93" s="821">
        <v>0.28999999999999998</v>
      </c>
      <c r="Z93" s="821">
        <v>0.38</v>
      </c>
      <c r="AA93" s="821">
        <v>0.17</v>
      </c>
      <c r="AB93" s="821">
        <v>0.14000000000000001</v>
      </c>
      <c r="AC93" s="605">
        <v>0</v>
      </c>
    </row>
    <row r="94" spans="1:29" x14ac:dyDescent="0.25">
      <c r="A94" s="574">
        <v>775</v>
      </c>
      <c r="B94" s="558">
        <v>0</v>
      </c>
      <c r="C94" s="558">
        <v>0.05</v>
      </c>
      <c r="D94" s="558">
        <v>0.01</v>
      </c>
      <c r="E94" s="558">
        <v>6.0000000000000001E-3</v>
      </c>
      <c r="F94" s="558">
        <v>0.02</v>
      </c>
      <c r="G94" s="558">
        <v>0.01</v>
      </c>
      <c r="H94" s="558">
        <v>0.01</v>
      </c>
      <c r="I94" s="558">
        <v>1.2999999999999999E-2</v>
      </c>
      <c r="J94" s="558">
        <v>0.04</v>
      </c>
      <c r="K94" s="558">
        <v>0.01</v>
      </c>
      <c r="L94" s="558">
        <v>0.01</v>
      </c>
      <c r="M94" s="558">
        <v>0.01</v>
      </c>
      <c r="N94" s="605">
        <v>0.02</v>
      </c>
      <c r="O94" s="605">
        <v>0.01</v>
      </c>
      <c r="P94" s="605">
        <v>0.01</v>
      </c>
      <c r="Q94" s="605">
        <v>0.02</v>
      </c>
      <c r="R94" s="605">
        <v>0.01</v>
      </c>
      <c r="S94" s="605">
        <v>0</v>
      </c>
      <c r="T94" s="605">
        <v>0</v>
      </c>
      <c r="U94" s="605">
        <v>0.03</v>
      </c>
      <c r="V94" s="605">
        <v>0.11</v>
      </c>
      <c r="W94" s="605">
        <v>0.01</v>
      </c>
      <c r="X94" s="605">
        <v>0.01</v>
      </c>
      <c r="Y94" s="821">
        <v>0.05</v>
      </c>
      <c r="Z94" s="821">
        <v>0.06</v>
      </c>
      <c r="AA94" s="821">
        <v>0.17</v>
      </c>
      <c r="AB94" s="821">
        <v>0.12</v>
      </c>
      <c r="AC94" s="605">
        <v>0</v>
      </c>
    </row>
    <row r="95" spans="1:29" x14ac:dyDescent="0.25">
      <c r="A95" s="574">
        <v>825</v>
      </c>
      <c r="B95" s="558">
        <v>0</v>
      </c>
      <c r="C95" s="558">
        <v>0.03</v>
      </c>
      <c r="D95" s="558">
        <v>0.01</v>
      </c>
      <c r="E95" s="558">
        <v>6.0000000000000001E-3</v>
      </c>
      <c r="F95" s="558">
        <v>0.01</v>
      </c>
      <c r="G95" s="558">
        <v>0.01</v>
      </c>
      <c r="H95" s="558">
        <v>0.01</v>
      </c>
      <c r="I95" s="558">
        <v>8.9999999999999993E-3</v>
      </c>
      <c r="J95" s="558">
        <v>0.06</v>
      </c>
      <c r="K95" s="558">
        <v>0.01</v>
      </c>
      <c r="L95" s="558">
        <v>0.01</v>
      </c>
      <c r="M95" s="558">
        <v>0.01</v>
      </c>
      <c r="N95" s="605">
        <v>0.02</v>
      </c>
      <c r="O95" s="605">
        <v>0.01</v>
      </c>
      <c r="P95" s="605">
        <v>0.01</v>
      </c>
      <c r="Q95" s="605">
        <v>0.02</v>
      </c>
      <c r="R95" s="605">
        <v>0.02</v>
      </c>
      <c r="S95" s="605">
        <v>0</v>
      </c>
      <c r="T95" s="605">
        <v>0.01</v>
      </c>
      <c r="U95" s="605">
        <v>0.02</v>
      </c>
      <c r="V95" s="605">
        <v>0.09</v>
      </c>
      <c r="W95" s="605">
        <v>0.01</v>
      </c>
      <c r="X95" s="605">
        <v>0.01</v>
      </c>
      <c r="Y95" s="821">
        <v>0.12</v>
      </c>
      <c r="Z95" s="821">
        <v>0.15</v>
      </c>
      <c r="AA95" s="821">
        <v>0.13</v>
      </c>
      <c r="AB95" s="821">
        <v>0.1</v>
      </c>
      <c r="AC95" s="605">
        <v>0</v>
      </c>
    </row>
    <row r="96" spans="1:29" x14ac:dyDescent="0.25">
      <c r="A96" s="574">
        <v>875</v>
      </c>
      <c r="B96" s="558">
        <v>0</v>
      </c>
      <c r="C96" s="558">
        <v>0.05</v>
      </c>
      <c r="D96" s="558">
        <v>0.01</v>
      </c>
      <c r="E96" s="558">
        <v>6.0000000000000001E-3</v>
      </c>
      <c r="F96" s="558">
        <v>0.02</v>
      </c>
      <c r="G96" s="558">
        <v>0.01</v>
      </c>
      <c r="H96" s="558">
        <v>0.01</v>
      </c>
      <c r="I96" s="558">
        <v>1.6E-2</v>
      </c>
      <c r="J96" s="558">
        <v>0.05</v>
      </c>
      <c r="K96" s="558">
        <v>0.01</v>
      </c>
      <c r="L96" s="558">
        <v>0.01</v>
      </c>
      <c r="M96" s="558">
        <v>0.01</v>
      </c>
      <c r="N96" s="605">
        <v>0.02</v>
      </c>
      <c r="O96" s="605">
        <v>0.01</v>
      </c>
      <c r="P96" s="605">
        <v>0.01</v>
      </c>
      <c r="Q96" s="605">
        <v>0.02</v>
      </c>
      <c r="R96" s="605">
        <v>0.01</v>
      </c>
      <c r="S96" s="605">
        <v>0</v>
      </c>
      <c r="T96" s="605">
        <v>0</v>
      </c>
      <c r="U96" s="605">
        <v>0.02</v>
      </c>
      <c r="V96" s="605">
        <v>0.09</v>
      </c>
      <c r="W96" s="605">
        <v>0.01</v>
      </c>
      <c r="X96" s="605">
        <v>0.01</v>
      </c>
      <c r="Y96" s="821">
        <v>0.04</v>
      </c>
      <c r="Z96" s="821">
        <v>0.03</v>
      </c>
      <c r="AA96" s="821">
        <v>0.11</v>
      </c>
      <c r="AB96" s="821">
        <v>0.09</v>
      </c>
      <c r="AC96" s="605">
        <v>0</v>
      </c>
    </row>
    <row r="97" spans="1:29" x14ac:dyDescent="0.25">
      <c r="A97" s="574">
        <v>925</v>
      </c>
      <c r="B97" s="558">
        <v>0</v>
      </c>
      <c r="C97" s="558">
        <v>0.02</v>
      </c>
      <c r="D97" s="558">
        <v>0.01</v>
      </c>
      <c r="E97" s="558">
        <v>6.0000000000000001E-3</v>
      </c>
      <c r="F97" s="558">
        <v>0.01</v>
      </c>
      <c r="G97" s="558">
        <v>0.01</v>
      </c>
      <c r="H97" s="558">
        <v>0.01</v>
      </c>
      <c r="I97" s="558">
        <v>8.9999999999999993E-3</v>
      </c>
      <c r="J97" s="558">
        <v>0.05</v>
      </c>
      <c r="K97" s="558">
        <v>0.01</v>
      </c>
      <c r="L97" s="558">
        <v>0.01</v>
      </c>
      <c r="M97" s="558">
        <v>0.01</v>
      </c>
      <c r="N97" s="605">
        <v>0.02</v>
      </c>
      <c r="O97" s="605">
        <v>0.01</v>
      </c>
      <c r="P97" s="605">
        <v>0.01</v>
      </c>
      <c r="Q97" s="605">
        <v>0.02</v>
      </c>
      <c r="R97" s="605">
        <v>0.02</v>
      </c>
      <c r="S97" s="605">
        <v>0</v>
      </c>
      <c r="T97" s="605">
        <v>0.01</v>
      </c>
      <c r="U97" s="605">
        <v>0.02</v>
      </c>
      <c r="V97" s="605">
        <v>7.0000000000000007E-2</v>
      </c>
      <c r="W97" s="605">
        <v>0.01</v>
      </c>
      <c r="X97" s="605">
        <v>0.01</v>
      </c>
      <c r="Y97" s="821">
        <v>0.05</v>
      </c>
      <c r="Z97" s="821">
        <v>0.06</v>
      </c>
      <c r="AA97" s="821">
        <v>0.09</v>
      </c>
      <c r="AB97" s="821">
        <v>7.0000000000000007E-2</v>
      </c>
      <c r="AC97" s="605">
        <v>0</v>
      </c>
    </row>
    <row r="98" spans="1:29" x14ac:dyDescent="0.25">
      <c r="A98" s="574">
        <v>975</v>
      </c>
      <c r="B98" s="558">
        <v>0</v>
      </c>
      <c r="C98" s="558">
        <v>0.02</v>
      </c>
      <c r="D98" s="558">
        <v>0.01</v>
      </c>
      <c r="E98" s="558">
        <v>5.0000000000000001E-3</v>
      </c>
      <c r="F98" s="558">
        <v>0.01</v>
      </c>
      <c r="G98" s="558">
        <v>0.01</v>
      </c>
      <c r="H98" s="558">
        <v>0.01</v>
      </c>
      <c r="I98" s="558">
        <v>1.4999999999999999E-2</v>
      </c>
      <c r="J98" s="558">
        <v>0.06</v>
      </c>
      <c r="K98" s="558">
        <v>0.01</v>
      </c>
      <c r="L98" s="558">
        <v>0.01</v>
      </c>
      <c r="M98" s="558">
        <v>0.01</v>
      </c>
      <c r="N98" s="605">
        <v>0.02</v>
      </c>
      <c r="O98" s="605">
        <v>0.01</v>
      </c>
      <c r="P98" s="605">
        <v>0.01</v>
      </c>
      <c r="Q98" s="605">
        <v>0.02</v>
      </c>
      <c r="R98" s="605">
        <v>0.01</v>
      </c>
      <c r="S98" s="605">
        <v>0.01</v>
      </c>
      <c r="T98" s="605">
        <v>0</v>
      </c>
      <c r="U98" s="605">
        <v>0.02</v>
      </c>
      <c r="V98" s="605">
        <v>7.0000000000000007E-2</v>
      </c>
      <c r="W98" s="605">
        <v>0</v>
      </c>
      <c r="X98" s="605">
        <v>0.01</v>
      </c>
      <c r="Y98" s="821">
        <v>0.03</v>
      </c>
      <c r="Z98" s="821">
        <v>0.02</v>
      </c>
      <c r="AA98" s="821">
        <v>0.08</v>
      </c>
      <c r="AB98" s="821">
        <v>0.06</v>
      </c>
      <c r="AC98" s="605">
        <v>0</v>
      </c>
    </row>
    <row r="99" spans="1:29" x14ac:dyDescent="0.25">
      <c r="A99" s="574">
        <v>1025</v>
      </c>
      <c r="B99" s="558">
        <v>0</v>
      </c>
      <c r="C99" s="558">
        <v>0.02</v>
      </c>
      <c r="D99" s="558">
        <v>0.01</v>
      </c>
      <c r="E99" s="558">
        <v>6.0000000000000001E-3</v>
      </c>
      <c r="F99" s="558">
        <v>0.01</v>
      </c>
      <c r="G99" s="558">
        <v>0.01</v>
      </c>
      <c r="H99" s="558">
        <v>0.01</v>
      </c>
      <c r="I99" s="558">
        <v>8.9999999999999993E-3</v>
      </c>
      <c r="J99" s="558">
        <v>0.05</v>
      </c>
      <c r="K99" s="558">
        <v>0.01</v>
      </c>
      <c r="L99" s="558">
        <v>0.01</v>
      </c>
      <c r="M99" s="558">
        <v>0.01</v>
      </c>
      <c r="N99" s="605">
        <v>0.02</v>
      </c>
      <c r="O99" s="605">
        <v>0.01</v>
      </c>
      <c r="P99" s="605">
        <v>0.01</v>
      </c>
      <c r="Q99" s="605">
        <v>0.02</v>
      </c>
      <c r="R99" s="605">
        <v>0.02</v>
      </c>
      <c r="S99" s="605">
        <v>0</v>
      </c>
      <c r="T99" s="605">
        <v>0</v>
      </c>
      <c r="U99" s="605">
        <v>0.02</v>
      </c>
      <c r="V99" s="605">
        <v>0.05</v>
      </c>
      <c r="W99" s="605">
        <v>0</v>
      </c>
      <c r="X99" s="605">
        <v>0.01</v>
      </c>
      <c r="Y99" s="821">
        <v>0.05</v>
      </c>
      <c r="Z99" s="821">
        <v>0.05</v>
      </c>
      <c r="AA99" s="821">
        <v>7.0000000000000007E-2</v>
      </c>
      <c r="AB99" s="821">
        <v>0.06</v>
      </c>
      <c r="AC99" s="605">
        <v>0</v>
      </c>
    </row>
    <row r="100" spans="1:29" x14ac:dyDescent="0.25">
      <c r="A100" s="574">
        <v>1075</v>
      </c>
      <c r="B100" s="558">
        <v>0</v>
      </c>
      <c r="C100" s="558">
        <v>0.02</v>
      </c>
      <c r="D100" s="558">
        <v>0.01</v>
      </c>
      <c r="E100" s="558">
        <v>8.0000000000000002E-3</v>
      </c>
      <c r="F100" s="558">
        <v>0.01</v>
      </c>
      <c r="G100" s="558">
        <v>0.01</v>
      </c>
      <c r="H100" s="558">
        <v>0.01</v>
      </c>
      <c r="I100" s="558">
        <v>1.0999999999999999E-2</v>
      </c>
      <c r="J100" s="558">
        <v>0.05</v>
      </c>
      <c r="K100" s="558">
        <v>0.01</v>
      </c>
      <c r="L100" s="558">
        <v>0.01</v>
      </c>
      <c r="M100" s="558">
        <v>0.01</v>
      </c>
      <c r="N100" s="605">
        <v>0.02</v>
      </c>
      <c r="O100" s="605">
        <v>0.01</v>
      </c>
      <c r="P100" s="605">
        <v>0.02</v>
      </c>
      <c r="Q100" s="605">
        <v>0.03</v>
      </c>
      <c r="R100" s="605">
        <v>0.01</v>
      </c>
      <c r="S100" s="605">
        <v>0</v>
      </c>
      <c r="T100" s="605">
        <v>0</v>
      </c>
      <c r="U100" s="605">
        <v>0.02</v>
      </c>
      <c r="V100" s="605">
        <v>0.06</v>
      </c>
      <c r="W100" s="605">
        <v>0</v>
      </c>
      <c r="X100" s="605">
        <v>0.01</v>
      </c>
      <c r="Y100" s="821">
        <v>0.02</v>
      </c>
      <c r="Z100" s="821">
        <v>0.02</v>
      </c>
      <c r="AA100" s="821">
        <v>0.06</v>
      </c>
      <c r="AB100" s="821">
        <v>0.05</v>
      </c>
      <c r="AC100" s="605">
        <v>0</v>
      </c>
    </row>
    <row r="101" spans="1:29" x14ac:dyDescent="0.25">
      <c r="A101" s="574">
        <v>1125</v>
      </c>
      <c r="B101" s="558">
        <v>0</v>
      </c>
      <c r="C101" s="558">
        <v>0.02</v>
      </c>
      <c r="D101" s="558">
        <v>0.01</v>
      </c>
      <c r="E101" s="558">
        <v>7.0000000000000001E-3</v>
      </c>
      <c r="F101" s="558">
        <v>0.01</v>
      </c>
      <c r="G101" s="558">
        <v>0.01</v>
      </c>
      <c r="H101" s="558">
        <v>0.01</v>
      </c>
      <c r="I101" s="558">
        <v>8.9999999999999993E-3</v>
      </c>
      <c r="J101" s="558">
        <v>0.05</v>
      </c>
      <c r="K101" s="558">
        <v>0.01</v>
      </c>
      <c r="L101" s="558">
        <v>0.01</v>
      </c>
      <c r="M101" s="558">
        <v>0.01</v>
      </c>
      <c r="N101" s="605">
        <v>0.02</v>
      </c>
      <c r="O101" s="605">
        <v>0.02</v>
      </c>
      <c r="P101" s="605">
        <v>0.04</v>
      </c>
      <c r="Q101" s="605">
        <v>7.0000000000000007E-2</v>
      </c>
      <c r="R101" s="605">
        <v>0.02</v>
      </c>
      <c r="S101" s="605">
        <v>0</v>
      </c>
      <c r="T101" s="605">
        <v>0</v>
      </c>
      <c r="U101" s="605">
        <v>0.02</v>
      </c>
      <c r="V101" s="605">
        <v>0.06</v>
      </c>
      <c r="W101" s="605">
        <v>0.03</v>
      </c>
      <c r="X101" s="605">
        <v>0.01</v>
      </c>
      <c r="Y101" s="821">
        <v>0.02</v>
      </c>
      <c r="Z101" s="821">
        <v>0.03</v>
      </c>
      <c r="AA101" s="821">
        <v>0.06</v>
      </c>
      <c r="AB101" s="821">
        <v>0.05</v>
      </c>
      <c r="AC101" s="605">
        <v>0</v>
      </c>
    </row>
    <row r="102" spans="1:29" x14ac:dyDescent="0.25">
      <c r="A102" s="574">
        <v>1175</v>
      </c>
      <c r="B102" s="558">
        <v>0</v>
      </c>
      <c r="C102" s="558">
        <v>0.02</v>
      </c>
      <c r="D102" s="558">
        <v>0.1</v>
      </c>
      <c r="E102" s="558">
        <v>7.0000000000000001E-3</v>
      </c>
      <c r="F102" s="558">
        <v>0.01</v>
      </c>
      <c r="G102" s="558">
        <v>0.02</v>
      </c>
      <c r="H102" s="558">
        <v>0.02</v>
      </c>
      <c r="I102" s="558">
        <v>0.01</v>
      </c>
      <c r="J102" s="558">
        <v>0.05</v>
      </c>
      <c r="K102" s="558">
        <v>0.02</v>
      </c>
      <c r="L102" s="558">
        <v>0.01</v>
      </c>
      <c r="M102" s="558">
        <v>0.01</v>
      </c>
      <c r="N102" s="605">
        <v>0.02</v>
      </c>
      <c r="O102" s="605">
        <v>0.03</v>
      </c>
      <c r="P102" s="605">
        <v>0.08</v>
      </c>
      <c r="Q102" s="605">
        <v>0.13</v>
      </c>
      <c r="R102" s="605">
        <v>0.01</v>
      </c>
      <c r="S102" s="605">
        <v>0</v>
      </c>
      <c r="T102" s="605">
        <v>0</v>
      </c>
      <c r="U102" s="605">
        <v>0.02</v>
      </c>
      <c r="V102" s="605">
        <v>0.05</v>
      </c>
      <c r="W102" s="605">
        <v>0.03</v>
      </c>
      <c r="X102" s="605">
        <v>0.02</v>
      </c>
      <c r="Y102" s="821">
        <v>0.02</v>
      </c>
      <c r="Z102" s="821">
        <v>0.02</v>
      </c>
      <c r="AA102" s="821">
        <v>0.05</v>
      </c>
      <c r="AB102" s="821">
        <v>0.05</v>
      </c>
      <c r="AC102" s="605">
        <v>0</v>
      </c>
    </row>
    <row r="103" spans="1:29" x14ac:dyDescent="0.25">
      <c r="A103" s="574">
        <v>1225</v>
      </c>
      <c r="B103" s="558">
        <v>0</v>
      </c>
      <c r="C103" s="558">
        <v>0.02</v>
      </c>
      <c r="D103" s="558">
        <v>0.01</v>
      </c>
      <c r="E103" s="558">
        <v>1.0999999999999999E-2</v>
      </c>
      <c r="F103" s="558">
        <v>0.02</v>
      </c>
      <c r="G103" s="558">
        <v>0.01</v>
      </c>
      <c r="H103" s="558">
        <v>0.01</v>
      </c>
      <c r="I103" s="558">
        <v>6.0000000000000001E-3</v>
      </c>
      <c r="J103" s="558">
        <v>0.05</v>
      </c>
      <c r="K103" s="558">
        <v>0.01</v>
      </c>
      <c r="L103" s="558">
        <v>0.01</v>
      </c>
      <c r="M103" s="558">
        <v>0.01</v>
      </c>
      <c r="N103" s="605">
        <v>0.02</v>
      </c>
      <c r="O103" s="605">
        <v>0.04</v>
      </c>
      <c r="P103" s="605">
        <v>0.09</v>
      </c>
      <c r="Q103" s="605">
        <v>0.18</v>
      </c>
      <c r="R103" s="605">
        <v>0.01</v>
      </c>
      <c r="S103" s="605">
        <v>0</v>
      </c>
      <c r="T103" s="605">
        <v>0</v>
      </c>
      <c r="U103" s="605">
        <v>0.02</v>
      </c>
      <c r="V103" s="605">
        <v>0.05</v>
      </c>
      <c r="W103" s="605">
        <v>0.03</v>
      </c>
      <c r="X103" s="605">
        <v>0.01</v>
      </c>
      <c r="Y103" s="821">
        <v>0.03</v>
      </c>
      <c r="Z103" s="821">
        <v>0.02</v>
      </c>
      <c r="AA103" s="821">
        <v>0.05</v>
      </c>
      <c r="AB103" s="821">
        <v>0.05</v>
      </c>
      <c r="AC103" s="605">
        <v>0</v>
      </c>
    </row>
    <row r="104" spans="1:29" x14ac:dyDescent="0.25">
      <c r="A104" s="574">
        <v>1275</v>
      </c>
      <c r="B104" s="558">
        <v>0</v>
      </c>
      <c r="C104" s="558">
        <v>0.02</v>
      </c>
      <c r="D104" s="558">
        <v>0.01</v>
      </c>
      <c r="E104" s="558">
        <v>6.0000000000000001E-3</v>
      </c>
      <c r="F104" s="558">
        <v>0.02</v>
      </c>
      <c r="G104" s="558">
        <v>0.01</v>
      </c>
      <c r="H104" s="558">
        <v>0.01</v>
      </c>
      <c r="I104" s="558">
        <v>8.9999999999999993E-3</v>
      </c>
      <c r="J104" s="558">
        <v>0.05</v>
      </c>
      <c r="K104" s="558">
        <v>0.01</v>
      </c>
      <c r="L104" s="558">
        <v>0.01</v>
      </c>
      <c r="M104" s="558">
        <v>0.01</v>
      </c>
      <c r="N104" s="605">
        <v>0.02</v>
      </c>
      <c r="O104" s="605">
        <v>0.02</v>
      </c>
      <c r="P104" s="605">
        <v>0.05</v>
      </c>
      <c r="Q104" s="605">
        <v>0.04</v>
      </c>
      <c r="R104" s="605">
        <v>0.01</v>
      </c>
      <c r="S104" s="605">
        <v>0</v>
      </c>
      <c r="T104" s="605">
        <v>0</v>
      </c>
      <c r="U104" s="605">
        <v>0.02</v>
      </c>
      <c r="V104" s="605">
        <v>0.05</v>
      </c>
      <c r="W104" s="605">
        <v>0.03</v>
      </c>
      <c r="X104" s="605">
        <v>0.01</v>
      </c>
      <c r="Y104" s="821">
        <v>0.02</v>
      </c>
      <c r="Z104" s="821">
        <v>0.02</v>
      </c>
      <c r="AA104" s="821">
        <v>0.04</v>
      </c>
      <c r="AB104" s="821">
        <v>0.05</v>
      </c>
      <c r="AC104" s="605">
        <v>0</v>
      </c>
    </row>
    <row r="105" spans="1:29" x14ac:dyDescent="0.25">
      <c r="A105" s="574">
        <v>1325</v>
      </c>
      <c r="B105" s="558">
        <v>0</v>
      </c>
      <c r="C105" s="558">
        <v>0.02</v>
      </c>
      <c r="D105" s="558">
        <v>0.01</v>
      </c>
      <c r="E105" s="558">
        <v>5.0000000000000001E-3</v>
      </c>
      <c r="F105" s="558">
        <v>0.01</v>
      </c>
      <c r="G105" s="558">
        <v>0.01</v>
      </c>
      <c r="H105" s="558">
        <v>0.01</v>
      </c>
      <c r="I105" s="558">
        <v>8.0000000000000002E-3</v>
      </c>
      <c r="J105" s="558">
        <v>0.05</v>
      </c>
      <c r="K105" s="558">
        <v>0.01</v>
      </c>
      <c r="L105" s="558">
        <v>0.01</v>
      </c>
      <c r="M105" s="558">
        <v>0.01</v>
      </c>
      <c r="N105" s="605">
        <v>0.02</v>
      </c>
      <c r="O105" s="605">
        <v>0.01</v>
      </c>
      <c r="P105" s="605">
        <v>0.01</v>
      </c>
      <c r="Q105" s="605">
        <v>0.02</v>
      </c>
      <c r="R105" s="605">
        <v>0.01</v>
      </c>
      <c r="S105" s="605">
        <v>0</v>
      </c>
      <c r="T105" s="605">
        <v>0</v>
      </c>
      <c r="U105" s="605">
        <v>0.02</v>
      </c>
      <c r="V105" s="605">
        <v>0.05</v>
      </c>
      <c r="W105" s="605">
        <v>0</v>
      </c>
      <c r="X105" s="605">
        <v>0.01</v>
      </c>
      <c r="Y105" s="821">
        <v>0.02</v>
      </c>
      <c r="Z105" s="821">
        <v>0.02</v>
      </c>
      <c r="AA105" s="821">
        <v>0.04</v>
      </c>
      <c r="AB105" s="821">
        <v>0.04</v>
      </c>
      <c r="AC105" s="605">
        <v>0</v>
      </c>
    </row>
    <row r="106" spans="1:29" x14ac:dyDescent="0.25">
      <c r="A106" s="574">
        <v>1375</v>
      </c>
      <c r="B106" s="558">
        <v>0</v>
      </c>
      <c r="C106" s="558">
        <v>0.02</v>
      </c>
      <c r="D106" s="558">
        <v>0.01</v>
      </c>
      <c r="E106" s="558">
        <v>5.0000000000000001E-3</v>
      </c>
      <c r="F106" s="558">
        <v>0.01</v>
      </c>
      <c r="G106" s="558">
        <v>0.01</v>
      </c>
      <c r="H106" s="558">
        <v>0.01</v>
      </c>
      <c r="I106" s="558">
        <v>8.0000000000000002E-3</v>
      </c>
      <c r="J106" s="558">
        <v>0.05</v>
      </c>
      <c r="K106" s="558">
        <v>0.01</v>
      </c>
      <c r="L106" s="558">
        <v>0.01</v>
      </c>
      <c r="M106" s="558">
        <v>0.01</v>
      </c>
      <c r="N106" s="605">
        <v>0.02</v>
      </c>
      <c r="O106" s="605">
        <v>0.01</v>
      </c>
      <c r="P106" s="605">
        <v>0.02</v>
      </c>
      <c r="Q106" s="605">
        <v>0.02</v>
      </c>
      <c r="R106" s="605">
        <v>0.01</v>
      </c>
      <c r="S106" s="605">
        <v>0</v>
      </c>
      <c r="T106" s="605">
        <v>0</v>
      </c>
      <c r="U106" s="605">
        <v>0.02</v>
      </c>
      <c r="V106" s="605">
        <v>0.05</v>
      </c>
      <c r="W106" s="605">
        <v>0</v>
      </c>
      <c r="X106" s="605">
        <v>0.01</v>
      </c>
      <c r="Y106" s="821">
        <v>0.02</v>
      </c>
      <c r="Z106" s="821">
        <v>0.01</v>
      </c>
      <c r="AA106" s="821">
        <v>0.04</v>
      </c>
      <c r="AB106" s="821">
        <v>0.04</v>
      </c>
      <c r="AC106" s="605">
        <v>0</v>
      </c>
    </row>
    <row r="107" spans="1:29" x14ac:dyDescent="0.25">
      <c r="A107" s="574">
        <v>1425</v>
      </c>
      <c r="B107" s="558">
        <v>0</v>
      </c>
      <c r="C107" s="558">
        <v>0.02</v>
      </c>
      <c r="D107" s="558">
        <v>0.01</v>
      </c>
      <c r="E107" s="558">
        <v>6.0000000000000001E-3</v>
      </c>
      <c r="F107" s="558">
        <v>0.01</v>
      </c>
      <c r="G107" s="558">
        <v>0.01</v>
      </c>
      <c r="H107" s="558">
        <v>0.01</v>
      </c>
      <c r="I107" s="558">
        <v>7.0000000000000001E-3</v>
      </c>
      <c r="J107" s="558">
        <v>0.05</v>
      </c>
      <c r="K107" s="558">
        <v>0.01</v>
      </c>
      <c r="L107" s="558">
        <v>0.01</v>
      </c>
      <c r="M107" s="558">
        <v>0.01</v>
      </c>
      <c r="N107" s="605">
        <v>0.01</v>
      </c>
      <c r="O107" s="605">
        <v>0.01</v>
      </c>
      <c r="P107" s="605">
        <v>0.01</v>
      </c>
      <c r="Q107" s="605">
        <v>0.02</v>
      </c>
      <c r="R107" s="605">
        <v>0.02</v>
      </c>
      <c r="S107" s="605">
        <v>0</v>
      </c>
      <c r="T107" s="605">
        <v>0</v>
      </c>
      <c r="U107" s="605">
        <v>0.02</v>
      </c>
      <c r="V107" s="605">
        <v>0.04</v>
      </c>
      <c r="W107" s="605">
        <v>0.01</v>
      </c>
      <c r="X107" s="605">
        <v>0.01</v>
      </c>
      <c r="Y107" s="821">
        <v>0.02</v>
      </c>
      <c r="Z107" s="821">
        <v>0.01</v>
      </c>
      <c r="AA107" s="821">
        <v>0.04</v>
      </c>
      <c r="AB107" s="821">
        <v>0.03</v>
      </c>
      <c r="AC107" s="605">
        <v>0</v>
      </c>
    </row>
    <row r="108" spans="1:29" x14ac:dyDescent="0.25">
      <c r="A108" s="574">
        <v>1475</v>
      </c>
      <c r="B108" s="558">
        <v>0</v>
      </c>
      <c r="C108" s="558">
        <v>0.02</v>
      </c>
      <c r="D108" s="558">
        <v>0.01</v>
      </c>
      <c r="E108" s="558">
        <v>5.0000000000000001E-3</v>
      </c>
      <c r="F108" s="558">
        <v>0.01</v>
      </c>
      <c r="G108" s="558">
        <v>0.01</v>
      </c>
      <c r="H108" s="558">
        <v>0.01</v>
      </c>
      <c r="I108" s="558">
        <v>7.0000000000000001E-3</v>
      </c>
      <c r="J108" s="558">
        <v>0.05</v>
      </c>
      <c r="K108" s="558">
        <v>0.01</v>
      </c>
      <c r="L108" s="558">
        <v>0.01</v>
      </c>
      <c r="M108" s="558">
        <v>0.01</v>
      </c>
      <c r="N108" s="605">
        <v>0.01</v>
      </c>
      <c r="O108" s="605">
        <v>0.01</v>
      </c>
      <c r="P108" s="605">
        <v>0.01</v>
      </c>
      <c r="Q108" s="605">
        <v>0.01</v>
      </c>
      <c r="R108" s="605">
        <v>0.01</v>
      </c>
      <c r="S108" s="605">
        <v>0</v>
      </c>
      <c r="T108" s="605">
        <v>0</v>
      </c>
      <c r="U108" s="605">
        <v>0.02</v>
      </c>
      <c r="V108" s="605">
        <v>0.04</v>
      </c>
      <c r="W108" s="605">
        <v>0.01</v>
      </c>
      <c r="X108" s="605">
        <v>0.01</v>
      </c>
      <c r="Y108" s="821">
        <v>0.01</v>
      </c>
      <c r="Z108" s="821">
        <v>0.01</v>
      </c>
      <c r="AA108" s="821">
        <v>0.04</v>
      </c>
      <c r="AB108" s="821">
        <v>0.03</v>
      </c>
      <c r="AC108" s="605">
        <v>0</v>
      </c>
    </row>
    <row r="109" spans="1:29" x14ac:dyDescent="0.25">
      <c r="A109" s="574">
        <v>1525</v>
      </c>
      <c r="B109" s="558">
        <v>0</v>
      </c>
      <c r="C109" s="558">
        <v>0.02</v>
      </c>
      <c r="D109" s="558">
        <v>0.01</v>
      </c>
      <c r="E109" s="558">
        <v>6.0000000000000001E-3</v>
      </c>
      <c r="F109" s="558">
        <v>0.01</v>
      </c>
      <c r="G109" s="558">
        <v>0.01</v>
      </c>
      <c r="H109" s="558">
        <v>0.01</v>
      </c>
      <c r="I109" s="558">
        <v>6.0000000000000001E-3</v>
      </c>
      <c r="J109" s="558">
        <v>0.06</v>
      </c>
      <c r="K109" s="558">
        <v>0.01</v>
      </c>
      <c r="L109" s="558">
        <v>0.01</v>
      </c>
      <c r="M109" s="558">
        <v>0.01</v>
      </c>
      <c r="N109" s="605">
        <v>0.01</v>
      </c>
      <c r="O109" s="605">
        <v>0.01</v>
      </c>
      <c r="P109" s="605">
        <v>0.01</v>
      </c>
      <c r="Q109" s="605">
        <v>0.01</v>
      </c>
      <c r="R109" s="605">
        <v>0.02</v>
      </c>
      <c r="S109" s="605">
        <v>0</v>
      </c>
      <c r="T109" s="605">
        <v>0</v>
      </c>
      <c r="U109" s="605">
        <v>0.02</v>
      </c>
      <c r="V109" s="605">
        <v>0.04</v>
      </c>
      <c r="W109" s="605">
        <v>0</v>
      </c>
      <c r="X109" s="605">
        <v>0.01</v>
      </c>
      <c r="Y109" s="821">
        <v>0.02</v>
      </c>
      <c r="Z109" s="821">
        <v>0.01</v>
      </c>
      <c r="AA109" s="821">
        <v>0.03</v>
      </c>
      <c r="AB109" s="821">
        <v>0.03</v>
      </c>
      <c r="AC109" s="605">
        <v>0</v>
      </c>
    </row>
    <row r="110" spans="1:29" x14ac:dyDescent="0.25">
      <c r="A110" s="574">
        <v>1575</v>
      </c>
      <c r="B110" s="558">
        <v>0</v>
      </c>
      <c r="C110" s="558">
        <v>0.02</v>
      </c>
      <c r="D110" s="558">
        <v>0.01</v>
      </c>
      <c r="E110" s="558">
        <v>5.0000000000000001E-3</v>
      </c>
      <c r="F110" s="558">
        <v>0.01</v>
      </c>
      <c r="G110" s="558">
        <v>0.01</v>
      </c>
      <c r="H110" s="558">
        <v>0.01</v>
      </c>
      <c r="I110" s="558">
        <v>8.0000000000000002E-3</v>
      </c>
      <c r="J110" s="558">
        <v>0.05</v>
      </c>
      <c r="K110" s="558">
        <v>0.01</v>
      </c>
      <c r="L110" s="558">
        <v>0.01</v>
      </c>
      <c r="M110" s="558">
        <v>0.01</v>
      </c>
      <c r="N110" s="605">
        <v>0.01</v>
      </c>
      <c r="O110" s="605">
        <v>0.01</v>
      </c>
      <c r="P110" s="605">
        <v>0.01</v>
      </c>
      <c r="Q110" s="605">
        <v>0.01</v>
      </c>
      <c r="R110" s="605">
        <v>0.01</v>
      </c>
      <c r="S110" s="605">
        <v>0</v>
      </c>
      <c r="T110" s="605">
        <v>0</v>
      </c>
      <c r="U110" s="605">
        <v>0.02</v>
      </c>
      <c r="V110" s="605">
        <v>0.03</v>
      </c>
      <c r="W110" s="605">
        <v>0</v>
      </c>
      <c r="X110" s="605">
        <v>0.01</v>
      </c>
      <c r="Y110" s="821">
        <v>0.01</v>
      </c>
      <c r="Z110" s="821">
        <v>0.01</v>
      </c>
      <c r="AA110" s="821">
        <v>0.03</v>
      </c>
      <c r="AB110" s="821">
        <v>0.03</v>
      </c>
      <c r="AC110" s="605">
        <v>0</v>
      </c>
    </row>
    <row r="111" spans="1:29" x14ac:dyDescent="0.25">
      <c r="A111" s="574">
        <v>1625</v>
      </c>
      <c r="B111" s="558">
        <v>0</v>
      </c>
      <c r="C111" s="558">
        <v>0.02</v>
      </c>
      <c r="D111" s="558">
        <v>0.01</v>
      </c>
      <c r="E111" s="558">
        <v>5.0000000000000001E-3</v>
      </c>
      <c r="F111" s="558">
        <v>0.01</v>
      </c>
      <c r="G111" s="558">
        <v>0.01</v>
      </c>
      <c r="H111" s="558">
        <v>0.01</v>
      </c>
      <c r="I111" s="558">
        <v>6.0000000000000001E-3</v>
      </c>
      <c r="J111" s="558">
        <v>0.06</v>
      </c>
      <c r="K111" s="558">
        <v>0.01</v>
      </c>
      <c r="L111" s="558">
        <v>0.01</v>
      </c>
      <c r="M111" s="558">
        <v>0.01</v>
      </c>
      <c r="N111" s="605">
        <v>0.01</v>
      </c>
      <c r="O111" s="605">
        <v>0.01</v>
      </c>
      <c r="P111" s="605">
        <v>0.01</v>
      </c>
      <c r="Q111" s="605">
        <v>0.01</v>
      </c>
      <c r="R111" s="605">
        <v>0.01</v>
      </c>
      <c r="S111" s="605">
        <v>0</v>
      </c>
      <c r="T111" s="605">
        <v>0</v>
      </c>
      <c r="U111" s="605">
        <v>0.02</v>
      </c>
      <c r="V111" s="605">
        <v>0.03</v>
      </c>
      <c r="W111" s="605">
        <v>0</v>
      </c>
      <c r="X111" s="605">
        <v>0.01</v>
      </c>
      <c r="Y111" s="821">
        <v>0.01</v>
      </c>
      <c r="Z111" s="821">
        <v>0.01</v>
      </c>
      <c r="AA111" s="821">
        <v>0.03</v>
      </c>
      <c r="AB111" s="821">
        <v>0.03</v>
      </c>
      <c r="AC111" s="605">
        <v>0</v>
      </c>
    </row>
    <row r="112" spans="1:29" x14ac:dyDescent="0.25">
      <c r="A112" s="574">
        <v>1675</v>
      </c>
      <c r="B112" s="558">
        <v>0</v>
      </c>
      <c r="C112" s="558">
        <v>0.02</v>
      </c>
      <c r="D112" s="558">
        <v>0.01</v>
      </c>
      <c r="E112" s="558">
        <v>5.0000000000000001E-3</v>
      </c>
      <c r="F112" s="558">
        <v>0.01</v>
      </c>
      <c r="G112" s="558">
        <v>0.01</v>
      </c>
      <c r="H112" s="558">
        <v>0.01</v>
      </c>
      <c r="I112" s="558">
        <v>5.0000000000000001E-3</v>
      </c>
      <c r="J112" s="558">
        <v>0.08</v>
      </c>
      <c r="K112" s="558">
        <v>0.01</v>
      </c>
      <c r="L112" s="558">
        <v>0.01</v>
      </c>
      <c r="M112" s="558">
        <v>0.01</v>
      </c>
      <c r="N112" s="605">
        <v>0.01</v>
      </c>
      <c r="O112" s="605">
        <v>0.01</v>
      </c>
      <c r="P112" s="605">
        <v>0.01</v>
      </c>
      <c r="Q112" s="605">
        <v>0.01</v>
      </c>
      <c r="R112" s="605">
        <v>0.01</v>
      </c>
      <c r="S112" s="605">
        <v>0</v>
      </c>
      <c r="T112" s="605">
        <v>0</v>
      </c>
      <c r="U112" s="605">
        <v>0.02</v>
      </c>
      <c r="V112" s="605">
        <v>0.03</v>
      </c>
      <c r="W112" s="605">
        <v>0</v>
      </c>
      <c r="X112" s="605">
        <v>0.01</v>
      </c>
      <c r="Y112" s="821">
        <v>0.01</v>
      </c>
      <c r="Z112" s="821">
        <v>0.01</v>
      </c>
      <c r="AA112" s="821">
        <v>0.03</v>
      </c>
      <c r="AB112" s="821">
        <v>0.02</v>
      </c>
      <c r="AC112" s="605">
        <v>0</v>
      </c>
    </row>
    <row r="113" spans="1:29" x14ac:dyDescent="0.25">
      <c r="A113" s="574">
        <v>1725</v>
      </c>
      <c r="B113" s="558">
        <v>0</v>
      </c>
      <c r="C113" s="558">
        <v>0.02</v>
      </c>
      <c r="D113" s="558">
        <v>0.01</v>
      </c>
      <c r="E113" s="558">
        <v>5.0000000000000001E-3</v>
      </c>
      <c r="F113" s="558">
        <v>0.01</v>
      </c>
      <c r="G113" s="558">
        <v>0.01</v>
      </c>
      <c r="H113" s="558">
        <v>0.01</v>
      </c>
      <c r="I113" s="558">
        <v>6.0000000000000001E-3</v>
      </c>
      <c r="J113" s="558">
        <v>0.06</v>
      </c>
      <c r="K113" s="558">
        <v>0.01</v>
      </c>
      <c r="L113" s="558">
        <v>0.01</v>
      </c>
      <c r="M113" s="558">
        <v>0.01</v>
      </c>
      <c r="N113" s="605">
        <v>0.01</v>
      </c>
      <c r="O113" s="605">
        <v>0.01</v>
      </c>
      <c r="P113" s="605">
        <v>0.01</v>
      </c>
      <c r="Q113" s="605">
        <v>0.01</v>
      </c>
      <c r="R113" s="605">
        <v>0.01</v>
      </c>
      <c r="S113" s="605">
        <v>0</v>
      </c>
      <c r="T113" s="605">
        <v>0</v>
      </c>
      <c r="U113" s="605">
        <v>0.02</v>
      </c>
      <c r="V113" s="605">
        <v>0.03</v>
      </c>
      <c r="W113" s="605">
        <v>0</v>
      </c>
      <c r="X113" s="605">
        <v>0.01</v>
      </c>
      <c r="Y113" s="821">
        <v>0.01</v>
      </c>
      <c r="Z113" s="821">
        <v>0.01</v>
      </c>
      <c r="AA113" s="821">
        <v>0.03</v>
      </c>
      <c r="AB113" s="821">
        <v>0.02</v>
      </c>
      <c r="AC113" s="605">
        <v>0</v>
      </c>
    </row>
    <row r="114" spans="1:29" x14ac:dyDescent="0.25">
      <c r="A114" s="574">
        <v>1775</v>
      </c>
      <c r="B114" s="558">
        <v>0</v>
      </c>
      <c r="C114" s="558">
        <v>0.02</v>
      </c>
      <c r="D114" s="558">
        <v>0.01</v>
      </c>
      <c r="E114" s="558">
        <v>5.0000000000000001E-3</v>
      </c>
      <c r="F114" s="558">
        <v>0.01</v>
      </c>
      <c r="G114" s="558">
        <v>0.01</v>
      </c>
      <c r="H114" s="558">
        <v>0.01</v>
      </c>
      <c r="I114" s="558">
        <v>5.0000000000000001E-3</v>
      </c>
      <c r="J114" s="558">
        <v>0.11</v>
      </c>
      <c r="K114" s="558">
        <v>0.01</v>
      </c>
      <c r="L114" s="558">
        <v>0</v>
      </c>
      <c r="M114" s="558">
        <v>0.01</v>
      </c>
      <c r="N114" s="605">
        <v>0.01</v>
      </c>
      <c r="O114" s="605">
        <v>0.01</v>
      </c>
      <c r="P114" s="605">
        <v>0.01</v>
      </c>
      <c r="Q114" s="605">
        <v>0.01</v>
      </c>
      <c r="R114" s="605">
        <v>0.01</v>
      </c>
      <c r="S114" s="605">
        <v>0</v>
      </c>
      <c r="T114" s="605">
        <v>0</v>
      </c>
      <c r="U114" s="605">
        <v>0.02</v>
      </c>
      <c r="V114" s="605">
        <v>0.03</v>
      </c>
      <c r="W114" s="605">
        <v>0</v>
      </c>
      <c r="X114" s="605">
        <v>0.01</v>
      </c>
      <c r="Y114" s="821">
        <v>0.01</v>
      </c>
      <c r="Z114" s="821">
        <v>0.01</v>
      </c>
      <c r="AA114" s="821">
        <v>0.03</v>
      </c>
      <c r="AB114" s="821">
        <v>0.02</v>
      </c>
      <c r="AC114" s="605">
        <v>0</v>
      </c>
    </row>
    <row r="115" spans="1:29" x14ac:dyDescent="0.25">
      <c r="A115" s="574">
        <v>1825</v>
      </c>
      <c r="B115" s="558">
        <v>0</v>
      </c>
      <c r="C115" s="558">
        <v>0.02</v>
      </c>
      <c r="D115" s="558">
        <v>0.01</v>
      </c>
      <c r="E115" s="558">
        <v>5.0000000000000001E-3</v>
      </c>
      <c r="F115" s="558">
        <v>0.01</v>
      </c>
      <c r="G115" s="558">
        <v>0.01</v>
      </c>
      <c r="H115" s="558">
        <v>0.01</v>
      </c>
      <c r="I115" s="558">
        <v>8.0000000000000002E-3</v>
      </c>
      <c r="J115" s="558">
        <v>0.06</v>
      </c>
      <c r="K115" s="558">
        <v>0.01</v>
      </c>
      <c r="L115" s="558">
        <v>0</v>
      </c>
      <c r="M115" s="558">
        <v>0.01</v>
      </c>
      <c r="N115" s="605">
        <v>0.01</v>
      </c>
      <c r="O115" s="605">
        <v>0.01</v>
      </c>
      <c r="P115" s="605">
        <v>0.01</v>
      </c>
      <c r="Q115" s="605">
        <v>0.01</v>
      </c>
      <c r="R115" s="605">
        <v>0.01</v>
      </c>
      <c r="S115" s="605">
        <v>0</v>
      </c>
      <c r="T115" s="605">
        <v>0</v>
      </c>
      <c r="U115" s="605">
        <v>0.02</v>
      </c>
      <c r="V115" s="605">
        <v>0.03</v>
      </c>
      <c r="W115" s="605">
        <v>0</v>
      </c>
      <c r="X115" s="605">
        <v>0.01</v>
      </c>
      <c r="Y115" s="821">
        <v>0.01</v>
      </c>
      <c r="Z115" s="821">
        <v>0.01</v>
      </c>
      <c r="AA115" s="821">
        <v>0.03</v>
      </c>
      <c r="AB115" s="821">
        <v>0.02</v>
      </c>
      <c r="AC115" s="605">
        <v>0</v>
      </c>
    </row>
    <row r="116" spans="1:29" x14ac:dyDescent="0.25">
      <c r="A116" s="574">
        <v>1875</v>
      </c>
      <c r="B116" s="558">
        <v>0</v>
      </c>
      <c r="C116" s="558">
        <v>0.02</v>
      </c>
      <c r="D116" s="558">
        <v>0.01</v>
      </c>
      <c r="E116" s="558">
        <v>5.0000000000000001E-3</v>
      </c>
      <c r="F116" s="558">
        <v>0.01</v>
      </c>
      <c r="G116" s="558">
        <v>0.01</v>
      </c>
      <c r="H116" s="558">
        <v>0.01</v>
      </c>
      <c r="I116" s="558">
        <v>6.0000000000000001E-3</v>
      </c>
      <c r="J116" s="558">
        <v>0.05</v>
      </c>
      <c r="K116" s="558">
        <v>0.01</v>
      </c>
      <c r="L116" s="558">
        <v>0</v>
      </c>
      <c r="M116" s="558">
        <v>0.01</v>
      </c>
      <c r="N116" s="605">
        <v>0.01</v>
      </c>
      <c r="O116" s="605">
        <v>0.01</v>
      </c>
      <c r="P116" s="605">
        <v>0.01</v>
      </c>
      <c r="Q116" s="605">
        <v>0.01</v>
      </c>
      <c r="R116" s="605">
        <v>0.01</v>
      </c>
      <c r="S116" s="605">
        <v>0</v>
      </c>
      <c r="T116" s="605">
        <v>0</v>
      </c>
      <c r="U116" s="605">
        <v>0.02</v>
      </c>
      <c r="V116" s="605">
        <v>0.02</v>
      </c>
      <c r="W116" s="605">
        <v>0</v>
      </c>
      <c r="X116" s="605">
        <v>0.01</v>
      </c>
      <c r="Y116" s="821">
        <v>0.01</v>
      </c>
      <c r="Z116" s="821">
        <v>0.01</v>
      </c>
      <c r="AA116" s="821">
        <v>0.03</v>
      </c>
      <c r="AB116" s="821">
        <v>0.02</v>
      </c>
      <c r="AC116" s="605">
        <v>0</v>
      </c>
    </row>
    <row r="117" spans="1:29" x14ac:dyDescent="0.25">
      <c r="A117" s="574">
        <v>1925</v>
      </c>
      <c r="B117" s="558">
        <v>0</v>
      </c>
      <c r="C117" s="558">
        <v>0.02</v>
      </c>
      <c r="D117" s="558">
        <v>0.01</v>
      </c>
      <c r="E117" s="558">
        <v>5.0000000000000001E-3</v>
      </c>
      <c r="F117" s="558">
        <v>0.01</v>
      </c>
      <c r="G117" s="558">
        <v>0.01</v>
      </c>
      <c r="H117" s="558">
        <v>0.01</v>
      </c>
      <c r="I117" s="558">
        <v>6.0000000000000001E-3</v>
      </c>
      <c r="J117" s="558">
        <v>0.05</v>
      </c>
      <c r="K117" s="558">
        <v>0.01</v>
      </c>
      <c r="L117" s="558">
        <v>0</v>
      </c>
      <c r="M117" s="558">
        <v>0.01</v>
      </c>
      <c r="N117" s="605">
        <v>0.01</v>
      </c>
      <c r="O117" s="605">
        <v>0.01</v>
      </c>
      <c r="P117" s="605">
        <v>0.01</v>
      </c>
      <c r="Q117" s="605">
        <v>0.01</v>
      </c>
      <c r="R117" s="605">
        <v>0.01</v>
      </c>
      <c r="S117" s="605">
        <v>0</v>
      </c>
      <c r="T117" s="605">
        <v>0</v>
      </c>
      <c r="U117" s="605">
        <v>0.02</v>
      </c>
      <c r="V117" s="605">
        <v>0.02</v>
      </c>
      <c r="W117" s="605">
        <v>0</v>
      </c>
      <c r="X117" s="605">
        <v>0.01</v>
      </c>
      <c r="Y117" s="821">
        <v>0.01</v>
      </c>
      <c r="Z117" s="821">
        <v>0.01</v>
      </c>
      <c r="AA117" s="821">
        <v>0.06</v>
      </c>
      <c r="AB117" s="821">
        <v>0.02</v>
      </c>
      <c r="AC117" s="605">
        <v>0</v>
      </c>
    </row>
    <row r="118" spans="1:29" x14ac:dyDescent="0.25">
      <c r="A118" s="574">
        <v>1975</v>
      </c>
      <c r="B118" s="558">
        <v>0</v>
      </c>
      <c r="C118" s="558">
        <v>0.02</v>
      </c>
      <c r="D118" s="558">
        <v>0.01</v>
      </c>
      <c r="E118" s="558">
        <v>5.0000000000000001E-3</v>
      </c>
      <c r="F118" s="558">
        <v>0.01</v>
      </c>
      <c r="G118" s="558">
        <v>0.01</v>
      </c>
      <c r="H118" s="558">
        <v>0.02</v>
      </c>
      <c r="I118" s="558">
        <v>6.0000000000000001E-3</v>
      </c>
      <c r="J118" s="558">
        <v>0.06</v>
      </c>
      <c r="K118" s="558">
        <v>0.01</v>
      </c>
      <c r="L118" s="558">
        <v>0</v>
      </c>
      <c r="M118" s="558">
        <v>0.01</v>
      </c>
      <c r="N118" s="605">
        <v>0.01</v>
      </c>
      <c r="O118" s="605">
        <v>0.01</v>
      </c>
      <c r="P118" s="605">
        <v>0.01</v>
      </c>
      <c r="Q118" s="605">
        <v>0.01</v>
      </c>
      <c r="R118" s="605">
        <v>0</v>
      </c>
      <c r="S118" s="605">
        <v>0</v>
      </c>
      <c r="T118" s="605">
        <v>0</v>
      </c>
      <c r="U118" s="605">
        <v>0.02</v>
      </c>
      <c r="V118" s="605">
        <v>0.02</v>
      </c>
      <c r="W118" s="605">
        <v>0</v>
      </c>
      <c r="X118" s="605">
        <v>0.01</v>
      </c>
      <c r="Y118" s="821">
        <v>0.01</v>
      </c>
      <c r="Z118" s="821">
        <v>0.01</v>
      </c>
      <c r="AA118" s="821">
        <v>7.0000000000000007E-2</v>
      </c>
      <c r="AB118" s="821">
        <v>0.02</v>
      </c>
      <c r="AC118" s="605">
        <v>0</v>
      </c>
    </row>
    <row r="119" spans="1:29" x14ac:dyDescent="0.25">
      <c r="B119" s="570"/>
      <c r="C119" s="570"/>
      <c r="D119" s="570"/>
      <c r="E119" s="570"/>
      <c r="F119" s="570"/>
      <c r="G119" s="570"/>
      <c r="H119" s="570"/>
      <c r="I119" s="570"/>
      <c r="J119" s="570"/>
      <c r="K119" s="570"/>
      <c r="L119" s="570"/>
      <c r="M119" s="570"/>
      <c r="N119" s="608"/>
      <c r="O119" s="608"/>
      <c r="P119" s="608"/>
      <c r="Q119" s="608"/>
      <c r="Z119" s="822"/>
      <c r="AA119" s="822"/>
      <c r="AB119" s="822"/>
    </row>
    <row r="120" spans="1:29" x14ac:dyDescent="0.25">
      <c r="A120" s="573">
        <v>2.1</v>
      </c>
      <c r="B120" s="558">
        <v>0</v>
      </c>
      <c r="C120" s="558">
        <v>0.05</v>
      </c>
      <c r="D120" s="558">
        <v>0.03</v>
      </c>
      <c r="E120" s="558">
        <v>1.4999999999999999E-2</v>
      </c>
      <c r="F120" s="558">
        <v>0.03</v>
      </c>
      <c r="G120" s="558">
        <v>0.02</v>
      </c>
      <c r="H120" s="558">
        <v>0.02</v>
      </c>
      <c r="I120" s="558">
        <v>7.0000000000000001E-3</v>
      </c>
      <c r="J120" s="558">
        <v>0.2</v>
      </c>
      <c r="K120" s="558">
        <v>0.04</v>
      </c>
      <c r="L120" s="558">
        <v>0.13</v>
      </c>
      <c r="M120" s="558">
        <v>0.03</v>
      </c>
      <c r="N120" s="605">
        <v>0.08</v>
      </c>
      <c r="O120" s="605">
        <v>0.01</v>
      </c>
      <c r="P120" s="605">
        <v>0.02</v>
      </c>
      <c r="Q120" s="605">
        <v>0.02</v>
      </c>
      <c r="R120" s="605">
        <v>0.04</v>
      </c>
      <c r="S120" s="605">
        <v>0.02</v>
      </c>
      <c r="T120" s="605">
        <v>0.03</v>
      </c>
      <c r="U120" s="605">
        <v>0.04</v>
      </c>
      <c r="V120" s="605">
        <v>0.06</v>
      </c>
      <c r="W120" s="605">
        <v>0.02</v>
      </c>
      <c r="X120" s="605">
        <v>0.04</v>
      </c>
      <c r="Y120" s="821">
        <v>0.05</v>
      </c>
      <c r="Z120" s="821">
        <v>0.05</v>
      </c>
      <c r="AA120" s="821">
        <v>0.08</v>
      </c>
      <c r="AB120" s="821">
        <v>0.04</v>
      </c>
      <c r="AC120" s="605">
        <v>0</v>
      </c>
    </row>
    <row r="121" spans="1:29" x14ac:dyDescent="0.25">
      <c r="A121" s="574">
        <v>2.2999999999999998</v>
      </c>
      <c r="B121" s="558">
        <v>0</v>
      </c>
      <c r="C121" s="558">
        <v>0.05</v>
      </c>
      <c r="D121" s="558">
        <v>0.02</v>
      </c>
      <c r="E121" s="558">
        <v>2.7E-2</v>
      </c>
      <c r="F121" s="558">
        <v>0.04</v>
      </c>
      <c r="G121" s="558">
        <v>0.05</v>
      </c>
      <c r="H121" s="558">
        <v>0.04</v>
      </c>
      <c r="I121" s="558">
        <v>8.9999999999999993E-3</v>
      </c>
      <c r="J121" s="558">
        <v>0.13</v>
      </c>
      <c r="K121" s="558">
        <v>0.02</v>
      </c>
      <c r="L121" s="558">
        <v>0.01</v>
      </c>
      <c r="M121" s="558">
        <v>0.01</v>
      </c>
      <c r="N121" s="605">
        <v>7.0000000000000007E-2</v>
      </c>
      <c r="O121" s="605">
        <v>0.01</v>
      </c>
      <c r="P121" s="605">
        <v>0.02</v>
      </c>
      <c r="Q121" s="605">
        <v>0.02</v>
      </c>
      <c r="R121" s="605">
        <v>0.04</v>
      </c>
      <c r="S121" s="605">
        <v>0.02</v>
      </c>
      <c r="T121" s="605">
        <v>0.02</v>
      </c>
      <c r="U121" s="605">
        <v>0.02</v>
      </c>
      <c r="V121" s="605">
        <v>0.04</v>
      </c>
      <c r="W121" s="605">
        <v>0.03</v>
      </c>
      <c r="X121" s="605">
        <v>0.02</v>
      </c>
      <c r="Y121" s="821">
        <v>0.05</v>
      </c>
      <c r="Z121" s="821">
        <v>0.06</v>
      </c>
      <c r="AA121" s="821">
        <v>0.06</v>
      </c>
      <c r="AB121" s="821">
        <v>0.03</v>
      </c>
      <c r="AC121" s="605">
        <v>0</v>
      </c>
    </row>
    <row r="122" spans="1:29" x14ac:dyDescent="0.25">
      <c r="A122" s="574">
        <v>2.5</v>
      </c>
      <c r="B122" s="558">
        <v>0</v>
      </c>
      <c r="C122" s="558">
        <v>0.04</v>
      </c>
      <c r="D122" s="558">
        <v>0.02</v>
      </c>
      <c r="E122" s="558">
        <v>1.4E-2</v>
      </c>
      <c r="F122" s="558">
        <v>0.06</v>
      </c>
      <c r="G122" s="558">
        <v>0.03</v>
      </c>
      <c r="H122" s="558">
        <v>0.02</v>
      </c>
      <c r="I122" s="558">
        <v>7.0000000000000001E-3</v>
      </c>
      <c r="J122" s="558">
        <v>0.09</v>
      </c>
      <c r="K122" s="558">
        <v>0.01</v>
      </c>
      <c r="L122" s="558">
        <v>0.01</v>
      </c>
      <c r="M122" s="558">
        <v>0.01</v>
      </c>
      <c r="N122" s="605">
        <v>0.06</v>
      </c>
      <c r="O122" s="605">
        <v>0.01</v>
      </c>
      <c r="P122" s="605">
        <v>0.01</v>
      </c>
      <c r="Q122" s="605">
        <v>0.02</v>
      </c>
      <c r="R122" s="605">
        <v>0.03</v>
      </c>
      <c r="S122" s="605">
        <v>0.02</v>
      </c>
      <c r="T122" s="605">
        <v>0.02</v>
      </c>
      <c r="U122" s="605">
        <v>0.03</v>
      </c>
      <c r="V122" s="605">
        <v>0.04</v>
      </c>
      <c r="W122" s="605">
        <v>0.01</v>
      </c>
      <c r="X122" s="605">
        <v>0.01</v>
      </c>
      <c r="Y122" s="821">
        <v>0.04</v>
      </c>
      <c r="Z122" s="821">
        <v>0.06</v>
      </c>
      <c r="AA122" s="821">
        <v>0.05</v>
      </c>
      <c r="AB122" s="821">
        <v>0.03</v>
      </c>
      <c r="AC122" s="605">
        <v>0</v>
      </c>
    </row>
    <row r="123" spans="1:29" x14ac:dyDescent="0.25">
      <c r="A123" s="574">
        <v>2.7</v>
      </c>
      <c r="B123" s="558">
        <v>0</v>
      </c>
      <c r="C123" s="558">
        <v>0.04</v>
      </c>
      <c r="D123" s="558">
        <v>0.01</v>
      </c>
      <c r="E123" s="558">
        <v>1.4E-2</v>
      </c>
      <c r="F123" s="558">
        <v>0.02</v>
      </c>
      <c r="G123" s="558">
        <v>0.02</v>
      </c>
      <c r="H123" s="558">
        <v>0.01</v>
      </c>
      <c r="I123" s="558">
        <v>6.0000000000000001E-3</v>
      </c>
      <c r="J123" s="558">
        <v>7.0000000000000007E-2</v>
      </c>
      <c r="K123" s="558">
        <v>0.01</v>
      </c>
      <c r="L123" s="558">
        <v>0.01</v>
      </c>
      <c r="M123" s="558">
        <v>0.01</v>
      </c>
      <c r="N123" s="605">
        <v>0.05</v>
      </c>
      <c r="O123" s="605">
        <v>0.01</v>
      </c>
      <c r="P123" s="605">
        <v>0.02</v>
      </c>
      <c r="Q123" s="605">
        <v>0.02</v>
      </c>
      <c r="R123" s="605">
        <v>0.02</v>
      </c>
      <c r="S123" s="605">
        <v>0.01</v>
      </c>
      <c r="T123" s="605">
        <v>0.02</v>
      </c>
      <c r="U123" s="605">
        <v>0.03</v>
      </c>
      <c r="V123" s="605">
        <v>0.04</v>
      </c>
      <c r="W123" s="605">
        <v>0.01</v>
      </c>
      <c r="X123" s="605">
        <v>0.01</v>
      </c>
      <c r="Y123" s="821">
        <v>7.0000000000000007E-2</v>
      </c>
      <c r="Z123" s="821">
        <v>0.03</v>
      </c>
      <c r="AA123" s="821">
        <v>0.06</v>
      </c>
      <c r="AB123" s="821">
        <v>0.03</v>
      </c>
      <c r="AC123" s="605">
        <v>0</v>
      </c>
    </row>
    <row r="124" spans="1:29" x14ac:dyDescent="0.25">
      <c r="A124" s="574">
        <v>2.9</v>
      </c>
      <c r="B124" s="558">
        <v>0</v>
      </c>
      <c r="C124" s="558">
        <v>0.04</v>
      </c>
      <c r="D124" s="558">
        <v>0.01</v>
      </c>
      <c r="E124" s="558">
        <v>1.2999999999999999E-2</v>
      </c>
      <c r="F124" s="558">
        <v>0.02</v>
      </c>
      <c r="G124" s="558">
        <v>0.02</v>
      </c>
      <c r="H124" s="558">
        <v>0.19</v>
      </c>
      <c r="I124" s="558">
        <v>7.0000000000000001E-3</v>
      </c>
      <c r="J124" s="558">
        <v>0.04</v>
      </c>
      <c r="K124" s="558">
        <v>0.01</v>
      </c>
      <c r="L124" s="558">
        <v>0.01</v>
      </c>
      <c r="M124" s="558">
        <v>0.01</v>
      </c>
      <c r="N124" s="605">
        <v>0.05</v>
      </c>
      <c r="O124" s="605">
        <v>0.01</v>
      </c>
      <c r="P124" s="605">
        <v>0.02</v>
      </c>
      <c r="Q124" s="605">
        <v>0.03</v>
      </c>
      <c r="R124" s="605">
        <v>0.02</v>
      </c>
      <c r="S124" s="605">
        <v>0.01</v>
      </c>
      <c r="T124" s="605">
        <v>0.01</v>
      </c>
      <c r="U124" s="605">
        <v>0.03</v>
      </c>
      <c r="V124" s="605">
        <v>0.03</v>
      </c>
      <c r="W124" s="605">
        <v>0.01</v>
      </c>
      <c r="X124" s="605">
        <v>0.01</v>
      </c>
      <c r="Y124" s="821">
        <v>0.05</v>
      </c>
      <c r="Z124" s="821">
        <v>0.04</v>
      </c>
      <c r="AA124" s="821">
        <v>0.05</v>
      </c>
      <c r="AB124" s="821">
        <v>0.03</v>
      </c>
      <c r="AC124" s="605">
        <v>0</v>
      </c>
    </row>
    <row r="125" spans="1:29" x14ac:dyDescent="0.25">
      <c r="A125" s="574">
        <v>3.1</v>
      </c>
      <c r="B125" s="558">
        <v>0</v>
      </c>
      <c r="C125" s="558">
        <v>0.04</v>
      </c>
      <c r="D125" s="558">
        <v>0.01</v>
      </c>
      <c r="E125" s="558">
        <v>1.4E-2</v>
      </c>
      <c r="F125" s="558">
        <v>0.01</v>
      </c>
      <c r="G125" s="558">
        <v>0.01</v>
      </c>
      <c r="H125" s="558">
        <v>0.02</v>
      </c>
      <c r="I125" s="558">
        <v>7.0000000000000001E-3</v>
      </c>
      <c r="J125" s="558">
        <v>0.03</v>
      </c>
      <c r="K125" s="558">
        <v>0.01</v>
      </c>
      <c r="L125" s="558">
        <v>0.01</v>
      </c>
      <c r="M125" s="558">
        <v>0.01</v>
      </c>
      <c r="N125" s="605">
        <v>0.04</v>
      </c>
      <c r="O125" s="605">
        <v>0.01</v>
      </c>
      <c r="P125" s="605">
        <v>0.04</v>
      </c>
      <c r="Q125" s="605">
        <v>0.05</v>
      </c>
      <c r="R125" s="605">
        <v>0.02</v>
      </c>
      <c r="S125" s="605">
        <v>0.01</v>
      </c>
      <c r="T125" s="605">
        <v>0.01</v>
      </c>
      <c r="U125" s="605">
        <v>0.03</v>
      </c>
      <c r="V125" s="605">
        <v>0.03</v>
      </c>
      <c r="W125" s="605">
        <v>0.01</v>
      </c>
      <c r="X125" s="605">
        <v>0.01</v>
      </c>
      <c r="Y125" s="821">
        <v>0.04</v>
      </c>
      <c r="Z125" s="821">
        <v>0.03</v>
      </c>
      <c r="AA125" s="821">
        <v>0.05</v>
      </c>
      <c r="AB125" s="821">
        <v>0.03</v>
      </c>
      <c r="AC125" s="605">
        <v>0</v>
      </c>
    </row>
    <row r="126" spans="1:29" x14ac:dyDescent="0.25">
      <c r="A126" s="574">
        <v>3.3</v>
      </c>
      <c r="B126" s="558">
        <v>0</v>
      </c>
      <c r="C126" s="558">
        <v>0.05</v>
      </c>
      <c r="D126" s="558">
        <v>0.01</v>
      </c>
      <c r="E126" s="558">
        <v>1.4999999999999999E-2</v>
      </c>
      <c r="F126" s="558">
        <v>0.02</v>
      </c>
      <c r="G126" s="558">
        <v>0.02</v>
      </c>
      <c r="H126" s="558">
        <v>0.01</v>
      </c>
      <c r="I126" s="558">
        <v>6.0000000000000001E-3</v>
      </c>
      <c r="J126" s="558">
        <v>0.03</v>
      </c>
      <c r="K126" s="558">
        <v>0.01</v>
      </c>
      <c r="L126" s="558">
        <v>0.01</v>
      </c>
      <c r="M126" s="558">
        <v>0.03</v>
      </c>
      <c r="N126" s="605">
        <v>0.04</v>
      </c>
      <c r="O126" s="605">
        <v>0.01</v>
      </c>
      <c r="P126" s="605">
        <v>0.05</v>
      </c>
      <c r="Q126" s="605">
        <v>0.06</v>
      </c>
      <c r="R126" s="605">
        <v>0.02</v>
      </c>
      <c r="S126" s="605">
        <v>0.01</v>
      </c>
      <c r="T126" s="605">
        <v>0.01</v>
      </c>
      <c r="U126" s="605">
        <v>0.03</v>
      </c>
      <c r="V126" s="605">
        <v>0.03</v>
      </c>
      <c r="W126" s="605">
        <v>0.01</v>
      </c>
      <c r="X126" s="605">
        <v>0.01</v>
      </c>
      <c r="Y126" s="821">
        <v>0.08</v>
      </c>
      <c r="Z126" s="821">
        <v>0.04</v>
      </c>
      <c r="AA126" s="821">
        <v>0.05</v>
      </c>
      <c r="AB126" s="821">
        <v>0.03</v>
      </c>
      <c r="AC126" s="605">
        <v>0</v>
      </c>
    </row>
    <row r="127" spans="1:29" x14ac:dyDescent="0.25">
      <c r="A127" s="574">
        <v>3.5</v>
      </c>
      <c r="B127" s="558">
        <v>0</v>
      </c>
      <c r="C127" s="558">
        <v>0.04</v>
      </c>
      <c r="D127" s="558">
        <v>0.01</v>
      </c>
      <c r="E127" s="558">
        <v>1.6E-2</v>
      </c>
      <c r="F127" s="558">
        <v>0.01</v>
      </c>
      <c r="G127" s="558">
        <v>0.02</v>
      </c>
      <c r="H127" s="558">
        <v>0.01</v>
      </c>
      <c r="I127" s="558">
        <v>7.0000000000000001E-3</v>
      </c>
      <c r="J127" s="558">
        <v>0.02</v>
      </c>
      <c r="K127" s="558">
        <v>0.01</v>
      </c>
      <c r="L127" s="558">
        <v>0.01</v>
      </c>
      <c r="M127" s="558">
        <v>0.01</v>
      </c>
      <c r="N127" s="605">
        <v>0.03</v>
      </c>
      <c r="O127" s="605">
        <v>0.04</v>
      </c>
      <c r="P127" s="605">
        <v>0.16</v>
      </c>
      <c r="Q127" s="605">
        <v>0.24</v>
      </c>
      <c r="R127" s="605">
        <v>0.01</v>
      </c>
      <c r="S127" s="605">
        <v>0.01</v>
      </c>
      <c r="T127" s="605">
        <v>0</v>
      </c>
      <c r="U127" s="605">
        <v>0.03</v>
      </c>
      <c r="V127" s="605">
        <v>0.04</v>
      </c>
      <c r="W127" s="605">
        <v>0.02</v>
      </c>
      <c r="X127" s="605">
        <v>0.01</v>
      </c>
      <c r="Y127" s="821">
        <v>7.0000000000000007E-2</v>
      </c>
      <c r="Z127" s="821">
        <v>0.04</v>
      </c>
      <c r="AA127" s="821">
        <v>0.04</v>
      </c>
      <c r="AB127" s="821">
        <v>0.03</v>
      </c>
      <c r="AC127" s="605">
        <v>0</v>
      </c>
    </row>
    <row r="128" spans="1:29" x14ac:dyDescent="0.25">
      <c r="A128" s="574">
        <v>3.7</v>
      </c>
      <c r="B128" s="558">
        <v>0</v>
      </c>
      <c r="C128" s="558">
        <v>0.04</v>
      </c>
      <c r="D128" s="558">
        <v>0.01</v>
      </c>
      <c r="E128" s="558">
        <v>1.2999999999999999E-2</v>
      </c>
      <c r="F128" s="558">
        <v>0.02</v>
      </c>
      <c r="G128" s="558">
        <v>0.01</v>
      </c>
      <c r="H128" s="558">
        <v>0.01</v>
      </c>
      <c r="I128" s="558">
        <v>8.0000000000000002E-3</v>
      </c>
      <c r="J128" s="558">
        <v>0.02</v>
      </c>
      <c r="K128" s="558">
        <v>0.01</v>
      </c>
      <c r="L128" s="558">
        <v>0.01</v>
      </c>
      <c r="M128" s="558">
        <v>0.01</v>
      </c>
      <c r="N128" s="605">
        <v>0.03</v>
      </c>
      <c r="O128" s="605">
        <v>0.2</v>
      </c>
      <c r="P128" s="605">
        <v>0.56000000000000005</v>
      </c>
      <c r="Q128" s="605">
        <v>0.93</v>
      </c>
      <c r="R128" s="605">
        <v>0.02</v>
      </c>
      <c r="S128" s="605">
        <v>0.01</v>
      </c>
      <c r="T128" s="605">
        <v>0.01</v>
      </c>
      <c r="U128" s="605">
        <v>0.02</v>
      </c>
      <c r="V128" s="605">
        <v>0.03</v>
      </c>
      <c r="W128" s="605">
        <v>0.02</v>
      </c>
      <c r="X128" s="605">
        <v>0.01</v>
      </c>
      <c r="Y128" s="821">
        <v>0.09</v>
      </c>
      <c r="Z128" s="821">
        <v>0.03</v>
      </c>
      <c r="AA128" s="821">
        <v>0.04</v>
      </c>
      <c r="AB128" s="821">
        <v>0.02</v>
      </c>
      <c r="AC128" s="605">
        <v>0</v>
      </c>
    </row>
    <row r="129" spans="1:29" x14ac:dyDescent="0.25">
      <c r="A129" s="574">
        <v>3.9</v>
      </c>
      <c r="B129" s="558">
        <v>0</v>
      </c>
      <c r="C129" s="558">
        <v>0.04</v>
      </c>
      <c r="D129" s="558">
        <v>0.01</v>
      </c>
      <c r="E129" s="558">
        <v>1.2E-2</v>
      </c>
      <c r="F129" s="558">
        <v>0.01</v>
      </c>
      <c r="G129" s="558">
        <v>0.01</v>
      </c>
      <c r="H129" s="558">
        <v>0.16</v>
      </c>
      <c r="I129" s="558">
        <v>5.0000000000000001E-3</v>
      </c>
      <c r="J129" s="558">
        <v>0.02</v>
      </c>
      <c r="K129" s="558">
        <v>0.01</v>
      </c>
      <c r="L129" s="558">
        <v>0</v>
      </c>
      <c r="M129" s="558">
        <v>0.01</v>
      </c>
      <c r="N129" s="605">
        <v>0.03</v>
      </c>
      <c r="O129" s="605">
        <v>0.28000000000000003</v>
      </c>
      <c r="P129" s="605">
        <v>0.74</v>
      </c>
      <c r="Q129" s="605">
        <v>1.37</v>
      </c>
      <c r="R129" s="605">
        <v>0.02</v>
      </c>
      <c r="S129" s="605">
        <v>0.01</v>
      </c>
      <c r="T129" s="605">
        <v>0</v>
      </c>
      <c r="U129" s="605">
        <v>0.02</v>
      </c>
      <c r="V129" s="605">
        <v>0.04</v>
      </c>
      <c r="W129" s="605">
        <v>0.01</v>
      </c>
      <c r="X129" s="605">
        <v>0.01</v>
      </c>
      <c r="Y129" s="821">
        <v>0.11</v>
      </c>
      <c r="Z129" s="821">
        <v>0.04</v>
      </c>
      <c r="AA129" s="821">
        <v>0.05</v>
      </c>
      <c r="AB129" s="821">
        <v>0.02</v>
      </c>
      <c r="AC129" s="605">
        <v>0</v>
      </c>
    </row>
    <row r="130" spans="1:29" x14ac:dyDescent="0.25">
      <c r="A130" s="574">
        <v>4.0999999999999996</v>
      </c>
      <c r="B130" s="558">
        <v>0</v>
      </c>
      <c r="C130" s="558">
        <v>0.03</v>
      </c>
      <c r="D130" s="558">
        <v>0</v>
      </c>
      <c r="E130" s="558">
        <v>1.2999999999999999E-2</v>
      </c>
      <c r="F130" s="558">
        <v>0.01</v>
      </c>
      <c r="G130" s="558">
        <v>0.01</v>
      </c>
      <c r="H130" s="558">
        <v>0.01</v>
      </c>
      <c r="I130" s="558">
        <v>8.9999999999999993E-3</v>
      </c>
      <c r="J130" s="558">
        <v>0.01</v>
      </c>
      <c r="K130" s="558">
        <v>0.01</v>
      </c>
      <c r="L130" s="558">
        <v>0.01</v>
      </c>
      <c r="M130" s="558">
        <v>0</v>
      </c>
      <c r="N130" s="605">
        <v>0.02</v>
      </c>
      <c r="O130" s="605">
        <v>0.31</v>
      </c>
      <c r="P130" s="605">
        <v>0.8</v>
      </c>
      <c r="Q130" s="605">
        <v>1.53</v>
      </c>
      <c r="R130" s="605">
        <v>0.01</v>
      </c>
      <c r="S130" s="605">
        <v>0.01</v>
      </c>
      <c r="T130" s="605">
        <v>0</v>
      </c>
      <c r="U130" s="605">
        <v>0.02</v>
      </c>
      <c r="V130" s="605">
        <v>0.03</v>
      </c>
      <c r="W130" s="605">
        <v>0.01</v>
      </c>
      <c r="X130" s="605">
        <v>0.01</v>
      </c>
      <c r="Y130" s="821">
        <v>7.0000000000000007E-2</v>
      </c>
      <c r="Z130" s="821">
        <v>0.04</v>
      </c>
      <c r="AA130" s="821">
        <v>0.05</v>
      </c>
      <c r="AB130" s="821">
        <v>0.02</v>
      </c>
      <c r="AC130" s="605">
        <v>0</v>
      </c>
    </row>
    <row r="131" spans="1:29" x14ac:dyDescent="0.25">
      <c r="A131" s="574">
        <v>4.3</v>
      </c>
      <c r="B131" s="558">
        <v>0</v>
      </c>
      <c r="C131" s="558">
        <v>0.04</v>
      </c>
      <c r="D131" s="558">
        <v>0</v>
      </c>
      <c r="E131" s="558">
        <v>1.2999999999999999E-2</v>
      </c>
      <c r="F131" s="558">
        <v>0.01</v>
      </c>
      <c r="G131" s="558">
        <v>0.01</v>
      </c>
      <c r="H131" s="558">
        <v>0</v>
      </c>
      <c r="I131" s="558">
        <v>0.01</v>
      </c>
      <c r="J131" s="558">
        <v>0.01</v>
      </c>
      <c r="K131" s="558">
        <v>0.01</v>
      </c>
      <c r="L131" s="558">
        <v>0.01</v>
      </c>
      <c r="M131" s="558">
        <v>0</v>
      </c>
      <c r="N131" s="605">
        <v>0.02</v>
      </c>
      <c r="O131" s="605">
        <v>0.03</v>
      </c>
      <c r="P131" s="605">
        <v>0.36</v>
      </c>
      <c r="Q131" s="605">
        <v>0.7</v>
      </c>
      <c r="R131" s="605">
        <v>0.01</v>
      </c>
      <c r="S131" s="605">
        <v>0.01</v>
      </c>
      <c r="T131" s="605">
        <v>0</v>
      </c>
      <c r="U131" s="605">
        <v>0.02</v>
      </c>
      <c r="V131" s="605">
        <v>0.03</v>
      </c>
      <c r="W131" s="605">
        <v>0.01</v>
      </c>
      <c r="X131" s="605">
        <v>0.01</v>
      </c>
      <c r="Y131" s="821">
        <v>0.02</v>
      </c>
      <c r="Z131" s="821">
        <v>0.03</v>
      </c>
      <c r="AA131" s="821">
        <v>0.05</v>
      </c>
      <c r="AB131" s="821">
        <v>0.02</v>
      </c>
      <c r="AC131" s="605">
        <v>0</v>
      </c>
    </row>
    <row r="132" spans="1:29" x14ac:dyDescent="0.25">
      <c r="A132" s="574">
        <v>4.5</v>
      </c>
      <c r="B132" s="558">
        <v>0</v>
      </c>
      <c r="C132" s="558">
        <v>0.03</v>
      </c>
      <c r="D132" s="558">
        <v>0</v>
      </c>
      <c r="E132" s="558">
        <v>1.4E-2</v>
      </c>
      <c r="F132" s="558">
        <v>0.01</v>
      </c>
      <c r="G132" s="558">
        <v>0.01</v>
      </c>
      <c r="H132" s="558">
        <v>0</v>
      </c>
      <c r="I132" s="558">
        <v>6.0000000000000001E-3</v>
      </c>
      <c r="J132" s="558">
        <v>0.01</v>
      </c>
      <c r="K132" s="558">
        <v>0.01</v>
      </c>
      <c r="L132" s="558">
        <v>0</v>
      </c>
      <c r="M132" s="558">
        <v>0</v>
      </c>
      <c r="N132" s="605">
        <v>0.02</v>
      </c>
      <c r="O132" s="605">
        <v>0.02</v>
      </c>
      <c r="P132" s="605">
        <v>0.35</v>
      </c>
      <c r="Q132" s="605">
        <v>0.54</v>
      </c>
      <c r="R132" s="605">
        <v>0.01</v>
      </c>
      <c r="S132" s="605">
        <v>0</v>
      </c>
      <c r="T132" s="605">
        <v>0</v>
      </c>
      <c r="U132" s="605">
        <v>0.01</v>
      </c>
      <c r="V132" s="605">
        <v>0.03</v>
      </c>
      <c r="W132" s="605">
        <v>0.01</v>
      </c>
      <c r="X132" s="605">
        <v>0.01</v>
      </c>
      <c r="Y132" s="821">
        <v>0.03</v>
      </c>
      <c r="Z132" s="821">
        <v>0.06</v>
      </c>
      <c r="AA132" s="821">
        <v>0.05</v>
      </c>
      <c r="AB132" s="821">
        <v>0.02</v>
      </c>
      <c r="AC132" s="605">
        <v>0</v>
      </c>
    </row>
    <row r="133" spans="1:29" x14ac:dyDescent="0.25">
      <c r="A133" s="574">
        <v>4.7</v>
      </c>
      <c r="B133" s="558">
        <v>0</v>
      </c>
      <c r="C133" s="558">
        <v>0.03</v>
      </c>
      <c r="D133" s="558">
        <v>0</v>
      </c>
      <c r="E133" s="558">
        <v>1.4E-2</v>
      </c>
      <c r="F133" s="558">
        <v>0.01</v>
      </c>
      <c r="G133" s="558">
        <v>0.01</v>
      </c>
      <c r="H133" s="558">
        <v>0.01</v>
      </c>
      <c r="I133" s="558">
        <v>6.0000000000000001E-3</v>
      </c>
      <c r="J133" s="558">
        <v>0.01</v>
      </c>
      <c r="K133" s="558">
        <v>0.01</v>
      </c>
      <c r="L133" s="558">
        <v>0</v>
      </c>
      <c r="M133" s="558">
        <v>0</v>
      </c>
      <c r="N133" s="605">
        <v>0.01</v>
      </c>
      <c r="O133" s="605">
        <v>0.02</v>
      </c>
      <c r="P133" s="605">
        <v>0.36</v>
      </c>
      <c r="Q133" s="605">
        <v>0.56999999999999995</v>
      </c>
      <c r="R133" s="605">
        <v>0.01</v>
      </c>
      <c r="S133" s="605">
        <v>0.01</v>
      </c>
      <c r="T133" s="605">
        <v>0</v>
      </c>
      <c r="U133" s="605">
        <v>0.01</v>
      </c>
      <c r="V133" s="605">
        <v>0.03</v>
      </c>
      <c r="W133" s="605">
        <v>0.01</v>
      </c>
      <c r="X133" s="605">
        <v>0.01</v>
      </c>
      <c r="Y133" s="821">
        <v>0.02</v>
      </c>
      <c r="Z133" s="821">
        <v>0.12</v>
      </c>
      <c r="AA133" s="821">
        <v>0.05</v>
      </c>
      <c r="AB133" s="821">
        <v>0.02</v>
      </c>
      <c r="AC133" s="605">
        <v>0</v>
      </c>
    </row>
    <row r="134" spans="1:29" x14ac:dyDescent="0.25">
      <c r="A134" s="574">
        <v>4.9000000000000004</v>
      </c>
      <c r="B134" s="558">
        <v>0</v>
      </c>
      <c r="C134" s="558">
        <v>0.03</v>
      </c>
      <c r="D134" s="558">
        <v>0</v>
      </c>
      <c r="E134" s="558">
        <v>1.2999999999999999E-2</v>
      </c>
      <c r="F134" s="558">
        <v>0.01</v>
      </c>
      <c r="G134" s="558">
        <v>0.02</v>
      </c>
      <c r="H134" s="558">
        <v>0.17</v>
      </c>
      <c r="I134" s="558">
        <v>8.0000000000000002E-3</v>
      </c>
      <c r="J134" s="558">
        <v>0.01</v>
      </c>
      <c r="K134" s="558">
        <v>0.01</v>
      </c>
      <c r="L134" s="558">
        <v>0</v>
      </c>
      <c r="M134" s="558">
        <v>0</v>
      </c>
      <c r="N134" s="605">
        <v>0.02</v>
      </c>
      <c r="O134" s="605">
        <v>0.02</v>
      </c>
      <c r="P134" s="605">
        <v>0.37</v>
      </c>
      <c r="Q134" s="605">
        <v>0.56000000000000005</v>
      </c>
      <c r="R134" s="605">
        <v>0.01</v>
      </c>
      <c r="S134" s="605">
        <v>0.01</v>
      </c>
      <c r="T134" s="605">
        <v>0</v>
      </c>
      <c r="U134" s="605">
        <v>0.01</v>
      </c>
      <c r="V134" s="605">
        <v>0.02</v>
      </c>
      <c r="W134" s="605">
        <v>0</v>
      </c>
      <c r="X134" s="605">
        <v>0.01</v>
      </c>
      <c r="Y134" s="821">
        <v>0.02</v>
      </c>
      <c r="Z134" s="821">
        <v>0.31</v>
      </c>
      <c r="AA134" s="821">
        <v>0.05</v>
      </c>
      <c r="AB134" s="821">
        <v>0.02</v>
      </c>
      <c r="AC134" s="605">
        <v>0</v>
      </c>
    </row>
    <row r="135" spans="1:29" x14ac:dyDescent="0.25">
      <c r="A135" s="574">
        <v>5.0999999999999996</v>
      </c>
      <c r="B135" s="558">
        <v>0</v>
      </c>
      <c r="C135" s="558">
        <v>0.03</v>
      </c>
      <c r="D135" s="558">
        <v>0</v>
      </c>
      <c r="E135" s="558">
        <v>1.4E-2</v>
      </c>
      <c r="F135" s="558">
        <v>0.01</v>
      </c>
      <c r="G135" s="558">
        <v>0.02</v>
      </c>
      <c r="H135" s="558">
        <v>0.01</v>
      </c>
      <c r="I135" s="558">
        <v>5.0000000000000001E-3</v>
      </c>
      <c r="J135" s="558">
        <v>0.01</v>
      </c>
      <c r="K135" s="558">
        <v>0.01</v>
      </c>
      <c r="L135" s="558">
        <v>0</v>
      </c>
      <c r="M135" s="558">
        <v>0</v>
      </c>
      <c r="N135" s="605">
        <v>0.02</v>
      </c>
      <c r="O135" s="605">
        <v>0.02</v>
      </c>
      <c r="P135" s="605">
        <v>0.36</v>
      </c>
      <c r="Q135" s="605">
        <v>0.46</v>
      </c>
      <c r="R135" s="605">
        <v>0.01</v>
      </c>
      <c r="S135" s="605">
        <v>0</v>
      </c>
      <c r="T135" s="605">
        <v>0</v>
      </c>
      <c r="U135" s="605">
        <v>0.01</v>
      </c>
      <c r="V135" s="605">
        <v>0.03</v>
      </c>
      <c r="W135" s="605">
        <v>0</v>
      </c>
      <c r="X135" s="605">
        <v>0.01</v>
      </c>
      <c r="Y135" s="821">
        <v>0.02</v>
      </c>
      <c r="Z135" s="821">
        <v>0.46</v>
      </c>
      <c r="AA135" s="821">
        <v>0.05</v>
      </c>
      <c r="AB135" s="821">
        <v>0.02</v>
      </c>
      <c r="AC135" s="605">
        <v>0</v>
      </c>
    </row>
    <row r="136" spans="1:29" x14ac:dyDescent="0.25">
      <c r="A136" s="574">
        <v>5.3</v>
      </c>
      <c r="B136" s="558">
        <v>0</v>
      </c>
      <c r="C136" s="558">
        <v>0.03</v>
      </c>
      <c r="D136" s="558">
        <v>0</v>
      </c>
      <c r="E136" s="558">
        <v>1.2999999999999999E-2</v>
      </c>
      <c r="F136" s="558">
        <v>0.1</v>
      </c>
      <c r="G136" s="558">
        <v>0.01</v>
      </c>
      <c r="H136" s="558">
        <v>0.01</v>
      </c>
      <c r="I136" s="558">
        <v>7.0000000000000001E-3</v>
      </c>
      <c r="J136" s="558">
        <v>0.01</v>
      </c>
      <c r="K136" s="558">
        <v>0.01</v>
      </c>
      <c r="L136" s="558">
        <v>0</v>
      </c>
      <c r="M136" s="558">
        <v>0</v>
      </c>
      <c r="N136" s="605">
        <v>0.01</v>
      </c>
      <c r="O136" s="605">
        <v>0.02</v>
      </c>
      <c r="P136" s="605">
        <v>0.31</v>
      </c>
      <c r="Q136" s="605">
        <v>0.4</v>
      </c>
      <c r="R136" s="605">
        <v>0.01</v>
      </c>
      <c r="S136" s="605">
        <v>0</v>
      </c>
      <c r="T136" s="605">
        <v>0</v>
      </c>
      <c r="U136" s="605">
        <v>0.01</v>
      </c>
      <c r="V136" s="605">
        <v>0.03</v>
      </c>
      <c r="W136" s="605">
        <v>0</v>
      </c>
      <c r="X136" s="605">
        <v>0.01</v>
      </c>
      <c r="Y136" s="821">
        <v>0.02</v>
      </c>
      <c r="Z136" s="821">
        <v>0.34</v>
      </c>
      <c r="AA136" s="821">
        <v>0.05</v>
      </c>
      <c r="AB136" s="821">
        <v>0.02</v>
      </c>
      <c r="AC136" s="605">
        <v>0</v>
      </c>
    </row>
    <row r="137" spans="1:29" x14ac:dyDescent="0.25">
      <c r="A137" s="574">
        <v>5.5</v>
      </c>
      <c r="B137" s="558">
        <v>0</v>
      </c>
      <c r="C137" s="558">
        <v>0.03</v>
      </c>
      <c r="D137" s="558">
        <v>0</v>
      </c>
      <c r="E137" s="558">
        <v>1.2999999999999999E-2</v>
      </c>
      <c r="F137" s="558">
        <v>0.01</v>
      </c>
      <c r="G137" s="558">
        <v>0.02</v>
      </c>
      <c r="H137" s="558">
        <v>0</v>
      </c>
      <c r="I137" s="558">
        <v>5.0000000000000001E-3</v>
      </c>
      <c r="J137" s="558">
        <v>0.01</v>
      </c>
      <c r="K137" s="558">
        <v>0.01</v>
      </c>
      <c r="L137" s="558">
        <v>0</v>
      </c>
      <c r="M137" s="558">
        <v>0</v>
      </c>
      <c r="N137" s="605">
        <v>0.01</v>
      </c>
      <c r="O137" s="605">
        <v>0.02</v>
      </c>
      <c r="P137" s="605">
        <v>0.3</v>
      </c>
      <c r="Q137" s="605">
        <v>0.37</v>
      </c>
      <c r="R137" s="605">
        <v>0.01</v>
      </c>
      <c r="S137" s="605">
        <v>0</v>
      </c>
      <c r="T137" s="605">
        <v>0</v>
      </c>
      <c r="U137" s="605">
        <v>0.01</v>
      </c>
      <c r="V137" s="605">
        <v>0.02</v>
      </c>
      <c r="W137" s="605">
        <v>0</v>
      </c>
      <c r="X137" s="605">
        <v>0.01</v>
      </c>
      <c r="Y137" s="821">
        <v>0.02</v>
      </c>
      <c r="Z137" s="821">
        <v>0.19</v>
      </c>
      <c r="AA137" s="821">
        <v>0.05</v>
      </c>
      <c r="AB137" s="821">
        <v>0.02</v>
      </c>
      <c r="AC137" s="605">
        <v>0</v>
      </c>
    </row>
    <row r="138" spans="1:29" x14ac:dyDescent="0.25">
      <c r="A138" s="574">
        <v>5.7</v>
      </c>
      <c r="B138" s="558">
        <v>0</v>
      </c>
      <c r="C138" s="558">
        <v>0.03</v>
      </c>
      <c r="D138" s="558">
        <v>0</v>
      </c>
      <c r="E138" s="558">
        <v>1.2999999999999999E-2</v>
      </c>
      <c r="F138" s="558">
        <v>0.01</v>
      </c>
      <c r="G138" s="558">
        <v>0.02</v>
      </c>
      <c r="H138" s="558">
        <v>0.01</v>
      </c>
      <c r="I138" s="558">
        <v>5.0000000000000001E-3</v>
      </c>
      <c r="J138" s="558">
        <v>0.01</v>
      </c>
      <c r="K138" s="558">
        <v>0.01</v>
      </c>
      <c r="L138" s="558">
        <v>0</v>
      </c>
      <c r="M138" s="558">
        <v>0</v>
      </c>
      <c r="N138" s="605">
        <v>0.01</v>
      </c>
      <c r="O138" s="605">
        <v>0.02</v>
      </c>
      <c r="P138" s="605">
        <v>0.26</v>
      </c>
      <c r="Q138" s="605">
        <v>0.36</v>
      </c>
      <c r="R138" s="605">
        <v>0.01</v>
      </c>
      <c r="S138" s="605">
        <v>0</v>
      </c>
      <c r="T138" s="605">
        <v>0</v>
      </c>
      <c r="U138" s="605">
        <v>0.01</v>
      </c>
      <c r="V138" s="605">
        <v>0.02</v>
      </c>
      <c r="W138" s="605">
        <v>0</v>
      </c>
      <c r="X138" s="605">
        <v>0.01</v>
      </c>
      <c r="Y138" s="821">
        <v>0.04</v>
      </c>
      <c r="Z138" s="821">
        <v>0.1</v>
      </c>
      <c r="AA138" s="821">
        <v>0.05</v>
      </c>
      <c r="AB138" s="821">
        <v>0.02</v>
      </c>
      <c r="AC138" s="605">
        <v>0</v>
      </c>
    </row>
    <row r="139" spans="1:29" x14ac:dyDescent="0.25">
      <c r="A139" s="574">
        <v>5.9</v>
      </c>
      <c r="B139" s="558">
        <v>0</v>
      </c>
      <c r="C139" s="558">
        <v>0.04</v>
      </c>
      <c r="D139" s="558">
        <v>0</v>
      </c>
      <c r="E139" s="558">
        <v>1.2999999999999999E-2</v>
      </c>
      <c r="F139" s="558">
        <v>0.01</v>
      </c>
      <c r="G139" s="558">
        <v>0.01</v>
      </c>
      <c r="H139" s="558">
        <v>0.19</v>
      </c>
      <c r="I139" s="558">
        <v>5.0000000000000001E-3</v>
      </c>
      <c r="J139" s="558">
        <v>0.01</v>
      </c>
      <c r="K139" s="558">
        <v>0.01</v>
      </c>
      <c r="L139" s="558">
        <v>0</v>
      </c>
      <c r="M139" s="558">
        <v>0</v>
      </c>
      <c r="N139" s="605">
        <v>0</v>
      </c>
      <c r="O139" s="605">
        <v>0.02</v>
      </c>
      <c r="P139" s="605">
        <v>0.25</v>
      </c>
      <c r="Q139" s="605">
        <v>0.37</v>
      </c>
      <c r="R139" s="605">
        <v>0.01</v>
      </c>
      <c r="S139" s="605">
        <v>0</v>
      </c>
      <c r="T139" s="605">
        <v>0</v>
      </c>
      <c r="U139" s="605">
        <v>0.01</v>
      </c>
      <c r="V139" s="605">
        <v>0.02</v>
      </c>
      <c r="W139" s="605">
        <v>0</v>
      </c>
      <c r="X139" s="605">
        <v>0.01</v>
      </c>
      <c r="Y139" s="821">
        <v>0.03</v>
      </c>
      <c r="Z139" s="821">
        <v>0.05</v>
      </c>
      <c r="AA139" s="821">
        <v>0.04</v>
      </c>
      <c r="AB139" s="821">
        <v>0.02</v>
      </c>
      <c r="AC139" s="605">
        <v>0</v>
      </c>
    </row>
    <row r="140" spans="1:29" x14ac:dyDescent="0.25">
      <c r="A140" s="574">
        <v>6.1</v>
      </c>
      <c r="B140" s="558">
        <v>0</v>
      </c>
      <c r="C140" s="558">
        <v>0.04</v>
      </c>
      <c r="D140" s="558">
        <v>0</v>
      </c>
      <c r="E140" s="558">
        <v>1.4E-2</v>
      </c>
      <c r="F140" s="558">
        <v>0.01</v>
      </c>
      <c r="G140" s="558">
        <v>0.03</v>
      </c>
      <c r="H140" s="558">
        <v>0.01</v>
      </c>
      <c r="I140" s="558">
        <v>5.0000000000000001E-3</v>
      </c>
      <c r="J140" s="558">
        <v>0.01</v>
      </c>
      <c r="K140" s="558">
        <v>0.01</v>
      </c>
      <c r="L140" s="558">
        <v>0</v>
      </c>
      <c r="M140" s="558">
        <v>0</v>
      </c>
      <c r="N140" s="605">
        <v>0</v>
      </c>
      <c r="O140" s="605">
        <v>0.03</v>
      </c>
      <c r="P140" s="605">
        <v>0.25</v>
      </c>
      <c r="Q140" s="605">
        <v>0.37</v>
      </c>
      <c r="R140" s="605">
        <v>0.01</v>
      </c>
      <c r="S140" s="605">
        <v>0</v>
      </c>
      <c r="T140" s="605">
        <v>0</v>
      </c>
      <c r="U140" s="605">
        <v>0.01</v>
      </c>
      <c r="V140" s="605">
        <v>0.02</v>
      </c>
      <c r="W140" s="605">
        <v>0</v>
      </c>
      <c r="X140" s="605">
        <v>0.01</v>
      </c>
      <c r="Y140" s="821">
        <v>0.02</v>
      </c>
      <c r="Z140" s="821">
        <v>0.03</v>
      </c>
      <c r="AA140" s="821">
        <v>0.04</v>
      </c>
      <c r="AB140" s="821">
        <v>0.01</v>
      </c>
      <c r="AC140" s="605">
        <v>0</v>
      </c>
    </row>
    <row r="141" spans="1:29" x14ac:dyDescent="0.25">
      <c r="A141" s="574">
        <v>6.3</v>
      </c>
      <c r="B141" s="558">
        <v>0</v>
      </c>
      <c r="C141" s="558">
        <v>0.04</v>
      </c>
      <c r="D141" s="558">
        <v>0</v>
      </c>
      <c r="E141" s="558">
        <v>1.2999999999999999E-2</v>
      </c>
      <c r="F141" s="558">
        <v>0.01</v>
      </c>
      <c r="G141" s="558">
        <v>0.02</v>
      </c>
      <c r="H141" s="558">
        <v>0.01</v>
      </c>
      <c r="I141" s="558">
        <v>6.0000000000000001E-3</v>
      </c>
      <c r="J141" s="558">
        <v>0.01</v>
      </c>
      <c r="K141" s="558">
        <v>0.01</v>
      </c>
      <c r="L141" s="558">
        <v>0</v>
      </c>
      <c r="M141" s="558">
        <v>0</v>
      </c>
      <c r="N141" s="605">
        <v>0</v>
      </c>
      <c r="O141" s="605">
        <v>0.04</v>
      </c>
      <c r="P141" s="605">
        <v>0.25</v>
      </c>
      <c r="Q141" s="605">
        <v>0.36</v>
      </c>
      <c r="R141" s="605">
        <v>0.01</v>
      </c>
      <c r="S141" s="605">
        <v>0</v>
      </c>
      <c r="T141" s="605">
        <v>0</v>
      </c>
      <c r="U141" s="605">
        <v>0.01</v>
      </c>
      <c r="V141" s="605">
        <v>0.02</v>
      </c>
      <c r="W141" s="605">
        <v>0</v>
      </c>
      <c r="X141" s="605">
        <v>0.01</v>
      </c>
      <c r="Y141" s="821">
        <v>0.03</v>
      </c>
      <c r="Z141" s="821">
        <v>0.02</v>
      </c>
      <c r="AA141" s="821">
        <v>0.04</v>
      </c>
      <c r="AB141" s="821">
        <v>0.01</v>
      </c>
      <c r="AC141" s="605">
        <v>0</v>
      </c>
    </row>
    <row r="142" spans="1:29" x14ac:dyDescent="0.25">
      <c r="A142" s="574">
        <v>6.5</v>
      </c>
      <c r="B142" s="558">
        <v>0</v>
      </c>
      <c r="C142" s="558">
        <v>0.04</v>
      </c>
      <c r="D142" s="558">
        <v>0</v>
      </c>
      <c r="E142" s="558">
        <v>1.2999999999999999E-2</v>
      </c>
      <c r="F142" s="558">
        <v>0.01</v>
      </c>
      <c r="G142" s="558">
        <v>0.02</v>
      </c>
      <c r="H142" s="558">
        <v>0</v>
      </c>
      <c r="I142" s="558">
        <v>6.0000000000000001E-3</v>
      </c>
      <c r="J142" s="558">
        <v>0.01</v>
      </c>
      <c r="K142" s="558">
        <v>0.01</v>
      </c>
      <c r="L142" s="558">
        <v>0</v>
      </c>
      <c r="M142" s="558">
        <v>0</v>
      </c>
      <c r="N142" s="605">
        <v>0</v>
      </c>
      <c r="O142" s="605">
        <v>0.03</v>
      </c>
      <c r="P142" s="605">
        <v>0.25</v>
      </c>
      <c r="Q142" s="605">
        <v>0.34</v>
      </c>
      <c r="R142" s="605">
        <v>0.01</v>
      </c>
      <c r="S142" s="605">
        <v>0</v>
      </c>
      <c r="T142" s="605">
        <v>0</v>
      </c>
      <c r="U142" s="605">
        <v>0.01</v>
      </c>
      <c r="V142" s="605">
        <v>0.02</v>
      </c>
      <c r="W142" s="605">
        <v>0</v>
      </c>
      <c r="X142" s="605">
        <v>0.01</v>
      </c>
      <c r="Y142" s="821">
        <v>0.03</v>
      </c>
      <c r="Z142" s="821">
        <v>0.03</v>
      </c>
      <c r="AA142" s="821">
        <v>0.04</v>
      </c>
      <c r="AB142" s="821">
        <v>0.01</v>
      </c>
      <c r="AC142" s="605">
        <v>0</v>
      </c>
    </row>
    <row r="143" spans="1:29" x14ac:dyDescent="0.25">
      <c r="A143" s="574">
        <v>6.7</v>
      </c>
      <c r="B143" s="558">
        <v>0</v>
      </c>
      <c r="C143" s="558">
        <v>0.05</v>
      </c>
      <c r="D143" s="558">
        <v>0</v>
      </c>
      <c r="E143" s="558">
        <v>1.2999999999999999E-2</v>
      </c>
      <c r="F143" s="558">
        <v>0.01</v>
      </c>
      <c r="G143" s="558">
        <v>0.02</v>
      </c>
      <c r="H143" s="558">
        <v>0.01</v>
      </c>
      <c r="I143" s="558">
        <v>4.0000000000000001E-3</v>
      </c>
      <c r="J143" s="558">
        <v>0.01</v>
      </c>
      <c r="K143" s="558">
        <v>0.01</v>
      </c>
      <c r="L143" s="558">
        <v>0</v>
      </c>
      <c r="M143" s="558">
        <v>0</v>
      </c>
      <c r="N143" s="605">
        <v>0</v>
      </c>
      <c r="O143" s="605">
        <v>0.04</v>
      </c>
      <c r="P143" s="605">
        <v>0.23</v>
      </c>
      <c r="Q143" s="605">
        <v>0.28999999999999998</v>
      </c>
      <c r="R143" s="605">
        <v>0.01</v>
      </c>
      <c r="S143" s="605">
        <v>0</v>
      </c>
      <c r="T143" s="605">
        <v>0</v>
      </c>
      <c r="U143" s="605">
        <v>0.01</v>
      </c>
      <c r="V143" s="605">
        <v>0.01</v>
      </c>
      <c r="W143" s="605">
        <v>0</v>
      </c>
      <c r="X143" s="605">
        <v>0.01</v>
      </c>
      <c r="Y143" s="821">
        <v>0.06</v>
      </c>
      <c r="Z143" s="821">
        <v>0.05</v>
      </c>
      <c r="AA143" s="821">
        <v>0.03</v>
      </c>
      <c r="AB143" s="821">
        <v>0.01</v>
      </c>
      <c r="AC143" s="605">
        <v>0</v>
      </c>
    </row>
    <row r="144" spans="1:29" x14ac:dyDescent="0.25">
      <c r="A144" s="574">
        <v>6.9</v>
      </c>
      <c r="B144" s="558">
        <v>0</v>
      </c>
      <c r="C144" s="558">
        <v>0.05</v>
      </c>
      <c r="D144" s="558">
        <v>0</v>
      </c>
      <c r="E144" s="558">
        <v>0.12</v>
      </c>
      <c r="F144" s="558">
        <v>0.01</v>
      </c>
      <c r="G144" s="558">
        <v>0.02</v>
      </c>
      <c r="H144" s="558">
        <v>0.19</v>
      </c>
      <c r="I144" s="558">
        <v>5.0000000000000001E-3</v>
      </c>
      <c r="J144" s="558">
        <v>0.01</v>
      </c>
      <c r="K144" s="558">
        <v>0.01</v>
      </c>
      <c r="L144" s="558">
        <v>0</v>
      </c>
      <c r="M144" s="558">
        <v>0</v>
      </c>
      <c r="N144" s="605">
        <v>0</v>
      </c>
      <c r="O144" s="605">
        <v>0.04</v>
      </c>
      <c r="P144" s="605">
        <v>0.22</v>
      </c>
      <c r="Q144" s="605">
        <v>0.24</v>
      </c>
      <c r="R144" s="605">
        <v>0.01</v>
      </c>
      <c r="S144" s="605">
        <v>0</v>
      </c>
      <c r="T144" s="605">
        <v>0</v>
      </c>
      <c r="U144" s="605">
        <v>0.01</v>
      </c>
      <c r="V144" s="605">
        <v>0.01</v>
      </c>
      <c r="W144" s="605">
        <v>0</v>
      </c>
      <c r="X144" s="605">
        <v>0.01</v>
      </c>
      <c r="Y144" s="821">
        <v>0.04</v>
      </c>
      <c r="Z144" s="821">
        <v>0.03</v>
      </c>
      <c r="AA144" s="821">
        <v>0.03</v>
      </c>
      <c r="AB144" s="821">
        <v>0.01</v>
      </c>
      <c r="AC144" s="605">
        <v>0</v>
      </c>
    </row>
    <row r="145" spans="1:29" x14ac:dyDescent="0.25">
      <c r="A145" s="574">
        <v>7.1</v>
      </c>
      <c r="B145" s="558">
        <v>0</v>
      </c>
      <c r="C145" s="558">
        <v>0.05</v>
      </c>
      <c r="D145" s="558">
        <v>0</v>
      </c>
      <c r="E145" s="558">
        <v>1.2999999999999999E-2</v>
      </c>
      <c r="F145" s="558">
        <v>0.01</v>
      </c>
      <c r="G145" s="558">
        <v>0.01</v>
      </c>
      <c r="H145" s="558">
        <v>0.02</v>
      </c>
      <c r="I145" s="558">
        <v>5.0000000000000001E-3</v>
      </c>
      <c r="J145" s="558">
        <v>0.01</v>
      </c>
      <c r="K145" s="558">
        <v>0.01</v>
      </c>
      <c r="L145" s="558">
        <v>0</v>
      </c>
      <c r="M145" s="558">
        <v>0</v>
      </c>
      <c r="N145" s="605">
        <v>0</v>
      </c>
      <c r="O145" s="605">
        <v>0.04</v>
      </c>
      <c r="P145" s="605">
        <v>0.22</v>
      </c>
      <c r="Q145" s="605">
        <v>0.17</v>
      </c>
      <c r="R145" s="605">
        <v>0.01</v>
      </c>
      <c r="S145" s="605">
        <v>0</v>
      </c>
      <c r="T145" s="605">
        <v>0</v>
      </c>
      <c r="U145" s="605">
        <v>0.01</v>
      </c>
      <c r="V145" s="605">
        <v>0.01</v>
      </c>
      <c r="W145" s="605">
        <v>0</v>
      </c>
      <c r="X145" s="605">
        <v>0.01</v>
      </c>
      <c r="Y145" s="821">
        <v>0.03</v>
      </c>
      <c r="Z145" s="821">
        <v>0.02</v>
      </c>
      <c r="AA145" s="821">
        <v>0.03</v>
      </c>
      <c r="AB145" s="821">
        <v>0.01</v>
      </c>
      <c r="AC145" s="605">
        <v>0</v>
      </c>
    </row>
    <row r="146" spans="1:29" x14ac:dyDescent="0.25">
      <c r="A146" s="574">
        <v>7.3</v>
      </c>
      <c r="B146" s="558">
        <v>0</v>
      </c>
      <c r="C146" s="558">
        <v>0.05</v>
      </c>
      <c r="D146" s="558">
        <v>0</v>
      </c>
      <c r="E146" s="558">
        <v>1.4E-2</v>
      </c>
      <c r="F146" s="558">
        <v>0.01</v>
      </c>
      <c r="G146" s="558">
        <v>0.02</v>
      </c>
      <c r="H146" s="558">
        <v>0.01</v>
      </c>
      <c r="I146" s="558">
        <v>5.0000000000000001E-3</v>
      </c>
      <c r="J146" s="558">
        <v>0.01</v>
      </c>
      <c r="K146" s="558">
        <v>0.01</v>
      </c>
      <c r="L146" s="558">
        <v>0</v>
      </c>
      <c r="M146" s="558">
        <v>0</v>
      </c>
      <c r="N146" s="605">
        <v>0</v>
      </c>
      <c r="O146" s="605">
        <v>0.05</v>
      </c>
      <c r="P146" s="605">
        <v>0.2</v>
      </c>
      <c r="Q146" s="605">
        <v>0.14000000000000001</v>
      </c>
      <c r="R146" s="605">
        <v>0.01</v>
      </c>
      <c r="S146" s="605">
        <v>0</v>
      </c>
      <c r="T146" s="605">
        <v>0</v>
      </c>
      <c r="U146" s="605">
        <v>0.01</v>
      </c>
      <c r="V146" s="605">
        <v>0.01</v>
      </c>
      <c r="W146" s="605">
        <v>0</v>
      </c>
      <c r="X146" s="605">
        <v>0.01</v>
      </c>
      <c r="Y146" s="821">
        <v>0.02</v>
      </c>
      <c r="Z146" s="821">
        <v>0.02</v>
      </c>
      <c r="AA146" s="821">
        <v>0.03</v>
      </c>
      <c r="AB146" s="821">
        <v>0.01</v>
      </c>
      <c r="AC146" s="605">
        <v>0</v>
      </c>
    </row>
    <row r="147" spans="1:29" x14ac:dyDescent="0.25">
      <c r="A147" s="574">
        <v>7.5</v>
      </c>
      <c r="B147" s="558">
        <v>0</v>
      </c>
      <c r="C147" s="558">
        <v>0.05</v>
      </c>
      <c r="D147" s="558">
        <v>0</v>
      </c>
      <c r="E147" s="558">
        <v>1.4E-2</v>
      </c>
      <c r="F147" s="558">
        <v>0.01</v>
      </c>
      <c r="G147" s="558">
        <v>0.01</v>
      </c>
      <c r="H147" s="558">
        <v>0</v>
      </c>
      <c r="I147" s="558">
        <v>5.0000000000000001E-3</v>
      </c>
      <c r="J147" s="558">
        <v>0.01</v>
      </c>
      <c r="K147" s="558">
        <v>0.01</v>
      </c>
      <c r="L147" s="558">
        <v>0</v>
      </c>
      <c r="M147" s="558">
        <v>0</v>
      </c>
      <c r="N147" s="605">
        <v>0</v>
      </c>
      <c r="O147" s="605">
        <v>0.05</v>
      </c>
      <c r="P147" s="605">
        <v>0.17</v>
      </c>
      <c r="Q147" s="605">
        <v>0.13</v>
      </c>
      <c r="R147" s="605">
        <v>0.01</v>
      </c>
      <c r="S147" s="605">
        <v>0</v>
      </c>
      <c r="T147" s="605">
        <v>0</v>
      </c>
      <c r="U147" s="605">
        <v>0.01</v>
      </c>
      <c r="V147" s="605">
        <v>0.01</v>
      </c>
      <c r="W147" s="605">
        <v>0</v>
      </c>
      <c r="X147" s="605">
        <v>0.01</v>
      </c>
      <c r="Y147" s="821">
        <v>0.02</v>
      </c>
      <c r="Z147" s="821">
        <v>0.02</v>
      </c>
      <c r="AA147" s="821">
        <v>0.04</v>
      </c>
      <c r="AB147" s="821">
        <v>0.01</v>
      </c>
      <c r="AC147" s="605">
        <v>0</v>
      </c>
    </row>
    <row r="148" spans="1:29" x14ac:dyDescent="0.25">
      <c r="A148" s="574">
        <v>7.7</v>
      </c>
      <c r="B148" s="558">
        <v>0</v>
      </c>
      <c r="C148" s="558">
        <v>0.05</v>
      </c>
      <c r="D148" s="558">
        <v>0</v>
      </c>
      <c r="E148" s="558">
        <v>1.4E-2</v>
      </c>
      <c r="F148" s="558">
        <v>0.01</v>
      </c>
      <c r="G148" s="558">
        <v>0.01</v>
      </c>
      <c r="H148" s="558">
        <v>0.01</v>
      </c>
      <c r="I148" s="558">
        <v>5.0000000000000001E-3</v>
      </c>
      <c r="J148" s="558">
        <v>0.01</v>
      </c>
      <c r="K148" s="558">
        <v>0.01</v>
      </c>
      <c r="L148" s="558">
        <v>0</v>
      </c>
      <c r="M148" s="558">
        <v>0</v>
      </c>
      <c r="N148" s="605">
        <v>0</v>
      </c>
      <c r="O148" s="605">
        <v>0.08</v>
      </c>
      <c r="P148" s="605">
        <v>0.2</v>
      </c>
      <c r="Q148" s="605">
        <v>0.22</v>
      </c>
      <c r="R148" s="605">
        <v>0.01</v>
      </c>
      <c r="S148" s="605">
        <v>0</v>
      </c>
      <c r="T148" s="605">
        <v>0</v>
      </c>
      <c r="U148" s="605">
        <v>0.01</v>
      </c>
      <c r="V148" s="605">
        <v>0.01</v>
      </c>
      <c r="W148" s="605">
        <v>0</v>
      </c>
      <c r="X148" s="605">
        <v>0.01</v>
      </c>
      <c r="Y148" s="821">
        <v>0.02</v>
      </c>
      <c r="Z148" s="821">
        <v>0.02</v>
      </c>
      <c r="AA148" s="821">
        <v>0.04</v>
      </c>
      <c r="AB148" s="821">
        <v>0.01</v>
      </c>
      <c r="AC148" s="605">
        <v>0</v>
      </c>
    </row>
    <row r="149" spans="1:29" x14ac:dyDescent="0.25">
      <c r="A149" s="574">
        <v>7.9</v>
      </c>
      <c r="B149" s="558">
        <v>0</v>
      </c>
      <c r="C149" s="558">
        <v>0.04</v>
      </c>
      <c r="D149" s="558">
        <v>0</v>
      </c>
      <c r="E149" s="558">
        <v>1.4E-2</v>
      </c>
      <c r="F149" s="558">
        <v>0.01</v>
      </c>
      <c r="G149" s="558">
        <v>0.01</v>
      </c>
      <c r="H149" s="558">
        <v>0.19</v>
      </c>
      <c r="I149" s="558">
        <v>6.0000000000000001E-3</v>
      </c>
      <c r="J149" s="558">
        <v>0.01</v>
      </c>
      <c r="K149" s="558">
        <v>0.01</v>
      </c>
      <c r="L149" s="558">
        <v>0</v>
      </c>
      <c r="M149" s="558">
        <v>0</v>
      </c>
      <c r="N149" s="605">
        <v>0</v>
      </c>
      <c r="O149" s="605">
        <v>0.11</v>
      </c>
      <c r="P149" s="605">
        <v>0.21</v>
      </c>
      <c r="Q149" s="605">
        <v>0.28000000000000003</v>
      </c>
      <c r="R149" s="605">
        <v>0.01</v>
      </c>
      <c r="S149" s="605">
        <v>0</v>
      </c>
      <c r="T149" s="605">
        <v>0</v>
      </c>
      <c r="U149" s="605">
        <v>0.01</v>
      </c>
      <c r="V149" s="605">
        <v>0.02</v>
      </c>
      <c r="W149" s="605">
        <v>0</v>
      </c>
      <c r="X149" s="605">
        <v>0.01</v>
      </c>
      <c r="Y149" s="821">
        <v>0.02</v>
      </c>
      <c r="Z149" s="821">
        <v>0.02</v>
      </c>
      <c r="AA149" s="821">
        <v>0.08</v>
      </c>
      <c r="AB149" s="821">
        <v>0.01</v>
      </c>
      <c r="AC149" s="605">
        <v>0</v>
      </c>
    </row>
    <row r="150" spans="1:29" x14ac:dyDescent="0.25">
      <c r="A150" s="574">
        <v>8.1</v>
      </c>
      <c r="B150" s="558">
        <v>0</v>
      </c>
      <c r="C150" s="558">
        <v>0.03</v>
      </c>
      <c r="D150" s="558">
        <v>0</v>
      </c>
      <c r="E150" s="558">
        <v>1.4E-2</v>
      </c>
      <c r="F150" s="558">
        <v>0.01</v>
      </c>
      <c r="G150" s="558">
        <v>0.01</v>
      </c>
      <c r="H150" s="558">
        <v>0.02</v>
      </c>
      <c r="I150" s="558">
        <v>4.0000000000000001E-3</v>
      </c>
      <c r="J150" s="558">
        <v>0.01</v>
      </c>
      <c r="K150" s="558">
        <v>0.01</v>
      </c>
      <c r="L150" s="558">
        <v>0</v>
      </c>
      <c r="M150" s="558">
        <v>0</v>
      </c>
      <c r="N150" s="605">
        <v>0</v>
      </c>
      <c r="O150" s="605">
        <v>0.08</v>
      </c>
      <c r="P150" s="605">
        <v>0.15</v>
      </c>
      <c r="Q150" s="605">
        <v>0.2</v>
      </c>
      <c r="R150" s="605">
        <v>0.01</v>
      </c>
      <c r="S150" s="605">
        <v>0</v>
      </c>
      <c r="T150" s="605">
        <v>0</v>
      </c>
      <c r="U150" s="605">
        <v>0.01</v>
      </c>
      <c r="V150" s="605">
        <v>0.02</v>
      </c>
      <c r="W150" s="605">
        <v>0</v>
      </c>
      <c r="X150" s="605">
        <v>0.01</v>
      </c>
      <c r="Y150" s="821">
        <v>0.02</v>
      </c>
      <c r="Z150" s="821">
        <v>0.02</v>
      </c>
      <c r="AA150" s="821">
        <v>7.0000000000000007E-2</v>
      </c>
      <c r="AB150" s="821">
        <v>0.01</v>
      </c>
      <c r="AC150" s="605">
        <v>0</v>
      </c>
    </row>
    <row r="151" spans="1:29" x14ac:dyDescent="0.25">
      <c r="A151" s="574">
        <v>8.3000000000000007</v>
      </c>
      <c r="B151" s="558">
        <v>0</v>
      </c>
      <c r="C151" s="558">
        <v>0.03</v>
      </c>
      <c r="D151" s="558">
        <v>0</v>
      </c>
      <c r="E151" s="558">
        <v>1.2999999999999999E-2</v>
      </c>
      <c r="F151" s="558">
        <v>0.01</v>
      </c>
      <c r="G151" s="558">
        <v>0.01</v>
      </c>
      <c r="H151" s="558">
        <v>0.01</v>
      </c>
      <c r="I151" s="558">
        <v>5.0000000000000001E-3</v>
      </c>
      <c r="J151" s="558">
        <v>0.01</v>
      </c>
      <c r="K151" s="558">
        <v>0.01</v>
      </c>
      <c r="L151" s="558">
        <v>0</v>
      </c>
      <c r="M151" s="558">
        <v>0</v>
      </c>
      <c r="N151" s="605">
        <v>0</v>
      </c>
      <c r="O151" s="605">
        <v>0.06</v>
      </c>
      <c r="P151" s="605">
        <v>0.1</v>
      </c>
      <c r="Q151" s="605">
        <v>0.12</v>
      </c>
      <c r="R151" s="605">
        <v>0.01</v>
      </c>
      <c r="S151" s="605">
        <v>0</v>
      </c>
      <c r="T151" s="605">
        <v>0</v>
      </c>
      <c r="U151" s="605">
        <v>0.01</v>
      </c>
      <c r="V151" s="605">
        <v>0.01</v>
      </c>
      <c r="W151" s="605">
        <v>0</v>
      </c>
      <c r="X151" s="605">
        <v>0.01</v>
      </c>
      <c r="Y151" s="821">
        <v>0.02</v>
      </c>
      <c r="Z151" s="821">
        <v>0.02</v>
      </c>
      <c r="AA151" s="821">
        <v>0.04</v>
      </c>
      <c r="AB151" s="821">
        <v>0.01</v>
      </c>
      <c r="AC151" s="605">
        <v>0</v>
      </c>
    </row>
    <row r="152" spans="1:29" x14ac:dyDescent="0.25">
      <c r="A152" s="574">
        <v>8.5</v>
      </c>
      <c r="B152" s="558">
        <v>0</v>
      </c>
      <c r="C152" s="558">
        <v>0.03</v>
      </c>
      <c r="D152" s="558">
        <v>0</v>
      </c>
      <c r="E152" s="558">
        <v>1.2999999999999999E-2</v>
      </c>
      <c r="F152" s="558">
        <v>0.01</v>
      </c>
      <c r="G152" s="558">
        <v>0.01</v>
      </c>
      <c r="H152" s="558">
        <v>0.01</v>
      </c>
      <c r="I152" s="558">
        <v>7.0000000000000001E-3</v>
      </c>
      <c r="J152" s="558">
        <v>0.01</v>
      </c>
      <c r="K152" s="558">
        <v>0.01</v>
      </c>
      <c r="L152" s="558">
        <v>0</v>
      </c>
      <c r="M152" s="558">
        <v>0</v>
      </c>
      <c r="N152" s="605">
        <v>0</v>
      </c>
      <c r="O152" s="605">
        <v>0.05</v>
      </c>
      <c r="P152" s="605">
        <v>7.0000000000000007E-2</v>
      </c>
      <c r="Q152" s="605">
        <v>0.13</v>
      </c>
      <c r="R152" s="605">
        <v>0.01</v>
      </c>
      <c r="S152" s="605">
        <v>0</v>
      </c>
      <c r="T152" s="605">
        <v>0</v>
      </c>
      <c r="U152" s="605">
        <v>0.01</v>
      </c>
      <c r="V152" s="605">
        <v>0.01</v>
      </c>
      <c r="W152" s="605">
        <v>0</v>
      </c>
      <c r="X152" s="605">
        <v>0.01</v>
      </c>
      <c r="Y152" s="821">
        <v>0.05</v>
      </c>
      <c r="Z152" s="821">
        <v>0.03</v>
      </c>
      <c r="AA152" s="821">
        <v>0.03</v>
      </c>
      <c r="AB152" s="821">
        <v>0.01</v>
      </c>
      <c r="AC152" s="605">
        <v>0</v>
      </c>
    </row>
    <row r="153" spans="1:29" x14ac:dyDescent="0.25">
      <c r="A153" s="574">
        <v>8.6999999999999993</v>
      </c>
      <c r="B153" s="558">
        <v>0</v>
      </c>
      <c r="C153" s="558">
        <v>0.03</v>
      </c>
      <c r="D153" s="558">
        <v>0</v>
      </c>
      <c r="E153" s="558">
        <v>1.2999999999999999E-2</v>
      </c>
      <c r="F153" s="558">
        <v>0.01</v>
      </c>
      <c r="G153" s="558">
        <v>0</v>
      </c>
      <c r="H153" s="558">
        <v>0</v>
      </c>
      <c r="I153" s="558">
        <v>7.0000000000000001E-3</v>
      </c>
      <c r="J153" s="558">
        <v>0.01</v>
      </c>
      <c r="K153" s="558">
        <v>0.01</v>
      </c>
      <c r="L153" s="558">
        <v>0</v>
      </c>
      <c r="M153" s="558">
        <v>0</v>
      </c>
      <c r="N153" s="605">
        <v>0</v>
      </c>
      <c r="O153" s="605">
        <v>0.04</v>
      </c>
      <c r="P153" s="605">
        <v>7.0000000000000007E-2</v>
      </c>
      <c r="Q153" s="605">
        <v>0.12</v>
      </c>
      <c r="R153" s="605">
        <v>0.01</v>
      </c>
      <c r="S153" s="605">
        <v>0</v>
      </c>
      <c r="T153" s="605">
        <v>0</v>
      </c>
      <c r="U153" s="605">
        <v>0</v>
      </c>
      <c r="V153" s="605">
        <v>0.01</v>
      </c>
      <c r="W153" s="605">
        <v>0</v>
      </c>
      <c r="X153" s="605">
        <v>0.01</v>
      </c>
      <c r="Y153" s="821">
        <v>0.02</v>
      </c>
      <c r="Z153" s="821">
        <v>0.02</v>
      </c>
      <c r="AA153" s="821">
        <v>0.03</v>
      </c>
      <c r="AB153" s="821">
        <v>0.01</v>
      </c>
      <c r="AC153" s="605">
        <v>0</v>
      </c>
    </row>
    <row r="154" spans="1:29" x14ac:dyDescent="0.25">
      <c r="A154" s="574">
        <v>8.9</v>
      </c>
      <c r="B154" s="558">
        <v>0</v>
      </c>
      <c r="C154" s="558">
        <v>0.03</v>
      </c>
      <c r="D154" s="558">
        <v>0</v>
      </c>
      <c r="E154" s="558">
        <v>1.2999999999999999E-2</v>
      </c>
      <c r="F154" s="558">
        <v>0.01</v>
      </c>
      <c r="G154" s="558">
        <v>0</v>
      </c>
      <c r="H154" s="558">
        <v>0.04</v>
      </c>
      <c r="I154" s="558">
        <v>6.0000000000000001E-3</v>
      </c>
      <c r="J154" s="558">
        <v>0.01</v>
      </c>
      <c r="K154" s="558">
        <v>0.01</v>
      </c>
      <c r="L154" s="558">
        <v>0</v>
      </c>
      <c r="M154" s="558">
        <v>0</v>
      </c>
      <c r="N154" s="605">
        <v>0</v>
      </c>
      <c r="O154" s="605">
        <v>0.04</v>
      </c>
      <c r="P154" s="605">
        <v>0.08</v>
      </c>
      <c r="Q154" s="605">
        <v>0.1</v>
      </c>
      <c r="R154" s="605">
        <v>0.01</v>
      </c>
      <c r="S154" s="605">
        <v>0</v>
      </c>
      <c r="T154" s="605">
        <v>0</v>
      </c>
      <c r="U154" s="605">
        <v>0</v>
      </c>
      <c r="V154" s="605">
        <v>0.01</v>
      </c>
      <c r="W154" s="605">
        <v>0</v>
      </c>
      <c r="X154" s="605">
        <v>0.01</v>
      </c>
      <c r="Y154" s="821">
        <v>0.02</v>
      </c>
      <c r="Z154" s="821">
        <v>0.02</v>
      </c>
      <c r="AA154" s="821">
        <v>0.03</v>
      </c>
      <c r="AB154" s="821">
        <v>0.01</v>
      </c>
      <c r="AC154" s="605">
        <v>0</v>
      </c>
    </row>
    <row r="1048576" spans="25:25" x14ac:dyDescent="0.25">
      <c r="Y1048576" s="821">
        <v>0.01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/>
  <dimension ref="A1:H39"/>
  <sheetViews>
    <sheetView workbookViewId="0">
      <selection activeCell="B14" sqref="B14:E14"/>
    </sheetView>
  </sheetViews>
  <sheetFormatPr baseColWidth="10" defaultColWidth="10.85546875" defaultRowHeight="15" x14ac:dyDescent="0.25"/>
  <sheetData>
    <row r="1" spans="1:8" x14ac:dyDescent="0.25">
      <c r="A1" s="1054" t="s">
        <v>136</v>
      </c>
      <c r="B1" s="1055"/>
      <c r="C1" s="1055"/>
      <c r="D1" s="1055"/>
      <c r="E1" s="1055"/>
      <c r="F1" s="1055"/>
      <c r="G1" s="1055"/>
      <c r="H1" s="1055"/>
    </row>
    <row r="2" spans="1:8" x14ac:dyDescent="0.25">
      <c r="A2" s="1054"/>
      <c r="B2" s="1055"/>
      <c r="C2" s="1055"/>
      <c r="D2" s="1055"/>
      <c r="E2" s="1055"/>
      <c r="F2" s="1055"/>
      <c r="G2" s="1055"/>
      <c r="H2" s="1055"/>
    </row>
    <row r="3" spans="1:8" x14ac:dyDescent="0.25">
      <c r="A3" s="120" t="s">
        <v>135</v>
      </c>
      <c r="B3" s="1056" t="s">
        <v>139</v>
      </c>
      <c r="C3" s="1056"/>
      <c r="D3" s="1056"/>
      <c r="E3" s="1056"/>
      <c r="F3" s="120" t="s">
        <v>138</v>
      </c>
      <c r="G3" s="120" t="s">
        <v>137</v>
      </c>
      <c r="H3" s="576" t="s">
        <v>743</v>
      </c>
    </row>
    <row r="4" spans="1:8" x14ac:dyDescent="0.25">
      <c r="A4" s="121">
        <v>42943</v>
      </c>
      <c r="B4" s="1057" t="s">
        <v>742</v>
      </c>
      <c r="C4" s="1057"/>
      <c r="D4" s="1057"/>
      <c r="E4" s="1057"/>
      <c r="F4" s="79" t="s">
        <v>740</v>
      </c>
      <c r="G4" s="79" t="s">
        <v>741</v>
      </c>
      <c r="H4" s="577">
        <v>0</v>
      </c>
    </row>
    <row r="5" spans="1:8" x14ac:dyDescent="0.25">
      <c r="A5" s="121">
        <v>43026</v>
      </c>
      <c r="B5" s="1057" t="s">
        <v>755</v>
      </c>
      <c r="C5" s="1057"/>
      <c r="D5" s="1057"/>
      <c r="E5" s="1057"/>
      <c r="F5" s="79" t="s">
        <v>741</v>
      </c>
      <c r="G5" s="79" t="s">
        <v>758</v>
      </c>
      <c r="H5" s="577">
        <v>1</v>
      </c>
    </row>
    <row r="6" spans="1:8" x14ac:dyDescent="0.25">
      <c r="A6" s="121">
        <v>43045</v>
      </c>
      <c r="B6" s="1057" t="s">
        <v>757</v>
      </c>
      <c r="C6" s="1057"/>
      <c r="D6" s="1057"/>
      <c r="E6" s="1057"/>
      <c r="F6" s="79" t="s">
        <v>758</v>
      </c>
      <c r="G6" s="79" t="s">
        <v>741</v>
      </c>
      <c r="H6" s="577">
        <v>2</v>
      </c>
    </row>
    <row r="7" spans="1:8" x14ac:dyDescent="0.25">
      <c r="A7" s="121">
        <v>43067</v>
      </c>
      <c r="B7" s="1057" t="s">
        <v>766</v>
      </c>
      <c r="C7" s="1057"/>
      <c r="D7" s="1057"/>
      <c r="E7" s="1057"/>
      <c r="F7" s="79" t="s">
        <v>741</v>
      </c>
      <c r="G7" s="79" t="s">
        <v>767</v>
      </c>
      <c r="H7" s="577">
        <v>3</v>
      </c>
    </row>
    <row r="8" spans="1:8" x14ac:dyDescent="0.25">
      <c r="A8" s="121">
        <v>43084</v>
      </c>
      <c r="B8" s="1057" t="s">
        <v>788</v>
      </c>
      <c r="C8" s="1057"/>
      <c r="D8" s="1057"/>
      <c r="E8" s="1057"/>
      <c r="F8" s="79" t="s">
        <v>758</v>
      </c>
      <c r="G8" s="79" t="s">
        <v>741</v>
      </c>
      <c r="H8" s="577">
        <v>3</v>
      </c>
    </row>
    <row r="9" spans="1:8" x14ac:dyDescent="0.25">
      <c r="A9" s="121">
        <v>43104</v>
      </c>
      <c r="B9" s="1057" t="s">
        <v>852</v>
      </c>
      <c r="C9" s="1057"/>
      <c r="D9" s="1057"/>
      <c r="E9" s="1057"/>
      <c r="F9" s="79" t="s">
        <v>740</v>
      </c>
      <c r="G9" s="79"/>
      <c r="H9" s="577"/>
    </row>
    <row r="10" spans="1:8" x14ac:dyDescent="0.25">
      <c r="A10" s="121">
        <v>43105</v>
      </c>
      <c r="B10" s="1057" t="s">
        <v>853</v>
      </c>
      <c r="C10" s="1057"/>
      <c r="D10" s="1057"/>
      <c r="E10" s="1057"/>
      <c r="F10" s="79" t="s">
        <v>758</v>
      </c>
      <c r="G10" s="79" t="s">
        <v>767</v>
      </c>
      <c r="H10" s="577"/>
    </row>
    <row r="11" spans="1:8" ht="33" customHeight="1" x14ac:dyDescent="0.25">
      <c r="A11" s="121">
        <v>43166</v>
      </c>
      <c r="B11" s="1059" t="s">
        <v>1070</v>
      </c>
      <c r="C11" s="1060"/>
      <c r="D11" s="1060"/>
      <c r="E11" s="1061"/>
      <c r="F11" s="79" t="s">
        <v>740</v>
      </c>
      <c r="G11" s="79"/>
      <c r="H11" s="577"/>
    </row>
    <row r="12" spans="1:8" ht="30" customHeight="1" x14ac:dyDescent="0.25">
      <c r="A12" s="121">
        <v>43850</v>
      </c>
      <c r="B12" s="1058" t="s">
        <v>1126</v>
      </c>
      <c r="C12" s="1058"/>
      <c r="D12" s="1058"/>
      <c r="E12" s="1058"/>
      <c r="F12" s="828" t="s">
        <v>1110</v>
      </c>
      <c r="G12" s="79" t="s">
        <v>1131</v>
      </c>
      <c r="H12" s="877">
        <v>1.73</v>
      </c>
    </row>
    <row r="13" spans="1:8" ht="29.25" customHeight="1" x14ac:dyDescent="0.25">
      <c r="A13" s="121">
        <v>44018</v>
      </c>
      <c r="B13" s="1058" t="s">
        <v>1140</v>
      </c>
      <c r="C13" s="1058"/>
      <c r="D13" s="1058"/>
      <c r="E13" s="1058"/>
      <c r="F13" s="879" t="s">
        <v>1110</v>
      </c>
      <c r="G13" s="879"/>
      <c r="H13" s="879">
        <v>1.74</v>
      </c>
    </row>
    <row r="14" spans="1:8" x14ac:dyDescent="0.25">
      <c r="A14" s="79"/>
      <c r="B14" s="1057"/>
      <c r="C14" s="1057"/>
      <c r="D14" s="1057"/>
      <c r="E14" s="1057"/>
      <c r="F14" s="79"/>
      <c r="G14" s="79"/>
      <c r="H14" s="577"/>
    </row>
    <row r="15" spans="1:8" x14ac:dyDescent="0.25">
      <c r="A15" s="79"/>
      <c r="B15" s="1057"/>
      <c r="C15" s="1057"/>
      <c r="D15" s="1057"/>
      <c r="E15" s="1057"/>
      <c r="F15" s="79"/>
      <c r="G15" s="79"/>
      <c r="H15" s="577"/>
    </row>
    <row r="16" spans="1:8" x14ac:dyDescent="0.25">
      <c r="A16" s="107"/>
      <c r="B16" s="107"/>
      <c r="C16" s="107"/>
      <c r="D16" s="107"/>
      <c r="E16" s="107"/>
      <c r="F16" s="107"/>
      <c r="G16" s="107"/>
      <c r="H16" s="107"/>
    </row>
    <row r="17" spans="1:8" x14ac:dyDescent="0.25">
      <c r="A17" s="107"/>
      <c r="B17" s="107"/>
      <c r="C17" s="107"/>
      <c r="D17" s="107"/>
      <c r="E17" s="107"/>
      <c r="F17" s="107"/>
      <c r="G17" s="107"/>
      <c r="H17" s="107"/>
    </row>
    <row r="18" spans="1:8" x14ac:dyDescent="0.25">
      <c r="A18" s="107"/>
      <c r="B18" s="107"/>
      <c r="C18" s="107"/>
      <c r="D18" s="107"/>
      <c r="E18" s="107"/>
      <c r="F18" s="107"/>
      <c r="G18" s="107"/>
      <c r="H18" s="107"/>
    </row>
    <row r="19" spans="1:8" x14ac:dyDescent="0.25">
      <c r="A19" s="107"/>
      <c r="B19" s="107"/>
      <c r="C19" s="107"/>
      <c r="D19" s="107"/>
      <c r="E19" s="107"/>
      <c r="F19" s="107"/>
      <c r="G19" s="107"/>
      <c r="H19" s="107"/>
    </row>
    <row r="20" spans="1:8" x14ac:dyDescent="0.25">
      <c r="A20" s="107"/>
      <c r="B20" s="107"/>
      <c r="C20" s="107"/>
      <c r="D20" s="107"/>
      <c r="E20" s="107"/>
      <c r="F20" s="107"/>
      <c r="G20" s="107"/>
      <c r="H20" s="107"/>
    </row>
    <row r="21" spans="1:8" x14ac:dyDescent="0.25">
      <c r="A21" s="107"/>
      <c r="B21" s="107"/>
      <c r="C21" s="107"/>
      <c r="D21" s="107"/>
      <c r="E21" s="107"/>
      <c r="F21" s="107"/>
      <c r="G21" s="107"/>
      <c r="H21" s="107"/>
    </row>
    <row r="22" spans="1:8" x14ac:dyDescent="0.25">
      <c r="A22" s="107"/>
      <c r="B22" s="107"/>
      <c r="C22" s="107"/>
      <c r="D22" s="107"/>
      <c r="E22" s="107"/>
      <c r="F22" s="107"/>
      <c r="G22" s="107"/>
      <c r="H22" s="107"/>
    </row>
    <row r="23" spans="1:8" x14ac:dyDescent="0.25">
      <c r="A23" s="107"/>
      <c r="B23" s="107"/>
      <c r="C23" s="107"/>
      <c r="D23" s="107"/>
      <c r="E23" s="107"/>
      <c r="F23" s="107"/>
      <c r="G23" s="107"/>
      <c r="H23" s="107"/>
    </row>
    <row r="24" spans="1:8" x14ac:dyDescent="0.25">
      <c r="A24" s="107"/>
      <c r="B24" s="107"/>
      <c r="C24" s="107"/>
      <c r="D24" s="107"/>
      <c r="E24" s="107"/>
      <c r="F24" s="107"/>
      <c r="G24" s="107"/>
      <c r="H24" s="107"/>
    </row>
    <row r="25" spans="1:8" x14ac:dyDescent="0.25">
      <c r="A25" s="107"/>
      <c r="B25" s="107"/>
      <c r="C25" s="107"/>
      <c r="D25" s="107"/>
      <c r="E25" s="107"/>
      <c r="F25" s="107"/>
      <c r="G25" s="107"/>
      <c r="H25" s="107"/>
    </row>
    <row r="26" spans="1:8" x14ac:dyDescent="0.25">
      <c r="A26" s="107"/>
      <c r="B26" s="107"/>
      <c r="C26" s="107"/>
      <c r="D26" s="107"/>
      <c r="E26" s="107"/>
      <c r="F26" s="107"/>
      <c r="G26" s="107"/>
      <c r="H26" s="107"/>
    </row>
    <row r="27" spans="1:8" x14ac:dyDescent="0.25">
      <c r="A27" s="107"/>
      <c r="B27" s="107"/>
      <c r="C27" s="107"/>
      <c r="D27" s="107"/>
      <c r="E27" s="107"/>
      <c r="F27" s="107"/>
      <c r="G27" s="107"/>
      <c r="H27" s="107"/>
    </row>
    <row r="28" spans="1:8" x14ac:dyDescent="0.25">
      <c r="A28" s="107"/>
      <c r="B28" s="107"/>
      <c r="C28" s="107"/>
      <c r="D28" s="107"/>
      <c r="E28" s="107"/>
      <c r="F28" s="107"/>
      <c r="G28" s="107"/>
      <c r="H28" s="107"/>
    </row>
    <row r="29" spans="1:8" x14ac:dyDescent="0.25">
      <c r="A29" s="107"/>
      <c r="B29" s="107"/>
      <c r="C29" s="107"/>
      <c r="D29" s="107"/>
      <c r="E29" s="107"/>
      <c r="F29" s="107"/>
      <c r="G29" s="107"/>
      <c r="H29" s="107"/>
    </row>
    <row r="30" spans="1:8" x14ac:dyDescent="0.25">
      <c r="A30" s="107"/>
      <c r="B30" s="107"/>
      <c r="C30" s="107"/>
      <c r="D30" s="107"/>
      <c r="E30" s="107"/>
      <c r="F30" s="107"/>
      <c r="G30" s="107"/>
      <c r="H30" s="107"/>
    </row>
    <row r="31" spans="1:8" x14ac:dyDescent="0.25">
      <c r="A31" s="107"/>
      <c r="B31" s="107"/>
      <c r="C31" s="107"/>
      <c r="D31" s="107"/>
      <c r="E31" s="107"/>
      <c r="F31" s="107"/>
      <c r="G31" s="107"/>
      <c r="H31" s="107"/>
    </row>
    <row r="32" spans="1:8" x14ac:dyDescent="0.25">
      <c r="A32" s="107"/>
      <c r="B32" s="107"/>
      <c r="C32" s="107"/>
      <c r="D32" s="107"/>
      <c r="E32" s="107"/>
      <c r="F32" s="107"/>
      <c r="G32" s="107"/>
      <c r="H32" s="107"/>
    </row>
    <row r="33" spans="1:8" x14ac:dyDescent="0.25">
      <c r="A33" s="107"/>
      <c r="B33" s="107"/>
      <c r="C33" s="107"/>
      <c r="D33" s="107"/>
      <c r="E33" s="107"/>
      <c r="F33" s="107"/>
      <c r="G33" s="107"/>
      <c r="H33" s="107"/>
    </row>
    <row r="34" spans="1:8" x14ac:dyDescent="0.25">
      <c r="A34" s="107"/>
      <c r="B34" s="107"/>
      <c r="C34" s="107"/>
      <c r="D34" s="107"/>
      <c r="E34" s="107"/>
      <c r="F34" s="107"/>
      <c r="G34" s="107"/>
      <c r="H34" s="107"/>
    </row>
    <row r="35" spans="1:8" x14ac:dyDescent="0.25">
      <c r="A35" s="107"/>
      <c r="B35" s="107"/>
      <c r="C35" s="107"/>
      <c r="D35" s="107"/>
      <c r="E35" s="107"/>
      <c r="F35" s="107"/>
      <c r="G35" s="107"/>
      <c r="H35" s="107"/>
    </row>
    <row r="36" spans="1:8" x14ac:dyDescent="0.25">
      <c r="A36" s="107"/>
      <c r="B36" s="107"/>
      <c r="C36" s="107"/>
      <c r="D36" s="107"/>
      <c r="E36" s="107"/>
      <c r="F36" s="107"/>
      <c r="G36" s="107"/>
      <c r="H36" s="107"/>
    </row>
    <row r="37" spans="1:8" x14ac:dyDescent="0.25">
      <c r="A37" s="107"/>
      <c r="B37" s="107"/>
      <c r="C37" s="107"/>
      <c r="D37" s="107"/>
      <c r="E37" s="107"/>
      <c r="F37" s="107"/>
      <c r="G37" s="107"/>
      <c r="H37" s="107"/>
    </row>
    <row r="38" spans="1:8" x14ac:dyDescent="0.25">
      <c r="A38" s="107"/>
      <c r="B38" s="107"/>
      <c r="C38" s="107"/>
      <c r="D38" s="107"/>
      <c r="E38" s="107"/>
      <c r="F38" s="107"/>
      <c r="G38" s="107"/>
      <c r="H38" s="107"/>
    </row>
    <row r="39" spans="1:8" x14ac:dyDescent="0.25">
      <c r="A39" s="107"/>
      <c r="B39" s="107"/>
      <c r="C39" s="107"/>
      <c r="D39" s="107"/>
      <c r="E39" s="107"/>
      <c r="F39" s="107"/>
      <c r="G39" s="107"/>
      <c r="H39" s="107"/>
    </row>
  </sheetData>
  <mergeCells count="14">
    <mergeCell ref="B13:E13"/>
    <mergeCell ref="B14:E14"/>
    <mergeCell ref="B15:E15"/>
    <mergeCell ref="B7:E7"/>
    <mergeCell ref="B8:E8"/>
    <mergeCell ref="B9:E9"/>
    <mergeCell ref="B10:E10"/>
    <mergeCell ref="B11:E11"/>
    <mergeCell ref="B12:E12"/>
    <mergeCell ref="A1:H2"/>
    <mergeCell ref="B3:E3"/>
    <mergeCell ref="B4:E4"/>
    <mergeCell ref="B5:E5"/>
    <mergeCell ref="B6:E6"/>
  </mergeCell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10FDE43B93245045BC8615CE6AAD2C30" ma:contentTypeVersion="12" ma:contentTypeDescription="Ein neues Dokument erstellen." ma:contentTypeScope="" ma:versionID="b65dd45626ff141b6ba23628ce3eabfa">
  <xsd:schema xmlns:xsd="http://www.w3.org/2001/XMLSchema" xmlns:xs="http://www.w3.org/2001/XMLSchema" xmlns:p="http://schemas.microsoft.com/office/2006/metadata/properties" xmlns:ns2="733012ce-2787-4cbb-8de5-3f6f8023706b" xmlns:ns3="a3cd03a4-507c-4d64-a945-2dc5b41fa9a1" targetNamespace="http://schemas.microsoft.com/office/2006/metadata/properties" ma:root="true" ma:fieldsID="637c3ddb37bb78df16c77fca02e46d19" ns2:_="" ns3:_="">
    <xsd:import namespace="733012ce-2787-4cbb-8de5-3f6f8023706b"/>
    <xsd:import namespace="a3cd03a4-507c-4d64-a945-2dc5b41fa9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3012ce-2787-4cbb-8de5-3f6f802370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cd03a4-507c-4d64-a945-2dc5b41fa9a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512DCBA-1253-47F8-8F85-995CF0201D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3012ce-2787-4cbb-8de5-3f6f8023706b"/>
    <ds:schemaRef ds:uri="a3cd03a4-507c-4d64-a945-2dc5b41fa9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D7CF6-C681-4FA5-94D9-F608B1E227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A17FE8-6DDC-4A70-B446-2E434C7BA2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3</vt:i4>
      </vt:variant>
    </vt:vector>
  </HeadingPairs>
  <TitlesOfParts>
    <vt:vector size="13" baseType="lpstr">
      <vt:lpstr>Bericht</vt:lpstr>
      <vt:lpstr>Berechnungen</vt:lpstr>
      <vt:lpstr>Schwingungen</vt:lpstr>
      <vt:lpstr>OS Diagramme</vt:lpstr>
      <vt:lpstr>TFR</vt:lpstr>
      <vt:lpstr>Schutzvorgaben und -grenzen</vt:lpstr>
      <vt:lpstr>Checkliste ext.</vt:lpstr>
      <vt:lpstr>Checkliste_Konfi</vt:lpstr>
      <vt:lpstr>EZE_Daten</vt:lpstr>
      <vt:lpstr>Versions-Historie</vt:lpstr>
      <vt:lpstr>Checkliste_Konfi!Druckbereich</vt:lpstr>
      <vt:lpstr>Bericht!VDE_EZEName</vt:lpstr>
      <vt:lpstr>Bericht!VDE_EZEZertNR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Malte-Christian Spahn</dc:creator>
  <cp:lastModifiedBy>Lennart Trösch</cp:lastModifiedBy>
  <cp:lastPrinted>2018-08-23T14:10:13Z</cp:lastPrinted>
  <dcterms:created xsi:type="dcterms:W3CDTF">2014-03-13T15:34:41Z</dcterms:created>
  <dcterms:modified xsi:type="dcterms:W3CDTF">2020-07-06T14:49:09Z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0x01010010FDE43B93245045BC8615CE6AAD2C30</vt:lpwstr>
  </property>
</Properties>
</file>